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MPSC Cases\EO-2018-0211 MEEIA 3\Pleadings\Updated MEEIA 3 Filing by 12.31.18\TRM Correction 1.11.19\"/>
    </mc:Choice>
  </mc:AlternateContent>
  <bookViews>
    <workbookView xWindow="0" yWindow="0" windowWidth="28800" windowHeight="12285" activeTab="7"/>
  </bookViews>
  <sheets>
    <sheet name="Deemed Savings Tbl Revision Log" sheetId="1" r:id="rId1"/>
    <sheet name="BUS Deemed Savings Table " sheetId="2" r:id="rId2"/>
    <sheet name="Lighting Deemed Table" sheetId="3" r:id="rId3"/>
    <sheet name="Efficient Products Deemed Table" sheetId="4" r:id="rId4"/>
    <sheet name="Energy Effic. Kits Deemed Table" sheetId="5" r:id="rId5"/>
    <sheet name="HVAC Deemed Table" sheetId="6" r:id="rId6"/>
    <sheet name="Income Eligble Deemed Table" sheetId="7" r:id="rId7"/>
    <sheet name="Home Energy Report Deemed Table" sheetId="8" r:id="rId8"/>
    <sheet name="MFMR Deemed Table " sheetId="9" r:id="rId9"/>
    <sheet name="Appliance Recycle Deemed Table" sheetId="10" r:id="rId10"/>
    <sheet name="Demand Response Deemed Table" sheetId="11" r:id="rId11"/>
    <sheet name="CP FACTORS" sheetId="12"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xlnm._FilterDatabase" localSheetId="5" hidden="1">'HVAC Deemed Table'!$A$780:$X$906</definedName>
    <definedName name="_ftn1" localSheetId="1">'BUS Deemed Savings Table '!$H$751</definedName>
    <definedName name="_ftn1" localSheetId="3">'Efficient Products Deemed Table'!$C$241</definedName>
    <definedName name="_ftn10" localSheetId="1">'BUS Deemed Savings Table '!$H$760</definedName>
    <definedName name="_ftn11" localSheetId="1">'BUS Deemed Savings Table '!$H$761</definedName>
    <definedName name="_ftn12" localSheetId="1">'BUS Deemed Savings Table '!$H$762</definedName>
    <definedName name="_ftn2" localSheetId="1">'BUS Deemed Savings Table '!$H$752</definedName>
    <definedName name="_ftn2" localSheetId="3">'Efficient Products Deemed Table'!$C$242</definedName>
    <definedName name="_ftn3" localSheetId="1">'BUS Deemed Savings Table '!$H$753</definedName>
    <definedName name="_ftn4" localSheetId="1">'BUS Deemed Savings Table '!$H$754</definedName>
    <definedName name="_ftn5" localSheetId="1">'BUS Deemed Savings Table '!$H$755</definedName>
    <definedName name="_ftn6" localSheetId="1">'BUS Deemed Savings Table '!$H$756</definedName>
    <definedName name="_ftn7" localSheetId="1">'BUS Deemed Savings Table '!$H$757</definedName>
    <definedName name="_ftn8" localSheetId="1">'BUS Deemed Savings Table '!$H$758</definedName>
    <definedName name="_ftn9" localSheetId="1">'BUS Deemed Savings Table '!$H$759</definedName>
    <definedName name="_ftnref1" localSheetId="1">'BUS Deemed Savings Table '!$H$347</definedName>
    <definedName name="_ftnref1" localSheetId="3">'Efficient Products Deemed Table'!$D$230</definedName>
    <definedName name="_ftnref10" localSheetId="1">'BUS Deemed Savings Table '!$K$622</definedName>
    <definedName name="_ftnref11" localSheetId="1">'BUS Deemed Savings Table '!$H$712</definedName>
    <definedName name="_ftnref12" localSheetId="1">'BUS Deemed Savings Table '!$I$747</definedName>
    <definedName name="_ftnref2" localSheetId="3">'Efficient Products Deemed Table'!$C$238</definedName>
    <definedName name="_ftnref3" localSheetId="1">'BUS Deemed Savings Table '!$J$353</definedName>
    <definedName name="_ftnref4" localSheetId="1">'BUS Deemed Savings Table '!$H$362</definedName>
    <definedName name="_ftnref5" localSheetId="1">'BUS Deemed Savings Table '!$H$376</definedName>
    <definedName name="_ftnref6" localSheetId="1">'BUS Deemed Savings Table '!$K$394</definedName>
    <definedName name="_ftnref7" localSheetId="1">'BUS Deemed Savings Table '!$I$489</definedName>
    <definedName name="_ftnref8" localSheetId="1">'BUS Deemed Savings Table '!#REF!</definedName>
    <definedName name="_ftnref9" localSheetId="1">'BUS Deemed Savings Table '!$H$593</definedName>
    <definedName name="_Key1" hidden="1">#REF!</definedName>
    <definedName name="_key2" hidden="1">#REF!</definedName>
    <definedName name="_Order1" hidden="1">255</definedName>
    <definedName name="_Sort" hidden="1">#REF!</definedName>
    <definedName name="_Toc477945843" localSheetId="1">'BUS Deemed Savings Table '!$H$328</definedName>
    <definedName name="abase" localSheetId="0">#REF!</definedName>
    <definedName name="abase" localSheetId="10">#REF!</definedName>
    <definedName name="abase">#REF!</definedName>
    <definedName name="accounts" localSheetId="0">'[1]Measure Summary'!#REF!</definedName>
    <definedName name="accounts" localSheetId="10">'[1]Measure Summary'!#REF!</definedName>
    <definedName name="accounts">'[1]Measure Summary'!#REF!</definedName>
    <definedName name="accountvalid">'[2]Measure Summary'!$F$5:$F$218</definedName>
    <definedName name="adj_ues_nres">'[3]Data Summary'!#REF!</definedName>
    <definedName name="adj_ues_res">'[3]Data Summary'!#REF!</definedName>
    <definedName name="airRESULTS">[4]Inputs!$C$14</definedName>
    <definedName name="APPK_profile" localSheetId="0">#REF!</definedName>
    <definedName name="APPK_profile" localSheetId="10">#REF!</definedName>
    <definedName name="APPK_profile">#REF!</definedName>
    <definedName name="APPK_profilekW" localSheetId="0">#REF!</definedName>
    <definedName name="APPK_profilekW" localSheetId="10">#REF!</definedName>
    <definedName name="APPK_profilekW">#REF!</definedName>
    <definedName name="AVGcool" localSheetId="0">#REF!</definedName>
    <definedName name="AVGcool" localSheetId="10">#REF!</definedName>
    <definedName name="AVGcool">#REF!</definedName>
    <definedName name="AVGheat" localSheetId="0">#REF!</definedName>
    <definedName name="AVGheat" localSheetId="10">#REF!</definedName>
    <definedName name="AVGheat">#REF!</definedName>
    <definedName name="AvoidedCost" localSheetId="0">#REF!</definedName>
    <definedName name="AvoidedCost" localSheetId="10">#REF!</definedName>
    <definedName name="AvoidedCost">#REF!</definedName>
    <definedName name="awrap" localSheetId="0">#REF!</definedName>
    <definedName name="awrap" localSheetId="10">#REF!</definedName>
    <definedName name="awrap">#REF!</definedName>
    <definedName name="Cadmus_Valid_LED">'[5]Raw Cadmus Survey Data'!$DI:$DI</definedName>
    <definedName name="CF" localSheetId="0">#REF!</definedName>
    <definedName name="CF" localSheetId="10">#REF!</definedName>
    <definedName name="CF">#REF!</definedName>
    <definedName name="CFduct">[4]Inputs!$I$16</definedName>
    <definedName name="CFlighting" localSheetId="0">#REF!</definedName>
    <definedName name="CFlighting" localSheetId="10">#REF!</definedName>
    <definedName name="CFlighting">#REF!</definedName>
    <definedName name="Changing_Cell" localSheetId="0">#REF!</definedName>
    <definedName name="Changing_Cell" localSheetId="10">#REF!</definedName>
    <definedName name="Changing_Cell">#REF!</definedName>
    <definedName name="chart_title" localSheetId="0">#REF!</definedName>
    <definedName name="chart_title" localSheetId="10">#REF!</definedName>
    <definedName name="chart_title">#REF!</definedName>
    <definedName name="ConF" localSheetId="0">#REF!</definedName>
    <definedName name="ConF" localSheetId="10">#REF!</definedName>
    <definedName name="ConF">#REF!</definedName>
    <definedName name="coupon_fr">#REF!</definedName>
    <definedName name="Coupon_ISR">#REF!</definedName>
    <definedName name="Coupon_LKG">#REF!</definedName>
    <definedName name="coupon_me">#REF!</definedName>
    <definedName name="coupon_ntg">#REF!</definedName>
    <definedName name="coupon_so">#REF!</definedName>
    <definedName name="Cp" localSheetId="0">#REF!</definedName>
    <definedName name="Cp" localSheetId="10">#REF!</definedName>
    <definedName name="Cp">#REF!</definedName>
    <definedName name="DAYS" localSheetId="0">#REF!</definedName>
    <definedName name="DAYS" localSheetId="10">#REF!</definedName>
    <definedName name="DAYS">#REF!</definedName>
    <definedName name="DeltaGPM" localSheetId="0">#REF!</definedName>
    <definedName name="DeltaGPM" localSheetId="10">#REF!</definedName>
    <definedName name="DeltaGPM">#REF!</definedName>
    <definedName name="deltaT" localSheetId="0">#REF!</definedName>
    <definedName name="deltaT" localSheetId="10">#REF!</definedName>
    <definedName name="deltaT">#REF!</definedName>
    <definedName name="den" localSheetId="0">#REF!</definedName>
    <definedName name="den" localSheetId="10">#REF!</definedName>
    <definedName name="den">#REF!</definedName>
    <definedName name="DesignDetails" localSheetId="0">#REF!</definedName>
    <definedName name="DesignDetails" localSheetId="10">#REF!</definedName>
    <definedName name="DesignDetails">#REF!</definedName>
    <definedName name="Diameter" localSheetId="0">#REF!</definedName>
    <definedName name="Diameter" localSheetId="10">#REF!</definedName>
    <definedName name="Diameter">#REF!</definedName>
    <definedName name="ductRESULTS" localSheetId="0">#REF!</definedName>
    <definedName name="ductRESULTS" localSheetId="10">#REF!</definedName>
    <definedName name="ductRESULTS">#REF!</definedName>
    <definedName name="EDR" localSheetId="0">#REF!</definedName>
    <definedName name="EDR" localSheetId="10">#REF!</definedName>
    <definedName name="EDR">#REF!</definedName>
    <definedName name="EERafter" localSheetId="0">#REF!</definedName>
    <definedName name="EERafter" localSheetId="10">#REF!</definedName>
    <definedName name="EERafter">#REF!</definedName>
    <definedName name="EERBefore" localSheetId="0">#REF!</definedName>
    <definedName name="EERBefore" localSheetId="10">#REF!</definedName>
    <definedName name="EERBefore">#REF!</definedName>
    <definedName name="EFbase" localSheetId="0">#REF!</definedName>
    <definedName name="EFbase" localSheetId="10">#REF!</definedName>
    <definedName name="EFbase">#REF!</definedName>
    <definedName name="EndRef" localSheetId="0">#REF!</definedName>
    <definedName name="EndRef" localSheetId="10">#REF!</definedName>
    <definedName name="EndRef">#REF!</definedName>
    <definedName name="Endrow" localSheetId="0">#REF!</definedName>
    <definedName name="Endrow" localSheetId="10">#REF!</definedName>
    <definedName name="Endrow">#REF!</definedName>
    <definedName name="ESFcool" localSheetId="0">#REF!</definedName>
    <definedName name="ESFcool" localSheetId="10">#REF!</definedName>
    <definedName name="ESFcool">#REF!</definedName>
    <definedName name="ESFheat" localSheetId="0">#REF!</definedName>
    <definedName name="ESFheat" localSheetId="10">#REF!</definedName>
    <definedName name="ESFheat">#REF!</definedName>
    <definedName name="EUEx" localSheetId="0">#REF!</definedName>
    <definedName name="EUEx" localSheetId="10">#REF!</definedName>
    <definedName name="EUEx">#REF!</definedName>
    <definedName name="EUNew" localSheetId="0">#REF!</definedName>
    <definedName name="EUNew" localSheetId="10">#REF!</definedName>
    <definedName name="EUNew">#REF!</definedName>
    <definedName name="FAdays" localSheetId="0">#REF!</definedName>
    <definedName name="FAdays" localSheetId="10">#REF!</definedName>
    <definedName name="FAdays">#REF!</definedName>
    <definedName name="FAdeltaGPM" localSheetId="0">#REF!</definedName>
    <definedName name="FAdeltaGPM" localSheetId="10">#REF!</definedName>
    <definedName name="FAdeltaGPM">#REF!</definedName>
    <definedName name="FauCp" localSheetId="0">#REF!</definedName>
    <definedName name="FauCp" localSheetId="10">#REF!</definedName>
    <definedName name="FauCp">#REF!</definedName>
    <definedName name="FaucTime" localSheetId="0">#REF!</definedName>
    <definedName name="FaucTime" localSheetId="10">#REF!</definedName>
    <definedName name="FaucTime">#REF!</definedName>
    <definedName name="FauDen" localSheetId="0">#REF!</definedName>
    <definedName name="FauDen" localSheetId="10">#REF!</definedName>
    <definedName name="FauDen">#REF!</definedName>
    <definedName name="FauRE" localSheetId="0">#REF!</definedName>
    <definedName name="FauRE" localSheetId="10">#REF!</definedName>
    <definedName name="FauRE">#REF!</definedName>
    <definedName name="FauTin" localSheetId="0">#REF!</definedName>
    <definedName name="FauTin" localSheetId="10">#REF!</definedName>
    <definedName name="FauTin">#REF!</definedName>
    <definedName name="Finished">'[5]Raw Cadmus Survey Data'!$F:$F</definedName>
    <definedName name="HCIFd" localSheetId="0">#REF!</definedName>
    <definedName name="HCIFd" localSheetId="10">#REF!</definedName>
    <definedName name="HCIFd">#REF!</definedName>
    <definedName name="HCIFe" localSheetId="0">#REF!</definedName>
    <definedName name="HCIFe" localSheetId="10">#REF!</definedName>
    <definedName name="HCIFe">#REF!</definedName>
    <definedName name="HDD" localSheetId="0">#REF!</definedName>
    <definedName name="HDD" localSheetId="10">#REF!</definedName>
    <definedName name="HDD">#REF!</definedName>
    <definedName name="Height" localSheetId="0">#REF!</definedName>
    <definedName name="Height" localSheetId="10">#REF!</definedName>
    <definedName name="Height">#REF!</definedName>
    <definedName name="HEW_LED">'[5]Raw Cadmus Survey Data'!$O:$O</definedName>
    <definedName name="HEW_Valid_LED">'[5]Raw Cadmus Survey Data'!$CI:$CI</definedName>
    <definedName name="HOU_NRES">'[6]Input Values'!$C$32</definedName>
    <definedName name="HOU_Res">'[6]Input Values'!$C$31</definedName>
    <definedName name="HOURRES" localSheetId="0">#REF!</definedName>
    <definedName name="HOURRES" localSheetId="10">#REF!</definedName>
    <definedName name="HOURRES">#REF!</definedName>
    <definedName name="HOURSNRES" localSheetId="0">#REF!</definedName>
    <definedName name="HOURSNRES" localSheetId="10">#REF!</definedName>
    <definedName name="HOURSNRES">#REF!</definedName>
    <definedName name="HP" localSheetId="0">#REF!</definedName>
    <definedName name="HP" localSheetId="10">#REF!</definedName>
    <definedName name="HP">#REF!</definedName>
    <definedName name="HPfive" localSheetId="0">#REF!</definedName>
    <definedName name="HPfive" localSheetId="10">#REF!</definedName>
    <definedName name="HPfive">#REF!</definedName>
    <definedName name="HPfour" localSheetId="0">#REF!</definedName>
    <definedName name="HPfour" localSheetId="10">#REF!</definedName>
    <definedName name="HPfour">#REF!</definedName>
    <definedName name="HPfpur" localSheetId="0">#REF!</definedName>
    <definedName name="HPfpur" localSheetId="10">#REF!</definedName>
    <definedName name="HPfpur">#REF!</definedName>
    <definedName name="HPsix" localSheetId="0">#REF!</definedName>
    <definedName name="HPsix" localSheetId="10">#REF!</definedName>
    <definedName name="HPsix">#REF!</definedName>
    <definedName name="HPthree" localSheetId="0">#REF!</definedName>
    <definedName name="HPthree" localSheetId="10">#REF!</definedName>
    <definedName name="HPthree">#REF!</definedName>
    <definedName name="HPtwo" localSheetId="0">#REF!</definedName>
    <definedName name="HPtwo" localSheetId="10">#REF!</definedName>
    <definedName name="HPtwo">#REF!</definedName>
    <definedName name="ISR" localSheetId="0">#REF!</definedName>
    <definedName name="ISR" localSheetId="10">#REF!</definedName>
    <definedName name="ISR">#REF!</definedName>
    <definedName name="L" localSheetId="0">#REF!</definedName>
    <definedName name="L" localSheetId="10">#REF!</definedName>
    <definedName name="L">#REF!</definedName>
    <definedName name="Ldays" localSheetId="0">#REF!</definedName>
    <definedName name="Ldays" localSheetId="10">#REF!</definedName>
    <definedName name="Ldays">#REF!</definedName>
    <definedName name="LHours" localSheetId="0">#REF!</definedName>
    <definedName name="LHours" localSheetId="10">#REF!</definedName>
    <definedName name="LHours">#REF!</definedName>
    <definedName name="LKG" localSheetId="0">#REF!</definedName>
    <definedName name="LKG" localSheetId="10">#REF!</definedName>
    <definedName name="LKG">#REF!</definedName>
    <definedName name="LWHF" localSheetId="0">#REF!</definedName>
    <definedName name="LWHF" localSheetId="10">#REF!</definedName>
    <definedName name="LWHF">#REF!</definedName>
    <definedName name="markdown_fr">#REF!</definedName>
    <definedName name="Markdown_ISR">#REF!</definedName>
    <definedName name="Markdown_LKG">#REF!</definedName>
    <definedName name="markdown_me">#REF!</definedName>
    <definedName name="markdown_ntg">#REF!</definedName>
    <definedName name="markdown_so">#REF!</definedName>
    <definedName name="MM_BldgType" localSheetId="0">#REF!</definedName>
    <definedName name="MM_BldgType" localSheetId="10">#REF!</definedName>
    <definedName name="MM_BldgType">#REF!</definedName>
    <definedName name="MM_CompAirList" localSheetId="0">#REF!</definedName>
    <definedName name="MM_CompAirList" localSheetId="10">#REF!</definedName>
    <definedName name="MM_CompAirList">#REF!</definedName>
    <definedName name="MM_EMSList" localSheetId="0">#REF!</definedName>
    <definedName name="MM_EMSList" localSheetId="10">#REF!</definedName>
    <definedName name="MM_EMSList">#REF!</definedName>
    <definedName name="MM_EndUseList" localSheetId="0">#REF!</definedName>
    <definedName name="MM_EndUseList" localSheetId="10">#REF!</definedName>
    <definedName name="MM_EndUseList">#REF!</definedName>
    <definedName name="MM_EnvList" localSheetId="0">#REF!</definedName>
    <definedName name="MM_EnvList" localSheetId="10">#REF!</definedName>
    <definedName name="MM_EnvList">#REF!</definedName>
    <definedName name="MM_FoodServList" localSheetId="0">#REF!</definedName>
    <definedName name="MM_FoodServList" localSheetId="10">#REF!</definedName>
    <definedName name="MM_FoodServList">#REF!</definedName>
    <definedName name="MM_FuelList" localSheetId="0">#REF!</definedName>
    <definedName name="MM_FuelList" localSheetId="10">#REF!</definedName>
    <definedName name="MM_FuelList">#REF!</definedName>
    <definedName name="MM_HVACList" localSheetId="0">#REF!</definedName>
    <definedName name="MM_HVACList" localSheetId="10">#REF!</definedName>
    <definedName name="MM_HVACList">#REF!</definedName>
    <definedName name="MM_IncentChangeList" localSheetId="0">#REF!</definedName>
    <definedName name="MM_IncentChangeList" localSheetId="10">#REF!</definedName>
    <definedName name="MM_IncentChangeList">#REF!</definedName>
    <definedName name="MM_IncentiveDistribution" localSheetId="0">#REF!</definedName>
    <definedName name="MM_IncentiveDistribution" localSheetId="10">#REF!</definedName>
    <definedName name="MM_IncentiveDistribution">#REF!</definedName>
    <definedName name="MM_IncentList" localSheetId="0">#REF!</definedName>
    <definedName name="MM_IncentList" localSheetId="10">#REF!</definedName>
    <definedName name="MM_IncentList">#REF!</definedName>
    <definedName name="MM_LaudryList" localSheetId="0">#REF!</definedName>
    <definedName name="MM_LaudryList" localSheetId="10">#REF!</definedName>
    <definedName name="MM_LaudryList">#REF!</definedName>
    <definedName name="MM_LgtList" localSheetId="0">#REF!</definedName>
    <definedName name="MM_LgtList" localSheetId="10">#REF!</definedName>
    <definedName name="MM_LgtList">#REF!</definedName>
    <definedName name="MM_OtherList" localSheetId="0">#REF!</definedName>
    <definedName name="MM_OtherList" localSheetId="10">#REF!</definedName>
    <definedName name="MM_OtherList">#REF!</definedName>
    <definedName name="MM_ProcessList" localSheetId="0">#REF!</definedName>
    <definedName name="MM_ProcessList" localSheetId="10">#REF!</definedName>
    <definedName name="MM_ProcessList">#REF!</definedName>
    <definedName name="MM_ProgTypeList" localSheetId="0">#REF!</definedName>
    <definedName name="MM_ProgTypeList" localSheetId="10">#REF!</definedName>
    <definedName name="MM_ProgTypeList">#REF!</definedName>
    <definedName name="MM_RefList" localSheetId="0">#REF!</definedName>
    <definedName name="MM_RefList" localSheetId="10">#REF!</definedName>
    <definedName name="MM_RefList">#REF!</definedName>
    <definedName name="MM_ReplacementType" localSheetId="0">#REF!</definedName>
    <definedName name="MM_ReplacementType" localSheetId="10">#REF!</definedName>
    <definedName name="MM_ReplacementType">#REF!</definedName>
    <definedName name="MM_SysTypeList" localSheetId="0">#REF!</definedName>
    <definedName name="MM_SysTypeList" localSheetId="10">#REF!</definedName>
    <definedName name="MM_SysTypeList">#REF!</definedName>
    <definedName name="MM_TRMList" localSheetId="0">#REF!</definedName>
    <definedName name="MM_TRMList" localSheetId="10">#REF!</definedName>
    <definedName name="MM_TRMList">#REF!</definedName>
    <definedName name="MM_WHList" localSheetId="0">#REF!</definedName>
    <definedName name="MM_WHList" localSheetId="10">#REF!</definedName>
    <definedName name="MM_WHList">#REF!</definedName>
    <definedName name="MM_YesNoList" localSheetId="0">#REF!</definedName>
    <definedName name="MM_YesNoList" localSheetId="10">#REF!</definedName>
    <definedName name="MM_YesNoList">#REF!</definedName>
    <definedName name="Month" localSheetId="0">#REF!</definedName>
    <definedName name="Month" localSheetId="10">#REF!</definedName>
    <definedName name="Month">#REF!</definedName>
    <definedName name="name">'[7]Whole House'!$E$5:$E$398</definedName>
    <definedName name="net_ues_nres">'[3]Data Summary'!#REF!</definedName>
    <definedName name="net_ues_res">'[3]Data Summary'!#REF!</definedName>
    <definedName name="New_LED">'[5]Raw Cadmus Survey Data'!$DJ:$DJ</definedName>
    <definedName name="NoFauc" localSheetId="0">#REF!</definedName>
    <definedName name="NoFauc" localSheetId="10">#REF!</definedName>
    <definedName name="NoFauc">#REF!</definedName>
    <definedName name="NonIncent_Elec" localSheetId="0">#REF!</definedName>
    <definedName name="NonIncent_Elec" localSheetId="10">#REF!</definedName>
    <definedName name="NonIncent_Elec">#REF!</definedName>
    <definedName name="NonIncent_Gas" localSheetId="0">#REF!</definedName>
    <definedName name="NonIncent_Gas" localSheetId="10">#REF!</definedName>
    <definedName name="NonIncent_Gas">#REF!</definedName>
    <definedName name="NoPpl">#REF!</definedName>
    <definedName name="P" localSheetId="0">#REF!</definedName>
    <definedName name="P" localSheetId="10">#REF!</definedName>
    <definedName name="P">#REF!</definedName>
    <definedName name="PctRes">'[6]Input Values'!$C$35</definedName>
    <definedName name="PerDays" localSheetId="0">#REF!</definedName>
    <definedName name="PerDays" localSheetId="10">#REF!</definedName>
    <definedName name="PerDays">#REF!</definedName>
    <definedName name="Persist_LED">'[5]Raw Cadmus Survey Data'!$CJ:$CJ</definedName>
    <definedName name="PMELIGHTBASE1">[8]!PMELIGHTTYPE[Base Desc 1]</definedName>
    <definedName name="PMELIGHTBASEW1">[8]!PMELIGHTTYPE[Base Watt]</definedName>
    <definedName name="PMELIGHTBASEW2">[8]!PMELIGHTTYPE[Base W 2]</definedName>
    <definedName name="PMELIGHTEFF1">INDEX([8]!PMELIGHT[Eff Desc 1],MATCH('[8]M03-S01'!XEW1,[8]!PMELIGHT[Base Desc 1],0),1):INDEX([8]!PMELIGHT[Eff Desc 1],MATCH('[8]M03-S01'!XEW1,[8]!PMELIGHT[Base Desc 1],1),1)</definedName>
    <definedName name="PMELIGHTEFFLIST">[8]!PMELIGHT[Eff Desc 1]</definedName>
    <definedName name="PMELIGHTEFFW1">[8]!PMELIGHT[Eff Watt]</definedName>
    <definedName name="PMELIGHTEFFW2">[8]!PMELIGHT[Eff Watt 2]</definedName>
    <definedName name="PMELIGHTOPHR1">[8]!PMELIGHT[Op Hr 1]</definedName>
    <definedName name="PMELIGHTOPHR2">[8]!PMELIGHT[Op Hr 2]</definedName>
    <definedName name="PonBase" localSheetId="0">#REF!</definedName>
    <definedName name="PonBase" localSheetId="10">#REF!</definedName>
    <definedName name="PonBase">#REF!</definedName>
    <definedName name="_xlnm.Print_Area" localSheetId="9">'Appliance Recycle Deemed Table'!$A$1:$AI$84</definedName>
    <definedName name="_xlnm.Print_Area" localSheetId="1">'BUS Deemed Savings Table '!$A$1:$CQ$754</definedName>
    <definedName name="_xlnm.Print_Area" localSheetId="0">'Deemed Savings Tbl Revision Log'!$A$1:$G$39</definedName>
    <definedName name="_xlnm.Print_Area" localSheetId="10">'Demand Response Deemed Table'!$A$1:$R$9</definedName>
    <definedName name="_xlnm.Print_Area" localSheetId="3">'Efficient Products Deemed Table'!$A$1:$AU$278</definedName>
    <definedName name="_xlnm.Print_Area" localSheetId="4">'Energy Effic. Kits Deemed Table'!$A$1:$BR$232</definedName>
    <definedName name="_xlnm.Print_Area" localSheetId="7">'Home Energy Report Deemed Table'!$A$1:$AJ$20</definedName>
    <definedName name="_xlnm.Print_Area" localSheetId="5">'HVAC Deemed Table'!$A$1:$AK$2091</definedName>
    <definedName name="_xlnm.Print_Area" localSheetId="6">'Income Eligble Deemed Table'!$A$1:$BQ$1138</definedName>
    <definedName name="_xlnm.Print_Area" localSheetId="2">'Lighting Deemed Table'!$A$1:$BH$91</definedName>
    <definedName name="_xlnm.Print_Area" localSheetId="8">'MFMR Deemed Table '!$A$1:$BF$514</definedName>
    <definedName name="_xlnm.Print_Titles" localSheetId="9">'Appliance Recycle Deemed Table'!$1:$1</definedName>
    <definedName name="_xlnm.Print_Titles" localSheetId="1">'BUS Deemed Savings Table '!$3:$5</definedName>
    <definedName name="_xlnm.Print_Titles" localSheetId="10">'Demand Response Deemed Table'!$1:$1</definedName>
    <definedName name="_xlnm.Print_Titles" localSheetId="3">'Efficient Products Deemed Table'!$1:$1</definedName>
    <definedName name="_xlnm.Print_Titles" localSheetId="4">'Energy Effic. Kits Deemed Table'!$1:$1</definedName>
    <definedName name="_xlnm.Print_Titles" localSheetId="7">'Home Energy Report Deemed Table'!$1:$1</definedName>
    <definedName name="_xlnm.Print_Titles" localSheetId="5">'HVAC Deemed Table'!$1:$1</definedName>
    <definedName name="_xlnm.Print_Titles" localSheetId="6">'Income Eligble Deemed Table'!$1:$1</definedName>
    <definedName name="_xlnm.Print_Titles" localSheetId="2">'Lighting Deemed Table'!$1:$1</definedName>
    <definedName name="_xlnm.Print_Titles" localSheetId="8">'MFMR Deemed Table '!$1:$1</definedName>
    <definedName name="PusePer" localSheetId="0">#REF!</definedName>
    <definedName name="PusePer" localSheetId="10">#REF!</definedName>
    <definedName name="PusePer">#REF!</definedName>
    <definedName name="qout" localSheetId="0">#REF!</definedName>
    <definedName name="qout" localSheetId="10">#REF!</definedName>
    <definedName name="qout">#REF!</definedName>
    <definedName name="Rair" localSheetId="0">#REF!</definedName>
    <definedName name="Rair" localSheetId="10">#REF!</definedName>
    <definedName name="Rair">#REF!</definedName>
    <definedName name="Ratio">[9]Inputs!$C$28</definedName>
    <definedName name="Rduct" localSheetId="0">#REF!</definedName>
    <definedName name="Rduct" localSheetId="10">#REF!</definedName>
    <definedName name="Rduct">#REF!</definedName>
    <definedName name="rduct_rr">'[10]Bob Results'!$AT$68</definedName>
    <definedName name="RE" localSheetId="0">#REF!</definedName>
    <definedName name="RE" localSheetId="10">#REF!</definedName>
    <definedName name="RE">#REF!</definedName>
    <definedName name="REbase" localSheetId="0">#REF!</definedName>
    <definedName name="REbase" localSheetId="10">#REF!</definedName>
    <definedName name="REbase">#REF!</definedName>
    <definedName name="RESPCT" localSheetId="0">#REF!</definedName>
    <definedName name="RESPCT" localSheetId="10">#REF!</definedName>
    <definedName name="RESPCT">#REF!</definedName>
    <definedName name="Rexist" localSheetId="0">#REF!</definedName>
    <definedName name="Rexist" localSheetId="10">#REF!</definedName>
    <definedName name="Rexist">#REF!</definedName>
    <definedName name="Rnew" localSheetId="0">#REF!</definedName>
    <definedName name="Rnew" localSheetId="10">#REF!</definedName>
    <definedName name="Rnew">#REF!</definedName>
    <definedName name="Rwrap" localSheetId="0">#REF!</definedName>
    <definedName name="Rwrap" localSheetId="10">#REF!</definedName>
    <definedName name="Rwrap">#REF!</definedName>
    <definedName name="SEER" localSheetId="0">#REF!</definedName>
    <definedName name="SEER" localSheetId="10">#REF!</definedName>
    <definedName name="SEER">#REF!</definedName>
    <definedName name="Set_Cell" localSheetId="0">#REF!</definedName>
    <definedName name="Set_Cell" localSheetId="10">#REF!</definedName>
    <definedName name="Set_Cell">#REF!</definedName>
    <definedName name="SHCp" localSheetId="0">#REF!</definedName>
    <definedName name="SHCp" localSheetId="10">#REF!</definedName>
    <definedName name="SHCp">#REF!</definedName>
    <definedName name="SHdays" localSheetId="0">#REF!</definedName>
    <definedName name="SHdays" localSheetId="10">#REF!</definedName>
    <definedName name="SHdays">#REF!</definedName>
    <definedName name="SHDen" localSheetId="0">#REF!</definedName>
    <definedName name="SHDen" localSheetId="10">#REF!</definedName>
    <definedName name="SHDen">#REF!</definedName>
    <definedName name="Showerheads" localSheetId="0">#REF!</definedName>
    <definedName name="Showerheads" localSheetId="10">#REF!</definedName>
    <definedName name="Showerheads">#REF!</definedName>
    <definedName name="SHRE" localSheetId="0">#REF!</definedName>
    <definedName name="SHRE" localSheetId="10">#REF!</definedName>
    <definedName name="SHRE">#REF!</definedName>
    <definedName name="SHtime" localSheetId="0">#REF!</definedName>
    <definedName name="SHtime" localSheetId="10">#REF!</definedName>
    <definedName name="SHtime">#REF!</definedName>
    <definedName name="SHTin" localSheetId="0">#REF!</definedName>
    <definedName name="SHTin" localSheetId="10">#REF!</definedName>
    <definedName name="SHTin">#REF!</definedName>
    <definedName name="smd_fr">#REF!</definedName>
    <definedName name="SMD_ISR">#REF!</definedName>
    <definedName name="SMD_LKG">#REF!</definedName>
    <definedName name="smd_me">#REF!</definedName>
    <definedName name="smd_ntg">#REF!</definedName>
    <definedName name="smd_so">#REF!</definedName>
    <definedName name="solver_eng" localSheetId="1" hidden="1">1</definedName>
    <definedName name="solver_neg" localSheetId="1" hidden="1">1</definedName>
    <definedName name="solver_num" localSheetId="1" hidden="1">0</definedName>
    <definedName name="solver_opt" localSheetId="1" hidden="1">'BUS Deemed Savings Table '!$F$379</definedName>
    <definedName name="solver_typ" localSheetId="1" hidden="1">3</definedName>
    <definedName name="solver_val" localSheetId="1" hidden="1">411</definedName>
    <definedName name="solver_ver" localSheetId="1" hidden="1">3</definedName>
    <definedName name="Tamb" localSheetId="0">#REF!</definedName>
    <definedName name="Tamb" localSheetId="10">#REF!</definedName>
    <definedName name="Tamb">#REF!</definedName>
    <definedName name="TFauc" localSheetId="0">#REF!</definedName>
    <definedName name="TFauc" localSheetId="10">#REF!</definedName>
    <definedName name="TFauc">#REF!</definedName>
    <definedName name="Tin" localSheetId="0">#REF!</definedName>
    <definedName name="Tin" localSheetId="10">#REF!</definedName>
    <definedName name="Tin">#REF!</definedName>
    <definedName name="Tm">[9]Inputs!$C$23</definedName>
    <definedName name="Ts">[9]Inputs!$C$24</definedName>
    <definedName name="Tshower" localSheetId="0">#REF!</definedName>
    <definedName name="Tshower" localSheetId="10">#REF!</definedName>
    <definedName name="Tshower">#REF!</definedName>
    <definedName name="TTank" localSheetId="0">#REF!</definedName>
    <definedName name="TTank" localSheetId="10">#REF!</definedName>
    <definedName name="TTank">#REF!</definedName>
    <definedName name="TuneEFLHcool" localSheetId="0">#REF!</definedName>
    <definedName name="TuneEFLHcool" localSheetId="10">#REF!</definedName>
    <definedName name="TuneEFLHcool">#REF!</definedName>
    <definedName name="UABase" localSheetId="0">#REF!</definedName>
    <definedName name="UABase" localSheetId="10">#REF!</definedName>
    <definedName name="UABase">#REF!</definedName>
    <definedName name="ubase" localSheetId="0">#REF!</definedName>
    <definedName name="ubase" localSheetId="10">#REF!</definedName>
    <definedName name="ubase">#REF!</definedName>
    <definedName name="ues_nres">'[3]Data Summary'!#REF!</definedName>
    <definedName name="ues_res">'[3]Data Summary'!#REF!</definedName>
    <definedName name="UnitTons" localSheetId="0">#REF!</definedName>
    <definedName name="UnitTons" localSheetId="10">#REF!</definedName>
    <definedName name="UnitTons">#REF!</definedName>
    <definedName name="usage" localSheetId="0">#REF!</definedName>
    <definedName name="usage" localSheetId="10">#REF!</definedName>
    <definedName name="usage">#REF!</definedName>
    <definedName name="Va" localSheetId="0">#REF!</definedName>
    <definedName name="Va" localSheetId="10">#REF!</definedName>
    <definedName name="Va">#REF!</definedName>
    <definedName name="Vs" localSheetId="0">#REF!</definedName>
    <definedName name="Vs" localSheetId="10">#REF!</definedName>
    <definedName name="Vs">#REF!</definedName>
    <definedName name="WB_10.5W" localSheetId="0">#REF!</definedName>
    <definedName name="WB_10.5W" localSheetId="10">#REF!</definedName>
    <definedName name="WB_10.5W">#REF!</definedName>
    <definedName name="WB_10W" localSheetId="0">#REF!</definedName>
    <definedName name="WB_10W" localSheetId="10">#REF!</definedName>
    <definedName name="WB_10W">#REF!</definedName>
    <definedName name="WB_12W" localSheetId="0">#REF!</definedName>
    <definedName name="WB_12W" localSheetId="10">#REF!</definedName>
    <definedName name="WB_12W">#REF!</definedName>
    <definedName name="WB_15W" localSheetId="0">#REF!</definedName>
    <definedName name="WB_15W" localSheetId="10">#REF!</definedName>
    <definedName name="WB_15W">#REF!</definedName>
    <definedName name="WB_15WFlood" localSheetId="0">#REF!</definedName>
    <definedName name="WB_15WFlood" localSheetId="10">#REF!</definedName>
    <definedName name="WB_15WFlood">#REF!</definedName>
    <definedName name="WB_18WFlood" localSheetId="0">#REF!</definedName>
    <definedName name="WB_18WFlood" localSheetId="10">#REF!</definedName>
    <definedName name="WB_18WFlood">#REF!</definedName>
    <definedName name="WB_20W" localSheetId="0">#REF!</definedName>
    <definedName name="WB_20W" localSheetId="10">#REF!</definedName>
    <definedName name="WB_20W">#REF!</definedName>
    <definedName name="WB_4W" localSheetId="0">#REF!</definedName>
    <definedName name="WB_4W" localSheetId="10">#REF!</definedName>
    <definedName name="WB_4W">#REF!</definedName>
    <definedName name="WB_8W" localSheetId="0">#REF!</definedName>
    <definedName name="WB_8W" localSheetId="10">#REF!</definedName>
    <definedName name="WB_8W">#REF!</definedName>
    <definedName name="Wcfl13" localSheetId="0">#REF!</definedName>
    <definedName name="Wcfl13" localSheetId="10">#REF!</definedName>
    <definedName name="Wcfl13">#REF!</definedName>
    <definedName name="Wcfl18" localSheetId="0">#REF!</definedName>
    <definedName name="Wcfl18" localSheetId="10">#REF!</definedName>
    <definedName name="Wcfl18">#REF!</definedName>
    <definedName name="Wcfl23" localSheetId="0">#REF!</definedName>
    <definedName name="Wcfl23" localSheetId="10">#REF!</definedName>
    <definedName name="Wcfl23">#REF!</definedName>
    <definedName name="WE_10.5W" localSheetId="0">#REF!</definedName>
    <definedName name="WE_10.5W" localSheetId="10">#REF!</definedName>
    <definedName name="WE_10.5W">#REF!</definedName>
    <definedName name="WE_10W" localSheetId="0">#REF!</definedName>
    <definedName name="WE_10W" localSheetId="10">#REF!</definedName>
    <definedName name="WE_10W">#REF!</definedName>
    <definedName name="WE_12W" localSheetId="0">#REF!</definedName>
    <definedName name="WE_12W" localSheetId="10">#REF!</definedName>
    <definedName name="WE_12W">#REF!</definedName>
    <definedName name="WE_15W" localSheetId="0">#REF!</definedName>
    <definedName name="WE_15W" localSheetId="10">#REF!</definedName>
    <definedName name="WE_15W">#REF!</definedName>
    <definedName name="WE_15WFlood" localSheetId="0">#REF!</definedName>
    <definedName name="WE_15WFlood" localSheetId="10">#REF!</definedName>
    <definedName name="WE_15WFlood">#REF!</definedName>
    <definedName name="WE_18WFlood" localSheetId="0">#REF!</definedName>
    <definedName name="WE_18WFlood" localSheetId="10">#REF!</definedName>
    <definedName name="WE_18WFlood">#REF!</definedName>
    <definedName name="WE_20W" localSheetId="0">#REF!</definedName>
    <definedName name="WE_20W" localSheetId="10">#REF!</definedName>
    <definedName name="WE_20W">#REF!</definedName>
    <definedName name="WE_4W" localSheetId="0">#REF!</definedName>
    <definedName name="WE_4W" localSheetId="10">#REF!</definedName>
    <definedName name="WE_4W">#REF!</definedName>
    <definedName name="WE_8W" localSheetId="0">#REF!</definedName>
    <definedName name="WE_8W" localSheetId="10">#REF!</definedName>
    <definedName name="WE_8W">#REF!</definedName>
    <definedName name="WHC" localSheetId="0">#REF!</definedName>
    <definedName name="WHC" localSheetId="10">#REF!</definedName>
    <definedName name="WHC">#REF!</definedName>
    <definedName name="WHF_Nres">'[6]Input Values'!$C$34</definedName>
    <definedName name="WHF_Res">'[6]Input Values'!$C$33</definedName>
    <definedName name="WHFNRES" localSheetId="0">#REF!</definedName>
    <definedName name="WHFNRES" localSheetId="10">#REF!</definedName>
    <definedName name="WHFNRES">#REF!</definedName>
    <definedName name="WHFRES" localSheetId="0">#REF!</definedName>
    <definedName name="WHFRES" localSheetId="10">#REF!</definedName>
    <definedName name="WHFRES">#REF!</definedName>
    <definedName name="WHFRES_Coupon">#REF!</definedName>
    <definedName name="WHFRES_Markdown">#REF!</definedName>
    <definedName name="WHFRES_SMD">#REF!</definedName>
    <definedName name="Winc100" localSheetId="0">#REF!</definedName>
    <definedName name="Winc100" localSheetId="10">#REF!</definedName>
    <definedName name="Winc100">#REF!</definedName>
    <definedName name="Winc60" localSheetId="0">#REF!</definedName>
    <definedName name="Winc60" localSheetId="10">#REF!</definedName>
    <definedName name="Winc60">#REF!</definedName>
    <definedName name="Winc75" localSheetId="0">#REF!</definedName>
    <definedName name="Winc75" localSheetId="10">#REF!</definedName>
    <definedName name="Winc75">#REF!</definedName>
  </definedNames>
  <calcPr calcId="162913"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9" l="1"/>
  <c r="H190" i="5"/>
  <c r="H188" i="5"/>
  <c r="F191" i="5"/>
  <c r="F190" i="5"/>
  <c r="F188" i="5"/>
  <c r="H202" i="5"/>
  <c r="H203" i="5"/>
  <c r="F199" i="4"/>
  <c r="R724" i="6"/>
  <c r="R725" i="6" s="1"/>
  <c r="F722" i="6"/>
  <c r="F146" i="5"/>
  <c r="I146" i="5"/>
  <c r="I145" i="5"/>
  <c r="F145" i="5" s="1"/>
  <c r="AS154" i="5"/>
  <c r="AR154" i="5"/>
  <c r="AQ154" i="5"/>
  <c r="AP154" i="5"/>
  <c r="AO154" i="5"/>
  <c r="AN154" i="5"/>
  <c r="AM154" i="5"/>
  <c r="AL154" i="5"/>
  <c r="AK154" i="5"/>
  <c r="AJ154" i="5"/>
  <c r="AI154" i="5"/>
  <c r="V146" i="5"/>
  <c r="L146" i="5"/>
  <c r="K146" i="5"/>
  <c r="H146" i="5"/>
  <c r="F63" i="10"/>
  <c r="J725" i="6" l="1"/>
  <c r="J726" i="6" s="1"/>
  <c r="J727" i="6" s="1"/>
  <c r="J728" i="6" s="1"/>
  <c r="J729" i="6"/>
  <c r="F684" i="6"/>
  <c r="J146" i="5"/>
  <c r="X31" i="7" l="1"/>
  <c r="X30" i="7"/>
  <c r="X29" i="7"/>
  <c r="X28" i="7"/>
  <c r="F41" i="7"/>
  <c r="F40" i="7"/>
  <c r="F39" i="7"/>
  <c r="F38" i="7"/>
  <c r="F37" i="7"/>
  <c r="F36" i="7"/>
  <c r="F35" i="7"/>
  <c r="F34" i="7"/>
  <c r="D34" i="7"/>
  <c r="D33" i="7"/>
  <c r="O724" i="6"/>
  <c r="O725" i="6" s="1"/>
  <c r="N724" i="6"/>
  <c r="N725" i="6" s="1"/>
  <c r="F683" i="6"/>
  <c r="M724" i="6"/>
  <c r="F251" i="4"/>
  <c r="M725" i="6" l="1"/>
  <c r="F104" i="4" l="1"/>
  <c r="F106" i="4"/>
  <c r="F105" i="4"/>
  <c r="F103" i="4"/>
  <c r="F102" i="4"/>
  <c r="V9" i="11" l="1"/>
  <c r="AG8" i="11"/>
  <c r="AF8" i="11"/>
  <c r="AE8" i="11"/>
  <c r="AD8" i="11"/>
  <c r="AC8" i="11"/>
  <c r="AB8" i="11"/>
  <c r="AA8" i="11"/>
  <c r="Z8" i="11"/>
  <c r="Y8" i="11"/>
  <c r="X8" i="11"/>
  <c r="W8" i="11"/>
  <c r="V7" i="11"/>
  <c r="V4" i="11"/>
  <c r="V63" i="10"/>
  <c r="K63" i="10"/>
  <c r="J63" i="10"/>
  <c r="H63" i="10"/>
  <c r="I63" i="10" s="1"/>
  <c r="V60" i="10"/>
  <c r="V57" i="10"/>
  <c r="V56" i="10"/>
  <c r="V55" i="10"/>
  <c r="V54" i="10"/>
  <c r="V53" i="10"/>
  <c r="V52" i="10"/>
  <c r="AG51" i="10"/>
  <c r="AF51" i="10"/>
  <c r="AE51" i="10"/>
  <c r="AD51" i="10"/>
  <c r="AC51" i="10"/>
  <c r="AB51" i="10"/>
  <c r="AA51" i="10"/>
  <c r="Z51" i="10"/>
  <c r="Y51" i="10"/>
  <c r="X51" i="10"/>
  <c r="W51" i="10"/>
  <c r="X40" i="10"/>
  <c r="W40" i="10"/>
  <c r="K40" i="10"/>
  <c r="H40" i="10"/>
  <c r="F40" i="10"/>
  <c r="X39" i="10"/>
  <c r="W39" i="10"/>
  <c r="V39" i="10"/>
  <c r="V40" i="10" s="1"/>
  <c r="K39" i="10"/>
  <c r="H39" i="10"/>
  <c r="F39" i="10"/>
  <c r="AG38" i="10"/>
  <c r="AF38" i="10"/>
  <c r="AE38" i="10"/>
  <c r="AD38" i="10"/>
  <c r="AC38" i="10"/>
  <c r="AB38" i="10"/>
  <c r="AA38" i="10"/>
  <c r="Z38" i="10"/>
  <c r="Y38" i="10"/>
  <c r="X38" i="10"/>
  <c r="W38" i="10"/>
  <c r="V36" i="10"/>
  <c r="V32" i="10"/>
  <c r="V31" i="10"/>
  <c r="AG30" i="10"/>
  <c r="AF30" i="10"/>
  <c r="AE30" i="10"/>
  <c r="AD30" i="10"/>
  <c r="AC30" i="10"/>
  <c r="AB30" i="10"/>
  <c r="AA30" i="10"/>
  <c r="Z30" i="10"/>
  <c r="Y30" i="10"/>
  <c r="X30" i="10"/>
  <c r="W30" i="10"/>
  <c r="X24" i="10"/>
  <c r="W24" i="10"/>
  <c r="V24" i="10"/>
  <c r="H24" i="10"/>
  <c r="I24" i="10" s="1"/>
  <c r="F24" i="10"/>
  <c r="AG23" i="10"/>
  <c r="AF23" i="10"/>
  <c r="AE23" i="10"/>
  <c r="AD23" i="10"/>
  <c r="AC23" i="10"/>
  <c r="AB23" i="10"/>
  <c r="AA23" i="10"/>
  <c r="Z23" i="10"/>
  <c r="Y23" i="10"/>
  <c r="X23" i="10"/>
  <c r="W23" i="10"/>
  <c r="V21" i="10"/>
  <c r="V16" i="10"/>
  <c r="V15" i="10"/>
  <c r="AG14" i="10"/>
  <c r="AF14" i="10"/>
  <c r="AE14" i="10"/>
  <c r="AD14" i="10"/>
  <c r="AC14" i="10"/>
  <c r="AB14" i="10"/>
  <c r="AA14" i="10"/>
  <c r="Z14" i="10"/>
  <c r="Y14" i="10"/>
  <c r="X14" i="10"/>
  <c r="W14" i="10"/>
  <c r="H8" i="10"/>
  <c r="I8" i="10" s="1"/>
  <c r="X7" i="10"/>
  <c r="W7" i="10"/>
  <c r="V7" i="10"/>
  <c r="V8" i="10" s="1"/>
  <c r="H7" i="10"/>
  <c r="F7" i="10"/>
  <c r="V4" i="10"/>
  <c r="V507" i="9"/>
  <c r="V506" i="9"/>
  <c r="V505" i="9"/>
  <c r="V504" i="9"/>
  <c r="V503" i="9"/>
  <c r="V502" i="9"/>
  <c r="V501" i="9"/>
  <c r="F501" i="9"/>
  <c r="V500" i="9"/>
  <c r="F500" i="9"/>
  <c r="V499" i="9"/>
  <c r="F499" i="9"/>
  <c r="V498" i="9"/>
  <c r="F498" i="9"/>
  <c r="V497" i="9"/>
  <c r="F497" i="9"/>
  <c r="V496" i="9"/>
  <c r="F496" i="9"/>
  <c r="V495" i="9"/>
  <c r="V494" i="9"/>
  <c r="V493" i="9"/>
  <c r="AG492" i="9"/>
  <c r="AF492" i="9"/>
  <c r="AE492" i="9"/>
  <c r="AD492" i="9"/>
  <c r="AC492" i="9"/>
  <c r="AB492" i="9"/>
  <c r="AA492" i="9"/>
  <c r="Z492" i="9"/>
  <c r="Y492" i="9"/>
  <c r="X492" i="9"/>
  <c r="W492" i="9"/>
  <c r="J487" i="9"/>
  <c r="H487" i="9"/>
  <c r="V486" i="9"/>
  <c r="V487" i="9" s="1"/>
  <c r="K486" i="9"/>
  <c r="J486" i="9"/>
  <c r="H486" i="9"/>
  <c r="AG485" i="9"/>
  <c r="AF485" i="9"/>
  <c r="AE485" i="9"/>
  <c r="AD485" i="9"/>
  <c r="AC485" i="9"/>
  <c r="AB485" i="9"/>
  <c r="AA485" i="9"/>
  <c r="Z485" i="9"/>
  <c r="Y485" i="9"/>
  <c r="X485" i="9"/>
  <c r="W485" i="9"/>
  <c r="V483" i="9"/>
  <c r="V478" i="9"/>
  <c r="V477" i="9"/>
  <c r="V476" i="9"/>
  <c r="V475" i="9"/>
  <c r="V474" i="9"/>
  <c r="V473" i="9"/>
  <c r="V472" i="9"/>
  <c r="V471" i="9"/>
  <c r="V470" i="9"/>
  <c r="V469" i="9"/>
  <c r="V468" i="9"/>
  <c r="V467" i="9"/>
  <c r="AG466" i="9"/>
  <c r="AF466" i="9"/>
  <c r="AE466" i="9"/>
  <c r="AD466" i="9"/>
  <c r="AC466" i="9"/>
  <c r="AB466" i="9"/>
  <c r="AA466" i="9"/>
  <c r="Z466" i="9"/>
  <c r="Y466" i="9"/>
  <c r="X466" i="9"/>
  <c r="W466" i="9"/>
  <c r="V450" i="9"/>
  <c r="N450" i="9"/>
  <c r="M450" i="9"/>
  <c r="K450" i="9"/>
  <c r="J450" i="9"/>
  <c r="I450" i="9"/>
  <c r="H450" i="9"/>
  <c r="AG449" i="9"/>
  <c r="AF449" i="9"/>
  <c r="AE449" i="9"/>
  <c r="AD449" i="9"/>
  <c r="AC449" i="9"/>
  <c r="AB449" i="9"/>
  <c r="AA449" i="9"/>
  <c r="Z449" i="9"/>
  <c r="Y449" i="9"/>
  <c r="X449" i="9"/>
  <c r="W449" i="9"/>
  <c r="V447" i="9"/>
  <c r="D444" i="9"/>
  <c r="V444" i="9" s="1"/>
  <c r="D443" i="9"/>
  <c r="V443" i="9" s="1"/>
  <c r="AJ441" i="9"/>
  <c r="AI441" i="9"/>
  <c r="X441" i="9"/>
  <c r="W441" i="9"/>
  <c r="G441" i="9"/>
  <c r="F441" i="9"/>
  <c r="E441" i="9"/>
  <c r="D441" i="9"/>
  <c r="V441" i="9" s="1"/>
  <c r="AJ440" i="9"/>
  <c r="AI440" i="9"/>
  <c r="X440" i="9"/>
  <c r="W440" i="9"/>
  <c r="G440" i="9"/>
  <c r="F440" i="9"/>
  <c r="E440" i="9"/>
  <c r="D440" i="9"/>
  <c r="V440" i="9" s="1"/>
  <c r="AJ439" i="9"/>
  <c r="AI439" i="9"/>
  <c r="X439" i="9"/>
  <c r="W439" i="9"/>
  <c r="G439" i="9"/>
  <c r="F439" i="9"/>
  <c r="E439" i="9"/>
  <c r="D439" i="9"/>
  <c r="V439" i="9" s="1"/>
  <c r="AJ438" i="9"/>
  <c r="AI438" i="9"/>
  <c r="X438" i="9"/>
  <c r="W438" i="9"/>
  <c r="G438" i="9"/>
  <c r="F438" i="9"/>
  <c r="E438" i="9"/>
  <c r="D438" i="9"/>
  <c r="V438" i="9" s="1"/>
  <c r="AJ437" i="9"/>
  <c r="AI437" i="9"/>
  <c r="X437" i="9"/>
  <c r="W437" i="9"/>
  <c r="G437" i="9"/>
  <c r="F437" i="9"/>
  <c r="E437" i="9"/>
  <c r="D437" i="9"/>
  <c r="V437" i="9" s="1"/>
  <c r="AJ436" i="9"/>
  <c r="AI436" i="9"/>
  <c r="X436" i="9"/>
  <c r="W436" i="9"/>
  <c r="G436" i="9"/>
  <c r="F436" i="9"/>
  <c r="E436" i="9"/>
  <c r="D436" i="9"/>
  <c r="V436" i="9" s="1"/>
  <c r="AJ435" i="9"/>
  <c r="AI435" i="9"/>
  <c r="X435" i="9"/>
  <c r="W435" i="9"/>
  <c r="G435" i="9"/>
  <c r="F435" i="9"/>
  <c r="E435" i="9"/>
  <c r="D435" i="9"/>
  <c r="V435" i="9" s="1"/>
  <c r="AJ434" i="9"/>
  <c r="AI434" i="9"/>
  <c r="X434" i="9"/>
  <c r="W434" i="9"/>
  <c r="G434" i="9"/>
  <c r="F434" i="9"/>
  <c r="E434" i="9"/>
  <c r="D434" i="9"/>
  <c r="V434" i="9" s="1"/>
  <c r="AS432" i="9"/>
  <c r="AR432" i="9"/>
  <c r="AQ432" i="9"/>
  <c r="AP432" i="9"/>
  <c r="AO432" i="9"/>
  <c r="AN432" i="9"/>
  <c r="AM432" i="9"/>
  <c r="AL432" i="9"/>
  <c r="AK432" i="9"/>
  <c r="AJ432" i="9"/>
  <c r="AG432" i="9"/>
  <c r="AF432" i="9"/>
  <c r="AE432" i="9"/>
  <c r="AD432" i="9"/>
  <c r="AC432" i="9"/>
  <c r="AB432" i="9"/>
  <c r="AA432" i="9"/>
  <c r="Z432" i="9"/>
  <c r="Y432" i="9"/>
  <c r="X432" i="9"/>
  <c r="G432" i="9"/>
  <c r="F432" i="9"/>
  <c r="E432" i="9"/>
  <c r="D432" i="9"/>
  <c r="X426" i="9"/>
  <c r="W426" i="9"/>
  <c r="L426" i="9"/>
  <c r="K426" i="9"/>
  <c r="J426" i="9"/>
  <c r="G426" i="9"/>
  <c r="E426" i="9"/>
  <c r="X425" i="9"/>
  <c r="W425" i="9"/>
  <c r="L425" i="9"/>
  <c r="K425" i="9"/>
  <c r="J425" i="9"/>
  <c r="G425" i="9"/>
  <c r="E425" i="9"/>
  <c r="X424" i="9"/>
  <c r="W424" i="9"/>
  <c r="L424" i="9"/>
  <c r="K424" i="9"/>
  <c r="J424" i="9"/>
  <c r="G424" i="9"/>
  <c r="E424" i="9"/>
  <c r="X423" i="9"/>
  <c r="W423" i="9"/>
  <c r="L423" i="9"/>
  <c r="K423" i="9"/>
  <c r="J423" i="9"/>
  <c r="G423" i="9"/>
  <c r="E423" i="9"/>
  <c r="X422" i="9"/>
  <c r="W422" i="9"/>
  <c r="L422" i="9"/>
  <c r="K422" i="9"/>
  <c r="J422" i="9"/>
  <c r="G422" i="9"/>
  <c r="E422" i="9"/>
  <c r="X421" i="9"/>
  <c r="W421" i="9"/>
  <c r="L421" i="9"/>
  <c r="K421" i="9"/>
  <c r="J421" i="9"/>
  <c r="G421" i="9"/>
  <c r="E421" i="9"/>
  <c r="X420" i="9"/>
  <c r="W420" i="9"/>
  <c r="L420" i="9"/>
  <c r="K420" i="9"/>
  <c r="J420" i="9"/>
  <c r="G420" i="9"/>
  <c r="E420" i="9"/>
  <c r="X419" i="9"/>
  <c r="W419" i="9"/>
  <c r="L419" i="9"/>
  <c r="K419" i="9"/>
  <c r="J419" i="9"/>
  <c r="G419" i="9"/>
  <c r="E419" i="9"/>
  <c r="X418" i="9"/>
  <c r="W418" i="9"/>
  <c r="V418" i="9"/>
  <c r="V419" i="9" s="1"/>
  <c r="V420" i="9" s="1"/>
  <c r="V421" i="9" s="1"/>
  <c r="V422" i="9" s="1"/>
  <c r="V423" i="9" s="1"/>
  <c r="V424" i="9" s="1"/>
  <c r="V425" i="9" s="1"/>
  <c r="V426" i="9" s="1"/>
  <c r="K418" i="9"/>
  <c r="J418" i="9"/>
  <c r="G418" i="9"/>
  <c r="E418" i="9"/>
  <c r="AG417" i="9"/>
  <c r="AF417" i="9"/>
  <c r="AE417" i="9"/>
  <c r="AD417" i="9"/>
  <c r="AC417" i="9"/>
  <c r="AB417" i="9"/>
  <c r="AA417" i="9"/>
  <c r="Z417" i="9"/>
  <c r="Y417" i="9"/>
  <c r="X417" i="9"/>
  <c r="W417" i="9"/>
  <c r="V415" i="9"/>
  <c r="AV407" i="9"/>
  <c r="AU407" i="9"/>
  <c r="I407" i="9"/>
  <c r="H407" i="9"/>
  <c r="F396" i="9" s="1"/>
  <c r="AU405" i="9"/>
  <c r="AV405" i="9" s="1"/>
  <c r="AW405" i="9" s="1"/>
  <c r="AX405" i="9" s="1"/>
  <c r="AY405" i="9" s="1"/>
  <c r="AZ405" i="9" s="1"/>
  <c r="BA405" i="9" s="1"/>
  <c r="BB405" i="9" s="1"/>
  <c r="BC405" i="9" s="1"/>
  <c r="BD405" i="9" s="1"/>
  <c r="BE405" i="9" s="1"/>
  <c r="AI405" i="9"/>
  <c r="AJ405" i="9" s="1"/>
  <c r="AK405" i="9" s="1"/>
  <c r="AL405" i="9" s="1"/>
  <c r="AM405" i="9" s="1"/>
  <c r="AN405" i="9" s="1"/>
  <c r="AO405" i="9" s="1"/>
  <c r="AP405" i="9" s="1"/>
  <c r="AQ405" i="9" s="1"/>
  <c r="AR405" i="9" s="1"/>
  <c r="AS405" i="9" s="1"/>
  <c r="BE404" i="9"/>
  <c r="BD404" i="9"/>
  <c r="BC404" i="9"/>
  <c r="BB404" i="9"/>
  <c r="BA404" i="9"/>
  <c r="AZ404" i="9"/>
  <c r="AY404" i="9"/>
  <c r="AX404" i="9"/>
  <c r="AW404" i="9"/>
  <c r="AV404" i="9"/>
  <c r="AU404" i="9"/>
  <c r="AS404" i="9"/>
  <c r="AR404" i="9"/>
  <c r="AQ404" i="9"/>
  <c r="AP404" i="9"/>
  <c r="AO404" i="9"/>
  <c r="AN404" i="9"/>
  <c r="AM404" i="9"/>
  <c r="AL404" i="9"/>
  <c r="AK404" i="9"/>
  <c r="AJ404" i="9"/>
  <c r="AI404" i="9"/>
  <c r="AG404" i="9"/>
  <c r="AF404" i="9"/>
  <c r="AE404" i="9"/>
  <c r="AD404" i="9"/>
  <c r="AC404" i="9"/>
  <c r="AB404" i="9"/>
  <c r="AA404" i="9"/>
  <c r="Z404" i="9"/>
  <c r="Y404" i="9"/>
  <c r="X404" i="9"/>
  <c r="W404" i="9"/>
  <c r="K397" i="9"/>
  <c r="J397" i="9"/>
  <c r="H397" i="9"/>
  <c r="F397" i="9"/>
  <c r="K396" i="9"/>
  <c r="J396" i="9"/>
  <c r="H396" i="9"/>
  <c r="K395" i="9"/>
  <c r="J395" i="9"/>
  <c r="H395" i="9"/>
  <c r="F395" i="9"/>
  <c r="K394" i="9"/>
  <c r="J394" i="9"/>
  <c r="H394" i="9"/>
  <c r="I394" i="9" s="1"/>
  <c r="F394" i="9"/>
  <c r="K393" i="9"/>
  <c r="J393" i="9"/>
  <c r="H393" i="9"/>
  <c r="F393" i="9"/>
  <c r="V392" i="9"/>
  <c r="V393" i="9" s="1"/>
  <c r="V394" i="9" s="1"/>
  <c r="V395" i="9" s="1"/>
  <c r="V396" i="9" s="1"/>
  <c r="V397" i="9" s="1"/>
  <c r="K392" i="9"/>
  <c r="J392" i="9"/>
  <c r="H392" i="9"/>
  <c r="F392" i="9"/>
  <c r="I392" i="9" s="1"/>
  <c r="AG391" i="9"/>
  <c r="AF391" i="9"/>
  <c r="AE391" i="9"/>
  <c r="AD391" i="9"/>
  <c r="AC391" i="9"/>
  <c r="AB391" i="9"/>
  <c r="AA391" i="9"/>
  <c r="Z391" i="9"/>
  <c r="Y391" i="9"/>
  <c r="X391" i="9"/>
  <c r="W391" i="9"/>
  <c r="V389" i="9"/>
  <c r="V383" i="9"/>
  <c r="V382" i="9"/>
  <c r="V381" i="9"/>
  <c r="V380" i="9"/>
  <c r="V379" i="9"/>
  <c r="V378" i="9"/>
  <c r="V377" i="9"/>
  <c r="V376" i="9"/>
  <c r="V375" i="9"/>
  <c r="V374" i="9"/>
  <c r="V373" i="9"/>
  <c r="V372" i="9"/>
  <c r="V371" i="9"/>
  <c r="V370" i="9"/>
  <c r="V369" i="9"/>
  <c r="V368" i="9"/>
  <c r="V367" i="9"/>
  <c r="AG366" i="9"/>
  <c r="AF366" i="9"/>
  <c r="AE366" i="9"/>
  <c r="AD366" i="9"/>
  <c r="AC366" i="9"/>
  <c r="AB366" i="9"/>
  <c r="AA366" i="9"/>
  <c r="Z366" i="9"/>
  <c r="Y366" i="9"/>
  <c r="X366" i="9"/>
  <c r="W366" i="9"/>
  <c r="V357" i="9"/>
  <c r="L357" i="9"/>
  <c r="K357" i="9"/>
  <c r="I357" i="9"/>
  <c r="F357" i="9" s="1"/>
  <c r="J357" i="9" s="1"/>
  <c r="H357" i="9"/>
  <c r="AG356" i="9"/>
  <c r="AF356" i="9"/>
  <c r="AE356" i="9"/>
  <c r="AD356" i="9"/>
  <c r="AC356" i="9"/>
  <c r="AB356" i="9"/>
  <c r="AA356" i="9"/>
  <c r="Z356" i="9"/>
  <c r="Y356" i="9"/>
  <c r="X356" i="9"/>
  <c r="W356" i="9"/>
  <c r="V354" i="9"/>
  <c r="V349" i="9"/>
  <c r="V348" i="9"/>
  <c r="V347" i="9"/>
  <c r="V346" i="9"/>
  <c r="V345" i="9"/>
  <c r="V344" i="9"/>
  <c r="V343" i="9"/>
  <c r="V342" i="9"/>
  <c r="V341" i="9"/>
  <c r="V340" i="9"/>
  <c r="V339" i="9"/>
  <c r="V338" i="9"/>
  <c r="V337" i="9"/>
  <c r="V336" i="9"/>
  <c r="V335" i="9"/>
  <c r="V334" i="9"/>
  <c r="V333" i="9"/>
  <c r="AG332" i="9"/>
  <c r="AF332" i="9"/>
  <c r="AE332" i="9"/>
  <c r="AD332" i="9"/>
  <c r="AC332" i="9"/>
  <c r="AB332" i="9"/>
  <c r="AA332" i="9"/>
  <c r="Z332" i="9"/>
  <c r="Y332" i="9"/>
  <c r="X332" i="9"/>
  <c r="W332" i="9"/>
  <c r="V323" i="9"/>
  <c r="L323" i="9"/>
  <c r="K323" i="9"/>
  <c r="I323" i="9"/>
  <c r="F323" i="9" s="1"/>
  <c r="H323" i="9"/>
  <c r="AG322" i="9"/>
  <c r="AF322" i="9"/>
  <c r="AE322" i="9"/>
  <c r="AD322" i="9"/>
  <c r="AC322" i="9"/>
  <c r="AB322" i="9"/>
  <c r="AA322" i="9"/>
  <c r="Z322" i="9"/>
  <c r="Y322" i="9"/>
  <c r="X322" i="9"/>
  <c r="W322" i="9"/>
  <c r="V320" i="9"/>
  <c r="V315" i="9"/>
  <c r="V314" i="9"/>
  <c r="V313" i="9"/>
  <c r="V312" i="9"/>
  <c r="V311" i="9"/>
  <c r="V310" i="9"/>
  <c r="V309" i="9"/>
  <c r="V308" i="9"/>
  <c r="V307" i="9"/>
  <c r="V306" i="9"/>
  <c r="V305" i="9"/>
  <c r="V304" i="9"/>
  <c r="V303" i="9"/>
  <c r="V302" i="9"/>
  <c r="V301" i="9"/>
  <c r="V300" i="9"/>
  <c r="V299" i="9"/>
  <c r="AG298" i="9"/>
  <c r="AF298" i="9"/>
  <c r="AE298" i="9"/>
  <c r="AD298" i="9"/>
  <c r="AC298" i="9"/>
  <c r="AB298" i="9"/>
  <c r="AA298" i="9"/>
  <c r="Z298" i="9"/>
  <c r="Y298" i="9"/>
  <c r="X298" i="9"/>
  <c r="W298" i="9"/>
  <c r="V288" i="9"/>
  <c r="L288" i="9"/>
  <c r="K288" i="9"/>
  <c r="I288" i="9"/>
  <c r="F288" i="9" s="1"/>
  <c r="H288" i="9"/>
  <c r="AG287" i="9"/>
  <c r="AF287" i="9"/>
  <c r="AE287" i="9"/>
  <c r="AD287" i="9"/>
  <c r="AC287" i="9"/>
  <c r="AB287" i="9"/>
  <c r="AA287" i="9"/>
  <c r="Z287" i="9"/>
  <c r="Y287" i="9"/>
  <c r="X287" i="9"/>
  <c r="W287" i="9"/>
  <c r="V285" i="9"/>
  <c r="V270" i="9"/>
  <c r="V269" i="9"/>
  <c r="V268" i="9"/>
  <c r="V267" i="9"/>
  <c r="X266" i="9"/>
  <c r="W266" i="9"/>
  <c r="V266" i="9"/>
  <c r="V265" i="9"/>
  <c r="X264" i="9"/>
  <c r="W264" i="9"/>
  <c r="V264" i="9"/>
  <c r="V263" i="9"/>
  <c r="V262" i="9"/>
  <c r="V261" i="9"/>
  <c r="V260" i="9"/>
  <c r="X259" i="9"/>
  <c r="W259" i="9"/>
  <c r="V259" i="9"/>
  <c r="E259" i="9"/>
  <c r="X258" i="9"/>
  <c r="W258" i="9"/>
  <c r="V258" i="9"/>
  <c r="E258" i="9"/>
  <c r="X257" i="9"/>
  <c r="W257" i="9"/>
  <c r="V257" i="9"/>
  <c r="E257" i="9"/>
  <c r="X256" i="9"/>
  <c r="W256" i="9"/>
  <c r="V256" i="9"/>
  <c r="G256" i="9"/>
  <c r="E256" i="9"/>
  <c r="X255" i="9"/>
  <c r="W255" i="9"/>
  <c r="V255" i="9"/>
  <c r="E255" i="9"/>
  <c r="X254" i="9"/>
  <c r="W254" i="9"/>
  <c r="V254" i="9"/>
  <c r="G254" i="9"/>
  <c r="E254" i="9"/>
  <c r="X253" i="9"/>
  <c r="W253" i="9"/>
  <c r="V253" i="9"/>
  <c r="E253" i="9"/>
  <c r="X252" i="9"/>
  <c r="W252" i="9"/>
  <c r="V252" i="9"/>
  <c r="G252" i="9"/>
  <c r="E252" i="9"/>
  <c r="V251" i="9"/>
  <c r="E251" i="9"/>
  <c r="X250" i="9"/>
  <c r="W250" i="9"/>
  <c r="V250" i="9"/>
  <c r="E250" i="9"/>
  <c r="V249" i="9"/>
  <c r="E249" i="9"/>
  <c r="V248" i="9"/>
  <c r="E248" i="9"/>
  <c r="V247" i="9"/>
  <c r="E247" i="9"/>
  <c r="X246" i="9"/>
  <c r="W246" i="9"/>
  <c r="V246" i="9"/>
  <c r="E246" i="9"/>
  <c r="X245" i="9"/>
  <c r="W245" i="9"/>
  <c r="V245" i="9"/>
  <c r="E245" i="9"/>
  <c r="X244" i="9"/>
  <c r="W244" i="9"/>
  <c r="V244" i="9"/>
  <c r="E244" i="9"/>
  <c r="X243" i="9"/>
  <c r="W243" i="9"/>
  <c r="V243" i="9"/>
  <c r="G243" i="9"/>
  <c r="E243" i="9"/>
  <c r="X242" i="9"/>
  <c r="W242" i="9"/>
  <c r="V242" i="9"/>
  <c r="E242" i="9"/>
  <c r="X241" i="9"/>
  <c r="W241" i="9"/>
  <c r="V241" i="9"/>
  <c r="G241" i="9"/>
  <c r="E241" i="9"/>
  <c r="X240" i="9"/>
  <c r="W240" i="9"/>
  <c r="V240" i="9"/>
  <c r="E240" i="9"/>
  <c r="X239" i="9"/>
  <c r="W239" i="9"/>
  <c r="V239" i="9"/>
  <c r="E239" i="9"/>
  <c r="V238" i="9"/>
  <c r="E238" i="9"/>
  <c r="X237" i="9"/>
  <c r="W237" i="9"/>
  <c r="V237" i="9"/>
  <c r="E237" i="9"/>
  <c r="V236" i="9"/>
  <c r="E236" i="9"/>
  <c r="V235" i="9"/>
  <c r="E235" i="9"/>
  <c r="AG234" i="9"/>
  <c r="AF234" i="9"/>
  <c r="AE234" i="9"/>
  <c r="AD234" i="9"/>
  <c r="AC234" i="9"/>
  <c r="AB234" i="9"/>
  <c r="AA234" i="9"/>
  <c r="Z234" i="9"/>
  <c r="Y234" i="9"/>
  <c r="X234" i="9"/>
  <c r="W234" i="9"/>
  <c r="O222" i="9"/>
  <c r="L222" i="9"/>
  <c r="K222" i="9"/>
  <c r="J222" i="9"/>
  <c r="H222" i="9"/>
  <c r="O221" i="9"/>
  <c r="L221" i="9"/>
  <c r="K221" i="9"/>
  <c r="J221" i="9"/>
  <c r="H221" i="9"/>
  <c r="O220" i="9"/>
  <c r="L220" i="9"/>
  <c r="K220" i="9"/>
  <c r="J220" i="9"/>
  <c r="H220" i="9"/>
  <c r="F220" i="9"/>
  <c r="M220" i="9" s="1"/>
  <c r="O219" i="9"/>
  <c r="L219" i="9"/>
  <c r="K219" i="9"/>
  <c r="F219" i="9" s="1"/>
  <c r="V220" i="9" s="1"/>
  <c r="J219" i="9"/>
  <c r="H219" i="9"/>
  <c r="O218" i="9"/>
  <c r="L218" i="9"/>
  <c r="K218" i="9"/>
  <c r="J218" i="9"/>
  <c r="H218" i="9"/>
  <c r="O217" i="9"/>
  <c r="L217" i="9"/>
  <c r="K217" i="9"/>
  <c r="F217" i="9" s="1"/>
  <c r="V218" i="9" s="1"/>
  <c r="J217" i="9"/>
  <c r="H217" i="9"/>
  <c r="O216" i="9"/>
  <c r="L216" i="9"/>
  <c r="K216" i="9"/>
  <c r="J216" i="9"/>
  <c r="H216" i="9"/>
  <c r="F216" i="9"/>
  <c r="O215" i="9"/>
  <c r="L215" i="9"/>
  <c r="K215" i="9"/>
  <c r="F215" i="9" s="1"/>
  <c r="V216" i="9" s="1"/>
  <c r="J215" i="9"/>
  <c r="H215" i="9"/>
  <c r="O214" i="9"/>
  <c r="L214" i="9"/>
  <c r="K214" i="9"/>
  <c r="J214" i="9"/>
  <c r="H214" i="9"/>
  <c r="O213" i="9"/>
  <c r="L213" i="9"/>
  <c r="K213" i="9"/>
  <c r="F213" i="9" s="1"/>
  <c r="V214" i="9" s="1"/>
  <c r="J213" i="9"/>
  <c r="H213" i="9"/>
  <c r="O212" i="9"/>
  <c r="L212" i="9"/>
  <c r="K212" i="9"/>
  <c r="J212" i="9"/>
  <c r="H212" i="9"/>
  <c r="M212" i="9" s="1"/>
  <c r="F212" i="9"/>
  <c r="V213" i="9" s="1"/>
  <c r="O211" i="9"/>
  <c r="L211" i="9"/>
  <c r="K211" i="9"/>
  <c r="F211" i="9" s="1"/>
  <c r="V212" i="9" s="1"/>
  <c r="J211" i="9"/>
  <c r="H211" i="9"/>
  <c r="V210" i="9"/>
  <c r="O210" i="9"/>
  <c r="L210" i="9"/>
  <c r="K210" i="9"/>
  <c r="J210" i="9"/>
  <c r="H210" i="9"/>
  <c r="AG209" i="9"/>
  <c r="AF209" i="9"/>
  <c r="AE209" i="9"/>
  <c r="AD209" i="9"/>
  <c r="AC209" i="9"/>
  <c r="AB209" i="9"/>
  <c r="AA209" i="9"/>
  <c r="Z209" i="9"/>
  <c r="Y209" i="9"/>
  <c r="X209" i="9"/>
  <c r="W209" i="9"/>
  <c r="V207" i="9"/>
  <c r="F204" i="9"/>
  <c r="F203" i="9"/>
  <c r="F202" i="9"/>
  <c r="F201" i="9"/>
  <c r="V200" i="9"/>
  <c r="V199" i="9"/>
  <c r="E199" i="9"/>
  <c r="Q198" i="9"/>
  <c r="V197" i="9"/>
  <c r="E197" i="9"/>
  <c r="V196" i="9"/>
  <c r="E196" i="9"/>
  <c r="V195" i="9"/>
  <c r="V194" i="9"/>
  <c r="E194" i="9"/>
  <c r="V193" i="9"/>
  <c r="E193" i="9"/>
  <c r="V192" i="9"/>
  <c r="R192" i="9"/>
  <c r="I203" i="9" s="1"/>
  <c r="E192" i="9"/>
  <c r="V190" i="9"/>
  <c r="AG189" i="9"/>
  <c r="AF189" i="9"/>
  <c r="AE189" i="9"/>
  <c r="AD189" i="9"/>
  <c r="AC189" i="9"/>
  <c r="AB189" i="9"/>
  <c r="AA189" i="9"/>
  <c r="Z189" i="9"/>
  <c r="Y189" i="9"/>
  <c r="X189" i="9"/>
  <c r="W189" i="9"/>
  <c r="N181" i="9"/>
  <c r="K181" i="9"/>
  <c r="J181" i="9"/>
  <c r="I181" i="9"/>
  <c r="H181" i="9"/>
  <c r="V180" i="9"/>
  <c r="V181" i="9" s="1"/>
  <c r="O180" i="9"/>
  <c r="N180" i="9"/>
  <c r="K180" i="9"/>
  <c r="J180" i="9"/>
  <c r="I180" i="9"/>
  <c r="H180" i="9"/>
  <c r="AG179" i="9"/>
  <c r="AF179" i="9"/>
  <c r="AE179" i="9"/>
  <c r="AD179" i="9"/>
  <c r="AC179" i="9"/>
  <c r="AB179" i="9"/>
  <c r="AA179" i="9"/>
  <c r="Z179" i="9"/>
  <c r="Y179" i="9"/>
  <c r="X179" i="9"/>
  <c r="W179" i="9"/>
  <c r="V174" i="9"/>
  <c r="W173" i="9"/>
  <c r="X173" i="9" s="1"/>
  <c r="V173" i="9"/>
  <c r="X172" i="9"/>
  <c r="W172" i="9"/>
  <c r="V172" i="9"/>
  <c r="V171" i="9"/>
  <c r="V170" i="9"/>
  <c r="V169" i="9"/>
  <c r="V168" i="9"/>
  <c r="V167" i="9"/>
  <c r="V166" i="9"/>
  <c r="V165" i="9"/>
  <c r="V164" i="9"/>
  <c r="AG163" i="9"/>
  <c r="AF163" i="9"/>
  <c r="AE163" i="9"/>
  <c r="AD163" i="9"/>
  <c r="AC163" i="9"/>
  <c r="AB163" i="9"/>
  <c r="AA163" i="9"/>
  <c r="Z163" i="9"/>
  <c r="Y163" i="9"/>
  <c r="X163" i="9"/>
  <c r="W163" i="9"/>
  <c r="V155" i="9"/>
  <c r="M155" i="9"/>
  <c r="L155" i="9"/>
  <c r="J155" i="9"/>
  <c r="I155" i="9"/>
  <c r="F155" i="9" s="1"/>
  <c r="H155" i="9"/>
  <c r="AG154" i="9"/>
  <c r="AF154" i="9"/>
  <c r="AE154" i="9"/>
  <c r="AD154" i="9"/>
  <c r="AC154" i="9"/>
  <c r="AB154" i="9"/>
  <c r="AA154" i="9"/>
  <c r="Z154" i="9"/>
  <c r="Y154" i="9"/>
  <c r="X154" i="9"/>
  <c r="W154" i="9"/>
  <c r="V152" i="9"/>
  <c r="V129" i="9"/>
  <c r="V119" i="9"/>
  <c r="V118" i="9"/>
  <c r="V117" i="9"/>
  <c r="V116" i="9"/>
  <c r="X115" i="9"/>
  <c r="W114" i="9"/>
  <c r="F114" i="9"/>
  <c r="F113" i="9"/>
  <c r="X111" i="9"/>
  <c r="W111" i="9"/>
  <c r="W110" i="9"/>
  <c r="F109" i="9"/>
  <c r="I38" i="9" s="1"/>
  <c r="X108" i="9"/>
  <c r="X107" i="9"/>
  <c r="W106" i="9"/>
  <c r="V106" i="9"/>
  <c r="V96" i="9"/>
  <c r="V95" i="9"/>
  <c r="V94" i="9"/>
  <c r="V93" i="9"/>
  <c r="X92" i="9"/>
  <c r="W92" i="9"/>
  <c r="W115" i="9" s="1"/>
  <c r="F92" i="9"/>
  <c r="X91" i="9"/>
  <c r="X114" i="9" s="1"/>
  <c r="W91" i="9"/>
  <c r="F91" i="9"/>
  <c r="X90" i="9"/>
  <c r="X113" i="9" s="1"/>
  <c r="W90" i="9"/>
  <c r="W113" i="9" s="1"/>
  <c r="F90" i="9"/>
  <c r="X89" i="9"/>
  <c r="X112" i="9" s="1"/>
  <c r="W89" i="9"/>
  <c r="W112" i="9" s="1"/>
  <c r="F89" i="9"/>
  <c r="F112" i="9" s="1"/>
  <c r="I41" i="9" s="1"/>
  <c r="F41" i="9" s="1"/>
  <c r="X88" i="9"/>
  <c r="W88" i="9"/>
  <c r="F88" i="9"/>
  <c r="X87" i="9"/>
  <c r="X110" i="9" s="1"/>
  <c r="W87" i="9"/>
  <c r="F87" i="9"/>
  <c r="X86" i="9"/>
  <c r="X109" i="9" s="1"/>
  <c r="W86" i="9"/>
  <c r="W109" i="9" s="1"/>
  <c r="F86" i="9"/>
  <c r="X85" i="9"/>
  <c r="W85" i="9"/>
  <c r="W108" i="9" s="1"/>
  <c r="F85" i="9"/>
  <c r="F108" i="9" s="1"/>
  <c r="I37" i="9" s="1"/>
  <c r="F37" i="9" s="1"/>
  <c r="X84" i="9"/>
  <c r="W84" i="9"/>
  <c r="W107" i="9" s="1"/>
  <c r="F84" i="9"/>
  <c r="X83" i="9"/>
  <c r="X106" i="9" s="1"/>
  <c r="W83" i="9"/>
  <c r="V83" i="9"/>
  <c r="F83" i="9"/>
  <c r="V73" i="9"/>
  <c r="V63" i="9"/>
  <c r="V53" i="9"/>
  <c r="AG52" i="9"/>
  <c r="AF52" i="9"/>
  <c r="AE52" i="9"/>
  <c r="AD52" i="9"/>
  <c r="AC52" i="9"/>
  <c r="AB52" i="9"/>
  <c r="AA52" i="9"/>
  <c r="Z52" i="9"/>
  <c r="Y52" i="9"/>
  <c r="X52" i="9"/>
  <c r="W52" i="9"/>
  <c r="M44" i="9"/>
  <c r="L44" i="9"/>
  <c r="H44" i="9"/>
  <c r="M43" i="9"/>
  <c r="L43" i="9"/>
  <c r="H43" i="9"/>
  <c r="N42" i="9"/>
  <c r="M42" i="9"/>
  <c r="L42" i="9"/>
  <c r="J42" i="9"/>
  <c r="I42" i="9"/>
  <c r="F42" i="9" s="1"/>
  <c r="H42" i="9"/>
  <c r="N41" i="9"/>
  <c r="M41" i="9"/>
  <c r="L41" i="9"/>
  <c r="J41" i="9"/>
  <c r="H41" i="9"/>
  <c r="K41" i="9" s="1"/>
  <c r="M40" i="9"/>
  <c r="L40" i="9"/>
  <c r="H40" i="9"/>
  <c r="M39" i="9"/>
  <c r="L39" i="9"/>
  <c r="H39" i="9"/>
  <c r="N38" i="9"/>
  <c r="M38" i="9"/>
  <c r="L38" i="9"/>
  <c r="J38" i="9"/>
  <c r="H38" i="9"/>
  <c r="N37" i="9"/>
  <c r="M37" i="9"/>
  <c r="L37" i="9"/>
  <c r="J37" i="9"/>
  <c r="H37" i="9"/>
  <c r="M36" i="9"/>
  <c r="L36" i="9"/>
  <c r="H36" i="9"/>
  <c r="V35" i="9"/>
  <c r="V36" i="9" s="1"/>
  <c r="V37" i="9" s="1"/>
  <c r="V38" i="9" s="1"/>
  <c r="V39" i="9" s="1"/>
  <c r="V40" i="9" s="1"/>
  <c r="V41" i="9" s="1"/>
  <c r="V42" i="9" s="1"/>
  <c r="V43" i="9" s="1"/>
  <c r="V44" i="9" s="1"/>
  <c r="M35" i="9"/>
  <c r="L35" i="9"/>
  <c r="H35" i="9"/>
  <c r="AG34" i="9"/>
  <c r="AF34" i="9"/>
  <c r="AE34" i="9"/>
  <c r="AD34" i="9"/>
  <c r="AC34" i="9"/>
  <c r="AB34" i="9"/>
  <c r="AA34" i="9"/>
  <c r="Z34" i="9"/>
  <c r="Y34" i="9"/>
  <c r="X34" i="9"/>
  <c r="W34" i="9"/>
  <c r="V32" i="9"/>
  <c r="F29" i="9"/>
  <c r="F28" i="9"/>
  <c r="F27" i="9"/>
  <c r="F26" i="9"/>
  <c r="E26" i="9"/>
  <c r="E480" i="9" s="1"/>
  <c r="D26" i="9"/>
  <c r="D386" i="9" s="1"/>
  <c r="V386" i="9" s="1"/>
  <c r="E25" i="9"/>
  <c r="E508" i="9" s="1"/>
  <c r="D25" i="9"/>
  <c r="D479" i="9" s="1"/>
  <c r="V479" i="9" s="1"/>
  <c r="V24" i="9"/>
  <c r="X23" i="9"/>
  <c r="W23" i="9"/>
  <c r="V23" i="9"/>
  <c r="G23" i="9"/>
  <c r="X22" i="9"/>
  <c r="W22" i="9"/>
  <c r="V22" i="9"/>
  <c r="G22" i="9"/>
  <c r="X21" i="9"/>
  <c r="W21" i="9"/>
  <c r="V21" i="9"/>
  <c r="G21" i="9"/>
  <c r="X20" i="9"/>
  <c r="W20" i="9"/>
  <c r="V20" i="9"/>
  <c r="G20" i="9"/>
  <c r="V19" i="9"/>
  <c r="V18" i="9"/>
  <c r="V17" i="9"/>
  <c r="AG16" i="9"/>
  <c r="AF16" i="9"/>
  <c r="AE16" i="9"/>
  <c r="AD16" i="9"/>
  <c r="AC16" i="9"/>
  <c r="AB16" i="9"/>
  <c r="AA16" i="9"/>
  <c r="Z16" i="9"/>
  <c r="Y16" i="9"/>
  <c r="X16" i="9"/>
  <c r="W16" i="9"/>
  <c r="K10" i="9"/>
  <c r="J10" i="9"/>
  <c r="H10" i="9"/>
  <c r="K9" i="9"/>
  <c r="J9" i="9"/>
  <c r="H9" i="9"/>
  <c r="K8" i="9"/>
  <c r="J8" i="9"/>
  <c r="H8" i="9"/>
  <c r="V7" i="9"/>
  <c r="V8" i="9" s="1"/>
  <c r="V9" i="9" s="1"/>
  <c r="V10" i="9" s="1"/>
  <c r="K7" i="9"/>
  <c r="J7" i="9"/>
  <c r="H7" i="9"/>
  <c r="V4" i="9"/>
  <c r="V7" i="8"/>
  <c r="I7" i="8"/>
  <c r="H7" i="8"/>
  <c r="V4" i="8"/>
  <c r="D1164" i="7"/>
  <c r="V1164" i="7" s="1"/>
  <c r="D1163" i="7"/>
  <c r="V1163" i="7" s="1"/>
  <c r="AS1153" i="7"/>
  <c r="AR1153" i="7"/>
  <c r="AQ1153" i="7"/>
  <c r="AP1153" i="7"/>
  <c r="AO1153" i="7"/>
  <c r="AN1153" i="7"/>
  <c r="AM1153" i="7"/>
  <c r="AL1153" i="7"/>
  <c r="AK1153" i="7"/>
  <c r="AJ1153" i="7"/>
  <c r="AG1153" i="7"/>
  <c r="AF1153" i="7"/>
  <c r="AE1153" i="7"/>
  <c r="AD1153" i="7"/>
  <c r="AC1153" i="7"/>
  <c r="AB1153" i="7"/>
  <c r="AA1153" i="7"/>
  <c r="Z1153" i="7"/>
  <c r="Y1153" i="7"/>
  <c r="X1153" i="7"/>
  <c r="K1145" i="7"/>
  <c r="H1145" i="7"/>
  <c r="F1145" i="7"/>
  <c r="K1144" i="7"/>
  <c r="H1144" i="7"/>
  <c r="F1144" i="7"/>
  <c r="K1143" i="7"/>
  <c r="H1143" i="7"/>
  <c r="F1143" i="7"/>
  <c r="K1142" i="7"/>
  <c r="H1142" i="7"/>
  <c r="F1142" i="7"/>
  <c r="AG1141" i="7"/>
  <c r="AF1141" i="7"/>
  <c r="AE1141" i="7"/>
  <c r="AD1141" i="7"/>
  <c r="AC1141" i="7"/>
  <c r="AB1141" i="7"/>
  <c r="AA1141" i="7"/>
  <c r="Z1141" i="7"/>
  <c r="Y1141" i="7"/>
  <c r="X1141" i="7"/>
  <c r="V1139" i="7"/>
  <c r="E1134" i="7"/>
  <c r="E1133" i="7"/>
  <c r="V1132" i="7"/>
  <c r="V1131" i="7"/>
  <c r="V1130" i="7"/>
  <c r="V1129" i="7"/>
  <c r="V1128" i="7"/>
  <c r="V1127" i="7"/>
  <c r="X1126" i="7"/>
  <c r="V1126" i="7"/>
  <c r="F1126" i="7"/>
  <c r="X1125" i="7"/>
  <c r="V1125" i="7"/>
  <c r="F1125" i="7"/>
  <c r="X1124" i="7"/>
  <c r="V1124" i="7"/>
  <c r="F1124" i="7"/>
  <c r="X1123" i="7"/>
  <c r="V1123" i="7"/>
  <c r="F1123" i="7"/>
  <c r="X1122" i="7"/>
  <c r="V1122" i="7"/>
  <c r="F1122" i="7"/>
  <c r="X1121" i="7"/>
  <c r="V1121" i="7"/>
  <c r="F1121" i="7"/>
  <c r="F1119" i="7" s="1"/>
  <c r="V1120" i="7"/>
  <c r="V1119" i="7"/>
  <c r="V1118" i="7"/>
  <c r="AG1117" i="7"/>
  <c r="AF1117" i="7"/>
  <c r="AE1117" i="7"/>
  <c r="AD1117" i="7"/>
  <c r="AC1117" i="7"/>
  <c r="AB1117" i="7"/>
  <c r="AA1117" i="7"/>
  <c r="Z1117" i="7"/>
  <c r="Y1117" i="7"/>
  <c r="X1117" i="7"/>
  <c r="W1117" i="7"/>
  <c r="J1110" i="7"/>
  <c r="H1110" i="7"/>
  <c r="V1109" i="7"/>
  <c r="V1110" i="7" s="1"/>
  <c r="K1109" i="7"/>
  <c r="J1109" i="7"/>
  <c r="H1109" i="7"/>
  <c r="X1108" i="7"/>
  <c r="V1106" i="7"/>
  <c r="F1103" i="7"/>
  <c r="V1102" i="7"/>
  <c r="F1102" i="7"/>
  <c r="V1100" i="7"/>
  <c r="V1098" i="7"/>
  <c r="V1097" i="7"/>
  <c r="BG1096" i="7"/>
  <c r="AU1096" i="7"/>
  <c r="V1096" i="7"/>
  <c r="I1096" i="7"/>
  <c r="F1086" i="7" s="1"/>
  <c r="H1096" i="7"/>
  <c r="F1085" i="7" s="1"/>
  <c r="V1095" i="7"/>
  <c r="BQ1094" i="7"/>
  <c r="BP1094" i="7"/>
  <c r="BO1094" i="7"/>
  <c r="BN1094" i="7"/>
  <c r="BM1094" i="7"/>
  <c r="BL1094" i="7"/>
  <c r="BK1094" i="7"/>
  <c r="BJ1094" i="7"/>
  <c r="BI1094" i="7"/>
  <c r="BH1094" i="7"/>
  <c r="BG1094" i="7"/>
  <c r="BE1094" i="7"/>
  <c r="BD1094" i="7"/>
  <c r="BC1094" i="7"/>
  <c r="BB1094" i="7"/>
  <c r="BA1094" i="7"/>
  <c r="AZ1094" i="7"/>
  <c r="AY1094" i="7"/>
  <c r="AX1094" i="7"/>
  <c r="AW1094" i="7"/>
  <c r="AV1094" i="7"/>
  <c r="AU1094" i="7"/>
  <c r="AS1094" i="7"/>
  <c r="AR1094" i="7"/>
  <c r="AQ1094" i="7"/>
  <c r="AP1094" i="7"/>
  <c r="AO1094" i="7"/>
  <c r="AN1094" i="7"/>
  <c r="AM1094" i="7"/>
  <c r="AL1094" i="7"/>
  <c r="AK1094" i="7"/>
  <c r="AJ1094" i="7"/>
  <c r="AI1094" i="7"/>
  <c r="AG1094" i="7"/>
  <c r="AF1094" i="7"/>
  <c r="AE1094" i="7"/>
  <c r="AD1094" i="7"/>
  <c r="AC1094" i="7"/>
  <c r="AB1094" i="7"/>
  <c r="AA1094" i="7"/>
  <c r="Z1094" i="7"/>
  <c r="Y1094" i="7"/>
  <c r="X1094" i="7"/>
  <c r="W1094" i="7"/>
  <c r="BQ1093" i="7"/>
  <c r="BP1093" i="7"/>
  <c r="BO1093" i="7"/>
  <c r="BN1093" i="7"/>
  <c r="BM1093" i="7"/>
  <c r="BL1093" i="7"/>
  <c r="BK1093" i="7"/>
  <c r="BJ1093" i="7"/>
  <c r="BI1093" i="7"/>
  <c r="BH1093" i="7"/>
  <c r="BG1093" i="7"/>
  <c r="BE1093" i="7"/>
  <c r="BD1093" i="7"/>
  <c r="BC1093" i="7"/>
  <c r="BB1093" i="7"/>
  <c r="BA1093" i="7"/>
  <c r="AZ1093" i="7"/>
  <c r="AY1093" i="7"/>
  <c r="AX1093" i="7"/>
  <c r="AW1093" i="7"/>
  <c r="AV1093" i="7"/>
  <c r="AU1093" i="7"/>
  <c r="AS1093" i="7"/>
  <c r="AR1093" i="7"/>
  <c r="AQ1093" i="7"/>
  <c r="AP1093" i="7"/>
  <c r="AO1093" i="7"/>
  <c r="AN1093" i="7"/>
  <c r="AM1093" i="7"/>
  <c r="AL1093" i="7"/>
  <c r="AK1093" i="7"/>
  <c r="AJ1093" i="7"/>
  <c r="AI1093" i="7"/>
  <c r="AG1093" i="7"/>
  <c r="AF1093" i="7"/>
  <c r="AE1093" i="7"/>
  <c r="AD1093" i="7"/>
  <c r="AC1093" i="7"/>
  <c r="AB1093" i="7"/>
  <c r="AA1093" i="7"/>
  <c r="Z1093" i="7"/>
  <c r="Y1093" i="7"/>
  <c r="X1093" i="7"/>
  <c r="W1093" i="7"/>
  <c r="V1087" i="7"/>
  <c r="H1087" i="7"/>
  <c r="V1086" i="7"/>
  <c r="H1086" i="7"/>
  <c r="V1085" i="7"/>
  <c r="H1085" i="7"/>
  <c r="I1085" i="7" s="1"/>
  <c r="V1084" i="7"/>
  <c r="H1084" i="7"/>
  <c r="F1084" i="7"/>
  <c r="V1083" i="7"/>
  <c r="H1083" i="7"/>
  <c r="F1083" i="7"/>
  <c r="V1082" i="7"/>
  <c r="H1082" i="7"/>
  <c r="F1082" i="7"/>
  <c r="V1081" i="7"/>
  <c r="H1081" i="7"/>
  <c r="F1081" i="7"/>
  <c r="X1080" i="7"/>
  <c r="V1078" i="7"/>
  <c r="AI1075" i="7"/>
  <c r="W1075" i="7"/>
  <c r="G1075" i="7"/>
  <c r="F1075" i="7"/>
  <c r="P988" i="7" s="1"/>
  <c r="W1074" i="7"/>
  <c r="F1074" i="7"/>
  <c r="W1073" i="7"/>
  <c r="F1073" i="7"/>
  <c r="P986" i="7" s="1"/>
  <c r="AI1072" i="7"/>
  <c r="W1072" i="7"/>
  <c r="G1072" i="7"/>
  <c r="Q985" i="7" s="1"/>
  <c r="F1072" i="7"/>
  <c r="P985" i="7" s="1"/>
  <c r="AI1071" i="7"/>
  <c r="W1071" i="7"/>
  <c r="G1071" i="7"/>
  <c r="F1071" i="7"/>
  <c r="P984" i="7" s="1"/>
  <c r="W1070" i="7"/>
  <c r="F1070" i="7"/>
  <c r="W1069" i="7"/>
  <c r="F1069" i="7"/>
  <c r="P982" i="7" s="1"/>
  <c r="W1068" i="7"/>
  <c r="F1068" i="7"/>
  <c r="AI1067" i="7"/>
  <c r="G1067" i="7"/>
  <c r="Q980" i="7" s="1"/>
  <c r="AI1065" i="7"/>
  <c r="G1065" i="7"/>
  <c r="AS1055" i="7"/>
  <c r="AR1055" i="7"/>
  <c r="AQ1055" i="7"/>
  <c r="AP1055" i="7"/>
  <c r="AO1055" i="7"/>
  <c r="AN1055" i="7"/>
  <c r="AM1055" i="7"/>
  <c r="AL1055" i="7"/>
  <c r="AK1055" i="7"/>
  <c r="AJ1055" i="7"/>
  <c r="AI1055" i="7"/>
  <c r="AG1055" i="7"/>
  <c r="AF1055" i="7"/>
  <c r="AE1055" i="7"/>
  <c r="AD1055" i="7"/>
  <c r="AC1055" i="7"/>
  <c r="AB1055" i="7"/>
  <c r="AA1055" i="7"/>
  <c r="Z1055" i="7"/>
  <c r="Y1055" i="7"/>
  <c r="X1055" i="7"/>
  <c r="W1055" i="7"/>
  <c r="AS1054" i="7"/>
  <c r="AR1054" i="7"/>
  <c r="AQ1054" i="7"/>
  <c r="AP1054" i="7"/>
  <c r="AO1054" i="7"/>
  <c r="AN1054" i="7"/>
  <c r="AM1054" i="7"/>
  <c r="AL1054" i="7"/>
  <c r="AK1054" i="7"/>
  <c r="AJ1054" i="7"/>
  <c r="AI1054" i="7"/>
  <c r="AG1054" i="7"/>
  <c r="AF1054" i="7"/>
  <c r="AE1054" i="7"/>
  <c r="AD1054" i="7"/>
  <c r="AC1054" i="7"/>
  <c r="AB1054" i="7"/>
  <c r="AA1054" i="7"/>
  <c r="Z1054" i="7"/>
  <c r="Y1054" i="7"/>
  <c r="X1054" i="7"/>
  <c r="W1054" i="7"/>
  <c r="V1051" i="7"/>
  <c r="U1051" i="7"/>
  <c r="V1050" i="7"/>
  <c r="U1050" i="7"/>
  <c r="V1049" i="7"/>
  <c r="U1049" i="7"/>
  <c r="V1048" i="7"/>
  <c r="U1048" i="7"/>
  <c r="V1047" i="7"/>
  <c r="U1047" i="7"/>
  <c r="V1046" i="7"/>
  <c r="U1046" i="7"/>
  <c r="V1045" i="7"/>
  <c r="U1045" i="7"/>
  <c r="V1044" i="7"/>
  <c r="U1044" i="7"/>
  <c r="V1043" i="7"/>
  <c r="U1043" i="7"/>
  <c r="V1042" i="7"/>
  <c r="U1042" i="7"/>
  <c r="V1041" i="7"/>
  <c r="U1041" i="7"/>
  <c r="U1040" i="7"/>
  <c r="U1039" i="7"/>
  <c r="E1039" i="7"/>
  <c r="V1039" i="7" s="1"/>
  <c r="U1038" i="7"/>
  <c r="E1038" i="7"/>
  <c r="V1038" i="7" s="1"/>
  <c r="U1037" i="7"/>
  <c r="U1036" i="7"/>
  <c r="U1035" i="7"/>
  <c r="E1035" i="7"/>
  <c r="V1035" i="7" s="1"/>
  <c r="U1034" i="7"/>
  <c r="E1034" i="7"/>
  <c r="V1034" i="7" s="1"/>
  <c r="U1033" i="7"/>
  <c r="E1033" i="7"/>
  <c r="V1033" i="7" s="1"/>
  <c r="U1032" i="7"/>
  <c r="E1032" i="7"/>
  <c r="V1032" i="7" s="1"/>
  <c r="U1031" i="7"/>
  <c r="E1031" i="7"/>
  <c r="V1031" i="7" s="1"/>
  <c r="U1030" i="7"/>
  <c r="H1030" i="7"/>
  <c r="E1030" i="7"/>
  <c r="V1030" i="7" s="1"/>
  <c r="U1029" i="7"/>
  <c r="E1029" i="7"/>
  <c r="V1029" i="7" s="1"/>
  <c r="U1028" i="7"/>
  <c r="E1028" i="7"/>
  <c r="V1028" i="7" s="1"/>
  <c r="U1027" i="7"/>
  <c r="E1027" i="7"/>
  <c r="V1027" i="7" s="1"/>
  <c r="U1026" i="7"/>
  <c r="E1026" i="7"/>
  <c r="V1026" i="7" s="1"/>
  <c r="U1025" i="7"/>
  <c r="E1025" i="7"/>
  <c r="V1025" i="7" s="1"/>
  <c r="U1024" i="7"/>
  <c r="E1024" i="7"/>
  <c r="V1024" i="7" s="1"/>
  <c r="U1023" i="7"/>
  <c r="E1023" i="7"/>
  <c r="V1023" i="7" s="1"/>
  <c r="U1022" i="7"/>
  <c r="E1022" i="7"/>
  <c r="V1022" i="7" s="1"/>
  <c r="U1021" i="7"/>
  <c r="E1021" i="7"/>
  <c r="V1021" i="7" s="1"/>
  <c r="U1020" i="7"/>
  <c r="E1020" i="7"/>
  <c r="E1075" i="7" s="1"/>
  <c r="U1019" i="7"/>
  <c r="H1019" i="7"/>
  <c r="E1019" i="7"/>
  <c r="U1018" i="7"/>
  <c r="E1018" i="7"/>
  <c r="U1017" i="7"/>
  <c r="E1017" i="7"/>
  <c r="E1072" i="7" s="1"/>
  <c r="U1016" i="7"/>
  <c r="E1016" i="7"/>
  <c r="V1016" i="7" s="1"/>
  <c r="U1015" i="7"/>
  <c r="E1015" i="7"/>
  <c r="U1014" i="7"/>
  <c r="E1014" i="7"/>
  <c r="U1013" i="7"/>
  <c r="E1013" i="7"/>
  <c r="E1068" i="7" s="1"/>
  <c r="U1012" i="7"/>
  <c r="H1012" i="7"/>
  <c r="E1012" i="7"/>
  <c r="E1067" i="7" s="1"/>
  <c r="U1011" i="7"/>
  <c r="E1011" i="7"/>
  <c r="E1066" i="7" s="1"/>
  <c r="V1010" i="7"/>
  <c r="U1010" i="7"/>
  <c r="H1010" i="7"/>
  <c r="E1010" i="7"/>
  <c r="E1065" i="7" s="1"/>
  <c r="U1009" i="7"/>
  <c r="E1009" i="7"/>
  <c r="V1009" i="7" s="1"/>
  <c r="U1008" i="7"/>
  <c r="E1008" i="7"/>
  <c r="U1007" i="7"/>
  <c r="E1007" i="7"/>
  <c r="E1062" i="7" s="1"/>
  <c r="U1006" i="7"/>
  <c r="E1006" i="7"/>
  <c r="E1061" i="7" s="1"/>
  <c r="U1005" i="7"/>
  <c r="E1005" i="7"/>
  <c r="U1004" i="7"/>
  <c r="E1004" i="7"/>
  <c r="U1003" i="7"/>
  <c r="E1003" i="7"/>
  <c r="E1058" i="7" s="1"/>
  <c r="U1002" i="7"/>
  <c r="E1002" i="7"/>
  <c r="E1057" i="7" s="1"/>
  <c r="U1001" i="7"/>
  <c r="E1001" i="7"/>
  <c r="AG1000" i="7"/>
  <c r="AF1000" i="7"/>
  <c r="AE1000" i="7"/>
  <c r="AD1000" i="7"/>
  <c r="AC1000" i="7"/>
  <c r="AB1000" i="7"/>
  <c r="AA1000" i="7"/>
  <c r="Z1000" i="7"/>
  <c r="Y1000" i="7"/>
  <c r="X1000" i="7"/>
  <c r="W1000" i="7"/>
  <c r="V993" i="7"/>
  <c r="V992" i="7"/>
  <c r="V991" i="7"/>
  <c r="V990" i="7"/>
  <c r="V989" i="7"/>
  <c r="Q988" i="7"/>
  <c r="O988" i="7"/>
  <c r="L988" i="7"/>
  <c r="K988" i="7"/>
  <c r="J988" i="7"/>
  <c r="H988" i="7"/>
  <c r="Q987" i="7"/>
  <c r="P987" i="7"/>
  <c r="O987" i="7"/>
  <c r="L987" i="7"/>
  <c r="K987" i="7"/>
  <c r="J987" i="7"/>
  <c r="H987" i="7"/>
  <c r="Q986" i="7"/>
  <c r="O986" i="7"/>
  <c r="L986" i="7"/>
  <c r="K986" i="7"/>
  <c r="J986" i="7"/>
  <c r="H986" i="7"/>
  <c r="O985" i="7"/>
  <c r="L985" i="7"/>
  <c r="K985" i="7"/>
  <c r="F985" i="7" s="1"/>
  <c r="J985" i="7"/>
  <c r="H985" i="7"/>
  <c r="Q984" i="7"/>
  <c r="O984" i="7"/>
  <c r="L984" i="7"/>
  <c r="K984" i="7"/>
  <c r="J984" i="7"/>
  <c r="H984" i="7"/>
  <c r="Q983" i="7"/>
  <c r="P983" i="7"/>
  <c r="O983" i="7"/>
  <c r="L983" i="7"/>
  <c r="K983" i="7"/>
  <c r="J983" i="7"/>
  <c r="H983" i="7"/>
  <c r="Q982" i="7"/>
  <c r="O982" i="7"/>
  <c r="L982" i="7"/>
  <c r="K982" i="7"/>
  <c r="J982" i="7"/>
  <c r="H982" i="7"/>
  <c r="Q981" i="7"/>
  <c r="P981" i="7"/>
  <c r="O981" i="7"/>
  <c r="L981" i="7"/>
  <c r="K981" i="7"/>
  <c r="J981" i="7"/>
  <c r="H981" i="7"/>
  <c r="P980" i="7"/>
  <c r="O980" i="7"/>
  <c r="L980" i="7"/>
  <c r="K980" i="7"/>
  <c r="J980" i="7"/>
  <c r="H980" i="7"/>
  <c r="Q979" i="7"/>
  <c r="P979" i="7"/>
  <c r="O979" i="7"/>
  <c r="L979" i="7"/>
  <c r="K979" i="7"/>
  <c r="J979" i="7"/>
  <c r="H979" i="7"/>
  <c r="Q978" i="7"/>
  <c r="P978" i="7"/>
  <c r="O978" i="7"/>
  <c r="L978" i="7"/>
  <c r="K978" i="7"/>
  <c r="J978" i="7"/>
  <c r="H978" i="7"/>
  <c r="Q977" i="7"/>
  <c r="P977" i="7"/>
  <c r="O977" i="7"/>
  <c r="L977" i="7"/>
  <c r="K977" i="7"/>
  <c r="J977" i="7"/>
  <c r="H977" i="7"/>
  <c r="Q976" i="7"/>
  <c r="W278" i="9" s="1"/>
  <c r="P976" i="7"/>
  <c r="O976" i="7"/>
  <c r="L976" i="7"/>
  <c r="K976" i="7"/>
  <c r="J976" i="7"/>
  <c r="H976" i="7"/>
  <c r="Q975" i="7"/>
  <c r="P975" i="7"/>
  <c r="O975" i="7"/>
  <c r="L975" i="7"/>
  <c r="K975" i="7"/>
  <c r="J975" i="7"/>
  <c r="H975" i="7"/>
  <c r="Q974" i="7"/>
  <c r="P974" i="7"/>
  <c r="O974" i="7"/>
  <c r="L974" i="7"/>
  <c r="K974" i="7"/>
  <c r="J974" i="7"/>
  <c r="H974" i="7"/>
  <c r="Q973" i="7"/>
  <c r="P973" i="7"/>
  <c r="O973" i="7"/>
  <c r="L973" i="7"/>
  <c r="K973" i="7"/>
  <c r="J973" i="7"/>
  <c r="H973" i="7"/>
  <c r="Q972" i="7"/>
  <c r="P972" i="7"/>
  <c r="O972" i="7"/>
  <c r="L972" i="7"/>
  <c r="K972" i="7"/>
  <c r="J972" i="7"/>
  <c r="H972" i="7"/>
  <c r="Q971" i="7"/>
  <c r="P214" i="9" s="1"/>
  <c r="P971" i="7"/>
  <c r="O971" i="7"/>
  <c r="L971" i="7"/>
  <c r="K971" i="7"/>
  <c r="J971" i="7"/>
  <c r="H971" i="7"/>
  <c r="Q970" i="7"/>
  <c r="P970" i="7"/>
  <c r="O970" i="7"/>
  <c r="L970" i="7"/>
  <c r="K970" i="7"/>
  <c r="J970" i="7"/>
  <c r="H970" i="7"/>
  <c r="V969" i="7"/>
  <c r="V970" i="7" s="1"/>
  <c r="V971" i="7" s="1"/>
  <c r="V972" i="7" s="1"/>
  <c r="V973" i="7" s="1"/>
  <c r="V974" i="7" s="1"/>
  <c r="V975" i="7" s="1"/>
  <c r="V976" i="7" s="1"/>
  <c r="V977" i="7" s="1"/>
  <c r="V978" i="7" s="1"/>
  <c r="V979" i="7" s="1"/>
  <c r="V980" i="7" s="1"/>
  <c r="V981" i="7" s="1"/>
  <c r="V982" i="7" s="1"/>
  <c r="V983" i="7" s="1"/>
  <c r="V984" i="7" s="1"/>
  <c r="V985" i="7" s="1"/>
  <c r="V986" i="7" s="1"/>
  <c r="V987" i="7" s="1"/>
  <c r="V988" i="7" s="1"/>
  <c r="Q969" i="7"/>
  <c r="P969" i="7"/>
  <c r="O969" i="7"/>
  <c r="L969" i="7"/>
  <c r="K969" i="7"/>
  <c r="J969" i="7"/>
  <c r="H969" i="7"/>
  <c r="X968" i="7"/>
  <c r="V965" i="7"/>
  <c r="V959" i="7"/>
  <c r="V958" i="7"/>
  <c r="V957" i="7"/>
  <c r="V956" i="7"/>
  <c r="V955" i="7"/>
  <c r="V954" i="7"/>
  <c r="V953" i="7"/>
  <c r="V952" i="7"/>
  <c r="V951" i="7"/>
  <c r="V950" i="7"/>
  <c r="V949" i="7"/>
  <c r="V948" i="7"/>
  <c r="V947" i="7"/>
  <c r="V946" i="7"/>
  <c r="V945" i="7"/>
  <c r="AG944" i="7"/>
  <c r="AF944" i="7"/>
  <c r="AE944" i="7"/>
  <c r="AD944" i="7"/>
  <c r="AC944" i="7"/>
  <c r="AB944" i="7"/>
  <c r="AA944" i="7"/>
  <c r="Z944" i="7"/>
  <c r="Y944" i="7"/>
  <c r="X944" i="7"/>
  <c r="W944" i="7"/>
  <c r="V935" i="7"/>
  <c r="L935" i="7"/>
  <c r="K935" i="7"/>
  <c r="I935" i="7"/>
  <c r="F935" i="7" s="1"/>
  <c r="H935" i="7"/>
  <c r="AG934" i="7"/>
  <c r="AF934" i="7"/>
  <c r="AE934" i="7"/>
  <c r="AD934" i="7"/>
  <c r="AC934" i="7"/>
  <c r="AB934" i="7"/>
  <c r="AA934" i="7"/>
  <c r="Z934" i="7"/>
  <c r="Y934" i="7"/>
  <c r="X934" i="7"/>
  <c r="W934" i="7"/>
  <c r="V933" i="7"/>
  <c r="V932" i="7"/>
  <c r="V926" i="7"/>
  <c r="V925" i="7"/>
  <c r="V924" i="7"/>
  <c r="V923" i="7"/>
  <c r="V922" i="7"/>
  <c r="V921" i="7"/>
  <c r="V920" i="7"/>
  <c r="V919" i="7"/>
  <c r="V918" i="7"/>
  <c r="V917" i="7"/>
  <c r="V916" i="7"/>
  <c r="V915" i="7"/>
  <c r="AG914" i="7"/>
  <c r="AF914" i="7"/>
  <c r="AE914" i="7"/>
  <c r="AD914" i="7"/>
  <c r="AC914" i="7"/>
  <c r="AB914" i="7"/>
  <c r="AA914" i="7"/>
  <c r="Z914" i="7"/>
  <c r="Y914" i="7"/>
  <c r="X914" i="7"/>
  <c r="W914" i="7"/>
  <c r="V904" i="7"/>
  <c r="L904" i="7"/>
  <c r="K904" i="7"/>
  <c r="I904" i="7"/>
  <c r="F904" i="7" s="1"/>
  <c r="H904" i="7"/>
  <c r="AG903" i="7"/>
  <c r="AF903" i="7"/>
  <c r="AE903" i="7"/>
  <c r="AD903" i="7"/>
  <c r="AC903" i="7"/>
  <c r="AB903" i="7"/>
  <c r="AA903" i="7"/>
  <c r="Z903" i="7"/>
  <c r="Y903" i="7"/>
  <c r="X903" i="7"/>
  <c r="W903" i="7"/>
  <c r="V902" i="7"/>
  <c r="V901" i="7"/>
  <c r="V895" i="7"/>
  <c r="V894" i="7"/>
  <c r="V893" i="7"/>
  <c r="V892" i="7"/>
  <c r="V891" i="7"/>
  <c r="V890" i="7"/>
  <c r="V889" i="7"/>
  <c r="V888" i="7"/>
  <c r="X887" i="7"/>
  <c r="W887" i="7"/>
  <c r="V887" i="7"/>
  <c r="F887" i="7"/>
  <c r="V886" i="7"/>
  <c r="X885" i="7"/>
  <c r="W885" i="7"/>
  <c r="V885" i="7"/>
  <c r="F885" i="7"/>
  <c r="AG884" i="7"/>
  <c r="AF884" i="7"/>
  <c r="AE884" i="7"/>
  <c r="AD884" i="7"/>
  <c r="AC884" i="7"/>
  <c r="AB884" i="7"/>
  <c r="AA884" i="7"/>
  <c r="Z884" i="7"/>
  <c r="Y884" i="7"/>
  <c r="X884" i="7"/>
  <c r="W884" i="7"/>
  <c r="V878" i="7"/>
  <c r="K878" i="7"/>
  <c r="J878" i="7"/>
  <c r="H878" i="7"/>
  <c r="F878" i="7"/>
  <c r="AG877" i="7"/>
  <c r="AF877" i="7"/>
  <c r="AE877" i="7"/>
  <c r="AD877" i="7"/>
  <c r="AC877" i="7"/>
  <c r="AB877" i="7"/>
  <c r="AA877" i="7"/>
  <c r="Z877" i="7"/>
  <c r="Y877" i="7"/>
  <c r="X877" i="7"/>
  <c r="W877" i="7"/>
  <c r="V875" i="7"/>
  <c r="E870" i="7"/>
  <c r="V869" i="7"/>
  <c r="V868" i="7"/>
  <c r="V867" i="7"/>
  <c r="V866" i="7"/>
  <c r="V865" i="7"/>
  <c r="V864" i="7"/>
  <c r="V863" i="7"/>
  <c r="V862" i="7"/>
  <c r="V860" i="7"/>
  <c r="V859" i="7"/>
  <c r="V858" i="7"/>
  <c r="V856" i="7"/>
  <c r="V855" i="7"/>
  <c r="V854" i="7"/>
  <c r="V853" i="7"/>
  <c r="AG852" i="7"/>
  <c r="AF852" i="7"/>
  <c r="AE852" i="7"/>
  <c r="AD852" i="7"/>
  <c r="AC852" i="7"/>
  <c r="AB852" i="7"/>
  <c r="AA852" i="7"/>
  <c r="Z852" i="7"/>
  <c r="Y852" i="7"/>
  <c r="X852" i="7"/>
  <c r="W852" i="7"/>
  <c r="V844" i="7"/>
  <c r="L844" i="7"/>
  <c r="K844" i="7"/>
  <c r="I844" i="7"/>
  <c r="H844" i="7"/>
  <c r="V843" i="7"/>
  <c r="L843" i="7"/>
  <c r="K843" i="7"/>
  <c r="I843" i="7"/>
  <c r="F844" i="7" s="1"/>
  <c r="J844" i="7" s="1"/>
  <c r="H843" i="7"/>
  <c r="AG842" i="7"/>
  <c r="AF842" i="7"/>
  <c r="AE842" i="7"/>
  <c r="AD842" i="7"/>
  <c r="AC842" i="7"/>
  <c r="AB842" i="7"/>
  <c r="AA842" i="7"/>
  <c r="Z842" i="7"/>
  <c r="Y842" i="7"/>
  <c r="X842" i="7"/>
  <c r="W842" i="7"/>
  <c r="V840" i="7"/>
  <c r="V839" i="7"/>
  <c r="V838" i="7"/>
  <c r="E837" i="7"/>
  <c r="E898" i="7" s="1"/>
  <c r="E929" i="7" s="1"/>
  <c r="E962" i="7" s="1"/>
  <c r="E836" i="7"/>
  <c r="E897" i="7" s="1"/>
  <c r="E928" i="7" s="1"/>
  <c r="E961" i="7" s="1"/>
  <c r="E835" i="7"/>
  <c r="E896" i="7" s="1"/>
  <c r="E927" i="7" s="1"/>
  <c r="E960" i="7" s="1"/>
  <c r="E1099" i="7" s="1"/>
  <c r="V834" i="7"/>
  <c r="V833" i="7"/>
  <c r="V832" i="7"/>
  <c r="X831" i="7"/>
  <c r="F831" i="7"/>
  <c r="X830" i="7"/>
  <c r="F830" i="7"/>
  <c r="F767" i="7" s="1"/>
  <c r="X827" i="7"/>
  <c r="F827" i="7"/>
  <c r="X826" i="7"/>
  <c r="F826" i="7"/>
  <c r="F759" i="7" s="1"/>
  <c r="V824" i="7"/>
  <c r="V816" i="7"/>
  <c r="V808" i="7"/>
  <c r="X807" i="7"/>
  <c r="W807" i="7"/>
  <c r="F807" i="7"/>
  <c r="X806" i="7"/>
  <c r="W806" i="7"/>
  <c r="F806" i="7"/>
  <c r="V800" i="7"/>
  <c r="V799" i="7"/>
  <c r="V798" i="7"/>
  <c r="V797" i="7"/>
  <c r="V796" i="7"/>
  <c r="W794" i="7"/>
  <c r="W792" i="7"/>
  <c r="W790" i="7"/>
  <c r="W788" i="7"/>
  <c r="V788" i="7"/>
  <c r="V780" i="7"/>
  <c r="AG779" i="7"/>
  <c r="AF779" i="7"/>
  <c r="AE779" i="7"/>
  <c r="AD779" i="7"/>
  <c r="AC779" i="7"/>
  <c r="AB779" i="7"/>
  <c r="AA779" i="7"/>
  <c r="Z779" i="7"/>
  <c r="Y779" i="7"/>
  <c r="X779" i="7"/>
  <c r="W779" i="7"/>
  <c r="V778" i="7"/>
  <c r="V777" i="7"/>
  <c r="V776" i="7"/>
  <c r="V775" i="7"/>
  <c r="V774" i="7"/>
  <c r="V773" i="7"/>
  <c r="V772" i="7"/>
  <c r="V771" i="7"/>
  <c r="J769" i="7"/>
  <c r="H769" i="7"/>
  <c r="F769" i="7"/>
  <c r="K768" i="7"/>
  <c r="J768" i="7"/>
  <c r="H768" i="7"/>
  <c r="F768" i="7"/>
  <c r="J767" i="7"/>
  <c r="H767" i="7"/>
  <c r="K766" i="7"/>
  <c r="J766" i="7"/>
  <c r="H766" i="7"/>
  <c r="F766" i="7"/>
  <c r="J765" i="7"/>
  <c r="H765" i="7"/>
  <c r="I765" i="7" s="1"/>
  <c r="K764" i="7"/>
  <c r="J764" i="7"/>
  <c r="H764" i="7"/>
  <c r="F764" i="7"/>
  <c r="J763" i="7"/>
  <c r="H763" i="7"/>
  <c r="I763" i="7" s="1"/>
  <c r="K762" i="7"/>
  <c r="J762" i="7"/>
  <c r="H762" i="7"/>
  <c r="F762" i="7"/>
  <c r="J761" i="7"/>
  <c r="H761" i="7"/>
  <c r="F761" i="7"/>
  <c r="K760" i="7"/>
  <c r="J760" i="7"/>
  <c r="H760" i="7"/>
  <c r="F760" i="7"/>
  <c r="J759" i="7"/>
  <c r="H759" i="7"/>
  <c r="K758" i="7"/>
  <c r="J758" i="7"/>
  <c r="H758" i="7"/>
  <c r="F758" i="7"/>
  <c r="J757" i="7"/>
  <c r="H757" i="7"/>
  <c r="F757" i="7"/>
  <c r="K756" i="7"/>
  <c r="J756" i="7"/>
  <c r="H756" i="7"/>
  <c r="F756" i="7"/>
  <c r="J755" i="7"/>
  <c r="H755" i="7"/>
  <c r="F755" i="7"/>
  <c r="V754" i="7"/>
  <c r="V755" i="7" s="1"/>
  <c r="V756" i="7" s="1"/>
  <c r="V757" i="7" s="1"/>
  <c r="V758" i="7" s="1"/>
  <c r="V759" i="7" s="1"/>
  <c r="V760" i="7" s="1"/>
  <c r="V761" i="7" s="1"/>
  <c r="V762" i="7" s="1"/>
  <c r="V763" i="7" s="1"/>
  <c r="V764" i="7" s="1"/>
  <c r="V765" i="7" s="1"/>
  <c r="V766" i="7" s="1"/>
  <c r="V767" i="7" s="1"/>
  <c r="V768" i="7" s="1"/>
  <c r="V769" i="7" s="1"/>
  <c r="K754" i="7"/>
  <c r="J754" i="7"/>
  <c r="H754" i="7"/>
  <c r="F754" i="7"/>
  <c r="AG753" i="7"/>
  <c r="AF753" i="7"/>
  <c r="AE753" i="7"/>
  <c r="AD753" i="7"/>
  <c r="AC753" i="7"/>
  <c r="AB753" i="7"/>
  <c r="AA753" i="7"/>
  <c r="Z753" i="7"/>
  <c r="Y753" i="7"/>
  <c r="X753" i="7"/>
  <c r="W753" i="7"/>
  <c r="V751" i="7"/>
  <c r="V745" i="7"/>
  <c r="V744" i="7"/>
  <c r="V743" i="7"/>
  <c r="V742" i="7"/>
  <c r="V741" i="7"/>
  <c r="V740" i="7"/>
  <c r="V739" i="7"/>
  <c r="V738" i="7"/>
  <c r="V737" i="7"/>
  <c r="V736" i="7"/>
  <c r="W735" i="7"/>
  <c r="V735" i="7"/>
  <c r="X734" i="7"/>
  <c r="W734" i="7"/>
  <c r="V734" i="7"/>
  <c r="F734" i="7"/>
  <c r="V733" i="7"/>
  <c r="X732" i="7"/>
  <c r="W732" i="7"/>
  <c r="V732" i="7"/>
  <c r="F732" i="7"/>
  <c r="AG731" i="7"/>
  <c r="AF731" i="7"/>
  <c r="AE731" i="7"/>
  <c r="AD731" i="7"/>
  <c r="AC731" i="7"/>
  <c r="AB731" i="7"/>
  <c r="AA731" i="7"/>
  <c r="Z731" i="7"/>
  <c r="Y731" i="7"/>
  <c r="X731" i="7"/>
  <c r="W731" i="7"/>
  <c r="K726" i="7"/>
  <c r="J726" i="7"/>
  <c r="H726" i="7"/>
  <c r="K725" i="7"/>
  <c r="J725" i="7"/>
  <c r="H725" i="7"/>
  <c r="V724" i="7"/>
  <c r="V725" i="7" s="1"/>
  <c r="V726" i="7" s="1"/>
  <c r="K724" i="7"/>
  <c r="J724" i="7"/>
  <c r="H724" i="7"/>
  <c r="AG723" i="7"/>
  <c r="AF723" i="7"/>
  <c r="AE723" i="7"/>
  <c r="AD723" i="7"/>
  <c r="AC723" i="7"/>
  <c r="AB723" i="7"/>
  <c r="AA723" i="7"/>
  <c r="Z723" i="7"/>
  <c r="Y723" i="7"/>
  <c r="X723" i="7"/>
  <c r="W723" i="7"/>
  <c r="V721" i="7"/>
  <c r="V714" i="7"/>
  <c r="V713" i="7"/>
  <c r="V712" i="7"/>
  <c r="V711" i="7"/>
  <c r="V710" i="7"/>
  <c r="V709" i="7"/>
  <c r="V708" i="7"/>
  <c r="V707" i="7"/>
  <c r="V705" i="7"/>
  <c r="V704" i="7"/>
  <c r="V703" i="7"/>
  <c r="V701" i="7"/>
  <c r="V700" i="7"/>
  <c r="V699" i="7"/>
  <c r="V698" i="7"/>
  <c r="X697" i="7"/>
  <c r="X699" i="7" s="1"/>
  <c r="V697" i="7"/>
  <c r="AG695" i="7"/>
  <c r="AF695" i="7"/>
  <c r="AE695" i="7"/>
  <c r="AD695" i="7"/>
  <c r="AC695" i="7"/>
  <c r="AB695" i="7"/>
  <c r="AA695" i="7"/>
  <c r="Z695" i="7"/>
  <c r="Y695" i="7"/>
  <c r="X695" i="7"/>
  <c r="W695" i="7"/>
  <c r="L686" i="7"/>
  <c r="K686" i="7"/>
  <c r="I686" i="7"/>
  <c r="H686" i="7"/>
  <c r="L685" i="7"/>
  <c r="K685" i="7"/>
  <c r="I685" i="7"/>
  <c r="H685" i="7"/>
  <c r="V684" i="7"/>
  <c r="V685" i="7" s="1"/>
  <c r="V686" i="7" s="1"/>
  <c r="L684" i="7"/>
  <c r="K684" i="7"/>
  <c r="I684" i="7"/>
  <c r="F686" i="7" s="1"/>
  <c r="J686" i="7" s="1"/>
  <c r="H684" i="7"/>
  <c r="AG683" i="7"/>
  <c r="AF683" i="7"/>
  <c r="AE683" i="7"/>
  <c r="AD683" i="7"/>
  <c r="AC683" i="7"/>
  <c r="AB683" i="7"/>
  <c r="AA683" i="7"/>
  <c r="Z683" i="7"/>
  <c r="Y683" i="7"/>
  <c r="X683" i="7"/>
  <c r="W683" i="7"/>
  <c r="V681" i="7"/>
  <c r="AG657" i="7"/>
  <c r="AF657" i="7"/>
  <c r="AE657" i="7"/>
  <c r="AD657" i="7"/>
  <c r="AC657" i="7"/>
  <c r="AB657" i="7"/>
  <c r="AA657" i="7"/>
  <c r="Z657" i="7"/>
  <c r="Y657" i="7"/>
  <c r="X657" i="7"/>
  <c r="W657" i="7"/>
  <c r="L648" i="7"/>
  <c r="K648" i="7"/>
  <c r="I648" i="7"/>
  <c r="H648" i="7"/>
  <c r="F648" i="7"/>
  <c r="L647" i="7"/>
  <c r="K647" i="7"/>
  <c r="I647" i="7"/>
  <c r="F647" i="7" s="1"/>
  <c r="H647" i="7"/>
  <c r="V646" i="7"/>
  <c r="V647" i="7" s="1"/>
  <c r="V648" i="7" s="1"/>
  <c r="L646" i="7"/>
  <c r="K646" i="7"/>
  <c r="I646" i="7"/>
  <c r="F646" i="7" s="1"/>
  <c r="H646" i="7"/>
  <c r="AG645" i="7"/>
  <c r="AF645" i="7"/>
  <c r="AE645" i="7"/>
  <c r="AD645" i="7"/>
  <c r="AC645" i="7"/>
  <c r="AB645" i="7"/>
  <c r="AA645" i="7"/>
  <c r="Z645" i="7"/>
  <c r="Y645" i="7"/>
  <c r="X645" i="7"/>
  <c r="W645" i="7"/>
  <c r="V643" i="7"/>
  <c r="W635" i="7"/>
  <c r="W634" i="7"/>
  <c r="W633" i="7"/>
  <c r="W632" i="7"/>
  <c r="W619" i="7"/>
  <c r="W623" i="7" s="1"/>
  <c r="W618" i="7"/>
  <c r="W622" i="7" s="1"/>
  <c r="W617" i="7"/>
  <c r="W621" i="7" s="1"/>
  <c r="W616" i="7"/>
  <c r="W620" i="7" s="1"/>
  <c r="AG612" i="7"/>
  <c r="AF612" i="7"/>
  <c r="AE612" i="7"/>
  <c r="AD612" i="7"/>
  <c r="AC612" i="7"/>
  <c r="AB612" i="7"/>
  <c r="AA612" i="7"/>
  <c r="Z612" i="7"/>
  <c r="Y612" i="7"/>
  <c r="X612" i="7"/>
  <c r="W612" i="7"/>
  <c r="V606" i="7"/>
  <c r="J606" i="7"/>
  <c r="H606" i="7"/>
  <c r="F606" i="7"/>
  <c r="V605" i="7"/>
  <c r="K605" i="7"/>
  <c r="J605" i="7"/>
  <c r="H605" i="7"/>
  <c r="F605" i="7"/>
  <c r="V604" i="7"/>
  <c r="J604" i="7"/>
  <c r="H604" i="7"/>
  <c r="F604" i="7"/>
  <c r="V603" i="7"/>
  <c r="K603" i="7"/>
  <c r="J603" i="7"/>
  <c r="H603" i="7"/>
  <c r="F603" i="7"/>
  <c r="V602" i="7"/>
  <c r="J602" i="7"/>
  <c r="H602" i="7"/>
  <c r="F602" i="7"/>
  <c r="V601" i="7"/>
  <c r="K601" i="7"/>
  <c r="J601" i="7"/>
  <c r="H601" i="7"/>
  <c r="F601" i="7"/>
  <c r="V600" i="7"/>
  <c r="J600" i="7"/>
  <c r="H600" i="7"/>
  <c r="F600" i="7"/>
  <c r="V599" i="7"/>
  <c r="K599" i="7"/>
  <c r="J599" i="7"/>
  <c r="H599" i="7"/>
  <c r="F599" i="7"/>
  <c r="V598" i="7"/>
  <c r="J598" i="7"/>
  <c r="H598" i="7"/>
  <c r="F598" i="7"/>
  <c r="V597" i="7"/>
  <c r="K597" i="7"/>
  <c r="J597" i="7"/>
  <c r="H597" i="7"/>
  <c r="F597" i="7"/>
  <c r="V596" i="7"/>
  <c r="J596" i="7"/>
  <c r="H596" i="7"/>
  <c r="F596" i="7"/>
  <c r="V595" i="7"/>
  <c r="K595" i="7"/>
  <c r="J595" i="7"/>
  <c r="H595" i="7"/>
  <c r="F595" i="7"/>
  <c r="V594" i="7"/>
  <c r="J594" i="7"/>
  <c r="H594" i="7"/>
  <c r="F594" i="7"/>
  <c r="V593" i="7"/>
  <c r="K593" i="7"/>
  <c r="J593" i="7"/>
  <c r="H593" i="7"/>
  <c r="F593" i="7"/>
  <c r="I593" i="7" s="1"/>
  <c r="V592" i="7"/>
  <c r="J592" i="7"/>
  <c r="H592" i="7"/>
  <c r="F592" i="7"/>
  <c r="V591" i="7"/>
  <c r="K591" i="7"/>
  <c r="J591" i="7"/>
  <c r="H591" i="7"/>
  <c r="F591" i="7"/>
  <c r="AG590" i="7"/>
  <c r="AF590" i="7"/>
  <c r="AE590" i="7"/>
  <c r="AD590" i="7"/>
  <c r="AC590" i="7"/>
  <c r="AB590" i="7"/>
  <c r="AA590" i="7"/>
  <c r="Z590" i="7"/>
  <c r="Y590" i="7"/>
  <c r="X590" i="7"/>
  <c r="W590" i="7"/>
  <c r="V588" i="7"/>
  <c r="V568" i="7"/>
  <c r="V567" i="7"/>
  <c r="V566" i="7"/>
  <c r="V565" i="7"/>
  <c r="E564" i="7"/>
  <c r="E563" i="7"/>
  <c r="E562" i="7"/>
  <c r="E561" i="7"/>
  <c r="E560" i="7"/>
  <c r="V559" i="7"/>
  <c r="E559" i="7"/>
  <c r="V558" i="7"/>
  <c r="V557" i="7"/>
  <c r="AG550" i="7"/>
  <c r="AF550" i="7"/>
  <c r="AE550" i="7"/>
  <c r="AD550" i="7"/>
  <c r="AC550" i="7"/>
  <c r="AB550" i="7"/>
  <c r="AA550" i="7"/>
  <c r="Z550" i="7"/>
  <c r="Y550" i="7"/>
  <c r="X550" i="7"/>
  <c r="W550" i="7"/>
  <c r="V542" i="7"/>
  <c r="O542" i="7"/>
  <c r="N542" i="7"/>
  <c r="L542" i="7"/>
  <c r="J542" i="7"/>
  <c r="I542" i="7"/>
  <c r="G542" i="7"/>
  <c r="H542" i="7" s="1"/>
  <c r="V541" i="7"/>
  <c r="O541" i="7"/>
  <c r="N541" i="7"/>
  <c r="L541" i="7"/>
  <c r="J541" i="7"/>
  <c r="I541" i="7"/>
  <c r="H541" i="7"/>
  <c r="V540" i="7"/>
  <c r="O540" i="7"/>
  <c r="N540" i="7"/>
  <c r="L540" i="7"/>
  <c r="J540" i="7"/>
  <c r="I540" i="7"/>
  <c r="H540" i="7"/>
  <c r="V539" i="7"/>
  <c r="O539" i="7"/>
  <c r="N539" i="7"/>
  <c r="K539" i="7"/>
  <c r="J539" i="7"/>
  <c r="I539" i="7"/>
  <c r="G539" i="7"/>
  <c r="H539" i="7" s="1"/>
  <c r="V538" i="7"/>
  <c r="O538" i="7"/>
  <c r="N538" i="7"/>
  <c r="K538" i="7"/>
  <c r="J538" i="7"/>
  <c r="I538" i="7"/>
  <c r="H538" i="7"/>
  <c r="V537" i="7"/>
  <c r="O537" i="7"/>
  <c r="N537" i="7"/>
  <c r="K537" i="7"/>
  <c r="J537" i="7"/>
  <c r="I537" i="7"/>
  <c r="H537" i="7"/>
  <c r="V536" i="7"/>
  <c r="O536" i="7"/>
  <c r="N536" i="7"/>
  <c r="L536" i="7"/>
  <c r="J536" i="7"/>
  <c r="I536" i="7"/>
  <c r="G536" i="7"/>
  <c r="H536" i="7" s="1"/>
  <c r="V535" i="7"/>
  <c r="O535" i="7"/>
  <c r="N535" i="7"/>
  <c r="L535" i="7"/>
  <c r="J535" i="7"/>
  <c r="I535" i="7"/>
  <c r="H535" i="7"/>
  <c r="V534" i="7"/>
  <c r="O534" i="7"/>
  <c r="N534" i="7"/>
  <c r="L534" i="7"/>
  <c r="J534" i="7"/>
  <c r="I534" i="7"/>
  <c r="H534" i="7"/>
  <c r="V533" i="7"/>
  <c r="O533" i="7"/>
  <c r="N533" i="7"/>
  <c r="K533" i="7"/>
  <c r="J533" i="7"/>
  <c r="I533" i="7"/>
  <c r="G533" i="7"/>
  <c r="H533" i="7" s="1"/>
  <c r="V532" i="7"/>
  <c r="O532" i="7"/>
  <c r="N532" i="7"/>
  <c r="K532" i="7"/>
  <c r="J532" i="7"/>
  <c r="I532" i="7"/>
  <c r="H532" i="7"/>
  <c r="V531" i="7"/>
  <c r="O531" i="7"/>
  <c r="N531" i="7"/>
  <c r="K531" i="7"/>
  <c r="J531" i="7"/>
  <c r="I531" i="7"/>
  <c r="H531" i="7"/>
  <c r="AG530" i="7"/>
  <c r="AF530" i="7"/>
  <c r="AE530" i="7"/>
  <c r="AD530" i="7"/>
  <c r="AC530" i="7"/>
  <c r="AB530" i="7"/>
  <c r="AA530" i="7"/>
  <c r="Z530" i="7"/>
  <c r="Y530" i="7"/>
  <c r="X530" i="7"/>
  <c r="W530" i="7"/>
  <c r="B528" i="7"/>
  <c r="V523" i="7"/>
  <c r="V522" i="7"/>
  <c r="V521" i="7"/>
  <c r="V520" i="7"/>
  <c r="V519" i="7"/>
  <c r="V514" i="7"/>
  <c r="W513" i="7"/>
  <c r="V513" i="7"/>
  <c r="G513" i="7"/>
  <c r="N499" i="7" s="1"/>
  <c r="V511" i="7"/>
  <c r="AG510" i="7"/>
  <c r="AF510" i="7"/>
  <c r="AE510" i="7"/>
  <c r="AD510" i="7"/>
  <c r="AC510" i="7"/>
  <c r="AB510" i="7"/>
  <c r="AA510" i="7"/>
  <c r="Z510" i="7"/>
  <c r="Y510" i="7"/>
  <c r="X510" i="7"/>
  <c r="W510" i="7"/>
  <c r="V499" i="7"/>
  <c r="M499" i="7"/>
  <c r="L499" i="7"/>
  <c r="I499" i="7"/>
  <c r="H499" i="7"/>
  <c r="V498" i="7"/>
  <c r="N498" i="7"/>
  <c r="M498" i="7"/>
  <c r="L498" i="7"/>
  <c r="I498" i="7"/>
  <c r="H498" i="7"/>
  <c r="AG497" i="7"/>
  <c r="AF497" i="7"/>
  <c r="AE497" i="7"/>
  <c r="AD497" i="7"/>
  <c r="AC497" i="7"/>
  <c r="AB497" i="7"/>
  <c r="AA497" i="7"/>
  <c r="Z497" i="7"/>
  <c r="Y497" i="7"/>
  <c r="X497" i="7"/>
  <c r="W497" i="7"/>
  <c r="V495" i="7"/>
  <c r="V490" i="7"/>
  <c r="V489" i="7"/>
  <c r="V488" i="7"/>
  <c r="V487" i="7"/>
  <c r="V486" i="7"/>
  <c r="V485" i="7"/>
  <c r="V484" i="7"/>
  <c r="V483" i="7"/>
  <c r="V482" i="7"/>
  <c r="V481" i="7"/>
  <c r="V480" i="7"/>
  <c r="V479" i="7"/>
  <c r="V478" i="7"/>
  <c r="V477" i="7"/>
  <c r="V476" i="7"/>
  <c r="X475" i="7"/>
  <c r="V475" i="7"/>
  <c r="X474" i="7"/>
  <c r="W474" i="7"/>
  <c r="V474" i="7"/>
  <c r="G474" i="7"/>
  <c r="J457" i="7" s="1"/>
  <c r="V473" i="7"/>
  <c r="V472" i="7"/>
  <c r="AG471" i="7"/>
  <c r="AF471" i="7"/>
  <c r="AE471" i="7"/>
  <c r="AD471" i="7"/>
  <c r="AC471" i="7"/>
  <c r="AB471" i="7"/>
  <c r="AA471" i="7"/>
  <c r="Z471" i="7"/>
  <c r="Y471" i="7"/>
  <c r="X471" i="7"/>
  <c r="W471" i="7"/>
  <c r="V459" i="7"/>
  <c r="N459" i="7"/>
  <c r="M459" i="7"/>
  <c r="H459" i="7"/>
  <c r="V458" i="7"/>
  <c r="N458" i="7"/>
  <c r="M458" i="7"/>
  <c r="H458" i="7"/>
  <c r="V457" i="7"/>
  <c r="N457" i="7"/>
  <c r="M457" i="7"/>
  <c r="I457" i="7"/>
  <c r="F457" i="7" s="1"/>
  <c r="H457" i="7"/>
  <c r="AG456" i="7"/>
  <c r="AF456" i="7"/>
  <c r="AE456" i="7"/>
  <c r="AD456" i="7"/>
  <c r="AC456" i="7"/>
  <c r="AB456" i="7"/>
  <c r="AA456" i="7"/>
  <c r="Z456" i="7"/>
  <c r="Y456" i="7"/>
  <c r="X456" i="7"/>
  <c r="W456" i="7"/>
  <c r="V454" i="7"/>
  <c r="V450" i="7"/>
  <c r="AG441" i="7"/>
  <c r="AF441" i="7"/>
  <c r="AE441" i="7"/>
  <c r="AD441" i="7"/>
  <c r="AC441" i="7"/>
  <c r="AB441" i="7"/>
  <c r="AA441" i="7"/>
  <c r="Z441" i="7"/>
  <c r="Y441" i="7"/>
  <c r="X441" i="7"/>
  <c r="W441" i="7"/>
  <c r="V433" i="7"/>
  <c r="M433" i="7"/>
  <c r="L433" i="7"/>
  <c r="J433" i="7"/>
  <c r="I433" i="7"/>
  <c r="H433" i="7"/>
  <c r="AG432" i="7"/>
  <c r="AF432" i="7"/>
  <c r="AE432" i="7"/>
  <c r="AD432" i="7"/>
  <c r="AC432" i="7"/>
  <c r="AB432" i="7"/>
  <c r="AA432" i="7"/>
  <c r="Z432" i="7"/>
  <c r="Y432" i="7"/>
  <c r="X432" i="7"/>
  <c r="W432" i="7"/>
  <c r="V430" i="7"/>
  <c r="E427" i="7"/>
  <c r="E452" i="7" s="1"/>
  <c r="E492" i="7" s="1"/>
  <c r="E525" i="7" s="1"/>
  <c r="E637" i="7" s="1"/>
  <c r="E677" i="7" s="1"/>
  <c r="E717" i="7" s="1"/>
  <c r="E871" i="7" s="1"/>
  <c r="D427" i="7"/>
  <c r="V427" i="7" s="1"/>
  <c r="E426" i="7"/>
  <c r="E451" i="7" s="1"/>
  <c r="E491" i="7" s="1"/>
  <c r="E524" i="7" s="1"/>
  <c r="E636" i="7" s="1"/>
  <c r="E676" i="7" s="1"/>
  <c r="E716" i="7" s="1"/>
  <c r="D426" i="7"/>
  <c r="D451" i="7" s="1"/>
  <c r="V425" i="7"/>
  <c r="V424" i="7"/>
  <c r="V423" i="7"/>
  <c r="V422" i="7"/>
  <c r="V421" i="7"/>
  <c r="V420" i="7"/>
  <c r="V419" i="7"/>
  <c r="W418" i="7"/>
  <c r="V418" i="7"/>
  <c r="F418" i="7"/>
  <c r="V417" i="7"/>
  <c r="V416" i="7"/>
  <c r="AG415" i="7"/>
  <c r="AF415" i="7"/>
  <c r="AE415" i="7"/>
  <c r="AD415" i="7"/>
  <c r="AC415" i="7"/>
  <c r="AB415" i="7"/>
  <c r="AA415" i="7"/>
  <c r="Z415" i="7"/>
  <c r="Y415" i="7"/>
  <c r="X415" i="7"/>
  <c r="W415" i="7"/>
  <c r="V407" i="7"/>
  <c r="M407" i="7"/>
  <c r="L407" i="7"/>
  <c r="I407" i="7"/>
  <c r="H407" i="7"/>
  <c r="AG406" i="7"/>
  <c r="AF406" i="7"/>
  <c r="AE406" i="7"/>
  <c r="AD406" i="7"/>
  <c r="AC406" i="7"/>
  <c r="AB406" i="7"/>
  <c r="AA406" i="7"/>
  <c r="Z406" i="7"/>
  <c r="Y406" i="7"/>
  <c r="X406" i="7"/>
  <c r="W406" i="7"/>
  <c r="V404" i="7"/>
  <c r="D371" i="7"/>
  <c r="V371" i="7" s="1"/>
  <c r="V341" i="7"/>
  <c r="V311" i="7"/>
  <c r="V310" i="7"/>
  <c r="V309" i="7"/>
  <c r="V308" i="7"/>
  <c r="W307" i="7"/>
  <c r="F307" i="7"/>
  <c r="W306" i="7"/>
  <c r="W305" i="7"/>
  <c r="F305" i="7"/>
  <c r="W304" i="7"/>
  <c r="W303" i="7"/>
  <c r="W302" i="7"/>
  <c r="W301" i="7"/>
  <c r="F301" i="7"/>
  <c r="W300" i="7"/>
  <c r="W299" i="7"/>
  <c r="F299" i="7"/>
  <c r="W298" i="7"/>
  <c r="W297" i="7"/>
  <c r="W296" i="7"/>
  <c r="W295" i="7"/>
  <c r="F295" i="7"/>
  <c r="W294" i="7"/>
  <c r="W293" i="7"/>
  <c r="F293" i="7"/>
  <c r="W292" i="7"/>
  <c r="W291" i="7"/>
  <c r="W290" i="7"/>
  <c r="W289" i="7"/>
  <c r="F289" i="7"/>
  <c r="W288" i="7"/>
  <c r="W287" i="7"/>
  <c r="F287" i="7"/>
  <c r="W286" i="7"/>
  <c r="W285" i="7"/>
  <c r="W284" i="7"/>
  <c r="W283" i="7"/>
  <c r="F283" i="7"/>
  <c r="W282" i="7"/>
  <c r="W281" i="7"/>
  <c r="F281" i="7"/>
  <c r="W280" i="7"/>
  <c r="W279" i="7"/>
  <c r="W278" i="7"/>
  <c r="V278" i="7"/>
  <c r="F278" i="7"/>
  <c r="W276" i="7"/>
  <c r="F276" i="7"/>
  <c r="W273" i="7"/>
  <c r="F273" i="7"/>
  <c r="W270" i="7"/>
  <c r="F270" i="7"/>
  <c r="W267" i="7"/>
  <c r="F267" i="7"/>
  <c r="W264" i="7"/>
  <c r="F264" i="7"/>
  <c r="W261" i="7"/>
  <c r="F261" i="7"/>
  <c r="W258" i="7"/>
  <c r="F258" i="7"/>
  <c r="W255" i="7"/>
  <c r="F255" i="7"/>
  <c r="W252" i="7"/>
  <c r="F252" i="7"/>
  <c r="F282" i="7" s="1"/>
  <c r="W249" i="7"/>
  <c r="F249" i="7"/>
  <c r="V248" i="7"/>
  <c r="V247" i="7"/>
  <c r="V246" i="7"/>
  <c r="V245" i="7"/>
  <c r="W241" i="7"/>
  <c r="F241" i="7"/>
  <c r="N112" i="7" s="1"/>
  <c r="W240" i="7"/>
  <c r="F240" i="7"/>
  <c r="W239" i="7"/>
  <c r="F239" i="7"/>
  <c r="J110" i="7" s="1"/>
  <c r="W235" i="7"/>
  <c r="F235" i="7"/>
  <c r="W234" i="7"/>
  <c r="F234" i="7"/>
  <c r="W233" i="7"/>
  <c r="F233" i="7"/>
  <c r="W229" i="7"/>
  <c r="F229" i="7"/>
  <c r="W228" i="7"/>
  <c r="F228" i="7"/>
  <c r="W227" i="7"/>
  <c r="F227" i="7"/>
  <c r="F290" i="7" s="1"/>
  <c r="W223" i="7"/>
  <c r="F223" i="7"/>
  <c r="W222" i="7"/>
  <c r="F222" i="7"/>
  <c r="W221" i="7"/>
  <c r="F221" i="7"/>
  <c r="W217" i="7"/>
  <c r="F217" i="7"/>
  <c r="W216" i="7"/>
  <c r="F216" i="7"/>
  <c r="W215" i="7"/>
  <c r="V215" i="7"/>
  <c r="F215" i="7"/>
  <c r="V185" i="7"/>
  <c r="V155" i="7"/>
  <c r="V125" i="7"/>
  <c r="AG124" i="7"/>
  <c r="AF124" i="7"/>
  <c r="AE124" i="7"/>
  <c r="AD124" i="7"/>
  <c r="AC124" i="7"/>
  <c r="AB124" i="7"/>
  <c r="AA124" i="7"/>
  <c r="Z124" i="7"/>
  <c r="Y124" i="7"/>
  <c r="X124" i="7"/>
  <c r="W124" i="7"/>
  <c r="V115" i="7"/>
  <c r="N115" i="7"/>
  <c r="M115" i="7"/>
  <c r="L115" i="7"/>
  <c r="J115" i="7"/>
  <c r="I115" i="7"/>
  <c r="H115" i="7"/>
  <c r="V114" i="7"/>
  <c r="N114" i="7"/>
  <c r="M114" i="7"/>
  <c r="L114" i="7"/>
  <c r="J114" i="7"/>
  <c r="H114" i="7"/>
  <c r="V113" i="7"/>
  <c r="N113" i="7"/>
  <c r="M113" i="7"/>
  <c r="L113" i="7"/>
  <c r="J113" i="7"/>
  <c r="I113" i="7"/>
  <c r="H113" i="7"/>
  <c r="F113" i="7"/>
  <c r="V112" i="7"/>
  <c r="M112" i="7"/>
  <c r="L112" i="7"/>
  <c r="J112" i="7"/>
  <c r="H112" i="7"/>
  <c r="V111" i="7"/>
  <c r="M111" i="7"/>
  <c r="L111" i="7"/>
  <c r="H111" i="7"/>
  <c r="V110" i="7"/>
  <c r="N110" i="7"/>
  <c r="M110" i="7"/>
  <c r="L110" i="7"/>
  <c r="H110" i="7"/>
  <c r="V109" i="7"/>
  <c r="N109" i="7"/>
  <c r="M109" i="7"/>
  <c r="L109" i="7"/>
  <c r="J109" i="7"/>
  <c r="I109" i="7"/>
  <c r="H109" i="7"/>
  <c r="V108" i="7"/>
  <c r="N108" i="7"/>
  <c r="M108" i="7"/>
  <c r="L108" i="7"/>
  <c r="J108" i="7"/>
  <c r="H108" i="7"/>
  <c r="V107" i="7"/>
  <c r="N107" i="7"/>
  <c r="M107" i="7"/>
  <c r="L107" i="7"/>
  <c r="J107" i="7"/>
  <c r="F107" i="7" s="1"/>
  <c r="K107" i="7" s="1"/>
  <c r="I107" i="7"/>
  <c r="H107" i="7"/>
  <c r="V106" i="7"/>
  <c r="M106" i="7"/>
  <c r="L106" i="7"/>
  <c r="H106" i="7"/>
  <c r="V105" i="7"/>
  <c r="M105" i="7"/>
  <c r="L105" i="7"/>
  <c r="H105" i="7"/>
  <c r="V104" i="7"/>
  <c r="M104" i="7"/>
  <c r="L104" i="7"/>
  <c r="H104" i="7"/>
  <c r="V103" i="7"/>
  <c r="N103" i="7"/>
  <c r="M103" i="7"/>
  <c r="L103" i="7"/>
  <c r="J103" i="7"/>
  <c r="I103" i="7"/>
  <c r="H103" i="7"/>
  <c r="V102" i="7"/>
  <c r="N102" i="7"/>
  <c r="M102" i="7"/>
  <c r="L102" i="7"/>
  <c r="J102" i="7"/>
  <c r="H102" i="7"/>
  <c r="V101" i="7"/>
  <c r="N101" i="7"/>
  <c r="M101" i="7"/>
  <c r="L101" i="7"/>
  <c r="J101" i="7"/>
  <c r="I101" i="7"/>
  <c r="H101" i="7"/>
  <c r="V100" i="7"/>
  <c r="N100" i="7"/>
  <c r="M100" i="7"/>
  <c r="L100" i="7"/>
  <c r="J100" i="7"/>
  <c r="H100" i="7"/>
  <c r="V99" i="7"/>
  <c r="M99" i="7"/>
  <c r="L99" i="7"/>
  <c r="H99" i="7"/>
  <c r="V98" i="7"/>
  <c r="N98" i="7"/>
  <c r="M98" i="7"/>
  <c r="L98" i="7"/>
  <c r="J98" i="7"/>
  <c r="I98" i="7"/>
  <c r="H98" i="7"/>
  <c r="V97" i="7"/>
  <c r="N97" i="7"/>
  <c r="M97" i="7"/>
  <c r="L97" i="7"/>
  <c r="J97" i="7"/>
  <c r="I97" i="7"/>
  <c r="H97" i="7"/>
  <c r="V96" i="7"/>
  <c r="N96" i="7"/>
  <c r="M96" i="7"/>
  <c r="L96" i="7"/>
  <c r="J96" i="7"/>
  <c r="H96" i="7"/>
  <c r="V95" i="7"/>
  <c r="N95" i="7"/>
  <c r="M95" i="7"/>
  <c r="L95" i="7"/>
  <c r="J95" i="7"/>
  <c r="I95" i="7"/>
  <c r="H95" i="7"/>
  <c r="V94" i="7"/>
  <c r="N94" i="7"/>
  <c r="M94" i="7"/>
  <c r="L94" i="7"/>
  <c r="H94" i="7"/>
  <c r="V93" i="7"/>
  <c r="N93" i="7"/>
  <c r="M93" i="7"/>
  <c r="L93" i="7"/>
  <c r="J93" i="7"/>
  <c r="H93" i="7"/>
  <c r="V92" i="7"/>
  <c r="N92" i="7"/>
  <c r="M92" i="7"/>
  <c r="L92" i="7"/>
  <c r="J92" i="7"/>
  <c r="H92" i="7"/>
  <c r="V91" i="7"/>
  <c r="N91" i="7"/>
  <c r="M91" i="7"/>
  <c r="L91" i="7"/>
  <c r="J91" i="7"/>
  <c r="I91" i="7"/>
  <c r="H91" i="7"/>
  <c r="V90" i="7"/>
  <c r="N90" i="7"/>
  <c r="M90" i="7"/>
  <c r="L90" i="7"/>
  <c r="J90" i="7"/>
  <c r="I90" i="7"/>
  <c r="H90" i="7"/>
  <c r="V89" i="7"/>
  <c r="N89" i="7"/>
  <c r="M89" i="7"/>
  <c r="L89" i="7"/>
  <c r="J89" i="7"/>
  <c r="I89" i="7"/>
  <c r="H89" i="7"/>
  <c r="V88" i="7"/>
  <c r="N88" i="7"/>
  <c r="M88" i="7"/>
  <c r="L88" i="7"/>
  <c r="J88" i="7"/>
  <c r="H88" i="7"/>
  <c r="V87" i="7"/>
  <c r="M87" i="7"/>
  <c r="L87" i="7"/>
  <c r="H87" i="7"/>
  <c r="V86" i="7"/>
  <c r="N86" i="7"/>
  <c r="M86" i="7"/>
  <c r="L86" i="7"/>
  <c r="J86" i="7"/>
  <c r="I86" i="7"/>
  <c r="H86" i="7"/>
  <c r="AG85" i="7"/>
  <c r="AF85" i="7"/>
  <c r="AE85" i="7"/>
  <c r="AD85" i="7"/>
  <c r="AC85" i="7"/>
  <c r="AB85" i="7"/>
  <c r="AA85" i="7"/>
  <c r="Z85" i="7"/>
  <c r="Y85" i="7"/>
  <c r="X85" i="7"/>
  <c r="W85" i="7"/>
  <c r="V83" i="7"/>
  <c r="D76" i="7"/>
  <c r="V76" i="7" s="1"/>
  <c r="D75" i="7"/>
  <c r="V75" i="7" s="1"/>
  <c r="V70" i="7"/>
  <c r="W69" i="7"/>
  <c r="W475" i="7" s="1"/>
  <c r="F69" i="7"/>
  <c r="W66" i="7"/>
  <c r="F66" i="7"/>
  <c r="M48" i="7" s="1"/>
  <c r="W65" i="7"/>
  <c r="V65" i="7"/>
  <c r="F65" i="7"/>
  <c r="V60" i="7"/>
  <c r="AG59" i="7"/>
  <c r="AF59" i="7"/>
  <c r="AE59" i="7"/>
  <c r="AD59" i="7"/>
  <c r="AC59" i="7"/>
  <c r="AB59" i="7"/>
  <c r="AA59" i="7"/>
  <c r="Z59" i="7"/>
  <c r="Y59" i="7"/>
  <c r="X59" i="7"/>
  <c r="W59" i="7"/>
  <c r="V51" i="7"/>
  <c r="M51" i="7"/>
  <c r="L51" i="7"/>
  <c r="I51" i="7"/>
  <c r="H51" i="7"/>
  <c r="V50" i="7"/>
  <c r="N50" i="7"/>
  <c r="M50" i="7"/>
  <c r="L50" i="7"/>
  <c r="J50" i="7"/>
  <c r="I50" i="7"/>
  <c r="H50" i="7"/>
  <c r="V49" i="7"/>
  <c r="N49" i="7"/>
  <c r="M49" i="7"/>
  <c r="L49" i="7"/>
  <c r="J49" i="7"/>
  <c r="I49" i="7"/>
  <c r="H49" i="7"/>
  <c r="V48" i="7"/>
  <c r="N48" i="7"/>
  <c r="L48" i="7"/>
  <c r="J48" i="7"/>
  <c r="I48" i="7"/>
  <c r="H48" i="7"/>
  <c r="V47" i="7"/>
  <c r="N47" i="7"/>
  <c r="M47" i="7"/>
  <c r="L47" i="7"/>
  <c r="J47" i="7"/>
  <c r="I47" i="7"/>
  <c r="H47" i="7"/>
  <c r="AG46" i="7"/>
  <c r="AF46" i="7"/>
  <c r="AE46" i="7"/>
  <c r="AD46" i="7"/>
  <c r="AC46" i="7"/>
  <c r="AB46" i="7"/>
  <c r="AA46" i="7"/>
  <c r="Z46" i="7"/>
  <c r="Y46" i="7"/>
  <c r="X46" i="7"/>
  <c r="W46" i="7"/>
  <c r="V44" i="7"/>
  <c r="V34" i="7"/>
  <c r="V33" i="7"/>
  <c r="V32" i="7"/>
  <c r="W31" i="7"/>
  <c r="F11" i="7"/>
  <c r="W30" i="7"/>
  <c r="W29" i="7"/>
  <c r="W28" i="7"/>
  <c r="F7" i="7" s="1"/>
  <c r="V28" i="7"/>
  <c r="F12" i="7"/>
  <c r="V24" i="7"/>
  <c r="V22" i="7"/>
  <c r="V21" i="7"/>
  <c r="AG20" i="7"/>
  <c r="AF20" i="7"/>
  <c r="AE20" i="7"/>
  <c r="AD20" i="7"/>
  <c r="AC20" i="7"/>
  <c r="AB20" i="7"/>
  <c r="AA20" i="7"/>
  <c r="Z20" i="7"/>
  <c r="Y20" i="7"/>
  <c r="X20" i="7"/>
  <c r="W20" i="7"/>
  <c r="K14" i="7"/>
  <c r="J14" i="7"/>
  <c r="H14" i="7"/>
  <c r="F14" i="7"/>
  <c r="K13" i="7"/>
  <c r="J13" i="7"/>
  <c r="H13" i="7"/>
  <c r="F13" i="7"/>
  <c r="K12" i="7"/>
  <c r="J12" i="7"/>
  <c r="H12" i="7"/>
  <c r="K11" i="7"/>
  <c r="J11" i="7"/>
  <c r="H11" i="7"/>
  <c r="K10" i="7"/>
  <c r="J10" i="7"/>
  <c r="H10" i="7"/>
  <c r="K9" i="7"/>
  <c r="J9" i="7"/>
  <c r="H9" i="7"/>
  <c r="K8" i="7"/>
  <c r="J8" i="7"/>
  <c r="H8" i="7"/>
  <c r="F8" i="7"/>
  <c r="V7" i="7"/>
  <c r="V8" i="7" s="1"/>
  <c r="V9" i="7" s="1"/>
  <c r="V10" i="7" s="1"/>
  <c r="V11" i="7" s="1"/>
  <c r="V12" i="7" s="1"/>
  <c r="V13" i="7" s="1"/>
  <c r="V14" i="7" s="1"/>
  <c r="K7" i="7"/>
  <c r="J7" i="7"/>
  <c r="H7" i="7"/>
  <c r="I7" i="7" s="1"/>
  <c r="V4" i="7"/>
  <c r="F2089" i="6"/>
  <c r="F2088" i="6"/>
  <c r="F2087" i="6"/>
  <c r="F2086" i="6"/>
  <c r="F2085" i="6"/>
  <c r="F2084" i="6"/>
  <c r="F2083" i="6"/>
  <c r="F2082" i="6"/>
  <c r="F2081" i="6"/>
  <c r="F2080" i="6"/>
  <c r="F2079" i="6"/>
  <c r="F2078" i="6"/>
  <c r="F2077" i="6"/>
  <c r="F2076" i="6"/>
  <c r="F2075" i="6"/>
  <c r="F2074" i="6"/>
  <c r="F2073" i="6"/>
  <c r="F2072" i="6"/>
  <c r="F2071" i="6"/>
  <c r="F2070" i="6"/>
  <c r="F2069" i="6"/>
  <c r="F2068" i="6"/>
  <c r="F2067" i="6"/>
  <c r="F2066" i="6"/>
  <c r="F2065" i="6"/>
  <c r="F2064" i="6"/>
  <c r="F2063" i="6"/>
  <c r="F2062" i="6"/>
  <c r="F2061" i="6"/>
  <c r="F2060" i="6"/>
  <c r="F2059" i="6"/>
  <c r="F2058" i="6"/>
  <c r="F2057" i="6"/>
  <c r="F2056" i="6"/>
  <c r="F2055" i="6"/>
  <c r="F2054" i="6"/>
  <c r="F2053" i="6"/>
  <c r="F2052" i="6"/>
  <c r="F2051" i="6"/>
  <c r="F2050" i="6"/>
  <c r="F2049" i="6"/>
  <c r="F2048" i="6"/>
  <c r="F2047" i="6"/>
  <c r="F2046" i="6"/>
  <c r="F2045" i="6"/>
  <c r="F2044" i="6"/>
  <c r="F2043" i="6"/>
  <c r="F2042" i="6"/>
  <c r="F2041" i="6"/>
  <c r="F2040" i="6"/>
  <c r="F2039" i="6"/>
  <c r="F2038" i="6"/>
  <c r="F2037" i="6"/>
  <c r="F2036" i="6"/>
  <c r="F2035" i="6"/>
  <c r="F2034" i="6"/>
  <c r="F2033" i="6"/>
  <c r="F2032" i="6"/>
  <c r="F2031" i="6"/>
  <c r="F2030" i="6"/>
  <c r="F2029" i="6"/>
  <c r="F2028" i="6"/>
  <c r="F2027" i="6"/>
  <c r="F2026" i="6"/>
  <c r="F2025" i="6"/>
  <c r="F2024" i="6"/>
  <c r="F2023" i="6"/>
  <c r="F2022" i="6"/>
  <c r="F2021" i="6"/>
  <c r="F2020" i="6"/>
  <c r="F2019" i="6"/>
  <c r="F2018" i="6"/>
  <c r="F2017" i="6"/>
  <c r="F2016" i="6"/>
  <c r="F2015" i="6"/>
  <c r="F2014" i="6"/>
  <c r="F2013" i="6"/>
  <c r="F2012" i="6"/>
  <c r="F2011" i="6"/>
  <c r="F2010" i="6"/>
  <c r="F2009" i="6"/>
  <c r="F2008" i="6"/>
  <c r="F2007" i="6"/>
  <c r="F2006" i="6"/>
  <c r="F2005" i="6"/>
  <c r="F2004" i="6"/>
  <c r="F2003" i="6"/>
  <c r="F2002" i="6"/>
  <c r="F2001" i="6"/>
  <c r="F2000" i="6"/>
  <c r="F1999" i="6"/>
  <c r="F1998" i="6"/>
  <c r="F1997" i="6"/>
  <c r="F1996" i="6"/>
  <c r="F1995" i="6"/>
  <c r="F1994" i="6"/>
  <c r="F1993" i="6"/>
  <c r="F1992" i="6"/>
  <c r="F1991" i="6"/>
  <c r="F1990" i="6"/>
  <c r="F1989" i="6"/>
  <c r="F1988" i="6"/>
  <c r="F1987" i="6"/>
  <c r="F1986" i="6"/>
  <c r="F1985" i="6"/>
  <c r="F1984" i="6"/>
  <c r="F1983" i="6"/>
  <c r="F1982" i="6"/>
  <c r="F1981" i="6"/>
  <c r="F1980" i="6"/>
  <c r="F1979" i="6"/>
  <c r="F1978" i="6"/>
  <c r="F1977" i="6"/>
  <c r="F1976" i="6"/>
  <c r="F1975" i="6"/>
  <c r="F1974" i="6"/>
  <c r="F1973" i="6"/>
  <c r="F1972" i="6"/>
  <c r="F1971" i="6"/>
  <c r="F1970" i="6"/>
  <c r="F1969" i="6"/>
  <c r="F1968" i="6"/>
  <c r="F1967" i="6"/>
  <c r="F1966" i="6"/>
  <c r="F1965" i="6"/>
  <c r="F1964" i="6"/>
  <c r="F1963" i="6"/>
  <c r="F1962" i="6"/>
  <c r="F1961" i="6"/>
  <c r="F1960" i="6"/>
  <c r="F1959" i="6"/>
  <c r="F1958" i="6"/>
  <c r="F1957" i="6"/>
  <c r="F1956" i="6"/>
  <c r="F1955" i="6"/>
  <c r="F1954" i="6"/>
  <c r="F1953" i="6"/>
  <c r="F1952" i="6"/>
  <c r="F1951" i="6"/>
  <c r="F1950" i="6"/>
  <c r="F1949" i="6"/>
  <c r="F1948" i="6"/>
  <c r="F1947" i="6"/>
  <c r="F1946" i="6"/>
  <c r="F1945" i="6"/>
  <c r="F1944" i="6"/>
  <c r="F1943" i="6"/>
  <c r="F1942" i="6"/>
  <c r="F1941" i="6"/>
  <c r="F1940" i="6"/>
  <c r="F1939" i="6"/>
  <c r="F1938" i="6"/>
  <c r="F1937" i="6"/>
  <c r="F1936" i="6"/>
  <c r="F1935" i="6"/>
  <c r="F1934" i="6"/>
  <c r="F1933" i="6"/>
  <c r="F1932" i="6"/>
  <c r="F1931" i="6"/>
  <c r="F1930" i="6"/>
  <c r="F1929" i="6"/>
  <c r="F1928" i="6"/>
  <c r="F1927" i="6"/>
  <c r="F1926" i="6"/>
  <c r="F1925" i="6"/>
  <c r="F1924" i="6"/>
  <c r="F1923" i="6"/>
  <c r="F1922" i="6"/>
  <c r="F1921" i="6"/>
  <c r="F1920" i="6"/>
  <c r="F1919" i="6"/>
  <c r="F1918" i="6"/>
  <c r="F1917" i="6"/>
  <c r="F1916" i="6"/>
  <c r="F1915" i="6"/>
  <c r="F1914" i="6"/>
  <c r="F1913" i="6"/>
  <c r="F1912" i="6"/>
  <c r="F1911" i="6"/>
  <c r="F1910" i="6"/>
  <c r="F1909" i="6"/>
  <c r="F1908" i="6"/>
  <c r="F1907" i="6"/>
  <c r="F1906" i="6"/>
  <c r="F1905" i="6"/>
  <c r="F1904" i="6"/>
  <c r="F1903" i="6"/>
  <c r="F1902" i="6"/>
  <c r="F1901" i="6"/>
  <c r="F1900" i="6"/>
  <c r="F1899" i="6"/>
  <c r="F1898" i="6"/>
  <c r="F1897" i="6"/>
  <c r="F1896" i="6"/>
  <c r="F1895" i="6"/>
  <c r="F1894" i="6"/>
  <c r="F1893" i="6"/>
  <c r="F1892" i="6"/>
  <c r="F1891" i="6"/>
  <c r="F1890" i="6"/>
  <c r="F1889" i="6"/>
  <c r="F1888" i="6"/>
  <c r="F1887" i="6"/>
  <c r="F1886" i="6"/>
  <c r="F1885" i="6"/>
  <c r="F1884" i="6"/>
  <c r="F1883" i="6"/>
  <c r="F1882" i="6"/>
  <c r="F1881" i="6"/>
  <c r="F1880" i="6"/>
  <c r="F1879" i="6"/>
  <c r="F1878" i="6"/>
  <c r="F1877" i="6"/>
  <c r="F1876" i="6"/>
  <c r="F1875" i="6"/>
  <c r="F1874" i="6"/>
  <c r="F1873" i="6"/>
  <c r="F1872" i="6"/>
  <c r="F1871" i="6"/>
  <c r="F1870" i="6"/>
  <c r="F1869" i="6"/>
  <c r="F1868" i="6"/>
  <c r="F1867" i="6"/>
  <c r="F1866" i="6"/>
  <c r="F1865" i="6"/>
  <c r="F1864" i="6"/>
  <c r="F1863" i="6"/>
  <c r="F1862" i="6"/>
  <c r="F1861" i="6"/>
  <c r="F1860" i="6"/>
  <c r="F1859" i="6"/>
  <c r="F1858" i="6"/>
  <c r="F1857" i="6"/>
  <c r="F1856" i="6"/>
  <c r="F1855" i="6"/>
  <c r="F1854" i="6"/>
  <c r="F1853" i="6"/>
  <c r="F1852" i="6"/>
  <c r="F1851" i="6"/>
  <c r="F1850" i="6"/>
  <c r="F1849" i="6"/>
  <c r="F1848" i="6"/>
  <c r="F1847" i="6"/>
  <c r="F1846" i="6"/>
  <c r="F1845" i="6"/>
  <c r="F1844" i="6"/>
  <c r="F1843" i="6"/>
  <c r="F1842" i="6"/>
  <c r="F1841" i="6"/>
  <c r="F1840" i="6"/>
  <c r="F1839" i="6"/>
  <c r="F1838" i="6"/>
  <c r="F1837" i="6"/>
  <c r="F1836" i="6"/>
  <c r="F1835" i="6"/>
  <c r="F1834" i="6"/>
  <c r="F1833" i="6"/>
  <c r="F1832" i="6"/>
  <c r="F1831" i="6"/>
  <c r="F1830" i="6"/>
  <c r="F1829" i="6"/>
  <c r="F1828" i="6"/>
  <c r="F1827" i="6"/>
  <c r="F1826" i="6"/>
  <c r="F1825" i="6"/>
  <c r="F1824" i="6"/>
  <c r="F1823" i="6"/>
  <c r="F1822" i="6"/>
  <c r="F1821" i="6"/>
  <c r="F1820" i="6"/>
  <c r="F1819" i="6"/>
  <c r="F1818" i="6"/>
  <c r="F1817" i="6"/>
  <c r="F1816" i="6"/>
  <c r="F1815" i="6"/>
  <c r="F1814" i="6"/>
  <c r="F1813" i="6"/>
  <c r="F1812" i="6"/>
  <c r="F1811" i="6"/>
  <c r="F1810" i="6"/>
  <c r="F1809" i="6"/>
  <c r="F1808" i="6"/>
  <c r="F1807" i="6"/>
  <c r="F1806" i="6"/>
  <c r="F1805" i="6"/>
  <c r="F1804" i="6"/>
  <c r="F1803" i="6"/>
  <c r="F1802" i="6"/>
  <c r="F1801" i="6"/>
  <c r="F1800" i="6"/>
  <c r="F1799" i="6"/>
  <c r="F1798" i="6"/>
  <c r="F1797" i="6"/>
  <c r="F1796" i="6"/>
  <c r="F1795" i="6"/>
  <c r="F1794" i="6"/>
  <c r="F1793" i="6"/>
  <c r="F1792" i="6"/>
  <c r="F1791" i="6"/>
  <c r="F1790" i="6"/>
  <c r="F1789" i="6"/>
  <c r="F1788" i="6"/>
  <c r="F1787" i="6"/>
  <c r="F1786" i="6"/>
  <c r="F1785" i="6"/>
  <c r="F1784" i="6"/>
  <c r="F1783" i="6"/>
  <c r="F1782" i="6"/>
  <c r="F1781" i="6"/>
  <c r="F1780" i="6"/>
  <c r="F1779" i="6"/>
  <c r="F1778" i="6"/>
  <c r="F1777" i="6"/>
  <c r="F1776" i="6"/>
  <c r="F1775" i="6"/>
  <c r="F1774" i="6"/>
  <c r="F1773" i="6"/>
  <c r="F1772" i="6"/>
  <c r="F1771" i="6"/>
  <c r="F1770" i="6"/>
  <c r="F1769" i="6"/>
  <c r="F1768" i="6"/>
  <c r="F1767" i="6"/>
  <c r="F1766" i="6"/>
  <c r="F1765" i="6"/>
  <c r="F1764" i="6"/>
  <c r="F1763" i="6"/>
  <c r="F1762" i="6"/>
  <c r="F1761" i="6"/>
  <c r="F1760" i="6"/>
  <c r="F1759" i="6"/>
  <c r="F1758" i="6"/>
  <c r="F1757" i="6"/>
  <c r="F1756" i="6"/>
  <c r="F1755" i="6"/>
  <c r="F1754" i="6"/>
  <c r="F1753" i="6"/>
  <c r="F1752" i="6"/>
  <c r="F1751" i="6"/>
  <c r="F1750" i="6"/>
  <c r="F1749" i="6"/>
  <c r="F1748" i="6"/>
  <c r="F1747" i="6"/>
  <c r="F1746" i="6"/>
  <c r="F1745" i="6"/>
  <c r="F1744" i="6"/>
  <c r="F1743" i="6"/>
  <c r="F1742" i="6"/>
  <c r="F1741" i="6"/>
  <c r="F1740" i="6"/>
  <c r="F1739" i="6"/>
  <c r="F1738" i="6"/>
  <c r="F1737" i="6"/>
  <c r="F1736" i="6"/>
  <c r="F1735" i="6"/>
  <c r="F1734" i="6"/>
  <c r="F1733" i="6"/>
  <c r="F1732" i="6"/>
  <c r="F1731" i="6"/>
  <c r="F1730" i="6"/>
  <c r="F1729" i="6"/>
  <c r="F1728" i="6"/>
  <c r="F1727" i="6"/>
  <c r="F1726" i="6"/>
  <c r="F1725" i="6"/>
  <c r="F1724" i="6"/>
  <c r="F1723" i="6"/>
  <c r="F1722" i="6"/>
  <c r="F1721" i="6"/>
  <c r="F1720" i="6"/>
  <c r="F1719" i="6"/>
  <c r="F1718" i="6"/>
  <c r="F1717" i="6"/>
  <c r="F1716" i="6"/>
  <c r="F1715" i="6"/>
  <c r="F1714" i="6"/>
  <c r="F1713" i="6"/>
  <c r="F1712" i="6"/>
  <c r="F1711" i="6"/>
  <c r="F1710" i="6"/>
  <c r="F1709" i="6"/>
  <c r="F1708" i="6"/>
  <c r="F1707" i="6"/>
  <c r="F1706" i="6"/>
  <c r="F1705" i="6"/>
  <c r="F1704" i="6"/>
  <c r="F1703" i="6"/>
  <c r="F1702" i="6"/>
  <c r="F1701" i="6"/>
  <c r="F1700" i="6"/>
  <c r="F1699" i="6"/>
  <c r="F1698" i="6"/>
  <c r="F1697" i="6"/>
  <c r="F1696" i="6"/>
  <c r="F1695" i="6"/>
  <c r="F1694" i="6"/>
  <c r="F1693" i="6"/>
  <c r="F1692" i="6"/>
  <c r="F1691" i="6"/>
  <c r="F1690" i="6"/>
  <c r="F1689" i="6"/>
  <c r="F1688" i="6"/>
  <c r="F1687" i="6"/>
  <c r="F1686" i="6"/>
  <c r="F1685" i="6"/>
  <c r="F1684" i="6"/>
  <c r="F1683" i="6"/>
  <c r="F1682" i="6"/>
  <c r="F1681" i="6"/>
  <c r="F1680" i="6"/>
  <c r="F1679" i="6"/>
  <c r="F1678" i="6"/>
  <c r="F1677" i="6"/>
  <c r="F1676" i="6"/>
  <c r="F1675" i="6"/>
  <c r="F1674" i="6"/>
  <c r="F1673" i="6"/>
  <c r="F1672" i="6"/>
  <c r="F1671" i="6"/>
  <c r="F1670" i="6"/>
  <c r="F1669" i="6"/>
  <c r="F1668" i="6"/>
  <c r="F1667" i="6"/>
  <c r="F1666" i="6"/>
  <c r="F1665" i="6"/>
  <c r="F1664" i="6"/>
  <c r="F1663" i="6"/>
  <c r="F1662" i="6"/>
  <c r="F1661" i="6"/>
  <c r="F1660" i="6"/>
  <c r="F1659" i="6"/>
  <c r="F1658" i="6"/>
  <c r="F1657" i="6"/>
  <c r="F1656" i="6"/>
  <c r="F1655" i="6"/>
  <c r="F1654" i="6"/>
  <c r="F1653" i="6"/>
  <c r="F1652" i="6"/>
  <c r="F1651" i="6"/>
  <c r="F1650" i="6"/>
  <c r="F1649" i="6"/>
  <c r="F1648" i="6"/>
  <c r="F1647" i="6"/>
  <c r="F1646" i="6"/>
  <c r="F1645" i="6"/>
  <c r="F1644" i="6"/>
  <c r="F1643" i="6"/>
  <c r="F1642" i="6"/>
  <c r="F1641" i="6"/>
  <c r="F1640" i="6"/>
  <c r="F1639" i="6"/>
  <c r="F1638" i="6"/>
  <c r="F1637" i="6"/>
  <c r="F1636" i="6"/>
  <c r="F1635" i="6"/>
  <c r="F1634" i="6"/>
  <c r="F1633" i="6"/>
  <c r="F1632" i="6"/>
  <c r="F1631" i="6"/>
  <c r="F1630" i="6"/>
  <c r="F1629" i="6"/>
  <c r="F1628" i="6"/>
  <c r="F1627" i="6"/>
  <c r="F1626" i="6"/>
  <c r="F1625" i="6"/>
  <c r="F1624" i="6"/>
  <c r="F1623" i="6"/>
  <c r="F1622" i="6"/>
  <c r="F1621" i="6"/>
  <c r="F1620" i="6"/>
  <c r="F1619" i="6"/>
  <c r="F1618" i="6"/>
  <c r="F1617" i="6"/>
  <c r="F1616" i="6"/>
  <c r="F1615" i="6"/>
  <c r="F1614" i="6"/>
  <c r="F1613" i="6"/>
  <c r="F1612" i="6"/>
  <c r="F1611" i="6"/>
  <c r="F1610" i="6"/>
  <c r="F1609" i="6"/>
  <c r="F1608" i="6"/>
  <c r="F1607" i="6"/>
  <c r="F1606" i="6"/>
  <c r="F1605" i="6"/>
  <c r="F1604" i="6"/>
  <c r="F1603" i="6"/>
  <c r="F1602" i="6"/>
  <c r="F1601" i="6"/>
  <c r="F1600" i="6"/>
  <c r="F1599" i="6"/>
  <c r="F1598" i="6"/>
  <c r="F1597" i="6"/>
  <c r="F1596" i="6"/>
  <c r="F1595" i="6"/>
  <c r="F1594" i="6"/>
  <c r="F1593" i="6"/>
  <c r="F1592" i="6"/>
  <c r="F1591" i="6"/>
  <c r="F1590" i="6"/>
  <c r="F1589" i="6"/>
  <c r="F1588" i="6"/>
  <c r="F1587" i="6"/>
  <c r="F1586" i="6"/>
  <c r="F1585" i="6"/>
  <c r="F1584" i="6"/>
  <c r="F1583" i="6"/>
  <c r="F1582" i="6"/>
  <c r="F1581" i="6"/>
  <c r="F1580" i="6"/>
  <c r="F1579" i="6"/>
  <c r="F1578" i="6"/>
  <c r="F1577" i="6"/>
  <c r="F1576" i="6"/>
  <c r="F1575" i="6"/>
  <c r="F1574" i="6"/>
  <c r="F1573" i="6"/>
  <c r="F1572" i="6"/>
  <c r="F1571" i="6"/>
  <c r="F1570" i="6"/>
  <c r="F1569" i="6"/>
  <c r="F1568" i="6"/>
  <c r="F1567" i="6"/>
  <c r="F1566" i="6"/>
  <c r="F1565" i="6"/>
  <c r="F1564" i="6"/>
  <c r="F1563" i="6"/>
  <c r="F1562" i="6"/>
  <c r="F1561" i="6"/>
  <c r="F1560" i="6"/>
  <c r="F1559" i="6"/>
  <c r="F1558" i="6"/>
  <c r="F1557" i="6"/>
  <c r="F1556" i="6"/>
  <c r="F1555" i="6"/>
  <c r="F1554" i="6"/>
  <c r="F1553" i="6"/>
  <c r="F1552" i="6"/>
  <c r="F1551" i="6"/>
  <c r="F1550" i="6"/>
  <c r="F1549" i="6"/>
  <c r="F1548" i="6"/>
  <c r="F1547" i="6"/>
  <c r="F1546" i="6"/>
  <c r="F1545" i="6"/>
  <c r="F1544" i="6"/>
  <c r="F1543" i="6"/>
  <c r="F1542" i="6"/>
  <c r="F1541" i="6"/>
  <c r="F1540" i="6"/>
  <c r="F1539" i="6"/>
  <c r="F1538" i="6"/>
  <c r="F1537" i="6"/>
  <c r="F1536" i="6"/>
  <c r="F1535" i="6"/>
  <c r="F1534" i="6"/>
  <c r="F1533" i="6"/>
  <c r="F1532" i="6"/>
  <c r="F1531" i="6"/>
  <c r="F1530" i="6"/>
  <c r="F1529" i="6"/>
  <c r="F1528" i="6"/>
  <c r="F1527" i="6"/>
  <c r="F1526" i="6"/>
  <c r="F1525" i="6"/>
  <c r="F1524" i="6"/>
  <c r="F1523" i="6"/>
  <c r="F1522" i="6"/>
  <c r="F1521" i="6"/>
  <c r="F1520" i="6"/>
  <c r="F1519" i="6"/>
  <c r="F1518" i="6"/>
  <c r="F1517" i="6"/>
  <c r="F1516" i="6"/>
  <c r="F1515" i="6"/>
  <c r="F1514" i="6"/>
  <c r="F1513" i="6"/>
  <c r="F1512" i="6"/>
  <c r="F1511" i="6"/>
  <c r="F1510" i="6"/>
  <c r="F1509" i="6"/>
  <c r="F1508" i="6"/>
  <c r="F1507" i="6"/>
  <c r="F1506" i="6"/>
  <c r="F1505" i="6"/>
  <c r="F1504" i="6"/>
  <c r="F1503" i="6"/>
  <c r="F1502" i="6"/>
  <c r="F1501" i="6"/>
  <c r="F1500" i="6"/>
  <c r="F1499" i="6"/>
  <c r="F1498" i="6"/>
  <c r="F1497" i="6"/>
  <c r="F1496" i="6"/>
  <c r="F1495" i="6"/>
  <c r="F1494" i="6"/>
  <c r="F1493" i="6"/>
  <c r="F1492" i="6"/>
  <c r="F1491" i="6"/>
  <c r="F1490" i="6"/>
  <c r="F1489" i="6"/>
  <c r="F1488" i="6"/>
  <c r="F1487" i="6"/>
  <c r="F1486" i="6"/>
  <c r="F1485" i="6"/>
  <c r="F1484" i="6"/>
  <c r="F1483" i="6"/>
  <c r="F1482" i="6"/>
  <c r="F1481" i="6"/>
  <c r="F1480" i="6"/>
  <c r="F1479" i="6"/>
  <c r="F1478" i="6"/>
  <c r="F1477" i="6"/>
  <c r="F1476" i="6"/>
  <c r="F1475" i="6"/>
  <c r="F1474" i="6"/>
  <c r="F1473" i="6"/>
  <c r="F1472" i="6"/>
  <c r="F1471" i="6"/>
  <c r="F1470" i="6"/>
  <c r="F1469" i="6"/>
  <c r="F1468" i="6"/>
  <c r="F1467" i="6"/>
  <c r="F1466" i="6"/>
  <c r="F1465" i="6"/>
  <c r="F1464" i="6"/>
  <c r="F1463" i="6"/>
  <c r="F1462" i="6"/>
  <c r="F1461" i="6"/>
  <c r="F1460" i="6"/>
  <c r="F1459" i="6"/>
  <c r="F1458" i="6"/>
  <c r="F1457" i="6"/>
  <c r="F1456" i="6"/>
  <c r="F1455" i="6"/>
  <c r="F1454" i="6"/>
  <c r="F1453" i="6"/>
  <c r="F1452" i="6"/>
  <c r="F1451" i="6"/>
  <c r="F1450" i="6"/>
  <c r="F1449" i="6"/>
  <c r="F1448" i="6"/>
  <c r="F1447" i="6"/>
  <c r="F1446" i="6"/>
  <c r="F1445" i="6"/>
  <c r="F1444" i="6"/>
  <c r="F1443" i="6"/>
  <c r="F1442" i="6"/>
  <c r="F1441" i="6"/>
  <c r="F1440" i="6"/>
  <c r="F1439" i="6"/>
  <c r="F1438" i="6"/>
  <c r="F1437" i="6"/>
  <c r="F1436" i="6"/>
  <c r="F1435" i="6"/>
  <c r="F1434" i="6"/>
  <c r="F1433" i="6"/>
  <c r="F1432" i="6"/>
  <c r="F1431" i="6"/>
  <c r="F1430" i="6"/>
  <c r="F1429" i="6"/>
  <c r="F1428" i="6"/>
  <c r="F1427" i="6"/>
  <c r="F1426" i="6"/>
  <c r="F1425" i="6"/>
  <c r="F1424" i="6"/>
  <c r="F1423" i="6"/>
  <c r="F1422" i="6"/>
  <c r="F1421" i="6"/>
  <c r="F1420" i="6"/>
  <c r="F1419" i="6"/>
  <c r="F1418" i="6"/>
  <c r="F1417" i="6"/>
  <c r="F1416" i="6"/>
  <c r="F1415" i="6"/>
  <c r="F1414" i="6"/>
  <c r="F1413" i="6"/>
  <c r="F1412" i="6"/>
  <c r="F1411" i="6"/>
  <c r="F1410" i="6"/>
  <c r="F1409" i="6"/>
  <c r="F1408" i="6"/>
  <c r="F1407" i="6"/>
  <c r="F1406" i="6"/>
  <c r="F1405" i="6"/>
  <c r="F1404" i="6"/>
  <c r="F1403" i="6"/>
  <c r="F1402" i="6"/>
  <c r="F1401" i="6"/>
  <c r="F1400" i="6"/>
  <c r="F1399" i="6"/>
  <c r="F1398" i="6"/>
  <c r="F1397" i="6"/>
  <c r="F1396" i="6"/>
  <c r="F1395" i="6"/>
  <c r="F1394" i="6"/>
  <c r="F1393" i="6"/>
  <c r="F1392" i="6"/>
  <c r="F1391" i="6"/>
  <c r="F1390" i="6"/>
  <c r="F1389" i="6"/>
  <c r="F1388" i="6"/>
  <c r="F1387" i="6"/>
  <c r="F1386" i="6"/>
  <c r="F1385" i="6"/>
  <c r="F1384" i="6"/>
  <c r="F1383" i="6"/>
  <c r="F1382" i="6"/>
  <c r="F1381" i="6"/>
  <c r="F1380" i="6"/>
  <c r="F1379" i="6"/>
  <c r="F1378" i="6"/>
  <c r="F1377" i="6"/>
  <c r="F1376" i="6"/>
  <c r="F1375" i="6"/>
  <c r="F1374" i="6"/>
  <c r="F1373" i="6"/>
  <c r="F1372" i="6"/>
  <c r="F1371" i="6"/>
  <c r="F1370" i="6"/>
  <c r="F1369" i="6"/>
  <c r="F1368" i="6"/>
  <c r="F1367" i="6"/>
  <c r="F1366" i="6"/>
  <c r="F1365" i="6"/>
  <c r="F1364" i="6"/>
  <c r="F1363" i="6"/>
  <c r="F1362" i="6"/>
  <c r="F1361" i="6"/>
  <c r="F1360" i="6"/>
  <c r="F1359" i="6"/>
  <c r="F1358" i="6"/>
  <c r="F1357" i="6"/>
  <c r="F1356" i="6"/>
  <c r="F1355" i="6"/>
  <c r="F1354" i="6"/>
  <c r="F1353" i="6"/>
  <c r="F1352" i="6"/>
  <c r="F1351" i="6"/>
  <c r="F1350" i="6"/>
  <c r="F1349" i="6"/>
  <c r="F1348" i="6"/>
  <c r="F1347" i="6"/>
  <c r="F1346" i="6"/>
  <c r="F1345" i="6"/>
  <c r="F1344" i="6"/>
  <c r="F1343" i="6"/>
  <c r="F1342" i="6"/>
  <c r="F1341" i="6"/>
  <c r="F1340" i="6"/>
  <c r="F1339" i="6"/>
  <c r="F1338" i="6"/>
  <c r="F1337" i="6"/>
  <c r="F1336" i="6"/>
  <c r="F1335" i="6"/>
  <c r="F1334" i="6"/>
  <c r="F1333" i="6"/>
  <c r="F1332" i="6"/>
  <c r="F1331" i="6"/>
  <c r="F1330" i="6"/>
  <c r="F1329" i="6"/>
  <c r="F1328" i="6"/>
  <c r="X1327" i="6"/>
  <c r="K1327" i="6"/>
  <c r="F1327" i="6"/>
  <c r="X1326" i="6"/>
  <c r="K1326" i="6"/>
  <c r="F1326" i="6"/>
  <c r="X1325" i="6"/>
  <c r="K1325" i="6"/>
  <c r="F1325" i="6"/>
  <c r="X1324" i="6"/>
  <c r="K1324" i="6"/>
  <c r="F1324" i="6"/>
  <c r="X1323" i="6"/>
  <c r="K1323" i="6"/>
  <c r="F1323" i="6"/>
  <c r="X1322" i="6"/>
  <c r="K1322" i="6"/>
  <c r="F1322" i="6"/>
  <c r="X1321" i="6"/>
  <c r="K1321" i="6"/>
  <c r="F1321" i="6"/>
  <c r="X1320" i="6"/>
  <c r="K1320" i="6"/>
  <c r="F1320" i="6"/>
  <c r="X1319" i="6"/>
  <c r="K1319" i="6"/>
  <c r="F1319" i="6"/>
  <c r="X1318" i="6"/>
  <c r="K1318" i="6"/>
  <c r="F1318" i="6"/>
  <c r="X1317" i="6"/>
  <c r="K1317" i="6"/>
  <c r="F1317" i="6"/>
  <c r="X1316" i="6"/>
  <c r="K1316" i="6"/>
  <c r="F1316" i="6"/>
  <c r="F1315" i="6"/>
  <c r="F1314" i="6"/>
  <c r="F1313" i="6"/>
  <c r="F1312" i="6"/>
  <c r="F1311" i="6"/>
  <c r="F1310" i="6"/>
  <c r="F1309" i="6"/>
  <c r="F1308" i="6"/>
  <c r="F1307" i="6"/>
  <c r="F1306" i="6"/>
  <c r="F1305" i="6"/>
  <c r="F1304" i="6"/>
  <c r="F1303" i="6"/>
  <c r="F1302" i="6"/>
  <c r="F1301" i="6"/>
  <c r="F1300" i="6"/>
  <c r="F1299" i="6"/>
  <c r="F1298" i="6"/>
  <c r="F1297" i="6"/>
  <c r="F1296" i="6"/>
  <c r="F1295" i="6"/>
  <c r="F1294" i="6"/>
  <c r="F1293" i="6"/>
  <c r="F1292" i="6"/>
  <c r="F1291" i="6"/>
  <c r="F1290" i="6"/>
  <c r="F1289" i="6"/>
  <c r="F1288" i="6"/>
  <c r="F1287" i="6"/>
  <c r="F1286" i="6"/>
  <c r="F1285" i="6"/>
  <c r="F1284" i="6"/>
  <c r="F1283" i="6"/>
  <c r="F1282" i="6"/>
  <c r="F1281" i="6"/>
  <c r="F1280" i="6"/>
  <c r="F1279" i="6"/>
  <c r="F1278" i="6"/>
  <c r="F1277" i="6"/>
  <c r="F1276" i="6"/>
  <c r="F1275" i="6"/>
  <c r="F1274" i="6"/>
  <c r="F1273" i="6"/>
  <c r="F1272" i="6"/>
  <c r="F1271" i="6"/>
  <c r="F1270" i="6"/>
  <c r="F1269" i="6"/>
  <c r="F1268" i="6"/>
  <c r="F1267" i="6"/>
  <c r="F1266" i="6"/>
  <c r="F1265" i="6"/>
  <c r="F1264" i="6"/>
  <c r="F1263" i="6"/>
  <c r="F1262" i="6"/>
  <c r="F1261" i="6"/>
  <c r="F1260" i="6"/>
  <c r="F1259" i="6"/>
  <c r="F1258" i="6"/>
  <c r="F1257" i="6"/>
  <c r="F1256" i="6"/>
  <c r="F1255" i="6"/>
  <c r="F1254" i="6"/>
  <c r="F1253" i="6"/>
  <c r="F1252" i="6"/>
  <c r="F1251" i="6"/>
  <c r="F1250" i="6"/>
  <c r="F1249" i="6"/>
  <c r="F1248" i="6"/>
  <c r="F1247" i="6"/>
  <c r="F1246" i="6"/>
  <c r="F1245" i="6"/>
  <c r="F1244" i="6"/>
  <c r="F1243" i="6"/>
  <c r="F1242" i="6"/>
  <c r="F1241" i="6"/>
  <c r="F1240" i="6"/>
  <c r="F1239" i="6"/>
  <c r="F1238" i="6"/>
  <c r="F1237" i="6"/>
  <c r="F1236" i="6"/>
  <c r="F1235" i="6"/>
  <c r="F1234" i="6"/>
  <c r="F1233" i="6"/>
  <c r="F1232" i="6"/>
  <c r="F1231" i="6"/>
  <c r="F1230" i="6"/>
  <c r="F1229" i="6"/>
  <c r="F1228" i="6"/>
  <c r="F1227" i="6"/>
  <c r="F1226" i="6"/>
  <c r="F1225" i="6"/>
  <c r="F1224" i="6"/>
  <c r="F1223" i="6"/>
  <c r="F1222" i="6"/>
  <c r="F1221" i="6"/>
  <c r="F1220" i="6"/>
  <c r="F1219" i="6"/>
  <c r="F1218" i="6"/>
  <c r="F1217" i="6"/>
  <c r="F1216" i="6"/>
  <c r="F1215" i="6"/>
  <c r="F1214" i="6"/>
  <c r="F1213" i="6"/>
  <c r="F1212" i="6"/>
  <c r="F1211" i="6"/>
  <c r="F1210" i="6"/>
  <c r="F1209" i="6"/>
  <c r="F1208" i="6"/>
  <c r="F1207" i="6"/>
  <c r="F1206" i="6"/>
  <c r="F1205" i="6"/>
  <c r="F1204" i="6"/>
  <c r="F1203" i="6"/>
  <c r="F1202" i="6"/>
  <c r="F1201" i="6"/>
  <c r="F1200" i="6"/>
  <c r="F1199" i="6"/>
  <c r="F1198" i="6"/>
  <c r="F1197" i="6"/>
  <c r="F1196" i="6"/>
  <c r="F1195" i="6"/>
  <c r="F1194" i="6"/>
  <c r="F1193" i="6"/>
  <c r="F1192" i="6"/>
  <c r="F1191" i="6"/>
  <c r="F1190" i="6"/>
  <c r="F1189" i="6"/>
  <c r="F1188" i="6"/>
  <c r="F1187" i="6"/>
  <c r="F1186" i="6"/>
  <c r="F1185" i="6"/>
  <c r="F1184" i="6"/>
  <c r="F1183" i="6"/>
  <c r="F1182" i="6"/>
  <c r="F1181" i="6"/>
  <c r="F1180" i="6"/>
  <c r="F1179" i="6"/>
  <c r="F1178" i="6"/>
  <c r="F1177" i="6"/>
  <c r="F1176" i="6"/>
  <c r="F1175" i="6"/>
  <c r="F1174" i="6"/>
  <c r="F1173" i="6"/>
  <c r="F1172" i="6"/>
  <c r="F1171" i="6"/>
  <c r="F1170" i="6"/>
  <c r="F1169" i="6"/>
  <c r="F1168" i="6"/>
  <c r="F1167" i="6"/>
  <c r="F1166" i="6"/>
  <c r="F1165" i="6"/>
  <c r="F1164" i="6"/>
  <c r="F1163" i="6"/>
  <c r="F1162" i="6"/>
  <c r="F1161" i="6"/>
  <c r="F1160" i="6"/>
  <c r="F1159" i="6"/>
  <c r="F1158" i="6"/>
  <c r="F1157" i="6"/>
  <c r="F1156" i="6"/>
  <c r="F1155" i="6"/>
  <c r="F1154" i="6"/>
  <c r="F1153" i="6"/>
  <c r="F1152" i="6"/>
  <c r="F1151" i="6"/>
  <c r="F1150" i="6"/>
  <c r="F1149" i="6"/>
  <c r="F1148" i="6"/>
  <c r="F1147" i="6"/>
  <c r="F1146" i="6"/>
  <c r="F1145" i="6"/>
  <c r="F1144" i="6"/>
  <c r="F1143" i="6"/>
  <c r="F1142" i="6"/>
  <c r="F1141" i="6"/>
  <c r="F1140" i="6"/>
  <c r="F1139" i="6"/>
  <c r="F1138" i="6"/>
  <c r="F1137" i="6"/>
  <c r="F1136" i="6"/>
  <c r="F1135" i="6"/>
  <c r="F1134" i="6"/>
  <c r="F1133" i="6"/>
  <c r="F1132" i="6"/>
  <c r="F1131" i="6"/>
  <c r="F1130" i="6"/>
  <c r="F1129" i="6"/>
  <c r="F1128" i="6"/>
  <c r="F1127" i="6"/>
  <c r="F1126" i="6"/>
  <c r="F1125" i="6"/>
  <c r="F1124" i="6"/>
  <c r="F1123" i="6"/>
  <c r="F1122" i="6"/>
  <c r="F1121" i="6"/>
  <c r="F1120" i="6"/>
  <c r="F1119" i="6"/>
  <c r="F1118" i="6"/>
  <c r="F1117" i="6"/>
  <c r="F1116" i="6"/>
  <c r="F1115" i="6"/>
  <c r="F1114" i="6"/>
  <c r="F1113" i="6"/>
  <c r="F1112" i="6"/>
  <c r="F1111" i="6"/>
  <c r="F1110" i="6"/>
  <c r="F1109" i="6"/>
  <c r="F1108" i="6"/>
  <c r="F1107" i="6"/>
  <c r="F1106" i="6"/>
  <c r="F1105" i="6"/>
  <c r="F1104" i="6"/>
  <c r="F1103" i="6"/>
  <c r="F1102" i="6"/>
  <c r="F1101" i="6"/>
  <c r="F1100" i="6"/>
  <c r="F1099" i="6"/>
  <c r="F1098" i="6"/>
  <c r="F1097" i="6"/>
  <c r="F1096" i="6"/>
  <c r="F1095" i="6"/>
  <c r="F1094" i="6"/>
  <c r="F1093" i="6"/>
  <c r="F1092" i="6"/>
  <c r="F1091" i="6"/>
  <c r="F1090" i="6"/>
  <c r="F1089" i="6"/>
  <c r="F1088" i="6"/>
  <c r="F1087" i="6"/>
  <c r="F1086" i="6"/>
  <c r="F1085" i="6"/>
  <c r="F1084" i="6"/>
  <c r="F1083" i="6"/>
  <c r="F1082" i="6"/>
  <c r="F1081" i="6"/>
  <c r="F1080" i="6"/>
  <c r="F1079" i="6"/>
  <c r="F1078" i="6"/>
  <c r="F1077" i="6"/>
  <c r="F1076" i="6"/>
  <c r="F1075" i="6"/>
  <c r="F1074" i="6"/>
  <c r="F1073" i="6"/>
  <c r="F1072" i="6"/>
  <c r="F1071" i="6"/>
  <c r="F1070" i="6"/>
  <c r="F1069" i="6"/>
  <c r="F1068" i="6"/>
  <c r="F1067" i="6"/>
  <c r="F1066" i="6"/>
  <c r="F1065" i="6"/>
  <c r="F1064" i="6"/>
  <c r="F1063" i="6"/>
  <c r="F1062" i="6"/>
  <c r="F1061" i="6"/>
  <c r="F1060" i="6"/>
  <c r="F1059" i="6"/>
  <c r="F1058" i="6"/>
  <c r="L1057" i="6"/>
  <c r="L950" i="6" s="1"/>
  <c r="F1057" i="6"/>
  <c r="L1056" i="6"/>
  <c r="L948" i="6" s="1"/>
  <c r="F1056" i="6"/>
  <c r="L1055" i="6"/>
  <c r="L946" i="6" s="1"/>
  <c r="F1055" i="6"/>
  <c r="L1054" i="6"/>
  <c r="F1054" i="6"/>
  <c r="L1053" i="6"/>
  <c r="L942" i="6" s="1"/>
  <c r="F1053" i="6"/>
  <c r="L1052" i="6"/>
  <c r="F1052" i="6"/>
  <c r="L1051" i="6"/>
  <c r="F1051" i="6"/>
  <c r="L1050" i="6"/>
  <c r="L936" i="6" s="1"/>
  <c r="F1050" i="6"/>
  <c r="L1049" i="6"/>
  <c r="L934" i="6" s="1"/>
  <c r="F1049" i="6"/>
  <c r="L1048" i="6"/>
  <c r="F1048" i="6"/>
  <c r="L1047" i="6"/>
  <c r="F1047" i="6"/>
  <c r="L1046" i="6"/>
  <c r="F1046" i="6"/>
  <c r="L1045" i="6"/>
  <c r="F1045" i="6"/>
  <c r="L1044" i="6"/>
  <c r="F1044" i="6"/>
  <c r="L1043" i="6"/>
  <c r="L922" i="6" s="1"/>
  <c r="F1043" i="6"/>
  <c r="L1042" i="6"/>
  <c r="L920" i="6" s="1"/>
  <c r="F1042" i="6"/>
  <c r="L1041" i="6"/>
  <c r="F1041" i="6"/>
  <c r="L1040" i="6"/>
  <c r="L916" i="6" s="1"/>
  <c r="F1040" i="6"/>
  <c r="L1039" i="6"/>
  <c r="F1039" i="6"/>
  <c r="L1038" i="6"/>
  <c r="L912" i="6" s="1"/>
  <c r="F1038" i="6"/>
  <c r="L1037" i="6"/>
  <c r="F1037" i="6"/>
  <c r="L1036" i="6"/>
  <c r="L908" i="6" s="1"/>
  <c r="F1036" i="6"/>
  <c r="L1035" i="6"/>
  <c r="F1035" i="6"/>
  <c r="L1034" i="6"/>
  <c r="F1034" i="6"/>
  <c r="L1033" i="6"/>
  <c r="F1033" i="6"/>
  <c r="L1032" i="6"/>
  <c r="F1032" i="6"/>
  <c r="L1031" i="6"/>
  <c r="F1031" i="6"/>
  <c r="L1030" i="6"/>
  <c r="F1030" i="6"/>
  <c r="L1029" i="6"/>
  <c r="F1029" i="6"/>
  <c r="L1028" i="6"/>
  <c r="F1028" i="6"/>
  <c r="L1027" i="6"/>
  <c r="F1027" i="6"/>
  <c r="L1026" i="6"/>
  <c r="F1026" i="6"/>
  <c r="L1025" i="6"/>
  <c r="F1025" i="6"/>
  <c r="L1024" i="6"/>
  <c r="F1024" i="6"/>
  <c r="L1023" i="6"/>
  <c r="F1023" i="6"/>
  <c r="L1022" i="6"/>
  <c r="F1022" i="6"/>
  <c r="L1021" i="6"/>
  <c r="L878" i="6" s="1"/>
  <c r="F1021" i="6"/>
  <c r="L1020" i="6"/>
  <c r="F1020" i="6"/>
  <c r="L1019" i="6"/>
  <c r="L874" i="6" s="1"/>
  <c r="F1019" i="6"/>
  <c r="L1018" i="6"/>
  <c r="F1018" i="6"/>
  <c r="L1017" i="6"/>
  <c r="L870" i="6" s="1"/>
  <c r="F1017" i="6"/>
  <c r="L1016" i="6"/>
  <c r="F1016" i="6"/>
  <c r="L1015" i="6"/>
  <c r="L866" i="6" s="1"/>
  <c r="F1015" i="6"/>
  <c r="L1014" i="6"/>
  <c r="F1014" i="6"/>
  <c r="L1013" i="6"/>
  <c r="F1013" i="6"/>
  <c r="L1012" i="6"/>
  <c r="F1012" i="6"/>
  <c r="L1011" i="6"/>
  <c r="L858" i="6" s="1"/>
  <c r="F1011" i="6"/>
  <c r="L1010" i="6"/>
  <c r="F1010" i="6"/>
  <c r="L1009" i="6"/>
  <c r="F1009" i="6"/>
  <c r="L1008" i="6"/>
  <c r="F1008" i="6"/>
  <c r="L1007" i="6"/>
  <c r="F1007" i="6"/>
  <c r="L1006" i="6"/>
  <c r="F1006" i="6"/>
  <c r="L1005" i="6"/>
  <c r="L846" i="6" s="1"/>
  <c r="F1005" i="6"/>
  <c r="L1004" i="6"/>
  <c r="F1004" i="6"/>
  <c r="L1003" i="6"/>
  <c r="F1003" i="6"/>
  <c r="L1002" i="6"/>
  <c r="F1002" i="6"/>
  <c r="L1001" i="6"/>
  <c r="L838" i="6" s="1"/>
  <c r="F1001" i="6"/>
  <c r="L1000" i="6"/>
  <c r="F1000" i="6"/>
  <c r="L999" i="6"/>
  <c r="F999" i="6"/>
  <c r="L998" i="6"/>
  <c r="F998" i="6"/>
  <c r="L997" i="6"/>
  <c r="L830" i="6" s="1"/>
  <c r="F997" i="6"/>
  <c r="L996" i="6"/>
  <c r="F996" i="6"/>
  <c r="L995" i="6"/>
  <c r="L826" i="6" s="1"/>
  <c r="F995" i="6"/>
  <c r="L994" i="6"/>
  <c r="F994" i="6"/>
  <c r="L993" i="6"/>
  <c r="L822" i="6" s="1"/>
  <c r="F993" i="6"/>
  <c r="L992" i="6"/>
  <c r="F992" i="6"/>
  <c r="L991" i="6"/>
  <c r="L818" i="6" s="1"/>
  <c r="F991" i="6"/>
  <c r="L990" i="6"/>
  <c r="F990" i="6"/>
  <c r="L989" i="6"/>
  <c r="L814" i="6" s="1"/>
  <c r="F989" i="6"/>
  <c r="L988" i="6"/>
  <c r="K1950" i="6" s="1"/>
  <c r="K812" i="6" s="1"/>
  <c r="F988" i="6"/>
  <c r="L987" i="6"/>
  <c r="F987" i="6"/>
  <c r="R986" i="6"/>
  <c r="L986" i="6"/>
  <c r="L808" i="6" s="1"/>
  <c r="F986" i="6"/>
  <c r="R985" i="6"/>
  <c r="Q984" i="6" s="1"/>
  <c r="L985" i="6"/>
  <c r="F985" i="6"/>
  <c r="L984" i="6"/>
  <c r="L804" i="6" s="1"/>
  <c r="F984" i="6"/>
  <c r="X983" i="6"/>
  <c r="K983" i="6"/>
  <c r="L983" i="6" s="1"/>
  <c r="L802" i="6" s="1"/>
  <c r="F983" i="6"/>
  <c r="X982" i="6"/>
  <c r="K982" i="6"/>
  <c r="L982" i="6" s="1"/>
  <c r="F982" i="6"/>
  <c r="X981" i="6"/>
  <c r="K981" i="6"/>
  <c r="L981" i="6" s="1"/>
  <c r="F981" i="6"/>
  <c r="X980" i="6"/>
  <c r="K980" i="6"/>
  <c r="L980" i="6" s="1"/>
  <c r="L796" i="6" s="1"/>
  <c r="F980" i="6"/>
  <c r="X979" i="6"/>
  <c r="K979" i="6"/>
  <c r="F979" i="6"/>
  <c r="X978" i="6"/>
  <c r="R978" i="6"/>
  <c r="R979" i="6" s="1"/>
  <c r="K978" i="6"/>
  <c r="L978" i="6" s="1"/>
  <c r="L792" i="6" s="1"/>
  <c r="F978" i="6"/>
  <c r="X977" i="6"/>
  <c r="R977" i="6"/>
  <c r="K977" i="6"/>
  <c r="F977" i="6"/>
  <c r="X976" i="6"/>
  <c r="R976" i="6"/>
  <c r="K2082" i="6" s="1"/>
  <c r="K944" i="6" s="1"/>
  <c r="K976" i="6"/>
  <c r="L976" i="6" s="1"/>
  <c r="F976" i="6"/>
  <c r="X975" i="6"/>
  <c r="R975" i="6"/>
  <c r="K975" i="6"/>
  <c r="F975" i="6"/>
  <c r="X974" i="6"/>
  <c r="R974" i="6"/>
  <c r="K974" i="6"/>
  <c r="L974" i="6" s="1"/>
  <c r="L784" i="6" s="1"/>
  <c r="F974" i="6"/>
  <c r="X973" i="6"/>
  <c r="K973" i="6"/>
  <c r="L973" i="6" s="1"/>
  <c r="F973" i="6"/>
  <c r="X972" i="6"/>
  <c r="K972" i="6"/>
  <c r="L972" i="6" s="1"/>
  <c r="L780" i="6" s="1"/>
  <c r="F972" i="6"/>
  <c r="AG971" i="6"/>
  <c r="AF971" i="6"/>
  <c r="AE971" i="6"/>
  <c r="AD971" i="6"/>
  <c r="AC971" i="6"/>
  <c r="AB971" i="6"/>
  <c r="AA971" i="6"/>
  <c r="Z971" i="6"/>
  <c r="Y971" i="6"/>
  <c r="X971" i="6"/>
  <c r="K951" i="6"/>
  <c r="J951" i="6"/>
  <c r="H951" i="6"/>
  <c r="F951" i="6"/>
  <c r="J950" i="6"/>
  <c r="H950" i="6"/>
  <c r="F950" i="6"/>
  <c r="K949" i="6"/>
  <c r="J949" i="6"/>
  <c r="H949" i="6"/>
  <c r="F949" i="6"/>
  <c r="J948" i="6"/>
  <c r="H948" i="6"/>
  <c r="F948" i="6"/>
  <c r="K947" i="6"/>
  <c r="J947" i="6"/>
  <c r="H947" i="6"/>
  <c r="F947" i="6"/>
  <c r="J946" i="6"/>
  <c r="H946" i="6"/>
  <c r="F946" i="6"/>
  <c r="K945" i="6"/>
  <c r="J945" i="6"/>
  <c r="H945" i="6"/>
  <c r="F945" i="6"/>
  <c r="L944" i="6"/>
  <c r="J944" i="6"/>
  <c r="H944" i="6"/>
  <c r="F944" i="6"/>
  <c r="K943" i="6"/>
  <c r="J943" i="6"/>
  <c r="H943" i="6"/>
  <c r="F943" i="6"/>
  <c r="J942" i="6"/>
  <c r="H942" i="6"/>
  <c r="F942" i="6"/>
  <c r="K941" i="6"/>
  <c r="J941" i="6"/>
  <c r="H941" i="6"/>
  <c r="F941" i="6"/>
  <c r="K940" i="6"/>
  <c r="J940" i="6"/>
  <c r="H940" i="6"/>
  <c r="F940" i="6"/>
  <c r="K939" i="6"/>
  <c r="J939" i="6"/>
  <c r="H939" i="6"/>
  <c r="F939" i="6"/>
  <c r="J938" i="6"/>
  <c r="H938" i="6"/>
  <c r="F938" i="6"/>
  <c r="K937" i="6"/>
  <c r="J937" i="6"/>
  <c r="H937" i="6"/>
  <c r="F937" i="6"/>
  <c r="J936" i="6"/>
  <c r="H936" i="6"/>
  <c r="F936" i="6"/>
  <c r="K935" i="6"/>
  <c r="J935" i="6"/>
  <c r="H935" i="6"/>
  <c r="F935" i="6"/>
  <c r="J934" i="6"/>
  <c r="H934" i="6"/>
  <c r="F934" i="6"/>
  <c r="K933" i="6"/>
  <c r="J933" i="6"/>
  <c r="H933" i="6"/>
  <c r="F933" i="6"/>
  <c r="K932" i="6"/>
  <c r="J932" i="6"/>
  <c r="H932" i="6"/>
  <c r="F932" i="6"/>
  <c r="K931" i="6"/>
  <c r="J931" i="6"/>
  <c r="H931" i="6"/>
  <c r="F931" i="6"/>
  <c r="J930" i="6"/>
  <c r="H930" i="6"/>
  <c r="F930" i="6"/>
  <c r="K929" i="6"/>
  <c r="J929" i="6"/>
  <c r="H929" i="6"/>
  <c r="F929" i="6"/>
  <c r="K928" i="6"/>
  <c r="J928" i="6"/>
  <c r="H928" i="6"/>
  <c r="F928" i="6"/>
  <c r="K927" i="6"/>
  <c r="J927" i="6"/>
  <c r="H927" i="6"/>
  <c r="F927" i="6"/>
  <c r="J926" i="6"/>
  <c r="H926" i="6"/>
  <c r="F926" i="6"/>
  <c r="K925" i="6"/>
  <c r="J925" i="6"/>
  <c r="H925" i="6"/>
  <c r="F925" i="6"/>
  <c r="K924" i="6"/>
  <c r="J924" i="6"/>
  <c r="H924" i="6"/>
  <c r="F924" i="6"/>
  <c r="K923" i="6"/>
  <c r="J923" i="6"/>
  <c r="H923" i="6"/>
  <c r="F923" i="6"/>
  <c r="J922" i="6"/>
  <c r="H922" i="6"/>
  <c r="F922" i="6"/>
  <c r="K921" i="6"/>
  <c r="J921" i="6"/>
  <c r="H921" i="6"/>
  <c r="F921" i="6"/>
  <c r="J920" i="6"/>
  <c r="H920" i="6"/>
  <c r="F920" i="6"/>
  <c r="K919" i="6"/>
  <c r="J919" i="6"/>
  <c r="H919" i="6"/>
  <c r="F919" i="6"/>
  <c r="K918" i="6"/>
  <c r="J918" i="6"/>
  <c r="H918" i="6"/>
  <c r="F918" i="6"/>
  <c r="K917" i="6"/>
  <c r="J917" i="6"/>
  <c r="H917" i="6"/>
  <c r="F917" i="6"/>
  <c r="J916" i="6"/>
  <c r="H916" i="6"/>
  <c r="F916" i="6"/>
  <c r="K915" i="6"/>
  <c r="J915" i="6"/>
  <c r="H915" i="6"/>
  <c r="F915" i="6"/>
  <c r="K914" i="6"/>
  <c r="J914" i="6"/>
  <c r="H914" i="6"/>
  <c r="F914" i="6"/>
  <c r="K913" i="6"/>
  <c r="J913" i="6"/>
  <c r="H913" i="6"/>
  <c r="F913" i="6"/>
  <c r="J912" i="6"/>
  <c r="H912" i="6"/>
  <c r="F912" i="6"/>
  <c r="K911" i="6"/>
  <c r="J911" i="6"/>
  <c r="H911" i="6"/>
  <c r="F911" i="6"/>
  <c r="K910" i="6"/>
  <c r="J910" i="6"/>
  <c r="H910" i="6"/>
  <c r="F910" i="6"/>
  <c r="K909" i="6"/>
  <c r="J909" i="6"/>
  <c r="H909" i="6"/>
  <c r="F909" i="6"/>
  <c r="J908" i="6"/>
  <c r="H908" i="6"/>
  <c r="F908" i="6"/>
  <c r="K907" i="6"/>
  <c r="J907" i="6"/>
  <c r="H907" i="6"/>
  <c r="F907" i="6"/>
  <c r="K906" i="6"/>
  <c r="J906" i="6"/>
  <c r="H906" i="6"/>
  <c r="F906" i="6"/>
  <c r="K905" i="6"/>
  <c r="J905" i="6"/>
  <c r="H905" i="6"/>
  <c r="F905" i="6"/>
  <c r="L904" i="6"/>
  <c r="J904" i="6"/>
  <c r="H904" i="6"/>
  <c r="F904" i="6"/>
  <c r="K903" i="6"/>
  <c r="J903" i="6"/>
  <c r="H903" i="6"/>
  <c r="F903" i="6"/>
  <c r="K902" i="6"/>
  <c r="J902" i="6"/>
  <c r="H902" i="6"/>
  <c r="F902" i="6"/>
  <c r="K901" i="6"/>
  <c r="J901" i="6"/>
  <c r="H901" i="6"/>
  <c r="F901" i="6"/>
  <c r="L900" i="6"/>
  <c r="J900" i="6"/>
  <c r="H900" i="6"/>
  <c r="F900" i="6"/>
  <c r="K899" i="6"/>
  <c r="J899" i="6"/>
  <c r="H899" i="6"/>
  <c r="F899" i="6"/>
  <c r="K898" i="6"/>
  <c r="J898" i="6"/>
  <c r="H898" i="6"/>
  <c r="I898" i="6" s="1"/>
  <c r="F898" i="6"/>
  <c r="K897" i="6"/>
  <c r="J897" i="6"/>
  <c r="H897" i="6"/>
  <c r="F897" i="6"/>
  <c r="L896" i="6"/>
  <c r="J896" i="6"/>
  <c r="H896" i="6"/>
  <c r="F896" i="6"/>
  <c r="K895" i="6"/>
  <c r="J895" i="6"/>
  <c r="H895" i="6"/>
  <c r="I895" i="6" s="1"/>
  <c r="F895" i="6"/>
  <c r="K894" i="6"/>
  <c r="J894" i="6"/>
  <c r="H894" i="6"/>
  <c r="F894" i="6"/>
  <c r="K893" i="6"/>
  <c r="J893" i="6"/>
  <c r="H893" i="6"/>
  <c r="F893" i="6"/>
  <c r="L892" i="6"/>
  <c r="J892" i="6"/>
  <c r="H892" i="6"/>
  <c r="F892" i="6"/>
  <c r="K891" i="6"/>
  <c r="J891" i="6"/>
  <c r="H891" i="6"/>
  <c r="F891" i="6"/>
  <c r="K890" i="6"/>
  <c r="J890" i="6"/>
  <c r="H890" i="6"/>
  <c r="F890" i="6"/>
  <c r="K889" i="6"/>
  <c r="J889" i="6"/>
  <c r="H889" i="6"/>
  <c r="F889" i="6"/>
  <c r="L888" i="6"/>
  <c r="J888" i="6"/>
  <c r="H888" i="6"/>
  <c r="F888" i="6"/>
  <c r="K887" i="6"/>
  <c r="J887" i="6"/>
  <c r="H887" i="6"/>
  <c r="F887" i="6"/>
  <c r="K886" i="6"/>
  <c r="J886" i="6"/>
  <c r="H886" i="6"/>
  <c r="F886" i="6"/>
  <c r="K885" i="6"/>
  <c r="J885" i="6"/>
  <c r="H885" i="6"/>
  <c r="F885" i="6"/>
  <c r="L884" i="6"/>
  <c r="J884" i="6"/>
  <c r="H884" i="6"/>
  <c r="F884" i="6"/>
  <c r="K883" i="6"/>
  <c r="J883" i="6"/>
  <c r="H883" i="6"/>
  <c r="F883" i="6"/>
  <c r="K882" i="6"/>
  <c r="J882" i="6"/>
  <c r="H882" i="6"/>
  <c r="F882" i="6"/>
  <c r="K881" i="6"/>
  <c r="J881" i="6"/>
  <c r="H881" i="6"/>
  <c r="F881" i="6"/>
  <c r="L880" i="6"/>
  <c r="J880" i="6"/>
  <c r="H880" i="6"/>
  <c r="F880" i="6"/>
  <c r="K879" i="6"/>
  <c r="J879" i="6"/>
  <c r="H879" i="6"/>
  <c r="F879" i="6"/>
  <c r="J878" i="6"/>
  <c r="H878" i="6"/>
  <c r="F878" i="6"/>
  <c r="K877" i="6"/>
  <c r="J877" i="6"/>
  <c r="H877" i="6"/>
  <c r="F877" i="6"/>
  <c r="K876" i="6"/>
  <c r="J876" i="6"/>
  <c r="H876" i="6"/>
  <c r="F876" i="6"/>
  <c r="K875" i="6"/>
  <c r="J875" i="6"/>
  <c r="H875" i="6"/>
  <c r="F875" i="6"/>
  <c r="J874" i="6"/>
  <c r="H874" i="6"/>
  <c r="F874" i="6"/>
  <c r="K873" i="6"/>
  <c r="J873" i="6"/>
  <c r="H873" i="6"/>
  <c r="F873" i="6"/>
  <c r="L872" i="6"/>
  <c r="J872" i="6"/>
  <c r="H872" i="6"/>
  <c r="F872" i="6"/>
  <c r="K871" i="6"/>
  <c r="J871" i="6"/>
  <c r="H871" i="6"/>
  <c r="F871" i="6"/>
  <c r="J870" i="6"/>
  <c r="H870" i="6"/>
  <c r="F870" i="6"/>
  <c r="K869" i="6"/>
  <c r="J869" i="6"/>
  <c r="H869" i="6"/>
  <c r="F869" i="6"/>
  <c r="K868" i="6"/>
  <c r="J868" i="6"/>
  <c r="H868" i="6"/>
  <c r="F868" i="6"/>
  <c r="K867" i="6"/>
  <c r="J867" i="6"/>
  <c r="H867" i="6"/>
  <c r="F867" i="6"/>
  <c r="J866" i="6"/>
  <c r="H866" i="6"/>
  <c r="F866" i="6"/>
  <c r="K865" i="6"/>
  <c r="J865" i="6"/>
  <c r="H865" i="6"/>
  <c r="F865" i="6"/>
  <c r="L864" i="6"/>
  <c r="J864" i="6"/>
  <c r="H864" i="6"/>
  <c r="F864" i="6"/>
  <c r="K863" i="6"/>
  <c r="J863" i="6"/>
  <c r="H863" i="6"/>
  <c r="F863" i="6"/>
  <c r="K862" i="6"/>
  <c r="J862" i="6"/>
  <c r="H862" i="6"/>
  <c r="F862" i="6"/>
  <c r="K861" i="6"/>
  <c r="J861" i="6"/>
  <c r="H861" i="6"/>
  <c r="F861" i="6"/>
  <c r="L860" i="6"/>
  <c r="J860" i="6"/>
  <c r="H860" i="6"/>
  <c r="F860" i="6"/>
  <c r="K859" i="6"/>
  <c r="J859" i="6"/>
  <c r="H859" i="6"/>
  <c r="F859" i="6"/>
  <c r="J858" i="6"/>
  <c r="H858" i="6"/>
  <c r="F858" i="6"/>
  <c r="K857" i="6"/>
  <c r="J857" i="6"/>
  <c r="H857" i="6"/>
  <c r="F857" i="6"/>
  <c r="L856" i="6"/>
  <c r="J856" i="6"/>
  <c r="H856" i="6"/>
  <c r="F856" i="6"/>
  <c r="K855" i="6"/>
  <c r="J855" i="6"/>
  <c r="H855" i="6"/>
  <c r="F855" i="6"/>
  <c r="K854" i="6"/>
  <c r="J854" i="6"/>
  <c r="H854" i="6"/>
  <c r="F854" i="6"/>
  <c r="K853" i="6"/>
  <c r="J853" i="6"/>
  <c r="H853" i="6"/>
  <c r="F853" i="6"/>
  <c r="L852" i="6"/>
  <c r="J852" i="6"/>
  <c r="H852" i="6"/>
  <c r="F852" i="6"/>
  <c r="K851" i="6"/>
  <c r="J851" i="6"/>
  <c r="H851" i="6"/>
  <c r="F851" i="6"/>
  <c r="K850" i="6"/>
  <c r="J850" i="6"/>
  <c r="H850" i="6"/>
  <c r="F850" i="6"/>
  <c r="K849" i="6"/>
  <c r="J849" i="6"/>
  <c r="H849" i="6"/>
  <c r="F849" i="6"/>
  <c r="L848" i="6"/>
  <c r="J848" i="6"/>
  <c r="H848" i="6"/>
  <c r="F848" i="6"/>
  <c r="K847" i="6"/>
  <c r="J847" i="6"/>
  <c r="H847" i="6"/>
  <c r="F847" i="6"/>
  <c r="J846" i="6"/>
  <c r="H846" i="6"/>
  <c r="F846" i="6"/>
  <c r="K845" i="6"/>
  <c r="J845" i="6"/>
  <c r="H845" i="6"/>
  <c r="F845" i="6"/>
  <c r="L844" i="6"/>
  <c r="J844" i="6"/>
  <c r="H844" i="6"/>
  <c r="F844" i="6"/>
  <c r="K843" i="6"/>
  <c r="J843" i="6"/>
  <c r="H843" i="6"/>
  <c r="F843" i="6"/>
  <c r="I843" i="6" s="1"/>
  <c r="K842" i="6"/>
  <c r="J842" i="6"/>
  <c r="H842" i="6"/>
  <c r="F842" i="6"/>
  <c r="K841" i="6"/>
  <c r="J841" i="6"/>
  <c r="H841" i="6"/>
  <c r="F841" i="6"/>
  <c r="I841" i="6" s="1"/>
  <c r="L840" i="6"/>
  <c r="J840" i="6"/>
  <c r="H840" i="6"/>
  <c r="F840" i="6"/>
  <c r="I840" i="6" s="1"/>
  <c r="K839" i="6"/>
  <c r="J839" i="6"/>
  <c r="H839" i="6"/>
  <c r="F839" i="6"/>
  <c r="J838" i="6"/>
  <c r="H838" i="6"/>
  <c r="F838" i="6"/>
  <c r="K837" i="6"/>
  <c r="J837" i="6"/>
  <c r="H837" i="6"/>
  <c r="F837" i="6"/>
  <c r="L836" i="6"/>
  <c r="J836" i="6"/>
  <c r="H836" i="6"/>
  <c r="F836" i="6"/>
  <c r="K835" i="6"/>
  <c r="J835" i="6"/>
  <c r="H835" i="6"/>
  <c r="F835" i="6"/>
  <c r="J834" i="6"/>
  <c r="H834" i="6"/>
  <c r="F834" i="6"/>
  <c r="K833" i="6"/>
  <c r="J833" i="6"/>
  <c r="H833" i="6"/>
  <c r="F833" i="6"/>
  <c r="L832" i="6"/>
  <c r="J832" i="6"/>
  <c r="H832" i="6"/>
  <c r="F832" i="6"/>
  <c r="K831" i="6"/>
  <c r="J831" i="6"/>
  <c r="H831" i="6"/>
  <c r="F831" i="6"/>
  <c r="J830" i="6"/>
  <c r="H830" i="6"/>
  <c r="F830" i="6"/>
  <c r="K829" i="6"/>
  <c r="J829" i="6"/>
  <c r="H829" i="6"/>
  <c r="F829" i="6"/>
  <c r="L828" i="6"/>
  <c r="J828" i="6"/>
  <c r="H828" i="6"/>
  <c r="F828" i="6"/>
  <c r="K827" i="6"/>
  <c r="J827" i="6"/>
  <c r="H827" i="6"/>
  <c r="F827" i="6"/>
  <c r="J826" i="6"/>
  <c r="H826" i="6"/>
  <c r="F826" i="6"/>
  <c r="K825" i="6"/>
  <c r="J825" i="6"/>
  <c r="H825" i="6"/>
  <c r="F825" i="6"/>
  <c r="K824" i="6"/>
  <c r="J824" i="6"/>
  <c r="H824" i="6"/>
  <c r="F824" i="6"/>
  <c r="K823" i="6"/>
  <c r="J823" i="6"/>
  <c r="H823" i="6"/>
  <c r="F823" i="6"/>
  <c r="J822" i="6"/>
  <c r="H822" i="6"/>
  <c r="F822" i="6"/>
  <c r="K821" i="6"/>
  <c r="J821" i="6"/>
  <c r="H821" i="6"/>
  <c r="F821" i="6"/>
  <c r="L820" i="6"/>
  <c r="J820" i="6"/>
  <c r="H820" i="6"/>
  <c r="F820" i="6"/>
  <c r="K819" i="6"/>
  <c r="J819" i="6"/>
  <c r="H819" i="6"/>
  <c r="F819" i="6"/>
  <c r="J818" i="6"/>
  <c r="H818" i="6"/>
  <c r="F818" i="6"/>
  <c r="K817" i="6"/>
  <c r="J817" i="6"/>
  <c r="H817" i="6"/>
  <c r="F817" i="6"/>
  <c r="K816" i="6"/>
  <c r="J816" i="6"/>
  <c r="H816" i="6"/>
  <c r="F816" i="6"/>
  <c r="K815" i="6"/>
  <c r="J815" i="6"/>
  <c r="H815" i="6"/>
  <c r="F815" i="6"/>
  <c r="J814" i="6"/>
  <c r="H814" i="6"/>
  <c r="F814" i="6"/>
  <c r="K813" i="6"/>
  <c r="J813" i="6"/>
  <c r="H813" i="6"/>
  <c r="F813" i="6"/>
  <c r="L812" i="6"/>
  <c r="J812" i="6"/>
  <c r="H812" i="6"/>
  <c r="F812" i="6"/>
  <c r="K811" i="6"/>
  <c r="J811" i="6"/>
  <c r="H811" i="6"/>
  <c r="F811" i="6"/>
  <c r="K810" i="6"/>
  <c r="J810" i="6"/>
  <c r="H810" i="6"/>
  <c r="F810" i="6"/>
  <c r="K809" i="6"/>
  <c r="J809" i="6"/>
  <c r="H809" i="6"/>
  <c r="F809" i="6"/>
  <c r="J808" i="6"/>
  <c r="H808" i="6"/>
  <c r="F808" i="6"/>
  <c r="K807" i="6"/>
  <c r="J807" i="6"/>
  <c r="H807" i="6"/>
  <c r="F807" i="6"/>
  <c r="K806" i="6"/>
  <c r="J806" i="6"/>
  <c r="H806" i="6"/>
  <c r="F806" i="6"/>
  <c r="K805" i="6"/>
  <c r="J805" i="6"/>
  <c r="H805" i="6"/>
  <c r="F805" i="6"/>
  <c r="J804" i="6"/>
  <c r="H804" i="6"/>
  <c r="F804" i="6"/>
  <c r="K803" i="6"/>
  <c r="J803" i="6"/>
  <c r="H803" i="6"/>
  <c r="F803" i="6"/>
  <c r="J802" i="6"/>
  <c r="H802" i="6"/>
  <c r="F802" i="6"/>
  <c r="K801" i="6"/>
  <c r="J801" i="6"/>
  <c r="H801" i="6"/>
  <c r="F801" i="6"/>
  <c r="J800" i="6"/>
  <c r="H800" i="6"/>
  <c r="F800" i="6"/>
  <c r="K799" i="6"/>
  <c r="J799" i="6"/>
  <c r="H799" i="6"/>
  <c r="F799" i="6"/>
  <c r="K798" i="6"/>
  <c r="J798" i="6"/>
  <c r="H798" i="6"/>
  <c r="F798" i="6"/>
  <c r="K797" i="6"/>
  <c r="J797" i="6"/>
  <c r="H797" i="6"/>
  <c r="F797" i="6"/>
  <c r="J796" i="6"/>
  <c r="H796" i="6"/>
  <c r="F796" i="6"/>
  <c r="K795" i="6"/>
  <c r="J795" i="6"/>
  <c r="H795" i="6"/>
  <c r="K794" i="6"/>
  <c r="J794" i="6"/>
  <c r="H794" i="6"/>
  <c r="F794" i="6"/>
  <c r="K793" i="6"/>
  <c r="J793" i="6"/>
  <c r="H793" i="6"/>
  <c r="F793" i="6"/>
  <c r="J792" i="6"/>
  <c r="H792" i="6"/>
  <c r="F792" i="6"/>
  <c r="K791" i="6"/>
  <c r="J791" i="6"/>
  <c r="H791" i="6"/>
  <c r="J790" i="6"/>
  <c r="H790" i="6"/>
  <c r="F790" i="6"/>
  <c r="K789" i="6"/>
  <c r="J789" i="6"/>
  <c r="H789" i="6"/>
  <c r="F789" i="6"/>
  <c r="L788" i="6"/>
  <c r="J788" i="6"/>
  <c r="H788" i="6"/>
  <c r="F788" i="6"/>
  <c r="K787" i="6"/>
  <c r="J787" i="6"/>
  <c r="H787" i="6"/>
  <c r="K786" i="6"/>
  <c r="J786" i="6"/>
  <c r="H786" i="6"/>
  <c r="F786" i="6"/>
  <c r="K785" i="6"/>
  <c r="J785" i="6"/>
  <c r="H785" i="6"/>
  <c r="F785" i="6"/>
  <c r="J784" i="6"/>
  <c r="H784" i="6"/>
  <c r="F784" i="6"/>
  <c r="K783" i="6"/>
  <c r="J783" i="6"/>
  <c r="H783" i="6"/>
  <c r="F783" i="6"/>
  <c r="K782" i="6"/>
  <c r="J782" i="6"/>
  <c r="H782" i="6"/>
  <c r="F782" i="6"/>
  <c r="K781" i="6"/>
  <c r="J781" i="6"/>
  <c r="H781" i="6"/>
  <c r="F781" i="6"/>
  <c r="J780" i="6"/>
  <c r="H780" i="6"/>
  <c r="F780" i="6"/>
  <c r="AG779" i="6"/>
  <c r="AF779" i="6"/>
  <c r="AE779" i="6"/>
  <c r="AD779" i="6"/>
  <c r="AC779" i="6"/>
  <c r="AB779" i="6"/>
  <c r="AA779" i="6"/>
  <c r="Z779" i="6"/>
  <c r="Y779" i="6"/>
  <c r="X779" i="6"/>
  <c r="V776" i="6"/>
  <c r="I773" i="6"/>
  <c r="F773" i="6"/>
  <c r="I772" i="6"/>
  <c r="F772" i="6"/>
  <c r="I771" i="6"/>
  <c r="F771" i="6"/>
  <c r="I770" i="6"/>
  <c r="F770" i="6"/>
  <c r="I769" i="6"/>
  <c r="F769" i="6"/>
  <c r="I768" i="6"/>
  <c r="F768" i="6"/>
  <c r="I767" i="6"/>
  <c r="F767" i="6"/>
  <c r="I766" i="6"/>
  <c r="F766" i="6"/>
  <c r="I765" i="6"/>
  <c r="F765" i="6"/>
  <c r="I764" i="6"/>
  <c r="F764" i="6"/>
  <c r="I763" i="6"/>
  <c r="F763" i="6"/>
  <c r="I762" i="6"/>
  <c r="F762" i="6"/>
  <c r="D762" i="6"/>
  <c r="D1918" i="6" s="1"/>
  <c r="I761" i="6"/>
  <c r="F761" i="6"/>
  <c r="I760" i="6"/>
  <c r="F760" i="6"/>
  <c r="I759" i="6"/>
  <c r="F759" i="6"/>
  <c r="I758" i="6"/>
  <c r="F758" i="6"/>
  <c r="I757" i="6"/>
  <c r="F757" i="6"/>
  <c r="I756" i="6"/>
  <c r="F756" i="6"/>
  <c r="I755" i="6"/>
  <c r="F755" i="6"/>
  <c r="I754" i="6"/>
  <c r="F754" i="6"/>
  <c r="I753" i="6"/>
  <c r="F753" i="6"/>
  <c r="I752" i="6"/>
  <c r="F752" i="6"/>
  <c r="I751" i="6"/>
  <c r="F751" i="6"/>
  <c r="I750" i="6"/>
  <c r="F750" i="6"/>
  <c r="D750" i="6"/>
  <c r="D1746" i="6" s="1"/>
  <c r="I749" i="6"/>
  <c r="F749" i="6"/>
  <c r="I748" i="6"/>
  <c r="F748" i="6"/>
  <c r="I747" i="6"/>
  <c r="F747" i="6"/>
  <c r="I746" i="6"/>
  <c r="F746" i="6"/>
  <c r="I745" i="6"/>
  <c r="F745" i="6"/>
  <c r="I744" i="6"/>
  <c r="F744" i="6"/>
  <c r="I743" i="6"/>
  <c r="F743" i="6"/>
  <c r="I742" i="6"/>
  <c r="F742" i="6"/>
  <c r="I741" i="6"/>
  <c r="F741" i="6"/>
  <c r="I740" i="6"/>
  <c r="F740" i="6"/>
  <c r="I739" i="6"/>
  <c r="F739" i="6"/>
  <c r="I738" i="6"/>
  <c r="F738" i="6"/>
  <c r="I737" i="6"/>
  <c r="F737" i="6"/>
  <c r="I736" i="6"/>
  <c r="F736" i="6"/>
  <c r="I735" i="6"/>
  <c r="F735" i="6"/>
  <c r="K734" i="6"/>
  <c r="L687" i="6" s="1"/>
  <c r="I734" i="6"/>
  <c r="F734" i="6"/>
  <c r="K733" i="6"/>
  <c r="L683" i="6" s="1"/>
  <c r="I733" i="6"/>
  <c r="F733" i="6"/>
  <c r="K732" i="6"/>
  <c r="I732" i="6"/>
  <c r="F732" i="6"/>
  <c r="K731" i="6"/>
  <c r="L679" i="6" s="1"/>
  <c r="I731" i="6"/>
  <c r="F731" i="6"/>
  <c r="K730" i="6"/>
  <c r="L677" i="6" s="1"/>
  <c r="I730" i="6"/>
  <c r="F730" i="6"/>
  <c r="W729" i="6"/>
  <c r="I729" i="6"/>
  <c r="F729" i="6"/>
  <c r="W728" i="6"/>
  <c r="I728" i="6"/>
  <c r="F728" i="6"/>
  <c r="W727" i="6"/>
  <c r="F678" i="6"/>
  <c r="I727" i="6"/>
  <c r="F727" i="6"/>
  <c r="W726" i="6"/>
  <c r="F682" i="6"/>
  <c r="I726" i="6"/>
  <c r="F726" i="6"/>
  <c r="W725" i="6"/>
  <c r="I725" i="6"/>
  <c r="F725" i="6"/>
  <c r="I724" i="6"/>
  <c r="F724" i="6"/>
  <c r="I723" i="6"/>
  <c r="F723" i="6"/>
  <c r="I721" i="6"/>
  <c r="F721" i="6"/>
  <c r="I720" i="6"/>
  <c r="F720" i="6"/>
  <c r="I719" i="6"/>
  <c r="F719" i="6"/>
  <c r="I718" i="6"/>
  <c r="F718" i="6"/>
  <c r="I717" i="6"/>
  <c r="F717" i="6"/>
  <c r="I716" i="6"/>
  <c r="F716" i="6"/>
  <c r="I715" i="6"/>
  <c r="F715" i="6"/>
  <c r="I714" i="6"/>
  <c r="F714" i="6"/>
  <c r="K713" i="6"/>
  <c r="I713" i="6"/>
  <c r="F713" i="6"/>
  <c r="K712" i="6"/>
  <c r="I712" i="6"/>
  <c r="F712" i="6"/>
  <c r="K711" i="6"/>
  <c r="I711" i="6"/>
  <c r="F711" i="6"/>
  <c r="K710" i="6"/>
  <c r="I710" i="6"/>
  <c r="F710" i="6"/>
  <c r="K709" i="6"/>
  <c r="I709" i="6"/>
  <c r="F709" i="6"/>
  <c r="AG708" i="6"/>
  <c r="AF708" i="6"/>
  <c r="AE708" i="6"/>
  <c r="AD708" i="6"/>
  <c r="AC708" i="6"/>
  <c r="AB708" i="6"/>
  <c r="AA708" i="6"/>
  <c r="Z708" i="6"/>
  <c r="Y708" i="6"/>
  <c r="X708" i="6"/>
  <c r="H688" i="6"/>
  <c r="F688" i="6"/>
  <c r="H687" i="6"/>
  <c r="F687" i="6"/>
  <c r="H686" i="6"/>
  <c r="H685" i="6"/>
  <c r="F685" i="6"/>
  <c r="H684" i="6"/>
  <c r="H683" i="6"/>
  <c r="H682" i="6"/>
  <c r="H681" i="6"/>
  <c r="F681" i="6"/>
  <c r="H680" i="6"/>
  <c r="F680" i="6"/>
  <c r="H679" i="6"/>
  <c r="F679" i="6"/>
  <c r="H678" i="6"/>
  <c r="H677" i="6"/>
  <c r="F677" i="6"/>
  <c r="AG676" i="6"/>
  <c r="AF676" i="6"/>
  <c r="AE676" i="6"/>
  <c r="AD676" i="6"/>
  <c r="AC676" i="6"/>
  <c r="AB676" i="6"/>
  <c r="AA676" i="6"/>
  <c r="Z676" i="6"/>
  <c r="Y676" i="6"/>
  <c r="X676" i="6"/>
  <c r="V673" i="6"/>
  <c r="F663" i="6"/>
  <c r="F670" i="6" s="1"/>
  <c r="F662" i="6"/>
  <c r="F669" i="6" s="1"/>
  <c r="F661" i="6"/>
  <c r="F668" i="6" s="1"/>
  <c r="F660" i="6"/>
  <c r="F667" i="6" s="1"/>
  <c r="F659" i="6"/>
  <c r="F666" i="6" s="1"/>
  <c r="F658" i="6"/>
  <c r="F665" i="6" s="1"/>
  <c r="F657" i="6"/>
  <c r="F664" i="6" s="1"/>
  <c r="X628" i="6"/>
  <c r="W628" i="6"/>
  <c r="X627" i="6"/>
  <c r="W627" i="6"/>
  <c r="X626" i="6"/>
  <c r="W626" i="6"/>
  <c r="X625" i="6"/>
  <c r="W625" i="6"/>
  <c r="X624" i="6"/>
  <c r="W624" i="6"/>
  <c r="X623" i="6"/>
  <c r="W623" i="6"/>
  <c r="X622" i="6"/>
  <c r="W622" i="6"/>
  <c r="I607" i="6"/>
  <c r="I614" i="6" s="1"/>
  <c r="I621" i="6" s="1"/>
  <c r="I628" i="6" s="1"/>
  <c r="I635" i="6" s="1"/>
  <c r="I642" i="6" s="1"/>
  <c r="I649" i="6" s="1"/>
  <c r="I656" i="6" s="1"/>
  <c r="I663" i="6" s="1"/>
  <c r="I670" i="6" s="1"/>
  <c r="F607" i="6"/>
  <c r="F614" i="6" s="1"/>
  <c r="F621" i="6" s="1"/>
  <c r="F628" i="6" s="1"/>
  <c r="F635" i="6" s="1"/>
  <c r="F642" i="6" s="1"/>
  <c r="F649" i="6" s="1"/>
  <c r="F656" i="6" s="1"/>
  <c r="I606" i="6"/>
  <c r="I613" i="6" s="1"/>
  <c r="I620" i="6" s="1"/>
  <c r="I627" i="6" s="1"/>
  <c r="I634" i="6" s="1"/>
  <c r="I641" i="6" s="1"/>
  <c r="I648" i="6" s="1"/>
  <c r="I655" i="6" s="1"/>
  <c r="I662" i="6" s="1"/>
  <c r="I669" i="6" s="1"/>
  <c r="F606" i="6"/>
  <c r="F613" i="6" s="1"/>
  <c r="F620" i="6" s="1"/>
  <c r="F627" i="6" s="1"/>
  <c r="F634" i="6" s="1"/>
  <c r="F641" i="6" s="1"/>
  <c r="F648" i="6" s="1"/>
  <c r="F655" i="6" s="1"/>
  <c r="I605" i="6"/>
  <c r="I612" i="6" s="1"/>
  <c r="I619" i="6" s="1"/>
  <c r="I626" i="6" s="1"/>
  <c r="I633" i="6" s="1"/>
  <c r="I640" i="6" s="1"/>
  <c r="I647" i="6" s="1"/>
  <c r="I654" i="6" s="1"/>
  <c r="I661" i="6" s="1"/>
  <c r="I668" i="6" s="1"/>
  <c r="F605" i="6"/>
  <c r="F612" i="6" s="1"/>
  <c r="F619" i="6" s="1"/>
  <c r="F626" i="6" s="1"/>
  <c r="F633" i="6" s="1"/>
  <c r="F640" i="6" s="1"/>
  <c r="F647" i="6" s="1"/>
  <c r="F654" i="6" s="1"/>
  <c r="I604" i="6"/>
  <c r="I611" i="6" s="1"/>
  <c r="I618" i="6" s="1"/>
  <c r="I625" i="6" s="1"/>
  <c r="I632" i="6" s="1"/>
  <c r="I639" i="6" s="1"/>
  <c r="I646" i="6" s="1"/>
  <c r="I653" i="6" s="1"/>
  <c r="I660" i="6" s="1"/>
  <c r="I667" i="6" s="1"/>
  <c r="F604" i="6"/>
  <c r="F611" i="6" s="1"/>
  <c r="F618" i="6" s="1"/>
  <c r="F625" i="6" s="1"/>
  <c r="F632" i="6" s="1"/>
  <c r="F639" i="6" s="1"/>
  <c r="F646" i="6" s="1"/>
  <c r="F653" i="6" s="1"/>
  <c r="W596" i="6"/>
  <c r="I596" i="6"/>
  <c r="I603" i="6" s="1"/>
  <c r="I610" i="6" s="1"/>
  <c r="I617" i="6" s="1"/>
  <c r="I624" i="6" s="1"/>
  <c r="I631" i="6" s="1"/>
  <c r="I638" i="6" s="1"/>
  <c r="I645" i="6" s="1"/>
  <c r="I652" i="6" s="1"/>
  <c r="I659" i="6" s="1"/>
  <c r="I666" i="6" s="1"/>
  <c r="F596" i="6"/>
  <c r="F603" i="6" s="1"/>
  <c r="F610" i="6" s="1"/>
  <c r="F617" i="6" s="1"/>
  <c r="F624" i="6" s="1"/>
  <c r="F631" i="6" s="1"/>
  <c r="F638" i="6" s="1"/>
  <c r="F645" i="6" s="1"/>
  <c r="F652" i="6" s="1"/>
  <c r="W595" i="6"/>
  <c r="I595" i="6"/>
  <c r="I602" i="6" s="1"/>
  <c r="I609" i="6" s="1"/>
  <c r="I616" i="6" s="1"/>
  <c r="I623" i="6" s="1"/>
  <c r="I630" i="6" s="1"/>
  <c r="I637" i="6" s="1"/>
  <c r="I644" i="6" s="1"/>
  <c r="I651" i="6" s="1"/>
  <c r="I658" i="6" s="1"/>
  <c r="I665" i="6" s="1"/>
  <c r="F595" i="6"/>
  <c r="F602" i="6" s="1"/>
  <c r="F609" i="6" s="1"/>
  <c r="F616" i="6" s="1"/>
  <c r="F623" i="6" s="1"/>
  <c r="F630" i="6" s="1"/>
  <c r="F637" i="6" s="1"/>
  <c r="F644" i="6" s="1"/>
  <c r="F651" i="6" s="1"/>
  <c r="W594" i="6"/>
  <c r="I594" i="6"/>
  <c r="I601" i="6" s="1"/>
  <c r="I608" i="6" s="1"/>
  <c r="I615" i="6" s="1"/>
  <c r="I622" i="6" s="1"/>
  <c r="I629" i="6" s="1"/>
  <c r="I636" i="6" s="1"/>
  <c r="I643" i="6" s="1"/>
  <c r="I650" i="6" s="1"/>
  <c r="I657" i="6" s="1"/>
  <c r="I664" i="6" s="1"/>
  <c r="F594" i="6"/>
  <c r="F601" i="6" s="1"/>
  <c r="F608" i="6" s="1"/>
  <c r="F615" i="6" s="1"/>
  <c r="F622" i="6" s="1"/>
  <c r="F629" i="6" s="1"/>
  <c r="F636" i="6" s="1"/>
  <c r="F643" i="6" s="1"/>
  <c r="F650" i="6" s="1"/>
  <c r="AG593" i="6"/>
  <c r="AF593" i="6"/>
  <c r="AE593" i="6"/>
  <c r="AD593" i="6"/>
  <c r="AC593" i="6"/>
  <c r="AB593" i="6"/>
  <c r="AA593" i="6"/>
  <c r="Z593" i="6"/>
  <c r="Y593" i="6"/>
  <c r="X593" i="6"/>
  <c r="K573" i="6"/>
  <c r="J573" i="6"/>
  <c r="H573" i="6"/>
  <c r="F573" i="6"/>
  <c r="L572" i="6"/>
  <c r="K572" i="6"/>
  <c r="J572" i="6"/>
  <c r="H572" i="6"/>
  <c r="F572" i="6"/>
  <c r="K571" i="6"/>
  <c r="J571" i="6"/>
  <c r="H571" i="6"/>
  <c r="F571" i="6"/>
  <c r="L570" i="6"/>
  <c r="K570" i="6"/>
  <c r="J570" i="6"/>
  <c r="H570" i="6"/>
  <c r="F570" i="6"/>
  <c r="K569" i="6"/>
  <c r="J569" i="6"/>
  <c r="H569" i="6"/>
  <c r="F569" i="6"/>
  <c r="L568" i="6"/>
  <c r="K568" i="6"/>
  <c r="J568" i="6"/>
  <c r="H568" i="6"/>
  <c r="F568" i="6"/>
  <c r="AG567" i="6"/>
  <c r="AF567" i="6"/>
  <c r="AE567" i="6"/>
  <c r="AD567" i="6"/>
  <c r="AC567" i="6"/>
  <c r="AB567" i="6"/>
  <c r="AA567" i="6"/>
  <c r="Z567" i="6"/>
  <c r="Y567" i="6"/>
  <c r="X567" i="6"/>
  <c r="V564" i="6"/>
  <c r="F493" i="6"/>
  <c r="F527" i="6" s="1"/>
  <c r="F561" i="6" s="1"/>
  <c r="F492" i="6"/>
  <c r="F526" i="6" s="1"/>
  <c r="F560" i="6" s="1"/>
  <c r="F491" i="6"/>
  <c r="F525" i="6" s="1"/>
  <c r="F559" i="6" s="1"/>
  <c r="F490" i="6"/>
  <c r="F524" i="6" s="1"/>
  <c r="F558" i="6" s="1"/>
  <c r="F489" i="6"/>
  <c r="F523" i="6" s="1"/>
  <c r="F557" i="6" s="1"/>
  <c r="F488" i="6"/>
  <c r="F522" i="6" s="1"/>
  <c r="F556" i="6" s="1"/>
  <c r="F487" i="6"/>
  <c r="F521" i="6" s="1"/>
  <c r="F555" i="6" s="1"/>
  <c r="F486" i="6"/>
  <c r="F520" i="6" s="1"/>
  <c r="F554" i="6" s="1"/>
  <c r="F485" i="6"/>
  <c r="F519" i="6" s="1"/>
  <c r="F553" i="6" s="1"/>
  <c r="F484" i="6"/>
  <c r="F518" i="6" s="1"/>
  <c r="F552" i="6" s="1"/>
  <c r="F483" i="6"/>
  <c r="F517" i="6" s="1"/>
  <c r="F551" i="6" s="1"/>
  <c r="F482" i="6"/>
  <c r="F516" i="6" s="1"/>
  <c r="F550" i="6" s="1"/>
  <c r="F481" i="6"/>
  <c r="F515" i="6" s="1"/>
  <c r="F549" i="6" s="1"/>
  <c r="F480" i="6"/>
  <c r="F514" i="6" s="1"/>
  <c r="F548" i="6" s="1"/>
  <c r="F479" i="6"/>
  <c r="F513" i="6" s="1"/>
  <c r="F547" i="6" s="1"/>
  <c r="F478" i="6"/>
  <c r="F512" i="6" s="1"/>
  <c r="F546" i="6" s="1"/>
  <c r="F477" i="6"/>
  <c r="F511" i="6" s="1"/>
  <c r="F545" i="6" s="1"/>
  <c r="F476" i="6"/>
  <c r="F510" i="6" s="1"/>
  <c r="F544" i="6" s="1"/>
  <c r="F475" i="6"/>
  <c r="F509" i="6" s="1"/>
  <c r="F543" i="6" s="1"/>
  <c r="F474" i="6"/>
  <c r="F508" i="6" s="1"/>
  <c r="F542" i="6" s="1"/>
  <c r="F473" i="6"/>
  <c r="F507" i="6" s="1"/>
  <c r="F541" i="6" s="1"/>
  <c r="F472" i="6"/>
  <c r="F506" i="6" s="1"/>
  <c r="F540" i="6" s="1"/>
  <c r="F471" i="6"/>
  <c r="F505" i="6" s="1"/>
  <c r="F539" i="6" s="1"/>
  <c r="F470" i="6"/>
  <c r="F504" i="6" s="1"/>
  <c r="F538" i="6" s="1"/>
  <c r="F469" i="6"/>
  <c r="F503" i="6" s="1"/>
  <c r="F537" i="6" s="1"/>
  <c r="F468" i="6"/>
  <c r="F502" i="6" s="1"/>
  <c r="F536" i="6" s="1"/>
  <c r="F467" i="6"/>
  <c r="F501" i="6" s="1"/>
  <c r="F535" i="6" s="1"/>
  <c r="F466" i="6"/>
  <c r="F500" i="6" s="1"/>
  <c r="F534" i="6" s="1"/>
  <c r="F465" i="6"/>
  <c r="F499" i="6" s="1"/>
  <c r="F533" i="6" s="1"/>
  <c r="F464" i="6"/>
  <c r="F498" i="6" s="1"/>
  <c r="F532" i="6" s="1"/>
  <c r="F463" i="6"/>
  <c r="F497" i="6" s="1"/>
  <c r="F531" i="6" s="1"/>
  <c r="F462" i="6"/>
  <c r="F496" i="6" s="1"/>
  <c r="F530" i="6" s="1"/>
  <c r="F461" i="6"/>
  <c r="F495" i="6" s="1"/>
  <c r="F529" i="6" s="1"/>
  <c r="F460" i="6"/>
  <c r="F494" i="6" s="1"/>
  <c r="F528" i="6" s="1"/>
  <c r="X431" i="6"/>
  <c r="J431" i="6"/>
  <c r="X430" i="6"/>
  <c r="J430" i="6"/>
  <c r="X429" i="6"/>
  <c r="J429" i="6"/>
  <c r="X428" i="6"/>
  <c r="J428" i="6"/>
  <c r="X427" i="6"/>
  <c r="J427" i="6"/>
  <c r="K427" i="6" s="1"/>
  <c r="J548" i="6" s="1"/>
  <c r="K357" i="6" s="1"/>
  <c r="X426" i="6"/>
  <c r="J426" i="6"/>
  <c r="X425" i="6"/>
  <c r="J425" i="6"/>
  <c r="X396" i="6"/>
  <c r="J396" i="6"/>
  <c r="F351" i="6" s="1"/>
  <c r="F396" i="6"/>
  <c r="F403" i="6" s="1"/>
  <c r="F410" i="6" s="1"/>
  <c r="F417" i="6" s="1"/>
  <c r="F424" i="6" s="1"/>
  <c r="F431" i="6" s="1"/>
  <c r="F438" i="6" s="1"/>
  <c r="F445" i="6" s="1"/>
  <c r="F452" i="6" s="1"/>
  <c r="F459" i="6" s="1"/>
  <c r="X395" i="6"/>
  <c r="J395" i="6"/>
  <c r="F395" i="6"/>
  <c r="F402" i="6" s="1"/>
  <c r="F409" i="6" s="1"/>
  <c r="F416" i="6" s="1"/>
  <c r="F423" i="6" s="1"/>
  <c r="F430" i="6" s="1"/>
  <c r="F437" i="6" s="1"/>
  <c r="F444" i="6" s="1"/>
  <c r="F451" i="6" s="1"/>
  <c r="F458" i="6" s="1"/>
  <c r="X394" i="6"/>
  <c r="J394" i="6"/>
  <c r="F394" i="6"/>
  <c r="F401" i="6" s="1"/>
  <c r="F408" i="6" s="1"/>
  <c r="F415" i="6" s="1"/>
  <c r="F422" i="6" s="1"/>
  <c r="F429" i="6" s="1"/>
  <c r="F436" i="6" s="1"/>
  <c r="F443" i="6" s="1"/>
  <c r="F450" i="6" s="1"/>
  <c r="F457" i="6" s="1"/>
  <c r="X393" i="6"/>
  <c r="J393" i="6"/>
  <c r="F393" i="6"/>
  <c r="F400" i="6" s="1"/>
  <c r="F407" i="6" s="1"/>
  <c r="F414" i="6" s="1"/>
  <c r="F421" i="6" s="1"/>
  <c r="F428" i="6" s="1"/>
  <c r="F435" i="6" s="1"/>
  <c r="F442" i="6" s="1"/>
  <c r="F449" i="6" s="1"/>
  <c r="F456" i="6" s="1"/>
  <c r="X392" i="6"/>
  <c r="J392" i="6"/>
  <c r="K392" i="6" s="1"/>
  <c r="F392" i="6"/>
  <c r="F399" i="6" s="1"/>
  <c r="F406" i="6" s="1"/>
  <c r="F413" i="6" s="1"/>
  <c r="F420" i="6" s="1"/>
  <c r="F427" i="6" s="1"/>
  <c r="F434" i="6" s="1"/>
  <c r="F441" i="6" s="1"/>
  <c r="F448" i="6" s="1"/>
  <c r="F455" i="6" s="1"/>
  <c r="F391" i="6"/>
  <c r="F398" i="6" s="1"/>
  <c r="F405" i="6" s="1"/>
  <c r="F412" i="6" s="1"/>
  <c r="F419" i="6" s="1"/>
  <c r="F426" i="6" s="1"/>
  <c r="F433" i="6" s="1"/>
  <c r="F440" i="6" s="1"/>
  <c r="F447" i="6" s="1"/>
  <c r="F454" i="6" s="1"/>
  <c r="F390" i="6"/>
  <c r="F397" i="6" s="1"/>
  <c r="F404" i="6" s="1"/>
  <c r="F411" i="6" s="1"/>
  <c r="F418" i="6" s="1"/>
  <c r="F425" i="6" s="1"/>
  <c r="F432" i="6" s="1"/>
  <c r="F439" i="6" s="1"/>
  <c r="F446" i="6" s="1"/>
  <c r="F453" i="6" s="1"/>
  <c r="AG389" i="6"/>
  <c r="AF389" i="6"/>
  <c r="AE389" i="6"/>
  <c r="AD389" i="6"/>
  <c r="AC389" i="6"/>
  <c r="AB389" i="6"/>
  <c r="AA389" i="6"/>
  <c r="Z389" i="6"/>
  <c r="Y389" i="6"/>
  <c r="X389" i="6"/>
  <c r="K370" i="6"/>
  <c r="J370" i="6"/>
  <c r="H370" i="6"/>
  <c r="K369" i="6"/>
  <c r="J369" i="6"/>
  <c r="H369" i="6"/>
  <c r="K368" i="6"/>
  <c r="J368" i="6"/>
  <c r="H368" i="6"/>
  <c r="J367" i="6"/>
  <c r="H367" i="6"/>
  <c r="K366" i="6"/>
  <c r="J366" i="6"/>
  <c r="H366" i="6"/>
  <c r="J365" i="6"/>
  <c r="H365" i="6"/>
  <c r="K364" i="6"/>
  <c r="J364" i="6"/>
  <c r="H364" i="6"/>
  <c r="K363" i="6"/>
  <c r="J363" i="6"/>
  <c r="H363" i="6"/>
  <c r="K362" i="6"/>
  <c r="J362" i="6"/>
  <c r="H362" i="6"/>
  <c r="J361" i="6"/>
  <c r="H361" i="6"/>
  <c r="K360" i="6"/>
  <c r="J360" i="6"/>
  <c r="H360" i="6"/>
  <c r="J359" i="6"/>
  <c r="H359" i="6"/>
  <c r="K358" i="6"/>
  <c r="J358" i="6"/>
  <c r="H358" i="6"/>
  <c r="J357" i="6"/>
  <c r="H357" i="6"/>
  <c r="J356" i="6"/>
  <c r="H356" i="6"/>
  <c r="K355" i="6"/>
  <c r="J355" i="6"/>
  <c r="H355" i="6"/>
  <c r="J354" i="6"/>
  <c r="H354" i="6"/>
  <c r="K353" i="6"/>
  <c r="J353" i="6"/>
  <c r="H353" i="6"/>
  <c r="K352" i="6"/>
  <c r="J352" i="6"/>
  <c r="H352" i="6"/>
  <c r="K351" i="6"/>
  <c r="J351" i="6"/>
  <c r="H351" i="6"/>
  <c r="J350" i="6"/>
  <c r="H350" i="6"/>
  <c r="K349" i="6"/>
  <c r="J349" i="6"/>
  <c r="H349" i="6"/>
  <c r="J348" i="6"/>
  <c r="H348" i="6"/>
  <c r="K347" i="6"/>
  <c r="J347" i="6"/>
  <c r="H347" i="6"/>
  <c r="K346" i="6"/>
  <c r="J346" i="6"/>
  <c r="H346" i="6"/>
  <c r="K345" i="6"/>
  <c r="J345" i="6"/>
  <c r="H345" i="6"/>
  <c r="J344" i="6"/>
  <c r="H344" i="6"/>
  <c r="K343" i="6"/>
  <c r="J343" i="6"/>
  <c r="H343" i="6"/>
  <c r="J342" i="6"/>
  <c r="H342" i="6"/>
  <c r="K341" i="6"/>
  <c r="J341" i="6"/>
  <c r="H341" i="6"/>
  <c r="J340" i="6"/>
  <c r="H340" i="6"/>
  <c r="J339" i="6"/>
  <c r="H339" i="6"/>
  <c r="K338" i="6"/>
  <c r="J338" i="6"/>
  <c r="H338" i="6"/>
  <c r="J337" i="6"/>
  <c r="H337" i="6"/>
  <c r="AG336" i="6"/>
  <c r="AF336" i="6"/>
  <c r="AE336" i="6"/>
  <c r="AD336" i="6"/>
  <c r="AC336" i="6"/>
  <c r="AB336" i="6"/>
  <c r="AA336" i="6"/>
  <c r="Z336" i="6"/>
  <c r="Y336" i="6"/>
  <c r="X336" i="6"/>
  <c r="V334" i="6"/>
  <c r="E308" i="6"/>
  <c r="E528" i="6" s="1"/>
  <c r="E664" i="6" s="1"/>
  <c r="E762" i="6" s="1"/>
  <c r="E1918" i="6" s="1"/>
  <c r="D308" i="6"/>
  <c r="D528" i="6" s="1"/>
  <c r="E284" i="6"/>
  <c r="E494" i="6" s="1"/>
  <c r="E657" i="6" s="1"/>
  <c r="E750" i="6" s="1"/>
  <c r="E1746" i="6" s="1"/>
  <c r="D284" i="6"/>
  <c r="X280" i="6"/>
  <c r="X279" i="6"/>
  <c r="X278" i="6"/>
  <c r="X274" i="6"/>
  <c r="X273" i="6"/>
  <c r="X272" i="6"/>
  <c r="X268" i="6"/>
  <c r="X267" i="6"/>
  <c r="X266" i="6"/>
  <c r="X262" i="6"/>
  <c r="X261" i="6"/>
  <c r="X260" i="6"/>
  <c r="V260" i="6"/>
  <c r="V236" i="6"/>
  <c r="X235" i="6"/>
  <c r="X234" i="6"/>
  <c r="X233" i="6"/>
  <c r="X232" i="6"/>
  <c r="X231" i="6"/>
  <c r="X230" i="6"/>
  <c r="X214" i="6"/>
  <c r="V212" i="6"/>
  <c r="L189" i="6"/>
  <c r="L190" i="6" s="1"/>
  <c r="L191" i="6" s="1"/>
  <c r="L192" i="6" s="1"/>
  <c r="L193" i="6" s="1"/>
  <c r="L194" i="6" s="1"/>
  <c r="L195" i="6" s="1"/>
  <c r="L196" i="6" s="1"/>
  <c r="L197" i="6" s="1"/>
  <c r="L198" i="6" s="1"/>
  <c r="L199" i="6" s="1"/>
  <c r="L200" i="6" s="1"/>
  <c r="L201" i="6" s="1"/>
  <c r="L202" i="6" s="1"/>
  <c r="L203" i="6" s="1"/>
  <c r="L204" i="6" s="1"/>
  <c r="L205" i="6" s="1"/>
  <c r="L206" i="6" s="1"/>
  <c r="L207" i="6" s="1"/>
  <c r="L208" i="6" s="1"/>
  <c r="L209" i="6" s="1"/>
  <c r="L210" i="6" s="1"/>
  <c r="L211" i="6" s="1"/>
  <c r="V188" i="6"/>
  <c r="X187" i="6"/>
  <c r="K187" i="6"/>
  <c r="X186" i="6"/>
  <c r="K186" i="6"/>
  <c r="X185" i="6"/>
  <c r="K185" i="6"/>
  <c r="X184" i="6"/>
  <c r="K184" i="6"/>
  <c r="X183" i="6"/>
  <c r="K183" i="6"/>
  <c r="X182" i="6"/>
  <c r="K182" i="6"/>
  <c r="K181" i="6"/>
  <c r="X325" i="6" s="1"/>
  <c r="K180" i="6"/>
  <c r="K179" i="6"/>
  <c r="X178" i="6"/>
  <c r="K178" i="6"/>
  <c r="J322" i="6" s="1"/>
  <c r="K118" i="6" s="1"/>
  <c r="X177" i="6"/>
  <c r="K177" i="6"/>
  <c r="X176" i="6"/>
  <c r="K176" i="6"/>
  <c r="X175" i="6"/>
  <c r="K175" i="6"/>
  <c r="J319" i="6" s="1"/>
  <c r="K115" i="6" s="1"/>
  <c r="X174" i="6"/>
  <c r="K174" i="6"/>
  <c r="X173" i="6"/>
  <c r="K173" i="6"/>
  <c r="X172" i="6"/>
  <c r="K172" i="6"/>
  <c r="X171" i="6"/>
  <c r="K171" i="6"/>
  <c r="X170" i="6"/>
  <c r="K170" i="6"/>
  <c r="K169" i="6"/>
  <c r="K168" i="6"/>
  <c r="K167" i="6"/>
  <c r="J316" i="6" s="1"/>
  <c r="K112" i="6" s="1"/>
  <c r="X166" i="6"/>
  <c r="K166" i="6"/>
  <c r="X165" i="6"/>
  <c r="K165" i="6"/>
  <c r="X164" i="6"/>
  <c r="V164" i="6"/>
  <c r="K164" i="6"/>
  <c r="X163" i="6"/>
  <c r="L163" i="6"/>
  <c r="F163" i="6"/>
  <c r="F187" i="6" s="1"/>
  <c r="F211" i="6" s="1"/>
  <c r="F235" i="6" s="1"/>
  <c r="F259" i="6" s="1"/>
  <c r="F283" i="6" s="1"/>
  <c r="F307" i="6" s="1"/>
  <c r="F331" i="6" s="1"/>
  <c r="X162" i="6"/>
  <c r="L162" i="6"/>
  <c r="F162" i="6"/>
  <c r="F186" i="6" s="1"/>
  <c r="F210" i="6" s="1"/>
  <c r="F234" i="6" s="1"/>
  <c r="F258" i="6" s="1"/>
  <c r="F282" i="6" s="1"/>
  <c r="F306" i="6" s="1"/>
  <c r="F330" i="6" s="1"/>
  <c r="X161" i="6"/>
  <c r="L161" i="6"/>
  <c r="F161" i="6"/>
  <c r="F185" i="6" s="1"/>
  <c r="F209" i="6" s="1"/>
  <c r="F233" i="6" s="1"/>
  <c r="F257" i="6" s="1"/>
  <c r="F281" i="6" s="1"/>
  <c r="F305" i="6" s="1"/>
  <c r="F329" i="6" s="1"/>
  <c r="X160" i="6"/>
  <c r="L160" i="6"/>
  <c r="F160" i="6"/>
  <c r="F184" i="6" s="1"/>
  <c r="F208" i="6" s="1"/>
  <c r="F232" i="6" s="1"/>
  <c r="F256" i="6" s="1"/>
  <c r="F280" i="6" s="1"/>
  <c r="F304" i="6" s="1"/>
  <c r="F328" i="6" s="1"/>
  <c r="X159" i="6"/>
  <c r="L159" i="6"/>
  <c r="F159" i="6"/>
  <c r="F183" i="6" s="1"/>
  <c r="F207" i="6" s="1"/>
  <c r="F231" i="6" s="1"/>
  <c r="F255" i="6" s="1"/>
  <c r="F279" i="6" s="1"/>
  <c r="F303" i="6" s="1"/>
  <c r="F327" i="6" s="1"/>
  <c r="X158" i="6"/>
  <c r="L158" i="6"/>
  <c r="F158" i="6"/>
  <c r="F182" i="6" s="1"/>
  <c r="F206" i="6" s="1"/>
  <c r="F230" i="6" s="1"/>
  <c r="F254" i="6" s="1"/>
  <c r="F278" i="6" s="1"/>
  <c r="F302" i="6" s="1"/>
  <c r="F326" i="6" s="1"/>
  <c r="L157" i="6"/>
  <c r="F157" i="6"/>
  <c r="F181" i="6" s="1"/>
  <c r="F205" i="6" s="1"/>
  <c r="F229" i="6" s="1"/>
  <c r="F253" i="6" s="1"/>
  <c r="F277" i="6" s="1"/>
  <c r="F301" i="6" s="1"/>
  <c r="F325" i="6" s="1"/>
  <c r="L156" i="6"/>
  <c r="F156" i="6"/>
  <c r="F180" i="6" s="1"/>
  <c r="F204" i="6" s="1"/>
  <c r="F228" i="6" s="1"/>
  <c r="F252" i="6" s="1"/>
  <c r="F276" i="6" s="1"/>
  <c r="F300" i="6" s="1"/>
  <c r="F324" i="6" s="1"/>
  <c r="L155" i="6"/>
  <c r="F155" i="6"/>
  <c r="F179" i="6" s="1"/>
  <c r="F203" i="6" s="1"/>
  <c r="F227" i="6" s="1"/>
  <c r="F251" i="6" s="1"/>
  <c r="F275" i="6" s="1"/>
  <c r="F299" i="6" s="1"/>
  <c r="F323" i="6" s="1"/>
  <c r="X154" i="6"/>
  <c r="Q154" i="6"/>
  <c r="L154" i="6"/>
  <c r="F154" i="6"/>
  <c r="F178" i="6" s="1"/>
  <c r="F202" i="6" s="1"/>
  <c r="F226" i="6" s="1"/>
  <c r="F250" i="6" s="1"/>
  <c r="F274" i="6" s="1"/>
  <c r="F298" i="6" s="1"/>
  <c r="F322" i="6" s="1"/>
  <c r="X153" i="6"/>
  <c r="Q153" i="6"/>
  <c r="Q151" i="6" s="1"/>
  <c r="L153" i="6"/>
  <c r="F153" i="6"/>
  <c r="F177" i="6" s="1"/>
  <c r="F201" i="6" s="1"/>
  <c r="F225" i="6" s="1"/>
  <c r="F249" i="6" s="1"/>
  <c r="F273" i="6" s="1"/>
  <c r="F297" i="6" s="1"/>
  <c r="F321" i="6" s="1"/>
  <c r="X152" i="6"/>
  <c r="L152" i="6"/>
  <c r="F152" i="6"/>
  <c r="F176" i="6" s="1"/>
  <c r="F200" i="6" s="1"/>
  <c r="F224" i="6" s="1"/>
  <c r="F248" i="6" s="1"/>
  <c r="F272" i="6" s="1"/>
  <c r="F296" i="6" s="1"/>
  <c r="F320" i="6" s="1"/>
  <c r="F151" i="6"/>
  <c r="F175" i="6" s="1"/>
  <c r="F199" i="6" s="1"/>
  <c r="F223" i="6" s="1"/>
  <c r="F247" i="6" s="1"/>
  <c r="F271" i="6" s="1"/>
  <c r="F295" i="6" s="1"/>
  <c r="F319" i="6" s="1"/>
  <c r="F150" i="6"/>
  <c r="F174" i="6" s="1"/>
  <c r="F198" i="6" s="1"/>
  <c r="F222" i="6" s="1"/>
  <c r="F246" i="6" s="1"/>
  <c r="F270" i="6" s="1"/>
  <c r="F294" i="6" s="1"/>
  <c r="F318" i="6" s="1"/>
  <c r="F149" i="6"/>
  <c r="F173" i="6" s="1"/>
  <c r="F197" i="6" s="1"/>
  <c r="F221" i="6" s="1"/>
  <c r="F245" i="6" s="1"/>
  <c r="F269" i="6" s="1"/>
  <c r="F293" i="6" s="1"/>
  <c r="F317" i="6" s="1"/>
  <c r="X148" i="6"/>
  <c r="L148" i="6"/>
  <c r="F148" i="6"/>
  <c r="F172" i="6" s="1"/>
  <c r="F196" i="6" s="1"/>
  <c r="F220" i="6" s="1"/>
  <c r="F244" i="6" s="1"/>
  <c r="F268" i="6" s="1"/>
  <c r="F292" i="6" s="1"/>
  <c r="F316" i="6" s="1"/>
  <c r="X147" i="6"/>
  <c r="L147" i="6"/>
  <c r="F147" i="6"/>
  <c r="F171" i="6" s="1"/>
  <c r="F195" i="6" s="1"/>
  <c r="F219" i="6" s="1"/>
  <c r="F243" i="6" s="1"/>
  <c r="F267" i="6" s="1"/>
  <c r="F291" i="6" s="1"/>
  <c r="F315" i="6" s="1"/>
  <c r="X146" i="6"/>
  <c r="L146" i="6"/>
  <c r="F146" i="6"/>
  <c r="F170" i="6" s="1"/>
  <c r="F194" i="6" s="1"/>
  <c r="F218" i="6" s="1"/>
  <c r="F242" i="6" s="1"/>
  <c r="F266" i="6" s="1"/>
  <c r="F290" i="6" s="1"/>
  <c r="F314" i="6" s="1"/>
  <c r="L145" i="6"/>
  <c r="F145" i="6"/>
  <c r="F169" i="6" s="1"/>
  <c r="F193" i="6" s="1"/>
  <c r="F217" i="6" s="1"/>
  <c r="F241" i="6" s="1"/>
  <c r="F265" i="6" s="1"/>
  <c r="F289" i="6" s="1"/>
  <c r="F313" i="6" s="1"/>
  <c r="L144" i="6"/>
  <c r="F144" i="6"/>
  <c r="F168" i="6" s="1"/>
  <c r="F192" i="6" s="1"/>
  <c r="F216" i="6" s="1"/>
  <c r="F240" i="6" s="1"/>
  <c r="F264" i="6" s="1"/>
  <c r="F288" i="6" s="1"/>
  <c r="F312" i="6" s="1"/>
  <c r="Q143" i="6"/>
  <c r="L143" i="6"/>
  <c r="F143" i="6"/>
  <c r="F167" i="6" s="1"/>
  <c r="F191" i="6" s="1"/>
  <c r="F215" i="6" s="1"/>
  <c r="F239" i="6" s="1"/>
  <c r="F263" i="6" s="1"/>
  <c r="F287" i="6" s="1"/>
  <c r="F311" i="6" s="1"/>
  <c r="X142" i="6"/>
  <c r="L142" i="6"/>
  <c r="F142" i="6"/>
  <c r="F166" i="6" s="1"/>
  <c r="F190" i="6" s="1"/>
  <c r="F214" i="6" s="1"/>
  <c r="F238" i="6" s="1"/>
  <c r="F262" i="6" s="1"/>
  <c r="F286" i="6" s="1"/>
  <c r="F310" i="6" s="1"/>
  <c r="X141" i="6"/>
  <c r="F141" i="6"/>
  <c r="F165" i="6" s="1"/>
  <c r="F189" i="6" s="1"/>
  <c r="F213" i="6" s="1"/>
  <c r="F237" i="6" s="1"/>
  <c r="F261" i="6" s="1"/>
  <c r="F285" i="6" s="1"/>
  <c r="F309" i="6" s="1"/>
  <c r="X140" i="6"/>
  <c r="V140" i="6"/>
  <c r="L140" i="6"/>
  <c r="L141" i="6" s="1"/>
  <c r="F140" i="6"/>
  <c r="F164" i="6" s="1"/>
  <c r="F188" i="6" s="1"/>
  <c r="F212" i="6" s="1"/>
  <c r="F236" i="6" s="1"/>
  <c r="F260" i="6" s="1"/>
  <c r="F284" i="6" s="1"/>
  <c r="F308" i="6" s="1"/>
  <c r="AG139" i="6"/>
  <c r="AF139" i="6"/>
  <c r="AE139" i="6"/>
  <c r="AD139" i="6"/>
  <c r="AC139" i="6"/>
  <c r="AB139" i="6"/>
  <c r="AA139" i="6"/>
  <c r="Z139" i="6"/>
  <c r="Y139" i="6"/>
  <c r="X139" i="6"/>
  <c r="J127" i="6"/>
  <c r="H127" i="6"/>
  <c r="F127" i="6"/>
  <c r="K126" i="6"/>
  <c r="J126" i="6"/>
  <c r="H126" i="6"/>
  <c r="F126" i="6"/>
  <c r="J125" i="6"/>
  <c r="H125" i="6"/>
  <c r="F125" i="6"/>
  <c r="J124" i="6"/>
  <c r="H124" i="6"/>
  <c r="F124" i="6"/>
  <c r="K123" i="6"/>
  <c r="J123" i="6"/>
  <c r="H123" i="6"/>
  <c r="F123" i="6"/>
  <c r="J122" i="6"/>
  <c r="H122" i="6"/>
  <c r="F122" i="6"/>
  <c r="J121" i="6"/>
  <c r="H121" i="6"/>
  <c r="F121" i="6"/>
  <c r="K120" i="6"/>
  <c r="J120" i="6"/>
  <c r="H120" i="6"/>
  <c r="F120" i="6"/>
  <c r="J119" i="6"/>
  <c r="H119" i="6"/>
  <c r="F119" i="6"/>
  <c r="J118" i="6"/>
  <c r="H118" i="6"/>
  <c r="F118" i="6"/>
  <c r="K117" i="6"/>
  <c r="J117" i="6"/>
  <c r="H117" i="6"/>
  <c r="F117" i="6"/>
  <c r="J116" i="6"/>
  <c r="H116" i="6"/>
  <c r="F116" i="6"/>
  <c r="J115" i="6"/>
  <c r="H115" i="6"/>
  <c r="F115" i="6"/>
  <c r="K114" i="6"/>
  <c r="J114" i="6"/>
  <c r="H114" i="6"/>
  <c r="F114" i="6"/>
  <c r="J113" i="6"/>
  <c r="H113" i="6"/>
  <c r="F113" i="6"/>
  <c r="J112" i="6"/>
  <c r="H112" i="6"/>
  <c r="F112" i="6"/>
  <c r="K111" i="6"/>
  <c r="J111" i="6"/>
  <c r="H111" i="6"/>
  <c r="F111" i="6"/>
  <c r="J110" i="6"/>
  <c r="H110" i="6"/>
  <c r="F110" i="6"/>
  <c r="K109" i="6"/>
  <c r="J109" i="6"/>
  <c r="H109" i="6"/>
  <c r="F109" i="6"/>
  <c r="K108" i="6"/>
  <c r="J108" i="6"/>
  <c r="H108" i="6"/>
  <c r="F108" i="6"/>
  <c r="J107" i="6"/>
  <c r="H107" i="6"/>
  <c r="F107" i="6"/>
  <c r="K106" i="6"/>
  <c r="J106" i="6"/>
  <c r="H106" i="6"/>
  <c r="F106" i="6"/>
  <c r="K105" i="6"/>
  <c r="J105" i="6"/>
  <c r="H105" i="6"/>
  <c r="F105" i="6"/>
  <c r="J104" i="6"/>
  <c r="H104" i="6"/>
  <c r="F104" i="6"/>
  <c r="AG103" i="6"/>
  <c r="AF103" i="6"/>
  <c r="AE103" i="6"/>
  <c r="AD103" i="6"/>
  <c r="AC103" i="6"/>
  <c r="AB103" i="6"/>
  <c r="AA103" i="6"/>
  <c r="Z103" i="6"/>
  <c r="Y103" i="6"/>
  <c r="X103" i="6"/>
  <c r="V100" i="6"/>
  <c r="F97" i="6"/>
  <c r="F96" i="6"/>
  <c r="F95" i="6"/>
  <c r="F94" i="6"/>
  <c r="X93" i="6"/>
  <c r="W93" i="6"/>
  <c r="I93" i="6"/>
  <c r="O14" i="6" s="1"/>
  <c r="F93" i="6"/>
  <c r="X92" i="6"/>
  <c r="W92" i="6"/>
  <c r="I92" i="6"/>
  <c r="O13" i="6" s="1"/>
  <c r="F92" i="6"/>
  <c r="Q91" i="6"/>
  <c r="R82" i="6" s="1"/>
  <c r="W96" i="6" s="1"/>
  <c r="F91" i="6"/>
  <c r="F90" i="6"/>
  <c r="F89" i="6"/>
  <c r="F88" i="6"/>
  <c r="X87" i="6"/>
  <c r="W87" i="6"/>
  <c r="I87" i="6"/>
  <c r="F87" i="6"/>
  <c r="X86" i="6"/>
  <c r="W86" i="6"/>
  <c r="I86" i="6"/>
  <c r="O7" i="6" s="1"/>
  <c r="F86" i="6"/>
  <c r="D86" i="6"/>
  <c r="V86" i="6" s="1"/>
  <c r="F85" i="6"/>
  <c r="F84" i="6"/>
  <c r="F83" i="6"/>
  <c r="F82" i="6"/>
  <c r="F81" i="6"/>
  <c r="F80" i="6"/>
  <c r="F79" i="6"/>
  <c r="F78" i="6"/>
  <c r="F77" i="6"/>
  <c r="F76" i="6"/>
  <c r="F75" i="6"/>
  <c r="F74" i="6"/>
  <c r="D74" i="6"/>
  <c r="V74" i="6" s="1"/>
  <c r="F73" i="6"/>
  <c r="F72" i="6"/>
  <c r="F71" i="6"/>
  <c r="F70" i="6"/>
  <c r="F69" i="6"/>
  <c r="F68" i="6"/>
  <c r="F67" i="6"/>
  <c r="F66" i="6"/>
  <c r="F65" i="6"/>
  <c r="F64" i="6"/>
  <c r="F63" i="6"/>
  <c r="V62" i="6"/>
  <c r="F62" i="6"/>
  <c r="V60" i="6"/>
  <c r="V59" i="6"/>
  <c r="X58" i="6"/>
  <c r="I58" i="6"/>
  <c r="J18" i="6" s="1"/>
  <c r="F58" i="6"/>
  <c r="X57" i="6"/>
  <c r="I57" i="6"/>
  <c r="J17" i="6" s="1"/>
  <c r="F57" i="6"/>
  <c r="X56" i="6"/>
  <c r="I56" i="6"/>
  <c r="J16" i="6" s="1"/>
  <c r="F56" i="6"/>
  <c r="X55" i="6"/>
  <c r="I55" i="6"/>
  <c r="J15" i="6" s="1"/>
  <c r="F55" i="6"/>
  <c r="X54" i="6"/>
  <c r="I54" i="6"/>
  <c r="J14" i="6" s="1"/>
  <c r="F54" i="6"/>
  <c r="X53" i="6"/>
  <c r="I53" i="6"/>
  <c r="J13" i="6" s="1"/>
  <c r="F53" i="6"/>
  <c r="X52" i="6"/>
  <c r="I52" i="6"/>
  <c r="J12" i="6" s="1"/>
  <c r="F52" i="6"/>
  <c r="X51" i="6"/>
  <c r="I51" i="6"/>
  <c r="J11" i="6" s="1"/>
  <c r="F51" i="6"/>
  <c r="X50" i="6"/>
  <c r="I50" i="6"/>
  <c r="F50" i="6"/>
  <c r="X49" i="6"/>
  <c r="I49" i="6"/>
  <c r="J9" i="6" s="1"/>
  <c r="F49" i="6"/>
  <c r="X48" i="6"/>
  <c r="I48" i="6"/>
  <c r="J8" i="6" s="1"/>
  <c r="F48" i="6"/>
  <c r="X47" i="6"/>
  <c r="V47" i="6"/>
  <c r="I47" i="6"/>
  <c r="J7" i="6" s="1"/>
  <c r="F47" i="6"/>
  <c r="V46" i="6"/>
  <c r="V45" i="6"/>
  <c r="X44" i="6"/>
  <c r="I44" i="6"/>
  <c r="I18" i="6" s="1"/>
  <c r="F44" i="6"/>
  <c r="X43" i="6"/>
  <c r="I43" i="6"/>
  <c r="I17" i="6" s="1"/>
  <c r="F43" i="6"/>
  <c r="X42" i="6"/>
  <c r="I42" i="6"/>
  <c r="I16" i="6" s="1"/>
  <c r="F42" i="6"/>
  <c r="X41" i="6"/>
  <c r="I41" i="6"/>
  <c r="F41" i="6"/>
  <c r="X40" i="6"/>
  <c r="I40" i="6"/>
  <c r="I14" i="6" s="1"/>
  <c r="F40" i="6"/>
  <c r="X39" i="6"/>
  <c r="I39" i="6"/>
  <c r="I13" i="6" s="1"/>
  <c r="F39" i="6"/>
  <c r="X38" i="6"/>
  <c r="I38" i="6"/>
  <c r="I12" i="6" s="1"/>
  <c r="F38" i="6"/>
  <c r="X37" i="6"/>
  <c r="I37" i="6"/>
  <c r="I11" i="6" s="1"/>
  <c r="F37" i="6"/>
  <c r="X36" i="6"/>
  <c r="I36" i="6"/>
  <c r="I10" i="6" s="1"/>
  <c r="F36" i="6"/>
  <c r="X35" i="6"/>
  <c r="I35" i="6"/>
  <c r="I9" i="6" s="1"/>
  <c r="F35" i="6"/>
  <c r="X34" i="6"/>
  <c r="I34" i="6"/>
  <c r="I8" i="6" s="1"/>
  <c r="F34" i="6"/>
  <c r="X33" i="6"/>
  <c r="V33" i="6"/>
  <c r="I33" i="6"/>
  <c r="I7" i="6" s="1"/>
  <c r="F33" i="6"/>
  <c r="AG32" i="6"/>
  <c r="AF32" i="6"/>
  <c r="AE32" i="6"/>
  <c r="AD32" i="6"/>
  <c r="AC32" i="6"/>
  <c r="AB32" i="6"/>
  <c r="AA32" i="6"/>
  <c r="Z32" i="6"/>
  <c r="Y32" i="6"/>
  <c r="X32" i="6"/>
  <c r="O18" i="6"/>
  <c r="N18" i="6"/>
  <c r="L18" i="6"/>
  <c r="G18" i="6"/>
  <c r="H18" i="6" s="1"/>
  <c r="N17" i="6"/>
  <c r="L17" i="6"/>
  <c r="H17" i="6"/>
  <c r="O16" i="6"/>
  <c r="N16" i="6"/>
  <c r="L16" i="6"/>
  <c r="G16" i="6"/>
  <c r="H16" i="6" s="1"/>
  <c r="N15" i="6"/>
  <c r="L15" i="6"/>
  <c r="I15" i="6"/>
  <c r="H15" i="6"/>
  <c r="N14" i="6"/>
  <c r="L14" i="6"/>
  <c r="H14" i="6"/>
  <c r="N13" i="6"/>
  <c r="L13" i="6"/>
  <c r="H13" i="6"/>
  <c r="O12" i="6"/>
  <c r="N12" i="6"/>
  <c r="K12" i="6"/>
  <c r="G12" i="6"/>
  <c r="H12" i="6" s="1"/>
  <c r="N11" i="6"/>
  <c r="K11" i="6"/>
  <c r="H11" i="6"/>
  <c r="O10" i="6"/>
  <c r="N10" i="6"/>
  <c r="K10" i="6"/>
  <c r="J10" i="6"/>
  <c r="G10" i="6"/>
  <c r="H10" i="6" s="1"/>
  <c r="N9" i="6"/>
  <c r="K9" i="6"/>
  <c r="H9" i="6"/>
  <c r="O8" i="6"/>
  <c r="N8" i="6"/>
  <c r="K8" i="6"/>
  <c r="H8" i="6"/>
  <c r="N7" i="6"/>
  <c r="K7" i="6"/>
  <c r="H7" i="6"/>
  <c r="V4" i="6"/>
  <c r="BH224" i="5"/>
  <c r="BG224" i="5"/>
  <c r="AV224" i="5"/>
  <c r="AU224" i="5"/>
  <c r="BM222" i="5"/>
  <c r="BN222" i="5" s="1"/>
  <c r="BO222" i="5" s="1"/>
  <c r="BP222" i="5" s="1"/>
  <c r="BQ222" i="5" s="1"/>
  <c r="BI222" i="5"/>
  <c r="BJ222" i="5" s="1"/>
  <c r="BK222" i="5" s="1"/>
  <c r="BL222" i="5" s="1"/>
  <c r="BG222" i="5"/>
  <c r="BH222" i="5" s="1"/>
  <c r="AZ222" i="5"/>
  <c r="BA222" i="5" s="1"/>
  <c r="BB222" i="5" s="1"/>
  <c r="BC222" i="5" s="1"/>
  <c r="BD222" i="5" s="1"/>
  <c r="BE222" i="5" s="1"/>
  <c r="AV222" i="5"/>
  <c r="AW222" i="5" s="1"/>
  <c r="AX222" i="5" s="1"/>
  <c r="AY222" i="5" s="1"/>
  <c r="AU222" i="5"/>
  <c r="AM222" i="5"/>
  <c r="AN222" i="5" s="1"/>
  <c r="AO222" i="5" s="1"/>
  <c r="AP222" i="5" s="1"/>
  <c r="AQ222" i="5" s="1"/>
  <c r="AR222" i="5" s="1"/>
  <c r="AS222" i="5" s="1"/>
  <c r="AI222" i="5"/>
  <c r="AJ222" i="5" s="1"/>
  <c r="AK222" i="5" s="1"/>
  <c r="AL222" i="5" s="1"/>
  <c r="BQ221" i="5"/>
  <c r="BP221" i="5"/>
  <c r="BO221" i="5"/>
  <c r="BN221" i="5"/>
  <c r="BM221" i="5"/>
  <c r="BL221" i="5"/>
  <c r="BK221" i="5"/>
  <c r="BJ221" i="5"/>
  <c r="BI221" i="5"/>
  <c r="BH221" i="5"/>
  <c r="BG221" i="5"/>
  <c r="BE221" i="5"/>
  <c r="BD221" i="5"/>
  <c r="BC221" i="5"/>
  <c r="BB221" i="5"/>
  <c r="BA221" i="5"/>
  <c r="AZ221" i="5"/>
  <c r="AY221" i="5"/>
  <c r="AX221" i="5"/>
  <c r="AW221" i="5"/>
  <c r="AV221" i="5"/>
  <c r="AU221" i="5"/>
  <c r="AS221" i="5"/>
  <c r="AR221" i="5"/>
  <c r="AQ221" i="5"/>
  <c r="AP221" i="5"/>
  <c r="AO221" i="5"/>
  <c r="AN221" i="5"/>
  <c r="AM221" i="5"/>
  <c r="AL221" i="5"/>
  <c r="AK221" i="5"/>
  <c r="AJ221" i="5"/>
  <c r="AI221" i="5"/>
  <c r="AG221" i="5"/>
  <c r="AF221" i="5"/>
  <c r="AE221" i="5"/>
  <c r="AD221" i="5"/>
  <c r="AC221" i="5"/>
  <c r="AB221" i="5"/>
  <c r="AA221" i="5"/>
  <c r="Z221" i="5"/>
  <c r="Y221" i="5"/>
  <c r="X221" i="5"/>
  <c r="W221" i="5"/>
  <c r="K214" i="5"/>
  <c r="J214" i="5"/>
  <c r="I214" i="5"/>
  <c r="H214" i="5"/>
  <c r="F214" i="5"/>
  <c r="K213" i="5"/>
  <c r="J213" i="5"/>
  <c r="H213" i="5"/>
  <c r="F213" i="5"/>
  <c r="K212" i="5"/>
  <c r="J212" i="5"/>
  <c r="I212" i="5"/>
  <c r="H212" i="5"/>
  <c r="F212" i="5"/>
  <c r="K211" i="5"/>
  <c r="J211" i="5"/>
  <c r="H211" i="5"/>
  <c r="F211" i="5"/>
  <c r="K210" i="5"/>
  <c r="J210" i="5"/>
  <c r="I210" i="5"/>
  <c r="H210" i="5"/>
  <c r="F210" i="5"/>
  <c r="V209" i="5"/>
  <c r="V210" i="5" s="1"/>
  <c r="V211" i="5" s="1"/>
  <c r="V212" i="5" s="1"/>
  <c r="V213" i="5" s="1"/>
  <c r="V214" i="5" s="1"/>
  <c r="K209" i="5"/>
  <c r="J209" i="5"/>
  <c r="H209" i="5"/>
  <c r="F209" i="5"/>
  <c r="AG208" i="5"/>
  <c r="AF208" i="5"/>
  <c r="AE208" i="5"/>
  <c r="AD208" i="5"/>
  <c r="AC208" i="5"/>
  <c r="AB208" i="5"/>
  <c r="AA208" i="5"/>
  <c r="Z208" i="5"/>
  <c r="X208" i="5"/>
  <c r="W208" i="5"/>
  <c r="V206" i="5"/>
  <c r="AJ203" i="5"/>
  <c r="AG203" i="5"/>
  <c r="AF203" i="5"/>
  <c r="AE203" i="5"/>
  <c r="AD203" i="5"/>
  <c r="AC203" i="5"/>
  <c r="AB203" i="5"/>
  <c r="AA203" i="5"/>
  <c r="Z203" i="5"/>
  <c r="Y203" i="5"/>
  <c r="X203" i="5"/>
  <c r="AJ202" i="5"/>
  <c r="AG202" i="5"/>
  <c r="AF202" i="5"/>
  <c r="AE202" i="5"/>
  <c r="AD202" i="5"/>
  <c r="AC202" i="5"/>
  <c r="AB202" i="5"/>
  <c r="AA202" i="5"/>
  <c r="Z202" i="5"/>
  <c r="Y202" i="5"/>
  <c r="X202" i="5"/>
  <c r="AG199" i="5"/>
  <c r="AF199" i="5"/>
  <c r="AE199" i="5"/>
  <c r="AD199" i="5"/>
  <c r="AC199" i="5"/>
  <c r="AB199" i="5"/>
  <c r="AA199" i="5"/>
  <c r="Z199" i="5"/>
  <c r="Y199" i="5"/>
  <c r="AG198" i="5"/>
  <c r="AF198" i="5"/>
  <c r="AE198" i="5"/>
  <c r="AD198" i="5"/>
  <c r="AC198" i="5"/>
  <c r="AB198" i="5"/>
  <c r="AA198" i="5"/>
  <c r="Z198" i="5"/>
  <c r="Y198" i="5"/>
  <c r="AG197" i="5"/>
  <c r="AF197" i="5"/>
  <c r="AE197" i="5"/>
  <c r="AD197" i="5"/>
  <c r="AC197" i="5"/>
  <c r="AB197" i="5"/>
  <c r="AA197" i="5"/>
  <c r="Z197" i="5"/>
  <c r="Y197" i="5"/>
  <c r="AG196" i="5"/>
  <c r="AF196" i="5"/>
  <c r="AE196" i="5"/>
  <c r="AD196" i="5"/>
  <c r="AC196" i="5"/>
  <c r="AB196" i="5"/>
  <c r="AA196" i="5"/>
  <c r="Z196" i="5"/>
  <c r="Y196" i="5"/>
  <c r="AG195" i="5"/>
  <c r="AF195" i="5"/>
  <c r="AE195" i="5"/>
  <c r="AD195" i="5"/>
  <c r="AC195" i="5"/>
  <c r="AB195" i="5"/>
  <c r="AA195" i="5"/>
  <c r="Z195" i="5"/>
  <c r="Y195" i="5"/>
  <c r="AG194" i="5"/>
  <c r="AF194" i="5"/>
  <c r="AE194" i="5"/>
  <c r="AD194" i="5"/>
  <c r="AC194" i="5"/>
  <c r="AB194" i="5"/>
  <c r="AA194" i="5"/>
  <c r="Z194" i="5"/>
  <c r="Y194" i="5"/>
  <c r="AG193" i="5"/>
  <c r="AF193" i="5"/>
  <c r="AE193" i="5"/>
  <c r="AD193" i="5"/>
  <c r="AC193" i="5"/>
  <c r="AB193" i="5"/>
  <c r="AA193" i="5"/>
  <c r="Z193" i="5"/>
  <c r="Y193" i="5"/>
  <c r="AG192" i="5"/>
  <c r="AF192" i="5"/>
  <c r="AE192" i="5"/>
  <c r="AD192" i="5"/>
  <c r="AC192" i="5"/>
  <c r="AB192" i="5"/>
  <c r="AA192" i="5"/>
  <c r="Z192" i="5"/>
  <c r="Y192" i="5"/>
  <c r="AG191" i="5"/>
  <c r="AF191" i="5"/>
  <c r="AE191" i="5"/>
  <c r="AD191" i="5"/>
  <c r="AC191" i="5"/>
  <c r="AB191" i="5"/>
  <c r="AA191" i="5"/>
  <c r="Z191" i="5"/>
  <c r="Y191" i="5"/>
  <c r="X191" i="5"/>
  <c r="W191" i="5"/>
  <c r="AJ190" i="5"/>
  <c r="AI190" i="5"/>
  <c r="AG190" i="5"/>
  <c r="AF190" i="5"/>
  <c r="AE190" i="5"/>
  <c r="AD190" i="5"/>
  <c r="AC190" i="5"/>
  <c r="AB190" i="5"/>
  <c r="AA190" i="5"/>
  <c r="Z190" i="5"/>
  <c r="Y190" i="5"/>
  <c r="X190" i="5"/>
  <c r="W190" i="5"/>
  <c r="AG189" i="5"/>
  <c r="AF189" i="5"/>
  <c r="AE189" i="5"/>
  <c r="AD189" i="5"/>
  <c r="AC189" i="5"/>
  <c r="AB189" i="5"/>
  <c r="AA189" i="5"/>
  <c r="Z189" i="5"/>
  <c r="Y189" i="5"/>
  <c r="AJ188" i="5"/>
  <c r="AI188" i="5"/>
  <c r="AG188" i="5"/>
  <c r="AF188" i="5"/>
  <c r="AE188" i="5"/>
  <c r="AD188" i="5"/>
  <c r="AC188" i="5"/>
  <c r="AB188" i="5"/>
  <c r="AA188" i="5"/>
  <c r="Z188" i="5"/>
  <c r="Y188" i="5"/>
  <c r="X188" i="5"/>
  <c r="W188" i="5"/>
  <c r="AS186" i="5"/>
  <c r="AR186" i="5"/>
  <c r="AQ186" i="5"/>
  <c r="AP186" i="5"/>
  <c r="AO186" i="5"/>
  <c r="AN186" i="5"/>
  <c r="AM186" i="5"/>
  <c r="AL186" i="5"/>
  <c r="AK186" i="5"/>
  <c r="AJ186" i="5"/>
  <c r="AI186" i="5"/>
  <c r="AG186" i="5"/>
  <c r="AF186" i="5"/>
  <c r="AE186" i="5"/>
  <c r="AD186" i="5"/>
  <c r="AC186" i="5"/>
  <c r="AB186" i="5"/>
  <c r="AA186" i="5"/>
  <c r="Z186" i="5"/>
  <c r="Y186" i="5"/>
  <c r="X186" i="5"/>
  <c r="W186" i="5"/>
  <c r="K181" i="5"/>
  <c r="J181" i="5"/>
  <c r="H181" i="5"/>
  <c r="F181" i="5"/>
  <c r="V180" i="5"/>
  <c r="V181" i="5" s="1"/>
  <c r="K180" i="5"/>
  <c r="J180" i="5"/>
  <c r="H180" i="5"/>
  <c r="F180" i="5"/>
  <c r="AG179" i="5"/>
  <c r="AF179" i="5"/>
  <c r="AE179" i="5"/>
  <c r="AD179" i="5"/>
  <c r="AC179" i="5"/>
  <c r="AB179" i="5"/>
  <c r="AA179" i="5"/>
  <c r="Z179" i="5"/>
  <c r="Y179" i="5"/>
  <c r="X179" i="5"/>
  <c r="W179" i="5"/>
  <c r="V177" i="5"/>
  <c r="AG154" i="5"/>
  <c r="AF154" i="5"/>
  <c r="AE154" i="5"/>
  <c r="AD154" i="5"/>
  <c r="AC154" i="5"/>
  <c r="AB154" i="5"/>
  <c r="AA154" i="5"/>
  <c r="Z154" i="5"/>
  <c r="Y154" i="5"/>
  <c r="X154" i="5"/>
  <c r="W154" i="5"/>
  <c r="V145" i="5"/>
  <c r="L145" i="5"/>
  <c r="K145" i="5"/>
  <c r="J145" i="5"/>
  <c r="H145" i="5"/>
  <c r="AG144" i="5"/>
  <c r="AF144" i="5"/>
  <c r="AE144" i="5"/>
  <c r="AD144" i="5"/>
  <c r="AC144" i="5"/>
  <c r="AB144" i="5"/>
  <c r="AA144" i="5"/>
  <c r="Z144" i="5"/>
  <c r="Y144" i="5"/>
  <c r="X144" i="5"/>
  <c r="W144" i="5"/>
  <c r="V142" i="5"/>
  <c r="AS119" i="5"/>
  <c r="AR119" i="5"/>
  <c r="AQ119" i="5"/>
  <c r="AP119" i="5"/>
  <c r="AO119" i="5"/>
  <c r="AN119" i="5"/>
  <c r="AM119" i="5"/>
  <c r="AL119" i="5"/>
  <c r="AK119" i="5"/>
  <c r="AJ119" i="5"/>
  <c r="AI119" i="5"/>
  <c r="AG119" i="5"/>
  <c r="AF119" i="5"/>
  <c r="AE119" i="5"/>
  <c r="AD119" i="5"/>
  <c r="AC119" i="5"/>
  <c r="AB119" i="5"/>
  <c r="AA119" i="5"/>
  <c r="Z119" i="5"/>
  <c r="Y119" i="5"/>
  <c r="X119" i="5"/>
  <c r="W119" i="5"/>
  <c r="L111" i="5"/>
  <c r="K111" i="5"/>
  <c r="I111" i="5"/>
  <c r="H111" i="5"/>
  <c r="F111" i="5"/>
  <c r="E111" i="5"/>
  <c r="V110" i="5"/>
  <c r="V111" i="5" s="1"/>
  <c r="L110" i="5"/>
  <c r="K110" i="5"/>
  <c r="I110" i="5"/>
  <c r="H110" i="5"/>
  <c r="F110" i="5"/>
  <c r="AG109" i="5"/>
  <c r="AF109" i="5"/>
  <c r="AE109" i="5"/>
  <c r="AD109" i="5"/>
  <c r="AC109" i="5"/>
  <c r="AB109" i="5"/>
  <c r="AA109" i="5"/>
  <c r="Z109" i="5"/>
  <c r="Y109" i="5"/>
  <c r="X109" i="5"/>
  <c r="W109" i="5"/>
  <c r="V107" i="5"/>
  <c r="AS84" i="5"/>
  <c r="AR84" i="5"/>
  <c r="AQ84" i="5"/>
  <c r="AP84" i="5"/>
  <c r="AO84" i="5"/>
  <c r="AN84" i="5"/>
  <c r="AM84" i="5"/>
  <c r="AL84" i="5"/>
  <c r="AK84" i="5"/>
  <c r="AJ84" i="5"/>
  <c r="AI84" i="5"/>
  <c r="AG84" i="5"/>
  <c r="AF84" i="5"/>
  <c r="AE84" i="5"/>
  <c r="AD84" i="5"/>
  <c r="AC84" i="5"/>
  <c r="AB84" i="5"/>
  <c r="AA84" i="5"/>
  <c r="Z84" i="5"/>
  <c r="Y84" i="5"/>
  <c r="X84" i="5"/>
  <c r="W84" i="5"/>
  <c r="L76" i="5"/>
  <c r="X677" i="7" s="1"/>
  <c r="K76" i="5"/>
  <c r="I76" i="5"/>
  <c r="F76" i="5" s="1"/>
  <c r="H76" i="5"/>
  <c r="V75" i="5"/>
  <c r="V76" i="5" s="1"/>
  <c r="L75" i="5"/>
  <c r="K75" i="5"/>
  <c r="I75" i="5"/>
  <c r="H75" i="5"/>
  <c r="F75" i="5"/>
  <c r="AG74" i="5"/>
  <c r="AF74" i="5"/>
  <c r="AE74" i="5"/>
  <c r="AD74" i="5"/>
  <c r="AC74" i="5"/>
  <c r="AB74" i="5"/>
  <c r="AA74" i="5"/>
  <c r="Z74" i="5"/>
  <c r="Y74" i="5"/>
  <c r="X74" i="5"/>
  <c r="W74" i="5"/>
  <c r="V72" i="5"/>
  <c r="AI59" i="5"/>
  <c r="W59" i="5"/>
  <c r="X59" i="5" s="1"/>
  <c r="AI58" i="5"/>
  <c r="W56" i="5"/>
  <c r="W55" i="5"/>
  <c r="X55" i="5" s="1"/>
  <c r="AS53" i="5"/>
  <c r="AR53" i="5"/>
  <c r="AQ53" i="5"/>
  <c r="AP53" i="5"/>
  <c r="AO53" i="5"/>
  <c r="AN53" i="5"/>
  <c r="AM53" i="5"/>
  <c r="AL53" i="5"/>
  <c r="AK53" i="5"/>
  <c r="AJ53" i="5"/>
  <c r="AI53" i="5"/>
  <c r="AG53" i="5"/>
  <c r="AF53" i="5"/>
  <c r="AE53" i="5"/>
  <c r="AD53" i="5"/>
  <c r="AC53" i="5"/>
  <c r="AB53" i="5"/>
  <c r="AA53" i="5"/>
  <c r="Z53" i="5"/>
  <c r="Y53" i="5"/>
  <c r="X53" i="5"/>
  <c r="W53" i="5"/>
  <c r="K42" i="5"/>
  <c r="J42" i="5"/>
  <c r="H42" i="5"/>
  <c r="F42" i="5"/>
  <c r="K41" i="5"/>
  <c r="J41" i="5"/>
  <c r="H41" i="5"/>
  <c r="F41" i="5"/>
  <c r="V40" i="5"/>
  <c r="V41" i="5" s="1"/>
  <c r="V42" i="5" s="1"/>
  <c r="K40" i="5"/>
  <c r="J40" i="5"/>
  <c r="H40" i="5"/>
  <c r="I40" i="5" s="1"/>
  <c r="F40" i="5"/>
  <c r="K39" i="5"/>
  <c r="J39" i="5"/>
  <c r="H39" i="5"/>
  <c r="F39" i="5"/>
  <c r="V38" i="5"/>
  <c r="V39" i="5" s="1"/>
  <c r="K38" i="5"/>
  <c r="J38" i="5"/>
  <c r="H38" i="5"/>
  <c r="F38" i="5"/>
  <c r="V37" i="5"/>
  <c r="K37" i="5"/>
  <c r="J37" i="5"/>
  <c r="H37" i="5"/>
  <c r="F37" i="5"/>
  <c r="I37" i="5" s="1"/>
  <c r="AG36" i="5"/>
  <c r="AF36" i="5"/>
  <c r="AE36" i="5"/>
  <c r="AD36" i="5"/>
  <c r="AC36" i="5"/>
  <c r="AB36" i="5"/>
  <c r="AA36" i="5"/>
  <c r="Z36" i="5"/>
  <c r="Y36" i="5"/>
  <c r="X36" i="5"/>
  <c r="W36" i="5"/>
  <c r="V34" i="5"/>
  <c r="V32" i="5"/>
  <c r="W31" i="5"/>
  <c r="X31" i="5" s="1"/>
  <c r="W30" i="5"/>
  <c r="X30" i="5" s="1"/>
  <c r="V30" i="5"/>
  <c r="X29" i="5"/>
  <c r="W29" i="5"/>
  <c r="V29" i="5"/>
  <c r="V28" i="5"/>
  <c r="W27" i="5"/>
  <c r="V26" i="5"/>
  <c r="V24" i="5"/>
  <c r="V22" i="5"/>
  <c r="V21" i="5"/>
  <c r="V20" i="5"/>
  <c r="V19" i="5"/>
  <c r="W18" i="5"/>
  <c r="V17" i="5"/>
  <c r="AG16" i="5"/>
  <c r="AF16" i="5"/>
  <c r="AE16" i="5"/>
  <c r="AD16" i="5"/>
  <c r="AC16" i="5"/>
  <c r="AB16" i="5"/>
  <c r="AA16" i="5"/>
  <c r="Z16" i="5"/>
  <c r="Y16" i="5"/>
  <c r="X16" i="5"/>
  <c r="W16" i="5"/>
  <c r="M8" i="5"/>
  <c r="L8" i="5"/>
  <c r="J8" i="5"/>
  <c r="I8" i="5"/>
  <c r="F8" i="5" s="1"/>
  <c r="H8" i="5"/>
  <c r="V7" i="5"/>
  <c r="V8" i="5" s="1"/>
  <c r="M7" i="5"/>
  <c r="L7" i="5"/>
  <c r="J7" i="5"/>
  <c r="I7" i="5"/>
  <c r="F7" i="5" s="1"/>
  <c r="H7" i="5"/>
  <c r="K7" i="5" s="1"/>
  <c r="V4" i="5"/>
  <c r="AS263" i="4"/>
  <c r="AR263" i="4"/>
  <c r="AQ263" i="4"/>
  <c r="AP263" i="4"/>
  <c r="AO263" i="4"/>
  <c r="AN263" i="4"/>
  <c r="AM263" i="4"/>
  <c r="AL263" i="4"/>
  <c r="AK263" i="4"/>
  <c r="AJ263" i="4"/>
  <c r="AG263" i="4"/>
  <c r="AF263" i="4"/>
  <c r="AE263" i="4"/>
  <c r="AD263" i="4"/>
  <c r="AC263" i="4"/>
  <c r="AB263" i="4"/>
  <c r="AA263" i="4"/>
  <c r="Z263" i="4"/>
  <c r="Y263" i="4"/>
  <c r="X263" i="4"/>
  <c r="K251" i="4"/>
  <c r="J251" i="4"/>
  <c r="H251" i="4"/>
  <c r="I251" i="4" s="1"/>
  <c r="K250" i="4"/>
  <c r="J250" i="4"/>
  <c r="H250" i="4"/>
  <c r="F250" i="4"/>
  <c r="AG249" i="4"/>
  <c r="AF249" i="4"/>
  <c r="AE249" i="4"/>
  <c r="AD249" i="4"/>
  <c r="AC249" i="4"/>
  <c r="AB249" i="4"/>
  <c r="AA249" i="4"/>
  <c r="Z249" i="4"/>
  <c r="Y249" i="4"/>
  <c r="X249" i="4"/>
  <c r="V247" i="4"/>
  <c r="AG229" i="4"/>
  <c r="AF229" i="4"/>
  <c r="AE229" i="4"/>
  <c r="AD229" i="4"/>
  <c r="AC229" i="4"/>
  <c r="AB229" i="4"/>
  <c r="AA229" i="4"/>
  <c r="Z229" i="4"/>
  <c r="Y229" i="4"/>
  <c r="X229" i="4"/>
  <c r="K223" i="4"/>
  <c r="J223" i="4"/>
  <c r="H223" i="4"/>
  <c r="F223" i="4"/>
  <c r="AG222" i="4"/>
  <c r="AF222" i="4"/>
  <c r="AE222" i="4"/>
  <c r="AD222" i="4"/>
  <c r="AC222" i="4"/>
  <c r="AB222" i="4"/>
  <c r="AA222" i="4"/>
  <c r="Z222" i="4"/>
  <c r="Y222" i="4"/>
  <c r="X222" i="4"/>
  <c r="V220" i="4"/>
  <c r="V215" i="4"/>
  <c r="V214" i="4"/>
  <c r="V213" i="4"/>
  <c r="V212" i="4"/>
  <c r="V211" i="4"/>
  <c r="V210" i="4"/>
  <c r="V209" i="4"/>
  <c r="V208" i="4"/>
  <c r="AG207" i="4"/>
  <c r="AF207" i="4"/>
  <c r="AE207" i="4"/>
  <c r="AD207" i="4"/>
  <c r="AC207" i="4"/>
  <c r="AB207" i="4"/>
  <c r="AA207" i="4"/>
  <c r="Z207" i="4"/>
  <c r="Y207" i="4"/>
  <c r="X207" i="4"/>
  <c r="K199" i="4"/>
  <c r="J199" i="4"/>
  <c r="H199" i="4"/>
  <c r="AG198" i="4"/>
  <c r="AF198" i="4"/>
  <c r="AE198" i="4"/>
  <c r="AD198" i="4"/>
  <c r="AC198" i="4"/>
  <c r="AB198" i="4"/>
  <c r="AA198" i="4"/>
  <c r="Z198" i="4"/>
  <c r="Y198" i="4"/>
  <c r="X198" i="4"/>
  <c r="V196" i="4"/>
  <c r="V190" i="4"/>
  <c r="V189" i="4"/>
  <c r="V188" i="4"/>
  <c r="V187" i="4"/>
  <c r="V186" i="4"/>
  <c r="V185" i="4"/>
  <c r="V184" i="4"/>
  <c r="V183" i="4"/>
  <c r="AS181" i="4"/>
  <c r="AR181" i="4"/>
  <c r="AQ181" i="4"/>
  <c r="AP181" i="4"/>
  <c r="AO181" i="4"/>
  <c r="AN181" i="4"/>
  <c r="AM181" i="4"/>
  <c r="AL181" i="4"/>
  <c r="AK181" i="4"/>
  <c r="AJ181" i="4"/>
  <c r="AG181" i="4"/>
  <c r="AF181" i="4"/>
  <c r="AE181" i="4"/>
  <c r="AD181" i="4"/>
  <c r="AC181" i="4"/>
  <c r="AB181" i="4"/>
  <c r="AA181" i="4"/>
  <c r="Z181" i="4"/>
  <c r="Y181" i="4"/>
  <c r="X181" i="4"/>
  <c r="K175" i="4"/>
  <c r="K1087" i="7" s="1"/>
  <c r="J175" i="4"/>
  <c r="H175" i="4"/>
  <c r="H426" i="9" s="1"/>
  <c r="K174" i="4"/>
  <c r="J174" i="4"/>
  <c r="H174" i="4"/>
  <c r="H425" i="9" s="1"/>
  <c r="F174" i="4"/>
  <c r="F425" i="9" s="1"/>
  <c r="K173" i="4"/>
  <c r="J173" i="4"/>
  <c r="H173" i="4"/>
  <c r="H424" i="9" s="1"/>
  <c r="F173" i="4"/>
  <c r="K172" i="4"/>
  <c r="J172" i="4"/>
  <c r="H172" i="4"/>
  <c r="F172" i="4"/>
  <c r="F423" i="9" s="1"/>
  <c r="K171" i="4"/>
  <c r="J171" i="4"/>
  <c r="H171" i="4"/>
  <c r="H422" i="9" s="1"/>
  <c r="F171" i="4"/>
  <c r="F422" i="9" s="1"/>
  <c r="K170" i="4"/>
  <c r="J170" i="4"/>
  <c r="H170" i="4"/>
  <c r="H421" i="9" s="1"/>
  <c r="F170" i="4"/>
  <c r="F421" i="9" s="1"/>
  <c r="K169" i="4"/>
  <c r="J169" i="4"/>
  <c r="H169" i="4"/>
  <c r="H420" i="9" s="1"/>
  <c r="F169" i="4"/>
  <c r="K168" i="4"/>
  <c r="J168" i="4"/>
  <c r="H168" i="4"/>
  <c r="F168" i="4"/>
  <c r="F419" i="9" s="1"/>
  <c r="K167" i="4"/>
  <c r="J167" i="4"/>
  <c r="I167" i="4"/>
  <c r="I418" i="9" s="1"/>
  <c r="H167" i="4"/>
  <c r="H418" i="9" s="1"/>
  <c r="F167" i="4"/>
  <c r="F418" i="9" s="1"/>
  <c r="AG166" i="4"/>
  <c r="AF166" i="4"/>
  <c r="AE166" i="4"/>
  <c r="AD166" i="4"/>
  <c r="AC166" i="4"/>
  <c r="AB166" i="4"/>
  <c r="AA166" i="4"/>
  <c r="Z166" i="4"/>
  <c r="Y166" i="4"/>
  <c r="X166" i="4"/>
  <c r="V164" i="4"/>
  <c r="V159" i="4"/>
  <c r="V158" i="4"/>
  <c r="V157" i="4"/>
  <c r="V156" i="4"/>
  <c r="V155" i="4"/>
  <c r="V154" i="4"/>
  <c r="V153" i="4"/>
  <c r="V152" i="4"/>
  <c r="V151" i="4"/>
  <c r="V150" i="4"/>
  <c r="V149" i="4"/>
  <c r="AS147" i="4"/>
  <c r="AR147" i="4"/>
  <c r="AQ147" i="4"/>
  <c r="AP147" i="4"/>
  <c r="AO147" i="4"/>
  <c r="AN147" i="4"/>
  <c r="AM147" i="4"/>
  <c r="AL147" i="4"/>
  <c r="AK147" i="4"/>
  <c r="AJ147" i="4"/>
  <c r="AG147" i="4"/>
  <c r="AF147" i="4"/>
  <c r="AE147" i="4"/>
  <c r="AD147" i="4"/>
  <c r="AC147" i="4"/>
  <c r="AB147" i="4"/>
  <c r="AA147" i="4"/>
  <c r="Z147" i="4"/>
  <c r="Y147" i="4"/>
  <c r="X147" i="4"/>
  <c r="H132" i="4"/>
  <c r="I132" i="4" s="1"/>
  <c r="F132" i="4"/>
  <c r="H131" i="4"/>
  <c r="F131" i="4"/>
  <c r="AG130" i="4"/>
  <c r="AF130" i="4"/>
  <c r="AE130" i="4"/>
  <c r="AD130" i="4"/>
  <c r="AC130" i="4"/>
  <c r="AB130" i="4"/>
  <c r="AA130" i="4"/>
  <c r="Z130" i="4"/>
  <c r="Y130" i="4"/>
  <c r="X130" i="4"/>
  <c r="V128" i="4"/>
  <c r="V123" i="4"/>
  <c r="V118" i="4"/>
  <c r="V117" i="4"/>
  <c r="V116" i="4"/>
  <c r="X115" i="4"/>
  <c r="V115" i="4"/>
  <c r="V114" i="4"/>
  <c r="V113" i="4"/>
  <c r="V108" i="4"/>
  <c r="V107" i="4"/>
  <c r="W106" i="4"/>
  <c r="W105" i="4"/>
  <c r="W104" i="4"/>
  <c r="W103" i="4"/>
  <c r="W102" i="4"/>
  <c r="V102" i="4"/>
  <c r="V101" i="4"/>
  <c r="X100" i="4"/>
  <c r="V100" i="4"/>
  <c r="V95" i="4"/>
  <c r="X92" i="4"/>
  <c r="X91" i="4"/>
  <c r="W91" i="4"/>
  <c r="X90" i="4"/>
  <c r="V90" i="4"/>
  <c r="V85" i="4"/>
  <c r="AG84" i="4"/>
  <c r="AF84" i="4"/>
  <c r="AE84" i="4"/>
  <c r="AD84" i="4"/>
  <c r="AC84" i="4"/>
  <c r="AB84" i="4"/>
  <c r="AA84" i="4"/>
  <c r="Z84" i="4"/>
  <c r="Y84" i="4"/>
  <c r="X84" i="4"/>
  <c r="V68" i="4"/>
  <c r="K68" i="4"/>
  <c r="J68" i="4"/>
  <c r="H68" i="4"/>
  <c r="F68" i="4"/>
  <c r="V67" i="4"/>
  <c r="K67" i="4"/>
  <c r="J67" i="4"/>
  <c r="H67" i="4"/>
  <c r="F67" i="4"/>
  <c r="V66" i="4"/>
  <c r="J66" i="4"/>
  <c r="H66" i="4"/>
  <c r="I66" i="4" s="1"/>
  <c r="F66" i="4"/>
  <c r="V65" i="4"/>
  <c r="K65" i="4"/>
  <c r="J65" i="4"/>
  <c r="H65" i="4"/>
  <c r="F65" i="4"/>
  <c r="V64" i="4"/>
  <c r="J64" i="4"/>
  <c r="H64" i="4"/>
  <c r="F64" i="4"/>
  <c r="V63" i="4"/>
  <c r="K63" i="4"/>
  <c r="J63" i="4"/>
  <c r="H63" i="4"/>
  <c r="F63" i="4"/>
  <c r="V62" i="4"/>
  <c r="J62" i="4"/>
  <c r="H62" i="4"/>
  <c r="F62" i="4"/>
  <c r="V61" i="4"/>
  <c r="K61" i="4"/>
  <c r="J61" i="4"/>
  <c r="H61" i="4"/>
  <c r="F61" i="4"/>
  <c r="V60" i="4"/>
  <c r="J60" i="4"/>
  <c r="H60" i="4"/>
  <c r="F60" i="4"/>
  <c r="V59" i="4"/>
  <c r="K59" i="4"/>
  <c r="J59" i="4"/>
  <c r="H59" i="4"/>
  <c r="F59" i="4"/>
  <c r="AG58" i="4"/>
  <c r="AF58" i="4"/>
  <c r="AE58" i="4"/>
  <c r="AD58" i="4"/>
  <c r="AC58" i="4"/>
  <c r="AB58" i="4"/>
  <c r="AA58" i="4"/>
  <c r="Z58" i="4"/>
  <c r="Y58" i="4"/>
  <c r="X58" i="4"/>
  <c r="V56" i="4"/>
  <c r="E53" i="4"/>
  <c r="E161" i="4" s="1"/>
  <c r="D53" i="4"/>
  <c r="D244" i="4" s="1"/>
  <c r="V244" i="4" s="1"/>
  <c r="E52" i="4"/>
  <c r="E160" i="4" s="1"/>
  <c r="D52" i="4"/>
  <c r="D273" i="4" s="1"/>
  <c r="V273" i="4" s="1"/>
  <c r="V51" i="4"/>
  <c r="V49" i="4"/>
  <c r="V48" i="4"/>
  <c r="V46" i="4"/>
  <c r="V45" i="4"/>
  <c r="V44" i="4"/>
  <c r="V43" i="4"/>
  <c r="V42" i="4"/>
  <c r="V41" i="4"/>
  <c r="V40" i="4"/>
  <c r="V39" i="4"/>
  <c r="V38" i="4"/>
  <c r="V37" i="4"/>
  <c r="V36" i="4"/>
  <c r="V35" i="4"/>
  <c r="V34" i="4"/>
  <c r="V33" i="4"/>
  <c r="V32" i="4"/>
  <c r="V31" i="4"/>
  <c r="V30" i="4"/>
  <c r="W29" i="4"/>
  <c r="V29" i="4"/>
  <c r="V28" i="4"/>
  <c r="V27" i="4"/>
  <c r="AG26" i="4"/>
  <c r="AF26" i="4"/>
  <c r="AE26" i="4"/>
  <c r="AD26" i="4"/>
  <c r="AC26" i="4"/>
  <c r="AB26" i="4"/>
  <c r="AA26" i="4"/>
  <c r="Z26" i="4"/>
  <c r="Y26" i="4"/>
  <c r="X26" i="4"/>
  <c r="V7" i="4"/>
  <c r="N7" i="4"/>
  <c r="M7" i="4"/>
  <c r="K7" i="4"/>
  <c r="J7" i="4"/>
  <c r="I7" i="4"/>
  <c r="H7" i="4"/>
  <c r="V4" i="4"/>
  <c r="X83" i="3"/>
  <c r="W83" i="3"/>
  <c r="X80" i="3"/>
  <c r="W80" i="3"/>
  <c r="I80" i="3"/>
  <c r="F80" i="3"/>
  <c r="X79" i="3"/>
  <c r="W79" i="3"/>
  <c r="I79" i="3"/>
  <c r="F79" i="3"/>
  <c r="X78" i="3"/>
  <c r="W78" i="3"/>
  <c r="I78" i="3"/>
  <c r="F78" i="3"/>
  <c r="H77" i="3"/>
  <c r="F77" i="3"/>
  <c r="H76" i="3"/>
  <c r="F76" i="3"/>
  <c r="H75" i="3"/>
  <c r="F75" i="3"/>
  <c r="H74" i="3"/>
  <c r="F74" i="3"/>
  <c r="H73" i="3"/>
  <c r="F73" i="3"/>
  <c r="H72" i="3"/>
  <c r="F72" i="3"/>
  <c r="H71" i="3"/>
  <c r="F71" i="3"/>
  <c r="H70" i="3"/>
  <c r="F70" i="3"/>
  <c r="H69" i="3"/>
  <c r="F69" i="3"/>
  <c r="H68" i="3"/>
  <c r="H80" i="3" s="1"/>
  <c r="F68" i="3"/>
  <c r="H67" i="3"/>
  <c r="F67" i="3"/>
  <c r="H66" i="3"/>
  <c r="H79" i="3" s="1"/>
  <c r="F66" i="3"/>
  <c r="H65" i="3"/>
  <c r="F65" i="3"/>
  <c r="H64" i="3"/>
  <c r="F64" i="3"/>
  <c r="H63" i="3"/>
  <c r="H78" i="3" s="1"/>
  <c r="F63" i="3"/>
  <c r="H62" i="3"/>
  <c r="F62" i="3"/>
  <c r="H61" i="3"/>
  <c r="F61" i="3"/>
  <c r="H60" i="3"/>
  <c r="F60" i="3"/>
  <c r="X59" i="3"/>
  <c r="W59" i="3"/>
  <c r="F59" i="3"/>
  <c r="X58" i="3"/>
  <c r="W58" i="3"/>
  <c r="I58" i="3"/>
  <c r="F58" i="3"/>
  <c r="X57" i="3"/>
  <c r="W57" i="3"/>
  <c r="I57" i="3"/>
  <c r="H57" i="3"/>
  <c r="F57" i="3"/>
  <c r="H56" i="3"/>
  <c r="F56" i="3"/>
  <c r="H55" i="3"/>
  <c r="F55" i="3"/>
  <c r="H54" i="3"/>
  <c r="F54" i="3"/>
  <c r="H53" i="3"/>
  <c r="F53" i="3"/>
  <c r="H52" i="3"/>
  <c r="F52" i="3"/>
  <c r="H51" i="3"/>
  <c r="F51" i="3"/>
  <c r="H50" i="3"/>
  <c r="F50" i="3"/>
  <c r="H49" i="3"/>
  <c r="F49" i="3"/>
  <c r="H48" i="3"/>
  <c r="F48" i="3"/>
  <c r="H47" i="3"/>
  <c r="H59" i="3" s="1"/>
  <c r="F47" i="3"/>
  <c r="H46" i="3"/>
  <c r="F46" i="3"/>
  <c r="H45" i="3"/>
  <c r="H58" i="3" s="1"/>
  <c r="F45" i="3"/>
  <c r="H44" i="3"/>
  <c r="F44" i="3"/>
  <c r="H43" i="3"/>
  <c r="F43" i="3"/>
  <c r="H42" i="3"/>
  <c r="F42" i="3"/>
  <c r="F56" i="5" s="1"/>
  <c r="H41" i="3"/>
  <c r="F41" i="3"/>
  <c r="F55" i="5" s="1"/>
  <c r="E37" i="5" s="1"/>
  <c r="H40" i="3"/>
  <c r="F40" i="3"/>
  <c r="H39" i="3"/>
  <c r="F39" i="3"/>
  <c r="AG38" i="3"/>
  <c r="AF38" i="3"/>
  <c r="AE38" i="3"/>
  <c r="AD38" i="3"/>
  <c r="AC38" i="3"/>
  <c r="AB38" i="3"/>
  <c r="AA38" i="3"/>
  <c r="Z38" i="3"/>
  <c r="Y38" i="3"/>
  <c r="X38" i="3"/>
  <c r="H38" i="3"/>
  <c r="Q27" i="3"/>
  <c r="P27" i="3"/>
  <c r="M27" i="3"/>
  <c r="F27" i="3" s="1"/>
  <c r="L27" i="3"/>
  <c r="K27" i="3"/>
  <c r="O27" i="3" s="1"/>
  <c r="I27" i="3"/>
  <c r="N27" i="3" s="1"/>
  <c r="Q26" i="3"/>
  <c r="P26" i="3"/>
  <c r="M26" i="3"/>
  <c r="O26" i="3" s="1"/>
  <c r="L26" i="3"/>
  <c r="K26" i="3"/>
  <c r="I26" i="3"/>
  <c r="F26" i="3"/>
  <c r="Q25" i="3"/>
  <c r="P25" i="3"/>
  <c r="M25" i="3"/>
  <c r="L25" i="3"/>
  <c r="K25" i="3"/>
  <c r="O25" i="3" s="1"/>
  <c r="I25" i="3"/>
  <c r="Q24" i="3"/>
  <c r="P24" i="3"/>
  <c r="M24" i="3"/>
  <c r="O24" i="3" s="1"/>
  <c r="L24" i="3"/>
  <c r="F24" i="3" s="1"/>
  <c r="K24" i="3"/>
  <c r="I24" i="3"/>
  <c r="Q23" i="3"/>
  <c r="P23" i="3"/>
  <c r="M23" i="3"/>
  <c r="L23" i="3"/>
  <c r="K23" i="3"/>
  <c r="O23" i="3" s="1"/>
  <c r="I23" i="3"/>
  <c r="Q22" i="3"/>
  <c r="P22" i="3"/>
  <c r="M22" i="3"/>
  <c r="O22" i="3" s="1"/>
  <c r="L22" i="3"/>
  <c r="F22" i="3" s="1"/>
  <c r="K22" i="3"/>
  <c r="I22" i="3"/>
  <c r="Q21" i="3"/>
  <c r="P21" i="3"/>
  <c r="M21" i="3"/>
  <c r="F21" i="3" s="1"/>
  <c r="L21" i="3"/>
  <c r="K21" i="3"/>
  <c r="O21" i="3" s="1"/>
  <c r="I21" i="3"/>
  <c r="Q20" i="3"/>
  <c r="P20" i="3"/>
  <c r="M20" i="3"/>
  <c r="L20" i="3"/>
  <c r="K20" i="3"/>
  <c r="I20" i="3"/>
  <c r="Q19" i="3"/>
  <c r="P19" i="3"/>
  <c r="M19" i="3"/>
  <c r="F19" i="3" s="1"/>
  <c r="G19" i="3" s="1"/>
  <c r="L19" i="3"/>
  <c r="K19" i="3"/>
  <c r="O19" i="3" s="1"/>
  <c r="I19" i="3"/>
  <c r="Q18" i="3"/>
  <c r="P18" i="3"/>
  <c r="M18" i="3"/>
  <c r="L18" i="3"/>
  <c r="K18" i="3"/>
  <c r="I18" i="3"/>
  <c r="F18" i="3"/>
  <c r="Q17" i="3"/>
  <c r="P17" i="3"/>
  <c r="M17" i="3"/>
  <c r="L17" i="3"/>
  <c r="K17" i="3"/>
  <c r="I17" i="3"/>
  <c r="N17" i="3" s="1"/>
  <c r="Q16" i="3"/>
  <c r="P16" i="3"/>
  <c r="M16" i="3"/>
  <c r="L16" i="3"/>
  <c r="F16" i="3" s="1"/>
  <c r="K16" i="3"/>
  <c r="I16" i="3"/>
  <c r="Q15" i="3"/>
  <c r="P15" i="3"/>
  <c r="M15" i="3"/>
  <c r="L15" i="3"/>
  <c r="K15" i="3"/>
  <c r="I15" i="3"/>
  <c r="N15" i="3" s="1"/>
  <c r="Q14" i="3"/>
  <c r="P14" i="3"/>
  <c r="M14" i="3"/>
  <c r="L14" i="3"/>
  <c r="F14" i="3" s="1"/>
  <c r="K14" i="3"/>
  <c r="I14" i="3"/>
  <c r="Q13" i="3"/>
  <c r="P13" i="3"/>
  <c r="M13" i="3"/>
  <c r="F13" i="3" s="1"/>
  <c r="L13" i="3"/>
  <c r="K13" i="3"/>
  <c r="O13" i="3" s="1"/>
  <c r="I13" i="3"/>
  <c r="N13" i="3" s="1"/>
  <c r="Q12" i="3"/>
  <c r="P12" i="3"/>
  <c r="M12" i="3"/>
  <c r="O12" i="3" s="1"/>
  <c r="L12" i="3"/>
  <c r="K12" i="3"/>
  <c r="I12" i="3"/>
  <c r="Q11" i="3"/>
  <c r="P11" i="3"/>
  <c r="M11" i="3"/>
  <c r="F11" i="3" s="1"/>
  <c r="L11" i="3"/>
  <c r="K11" i="3"/>
  <c r="O11" i="3" s="1"/>
  <c r="I11" i="3"/>
  <c r="N11" i="3" s="1"/>
  <c r="Q10" i="3"/>
  <c r="P10" i="3"/>
  <c r="M10" i="3"/>
  <c r="O10" i="3" s="1"/>
  <c r="L10" i="3"/>
  <c r="K10" i="3"/>
  <c r="I10" i="3"/>
  <c r="F10" i="3"/>
  <c r="Q9" i="3"/>
  <c r="P9" i="3"/>
  <c r="M9" i="3"/>
  <c r="L9" i="3"/>
  <c r="K9" i="3"/>
  <c r="O9" i="3" s="1"/>
  <c r="I9" i="3"/>
  <c r="Q8" i="3"/>
  <c r="P8" i="3"/>
  <c r="M8" i="3"/>
  <c r="O8" i="3" s="1"/>
  <c r="L8" i="3"/>
  <c r="K8" i="3"/>
  <c r="I8" i="3"/>
  <c r="Q7" i="3"/>
  <c r="P7" i="3"/>
  <c r="M7" i="3"/>
  <c r="L7" i="3"/>
  <c r="K7" i="3"/>
  <c r="O7" i="3" s="1"/>
  <c r="I7" i="3"/>
  <c r="V4" i="3"/>
  <c r="E744" i="2"/>
  <c r="H734" i="2"/>
  <c r="F734" i="2"/>
  <c r="V731" i="2"/>
  <c r="G728" i="2"/>
  <c r="F728" i="2"/>
  <c r="F717" i="2" s="1"/>
  <c r="E728" i="2"/>
  <c r="G727" i="2"/>
  <c r="F727" i="2"/>
  <c r="E727" i="2"/>
  <c r="H717" i="2"/>
  <c r="H716" i="2"/>
  <c r="F716" i="2"/>
  <c r="V713" i="2"/>
  <c r="E710" i="2"/>
  <c r="E709" i="2"/>
  <c r="V699" i="2"/>
  <c r="G699" i="2"/>
  <c r="K699" i="2" s="1"/>
  <c r="F699" i="2"/>
  <c r="J699" i="2" s="1"/>
  <c r="AI698" i="2"/>
  <c r="AI699" i="2" s="1"/>
  <c r="V698" i="2"/>
  <c r="G698" i="2"/>
  <c r="K698" i="2" s="1"/>
  <c r="F698" i="2"/>
  <c r="J698" i="2" s="1"/>
  <c r="V695" i="2"/>
  <c r="E692" i="2"/>
  <c r="V682" i="2"/>
  <c r="V683" i="2" s="1"/>
  <c r="H682" i="2"/>
  <c r="F682" i="2"/>
  <c r="V679" i="2"/>
  <c r="E676" i="2"/>
  <c r="E675" i="2"/>
  <c r="E674" i="2"/>
  <c r="H664" i="2"/>
  <c r="F664" i="2"/>
  <c r="I664" i="2" s="1"/>
  <c r="H663" i="2"/>
  <c r="F663" i="2"/>
  <c r="V662" i="2"/>
  <c r="V663" i="2" s="1"/>
  <c r="V664" i="2" s="1"/>
  <c r="H662" i="2"/>
  <c r="F662" i="2"/>
  <c r="V659" i="2"/>
  <c r="E656" i="2"/>
  <c r="V646" i="2"/>
  <c r="H646" i="2"/>
  <c r="F646" i="2"/>
  <c r="V643" i="2"/>
  <c r="E640" i="2"/>
  <c r="H630" i="2"/>
  <c r="I630" i="2" s="1"/>
  <c r="V627" i="2"/>
  <c r="J624" i="2"/>
  <c r="F614" i="2" s="1"/>
  <c r="E624" i="2"/>
  <c r="H614" i="2"/>
  <c r="V611" i="2"/>
  <c r="K608" i="2"/>
  <c r="F608" i="2"/>
  <c r="E608" i="2"/>
  <c r="H598" i="2"/>
  <c r="V595" i="2"/>
  <c r="E592" i="2"/>
  <c r="V582" i="2"/>
  <c r="K582" i="2"/>
  <c r="H582" i="2"/>
  <c r="F582" i="2"/>
  <c r="V579" i="2"/>
  <c r="E576" i="2"/>
  <c r="H566" i="2"/>
  <c r="I566" i="2" s="1"/>
  <c r="F566" i="2"/>
  <c r="V563" i="2"/>
  <c r="E560" i="2"/>
  <c r="E559" i="2"/>
  <c r="H549" i="2"/>
  <c r="F549" i="2"/>
  <c r="H548" i="2"/>
  <c r="F548" i="2"/>
  <c r="I548" i="2" s="1"/>
  <c r="V545" i="2"/>
  <c r="E542" i="2"/>
  <c r="E541" i="2"/>
  <c r="H531" i="2"/>
  <c r="F531" i="2"/>
  <c r="H530" i="2"/>
  <c r="I530" i="2" s="1"/>
  <c r="F530" i="2"/>
  <c r="V527" i="2"/>
  <c r="M525" i="2"/>
  <c r="I525" i="2"/>
  <c r="E525" i="2"/>
  <c r="M524" i="2"/>
  <c r="I524" i="2"/>
  <c r="E524" i="2"/>
  <c r="N521" i="2"/>
  <c r="E521" i="2"/>
  <c r="N520" i="2"/>
  <c r="E520" i="2"/>
  <c r="H508" i="2"/>
  <c r="H507" i="2"/>
  <c r="V504" i="2"/>
  <c r="E501" i="2"/>
  <c r="AU491" i="2"/>
  <c r="V491" i="2"/>
  <c r="K491" i="2"/>
  <c r="H491" i="2"/>
  <c r="F491" i="2"/>
  <c r="E487" i="2"/>
  <c r="E486" i="2"/>
  <c r="E485" i="2"/>
  <c r="E484" i="2"/>
  <c r="E483" i="2"/>
  <c r="E482" i="2"/>
  <c r="E481" i="2"/>
  <c r="H471" i="2"/>
  <c r="F471" i="2"/>
  <c r="H470" i="2"/>
  <c r="F470" i="2"/>
  <c r="H469" i="2"/>
  <c r="F469" i="2"/>
  <c r="H468" i="2"/>
  <c r="F468" i="2"/>
  <c r="H467" i="2"/>
  <c r="F467" i="2"/>
  <c r="H466" i="2"/>
  <c r="F466" i="2"/>
  <c r="H465" i="2"/>
  <c r="F465" i="2"/>
  <c r="E461" i="2"/>
  <c r="E460" i="2"/>
  <c r="E459" i="2"/>
  <c r="E458" i="2"/>
  <c r="E457" i="2"/>
  <c r="E456" i="2"/>
  <c r="E455" i="2"/>
  <c r="H445" i="2"/>
  <c r="F445" i="2"/>
  <c r="H444" i="2"/>
  <c r="F444" i="2"/>
  <c r="H443" i="2"/>
  <c r="F443" i="2"/>
  <c r="H442" i="2"/>
  <c r="F442" i="2"/>
  <c r="H441" i="2"/>
  <c r="F441" i="2"/>
  <c r="H440" i="2"/>
  <c r="F440" i="2"/>
  <c r="H439" i="2"/>
  <c r="I439" i="2" s="1"/>
  <c r="F439" i="2"/>
  <c r="V436" i="2"/>
  <c r="E433" i="2"/>
  <c r="E432" i="2"/>
  <c r="E431" i="2"/>
  <c r="E430" i="2"/>
  <c r="E429" i="2"/>
  <c r="H419" i="2"/>
  <c r="F419" i="2"/>
  <c r="H418" i="2"/>
  <c r="F418" i="2"/>
  <c r="H417" i="2"/>
  <c r="F417" i="2"/>
  <c r="H416" i="2"/>
  <c r="F416" i="2"/>
  <c r="H415" i="2"/>
  <c r="I415" i="2" s="1"/>
  <c r="F415" i="2"/>
  <c r="E411" i="2"/>
  <c r="E410" i="2"/>
  <c r="E409" i="2"/>
  <c r="E408" i="2"/>
  <c r="H398" i="2"/>
  <c r="I398" i="2" s="1"/>
  <c r="F398" i="2"/>
  <c r="H397" i="2"/>
  <c r="F397" i="2"/>
  <c r="H396" i="2"/>
  <c r="F396" i="2"/>
  <c r="H395" i="2"/>
  <c r="F395" i="2"/>
  <c r="V392" i="2"/>
  <c r="G389" i="2"/>
  <c r="E389" i="2"/>
  <c r="AU379" i="2"/>
  <c r="V379" i="2"/>
  <c r="H379" i="2"/>
  <c r="F379" i="2"/>
  <c r="E375" i="2"/>
  <c r="E374" i="2"/>
  <c r="E373" i="2"/>
  <c r="E372" i="2"/>
  <c r="E371" i="2"/>
  <c r="E370" i="2"/>
  <c r="G360" i="2"/>
  <c r="F360" i="2"/>
  <c r="L360" i="2" s="1"/>
  <c r="G359" i="2"/>
  <c r="F359" i="2"/>
  <c r="L359" i="2" s="1"/>
  <c r="G358" i="2"/>
  <c r="F358" i="2"/>
  <c r="L358" i="2" s="1"/>
  <c r="G357" i="2"/>
  <c r="F357" i="2"/>
  <c r="L357" i="2" s="1"/>
  <c r="G356" i="2"/>
  <c r="F356" i="2"/>
  <c r="L356" i="2" s="1"/>
  <c r="BS355" i="2"/>
  <c r="BS356" i="2" s="1"/>
  <c r="BS357" i="2" s="1"/>
  <c r="BS358" i="2" s="1"/>
  <c r="BS359" i="2" s="1"/>
  <c r="BS360" i="2" s="1"/>
  <c r="BS361" i="2" s="1"/>
  <c r="BS362" i="2" s="1"/>
  <c r="BS363" i="2" s="1"/>
  <c r="BS364" i="2" s="1"/>
  <c r="BS365" i="2" s="1"/>
  <c r="BS366" i="2" s="1"/>
  <c r="BS367" i="2" s="1"/>
  <c r="BS368" i="2" s="1"/>
  <c r="BS369" i="2" s="1"/>
  <c r="BS370" i="2" s="1"/>
  <c r="BS371" i="2" s="1"/>
  <c r="BS372" i="2" s="1"/>
  <c r="BS373" i="2" s="1"/>
  <c r="BS374" i="2" s="1"/>
  <c r="BS375" i="2" s="1"/>
  <c r="AU355" i="2"/>
  <c r="AU356" i="2" s="1"/>
  <c r="AU357" i="2" s="1"/>
  <c r="AU358" i="2" s="1"/>
  <c r="AU359" i="2" s="1"/>
  <c r="AU360" i="2" s="1"/>
  <c r="AU361" i="2" s="1"/>
  <c r="AU362" i="2" s="1"/>
  <c r="AU363" i="2" s="1"/>
  <c r="AU364" i="2" s="1"/>
  <c r="AU365" i="2" s="1"/>
  <c r="AU366" i="2" s="1"/>
  <c r="AU367" i="2" s="1"/>
  <c r="AU368" i="2" s="1"/>
  <c r="AU369" i="2" s="1"/>
  <c r="AU370" i="2" s="1"/>
  <c r="AU371" i="2" s="1"/>
  <c r="AU372" i="2" s="1"/>
  <c r="AU373" i="2" s="1"/>
  <c r="AU374" i="2" s="1"/>
  <c r="AU375" i="2" s="1"/>
  <c r="AI355" i="2"/>
  <c r="AI356" i="2" s="1"/>
  <c r="AI357" i="2" s="1"/>
  <c r="AI358" i="2" s="1"/>
  <c r="AI359" i="2" s="1"/>
  <c r="AI360" i="2" s="1"/>
  <c r="V355" i="2"/>
  <c r="V356" i="2" s="1"/>
  <c r="V357" i="2" s="1"/>
  <c r="V358" i="2" s="1"/>
  <c r="V359" i="2" s="1"/>
  <c r="V360" i="2" s="1"/>
  <c r="G355" i="2"/>
  <c r="F355" i="2"/>
  <c r="L355" i="2" s="1"/>
  <c r="E351" i="2"/>
  <c r="E350" i="2"/>
  <c r="E349" i="2"/>
  <c r="E348" i="2"/>
  <c r="E347" i="2"/>
  <c r="H337" i="2"/>
  <c r="F337" i="2"/>
  <c r="H336" i="2"/>
  <c r="I336" i="2" s="1"/>
  <c r="F336" i="2"/>
  <c r="H335" i="2"/>
  <c r="F335" i="2"/>
  <c r="H334" i="2"/>
  <c r="I334" i="2" s="1"/>
  <c r="F334" i="2"/>
  <c r="V333" i="2"/>
  <c r="V334" i="2" s="1"/>
  <c r="V335" i="2" s="1"/>
  <c r="V336" i="2" s="1"/>
  <c r="V337" i="2" s="1"/>
  <c r="H333" i="2"/>
  <c r="F333" i="2"/>
  <c r="E329" i="2"/>
  <c r="AU303" i="2"/>
  <c r="V303" i="2"/>
  <c r="H303" i="2"/>
  <c r="F303" i="2"/>
  <c r="E299" i="2"/>
  <c r="E298" i="2"/>
  <c r="AW288" i="2"/>
  <c r="AV288" i="2"/>
  <c r="K288" i="2"/>
  <c r="H288" i="2"/>
  <c r="F288" i="2"/>
  <c r="AU287" i="2"/>
  <c r="AU288" i="2" s="1"/>
  <c r="V287" i="2"/>
  <c r="V288" i="2" s="1"/>
  <c r="H287" i="2"/>
  <c r="F287" i="2"/>
  <c r="E283" i="2"/>
  <c r="BS273" i="2"/>
  <c r="AU273" i="2"/>
  <c r="AI273" i="2"/>
  <c r="V273" i="2"/>
  <c r="G273" i="2"/>
  <c r="F273" i="2"/>
  <c r="L273" i="2" s="1"/>
  <c r="V270" i="2"/>
  <c r="I267" i="2"/>
  <c r="H267" i="2"/>
  <c r="E267" i="2"/>
  <c r="I266" i="2"/>
  <c r="H266" i="2"/>
  <c r="E266" i="2"/>
  <c r="I265" i="2"/>
  <c r="H265" i="2"/>
  <c r="E265" i="2"/>
  <c r="H255" i="2"/>
  <c r="H254" i="2"/>
  <c r="H253" i="2"/>
  <c r="V250" i="2"/>
  <c r="G247" i="2"/>
  <c r="F247" i="2"/>
  <c r="F234" i="2" s="1"/>
  <c r="E247" i="2"/>
  <c r="G246" i="2"/>
  <c r="F246" i="2"/>
  <c r="F233" i="2" s="1"/>
  <c r="E246" i="2"/>
  <c r="G245" i="2"/>
  <c r="F245" i="2"/>
  <c r="E245" i="2"/>
  <c r="G244" i="2"/>
  <c r="F231" i="2" s="1"/>
  <c r="I231" i="2" s="1"/>
  <c r="F244" i="2"/>
  <c r="E244" i="2"/>
  <c r="H234" i="2"/>
  <c r="H233" i="2"/>
  <c r="I233" i="2" s="1"/>
  <c r="H232" i="2"/>
  <c r="H231" i="2"/>
  <c r="V228" i="2"/>
  <c r="E225" i="2"/>
  <c r="H215" i="2"/>
  <c r="F215" i="2"/>
  <c r="E211" i="2"/>
  <c r="K201" i="2"/>
  <c r="H201" i="2"/>
  <c r="F201" i="2"/>
  <c r="V198" i="2"/>
  <c r="F195" i="2"/>
  <c r="F184" i="2" s="1"/>
  <c r="E195" i="2"/>
  <c r="F194" i="2"/>
  <c r="F183" i="2" s="1"/>
  <c r="E194" i="2"/>
  <c r="H184" i="2"/>
  <c r="AU183" i="2"/>
  <c r="AU184" i="2" s="1"/>
  <c r="H183" i="2"/>
  <c r="V180" i="2"/>
  <c r="N177" i="2"/>
  <c r="H177" i="2"/>
  <c r="M177" i="2" s="1"/>
  <c r="E177" i="2"/>
  <c r="H176" i="2"/>
  <c r="N176" i="2" s="1"/>
  <c r="E176" i="2"/>
  <c r="H175" i="2"/>
  <c r="N175" i="2" s="1"/>
  <c r="E175" i="2"/>
  <c r="N174" i="2"/>
  <c r="H174" i="2"/>
  <c r="M174" i="2" s="1"/>
  <c r="E174" i="2"/>
  <c r="N173" i="2"/>
  <c r="H173" i="2"/>
  <c r="M173" i="2" s="1"/>
  <c r="F173" i="2"/>
  <c r="E173" i="2"/>
  <c r="H163" i="2"/>
  <c r="H162" i="2"/>
  <c r="H161" i="2"/>
  <c r="H160" i="2"/>
  <c r="H159" i="2"/>
  <c r="V156" i="2"/>
  <c r="E153" i="2"/>
  <c r="E152" i="2"/>
  <c r="H140" i="2"/>
  <c r="F140" i="2"/>
  <c r="AU139" i="2"/>
  <c r="AU140" i="2" s="1"/>
  <c r="V139" i="2"/>
  <c r="V140" i="2" s="1"/>
  <c r="H139" i="2"/>
  <c r="F139" i="2"/>
  <c r="V136" i="2"/>
  <c r="H110" i="2"/>
  <c r="F110" i="2"/>
  <c r="H108" i="2"/>
  <c r="F108" i="2"/>
  <c r="H107" i="2"/>
  <c r="F107" i="2"/>
  <c r="H106" i="2"/>
  <c r="F106" i="2"/>
  <c r="H105" i="2"/>
  <c r="F105" i="2"/>
  <c r="H103" i="2"/>
  <c r="F103" i="2"/>
  <c r="H102" i="2"/>
  <c r="F102" i="2"/>
  <c r="H101" i="2"/>
  <c r="F101" i="2"/>
  <c r="H100" i="2"/>
  <c r="F100" i="2"/>
  <c r="H97" i="2"/>
  <c r="F97" i="2"/>
  <c r="I97" i="2" s="1"/>
  <c r="J95" i="2"/>
  <c r="H95" i="2"/>
  <c r="F95" i="2"/>
  <c r="J94" i="2"/>
  <c r="H94" i="2"/>
  <c r="F94" i="2"/>
  <c r="J93" i="2"/>
  <c r="H93" i="2"/>
  <c r="F93" i="2"/>
  <c r="J92" i="2"/>
  <c r="H92" i="2"/>
  <c r="F92" i="2"/>
  <c r="I92" i="2" s="1"/>
  <c r="J90" i="2"/>
  <c r="H90" i="2"/>
  <c r="F90" i="2"/>
  <c r="J89" i="2"/>
  <c r="H89" i="2"/>
  <c r="F89" i="2"/>
  <c r="J88" i="2"/>
  <c r="H88" i="2"/>
  <c r="F88" i="2"/>
  <c r="H87" i="2"/>
  <c r="F87" i="2"/>
  <c r="V84" i="2"/>
  <c r="E81" i="2"/>
  <c r="V81" i="2" s="1"/>
  <c r="E80" i="2"/>
  <c r="V80" i="2" s="1"/>
  <c r="E79" i="2"/>
  <c r="V79" i="2" s="1"/>
  <c r="E78" i="2"/>
  <c r="V78" i="2" s="1"/>
  <c r="E77" i="2"/>
  <c r="V77" i="2" s="1"/>
  <c r="BQ76" i="2"/>
  <c r="BP76" i="2"/>
  <c r="BO76" i="2"/>
  <c r="BN76" i="2"/>
  <c r="BM76" i="2"/>
  <c r="BL76" i="2"/>
  <c r="BK76" i="2"/>
  <c r="BJ76" i="2"/>
  <c r="BI76" i="2"/>
  <c r="BH76" i="2"/>
  <c r="BG76" i="2"/>
  <c r="BE76" i="2"/>
  <c r="BD76" i="2"/>
  <c r="BC76" i="2"/>
  <c r="BB76" i="2"/>
  <c r="BA76" i="2"/>
  <c r="AZ76" i="2"/>
  <c r="AY76" i="2"/>
  <c r="AX76" i="2"/>
  <c r="AW76" i="2"/>
  <c r="AV76" i="2"/>
  <c r="AU76" i="2"/>
  <c r="AS76" i="2"/>
  <c r="AR76" i="2"/>
  <c r="AQ76" i="2"/>
  <c r="AP76" i="2"/>
  <c r="AO76" i="2"/>
  <c r="AN76" i="2"/>
  <c r="AM76" i="2"/>
  <c r="AL76" i="2"/>
  <c r="AK76" i="2"/>
  <c r="AJ76" i="2"/>
  <c r="AI76" i="2"/>
  <c r="AG76" i="2"/>
  <c r="AF76" i="2"/>
  <c r="AE76" i="2"/>
  <c r="AD76" i="2"/>
  <c r="AC76" i="2"/>
  <c r="AB76" i="2"/>
  <c r="AA76" i="2"/>
  <c r="Z76" i="2"/>
  <c r="Y76" i="2"/>
  <c r="X76" i="2"/>
  <c r="W76" i="2"/>
  <c r="BQ75" i="2"/>
  <c r="BP75" i="2"/>
  <c r="BO75" i="2"/>
  <c r="BN75" i="2"/>
  <c r="BM75" i="2"/>
  <c r="BL75" i="2"/>
  <c r="BK75" i="2"/>
  <c r="BJ75" i="2"/>
  <c r="BI75" i="2"/>
  <c r="BH75" i="2"/>
  <c r="BG75" i="2"/>
  <c r="BE75" i="2"/>
  <c r="BD75" i="2"/>
  <c r="BC75" i="2"/>
  <c r="BB75" i="2"/>
  <c r="BA75" i="2"/>
  <c r="AZ75" i="2"/>
  <c r="AY75" i="2"/>
  <c r="AX75" i="2"/>
  <c r="AW75" i="2"/>
  <c r="AV75" i="2"/>
  <c r="AU75" i="2"/>
  <c r="AS75" i="2"/>
  <c r="AR75" i="2"/>
  <c r="AQ75" i="2"/>
  <c r="AP75" i="2"/>
  <c r="AO75" i="2"/>
  <c r="AN75" i="2"/>
  <c r="AM75" i="2"/>
  <c r="AL75" i="2"/>
  <c r="AK75" i="2"/>
  <c r="AJ75" i="2"/>
  <c r="AI75" i="2"/>
  <c r="AG75" i="2"/>
  <c r="AF75" i="2"/>
  <c r="AE75" i="2"/>
  <c r="AD75" i="2"/>
  <c r="AC75" i="2"/>
  <c r="AB75" i="2"/>
  <c r="AA75" i="2"/>
  <c r="Z75" i="2"/>
  <c r="Y75" i="2"/>
  <c r="X75" i="2"/>
  <c r="W75" i="2"/>
  <c r="H65" i="2"/>
  <c r="F65" i="2"/>
  <c r="H64" i="2"/>
  <c r="F64" i="2"/>
  <c r="H63" i="2"/>
  <c r="I63" i="2" s="1"/>
  <c r="F63" i="2"/>
  <c r="H62" i="2"/>
  <c r="F62" i="2"/>
  <c r="H61" i="2"/>
  <c r="F61" i="2"/>
  <c r="E57" i="2"/>
  <c r="V57" i="2" s="1"/>
  <c r="E56" i="2"/>
  <c r="V56" i="2" s="1"/>
  <c r="E55" i="2"/>
  <c r="V55" i="2" s="1"/>
  <c r="E54" i="2"/>
  <c r="V54" i="2" s="1"/>
  <c r="E53" i="2"/>
  <c r="V53" i="2" s="1"/>
  <c r="E52" i="2"/>
  <c r="V52" i="2" s="1"/>
  <c r="E51" i="2"/>
  <c r="V51" i="2" s="1"/>
  <c r="E50" i="2"/>
  <c r="V50" i="2" s="1"/>
  <c r="E49" i="2"/>
  <c r="V49" i="2" s="1"/>
  <c r="E48" i="2"/>
  <c r="V48" i="2" s="1"/>
  <c r="E47" i="2"/>
  <c r="V47" i="2" s="1"/>
  <c r="E46" i="2"/>
  <c r="V46" i="2" s="1"/>
  <c r="E45" i="2"/>
  <c r="V45" i="2" s="1"/>
  <c r="E44" i="2"/>
  <c r="V44" i="2" s="1"/>
  <c r="E43" i="2"/>
  <c r="V43" i="2" s="1"/>
  <c r="E42" i="2"/>
  <c r="V42" i="2" s="1"/>
  <c r="E41" i="2"/>
  <c r="V41" i="2" s="1"/>
  <c r="E40" i="2"/>
  <c r="V40" i="2" s="1"/>
  <c r="E39" i="2"/>
  <c r="V39" i="2" s="1"/>
  <c r="CO38" i="2"/>
  <c r="CN38" i="2"/>
  <c r="CM38" i="2"/>
  <c r="CL38" i="2"/>
  <c r="CK38" i="2"/>
  <c r="CJ38" i="2"/>
  <c r="CI38" i="2"/>
  <c r="CH38" i="2"/>
  <c r="CG38" i="2"/>
  <c r="CF38" i="2"/>
  <c r="CE38" i="2"/>
  <c r="CC38" i="2"/>
  <c r="CB38" i="2"/>
  <c r="CA38" i="2"/>
  <c r="BZ38" i="2"/>
  <c r="BY38" i="2"/>
  <c r="BX38" i="2"/>
  <c r="BW38" i="2"/>
  <c r="BV38" i="2"/>
  <c r="BU38" i="2"/>
  <c r="BT38" i="2"/>
  <c r="BS38" i="2"/>
  <c r="BQ38" i="2"/>
  <c r="BP38" i="2"/>
  <c r="BO38" i="2"/>
  <c r="BN38" i="2"/>
  <c r="BM38" i="2"/>
  <c r="BL38" i="2"/>
  <c r="BK38" i="2"/>
  <c r="BJ38" i="2"/>
  <c r="BI38" i="2"/>
  <c r="BH38" i="2"/>
  <c r="BG38" i="2"/>
  <c r="BE38" i="2"/>
  <c r="BD38" i="2"/>
  <c r="BC38" i="2"/>
  <c r="BB38" i="2"/>
  <c r="BA38" i="2"/>
  <c r="AZ38" i="2"/>
  <c r="AY38" i="2"/>
  <c r="AX38" i="2"/>
  <c r="AW38" i="2"/>
  <c r="AV38" i="2"/>
  <c r="AU38" i="2"/>
  <c r="AS38" i="2"/>
  <c r="AR38" i="2"/>
  <c r="AQ38" i="2"/>
  <c r="AP38" i="2"/>
  <c r="AO38" i="2"/>
  <c r="AN38" i="2"/>
  <c r="AM38" i="2"/>
  <c r="AL38" i="2"/>
  <c r="AK38" i="2"/>
  <c r="AJ38" i="2"/>
  <c r="AI38" i="2"/>
  <c r="AG38" i="2"/>
  <c r="AF38" i="2"/>
  <c r="AE38" i="2"/>
  <c r="AD38" i="2"/>
  <c r="AC38" i="2"/>
  <c r="AB38" i="2"/>
  <c r="AA38" i="2"/>
  <c r="Z38" i="2"/>
  <c r="Y38" i="2"/>
  <c r="X38" i="2"/>
  <c r="W38" i="2"/>
  <c r="CO37" i="2"/>
  <c r="CN37" i="2"/>
  <c r="CM37" i="2"/>
  <c r="CL37" i="2"/>
  <c r="CK37" i="2"/>
  <c r="CJ37" i="2"/>
  <c r="CI37" i="2"/>
  <c r="CH37" i="2"/>
  <c r="CG37" i="2"/>
  <c r="CF37" i="2"/>
  <c r="CE37" i="2"/>
  <c r="CC37" i="2"/>
  <c r="CB37" i="2"/>
  <c r="CA37" i="2"/>
  <c r="BZ37" i="2"/>
  <c r="BY37" i="2"/>
  <c r="BX37" i="2"/>
  <c r="BW37" i="2"/>
  <c r="BV37" i="2"/>
  <c r="BU37" i="2"/>
  <c r="BT37" i="2"/>
  <c r="BS37" i="2"/>
  <c r="BQ37" i="2"/>
  <c r="BP37" i="2"/>
  <c r="BO37" i="2"/>
  <c r="BN37" i="2"/>
  <c r="BM37" i="2"/>
  <c r="BL37" i="2"/>
  <c r="BK37" i="2"/>
  <c r="BJ37" i="2"/>
  <c r="BI37" i="2"/>
  <c r="BH37" i="2"/>
  <c r="BG37" i="2"/>
  <c r="BE37" i="2"/>
  <c r="BD37" i="2"/>
  <c r="BC37" i="2"/>
  <c r="BB37" i="2"/>
  <c r="BA37" i="2"/>
  <c r="AZ37" i="2"/>
  <c r="AY37" i="2"/>
  <c r="AX37" i="2"/>
  <c r="AW37" i="2"/>
  <c r="AV37" i="2"/>
  <c r="AU37" i="2"/>
  <c r="AS37" i="2"/>
  <c r="AR37" i="2"/>
  <c r="AQ37" i="2"/>
  <c r="AP37" i="2"/>
  <c r="AO37" i="2"/>
  <c r="AN37" i="2"/>
  <c r="AM37" i="2"/>
  <c r="AL37" i="2"/>
  <c r="AK37" i="2"/>
  <c r="AJ37" i="2"/>
  <c r="AI37" i="2"/>
  <c r="AG37" i="2"/>
  <c r="AF37" i="2"/>
  <c r="AE37" i="2"/>
  <c r="AD37" i="2"/>
  <c r="AC37" i="2"/>
  <c r="AB37" i="2"/>
  <c r="AA37" i="2"/>
  <c r="Z37" i="2"/>
  <c r="Y37" i="2"/>
  <c r="X37" i="2"/>
  <c r="X60" i="2" s="1"/>
  <c r="W37" i="2"/>
  <c r="J27" i="2"/>
  <c r="H27" i="2"/>
  <c r="F27" i="2"/>
  <c r="J26" i="2"/>
  <c r="H26" i="2"/>
  <c r="F26" i="2"/>
  <c r="J25" i="2"/>
  <c r="H25" i="2"/>
  <c r="F25" i="2"/>
  <c r="J24" i="2"/>
  <c r="H24" i="2"/>
  <c r="F24" i="2"/>
  <c r="H23" i="2"/>
  <c r="F23" i="2"/>
  <c r="J22" i="2"/>
  <c r="H22" i="2"/>
  <c r="F22" i="2"/>
  <c r="J21" i="2"/>
  <c r="H21" i="2"/>
  <c r="F21" i="2"/>
  <c r="J20" i="2"/>
  <c r="H20" i="2"/>
  <c r="F20" i="2"/>
  <c r="J19" i="2"/>
  <c r="H19" i="2"/>
  <c r="F19" i="2"/>
  <c r="J18" i="2"/>
  <c r="H18" i="2"/>
  <c r="F18" i="2"/>
  <c r="J17" i="2"/>
  <c r="H17" i="2"/>
  <c r="F17" i="2"/>
  <c r="J16" i="2"/>
  <c r="H16" i="2"/>
  <c r="F16" i="2"/>
  <c r="J15" i="2"/>
  <c r="H15" i="2"/>
  <c r="F15" i="2"/>
  <c r="J14" i="2"/>
  <c r="H14" i="2"/>
  <c r="F14" i="2"/>
  <c r="J13" i="2"/>
  <c r="H13" i="2"/>
  <c r="F13" i="2"/>
  <c r="J12" i="2"/>
  <c r="H12" i="2"/>
  <c r="F12" i="2"/>
  <c r="J11" i="2"/>
  <c r="H11" i="2"/>
  <c r="F11" i="2"/>
  <c r="J10" i="2"/>
  <c r="H10" i="2"/>
  <c r="F10" i="2"/>
  <c r="J9" i="2"/>
  <c r="H9" i="2"/>
  <c r="F9" i="2"/>
  <c r="V6" i="2"/>
  <c r="I605" i="7" l="1"/>
  <c r="J646" i="7"/>
  <c r="F103" i="7"/>
  <c r="K103" i="7" s="1"/>
  <c r="L457" i="7"/>
  <c r="J498" i="7"/>
  <c r="F535" i="7"/>
  <c r="I761" i="7"/>
  <c r="F981" i="7"/>
  <c r="V1011" i="7"/>
  <c r="I606" i="7"/>
  <c r="F684" i="7"/>
  <c r="J684" i="7" s="1"/>
  <c r="F47" i="7"/>
  <c r="F50" i="7"/>
  <c r="I762" i="7"/>
  <c r="V1007" i="7"/>
  <c r="I11" i="7"/>
  <c r="F97" i="7"/>
  <c r="K97" i="7" s="1"/>
  <c r="F101" i="7"/>
  <c r="F971" i="7"/>
  <c r="X1938" i="6"/>
  <c r="L800" i="6"/>
  <c r="M176" i="2"/>
  <c r="F160" i="2"/>
  <c r="M175" i="2"/>
  <c r="I418" i="2"/>
  <c r="I444" i="2"/>
  <c r="I20" i="2"/>
  <c r="I234" i="2"/>
  <c r="I445" i="2"/>
  <c r="I466" i="2"/>
  <c r="I62" i="2"/>
  <c r="I64" i="2"/>
  <c r="I11" i="2"/>
  <c r="I15" i="2"/>
  <c r="I19" i="2"/>
  <c r="I22" i="2"/>
  <c r="I26" i="2"/>
  <c r="I108" i="2"/>
  <c r="I39" i="10"/>
  <c r="N7" i="3"/>
  <c r="N9" i="3"/>
  <c r="G11" i="3"/>
  <c r="O18" i="3"/>
  <c r="O20" i="3"/>
  <c r="N23" i="3"/>
  <c r="N25" i="3"/>
  <c r="G27" i="3"/>
  <c r="F15" i="3"/>
  <c r="G15" i="3" s="1"/>
  <c r="F17" i="3"/>
  <c r="F7" i="3"/>
  <c r="G7" i="3" s="1"/>
  <c r="F9" i="3"/>
  <c r="O14" i="3"/>
  <c r="O15" i="3"/>
  <c r="O16" i="3"/>
  <c r="O17" i="3"/>
  <c r="N19" i="3"/>
  <c r="N21" i="3"/>
  <c r="F23" i="3"/>
  <c r="G23" i="3" s="1"/>
  <c r="F25" i="3"/>
  <c r="I87" i="2"/>
  <c r="I470" i="2"/>
  <c r="F507" i="2"/>
  <c r="I88" i="2"/>
  <c r="I93" i="2"/>
  <c r="F163" i="2"/>
  <c r="I163" i="2" s="1"/>
  <c r="F232" i="2"/>
  <c r="I21" i="2"/>
  <c r="I101" i="2"/>
  <c r="I103" i="2"/>
  <c r="I333" i="2"/>
  <c r="F973" i="7"/>
  <c r="M973" i="7" s="1"/>
  <c r="F977" i="7"/>
  <c r="M977" i="7" s="1"/>
  <c r="F983" i="7"/>
  <c r="K101" i="7"/>
  <c r="I755" i="7"/>
  <c r="M981" i="7"/>
  <c r="I180" i="5"/>
  <c r="V52" i="4"/>
  <c r="I61" i="4"/>
  <c r="I199" i="4"/>
  <c r="I63" i="4"/>
  <c r="I67" i="4"/>
  <c r="I131" i="4"/>
  <c r="I223" i="4"/>
  <c r="F7" i="4"/>
  <c r="L7" i="4" s="1"/>
  <c r="I59" i="4"/>
  <c r="I64" i="4"/>
  <c r="I65" i="4"/>
  <c r="I171" i="4"/>
  <c r="I422" i="9" s="1"/>
  <c r="I250" i="4"/>
  <c r="D274" i="4"/>
  <c r="V274" i="4" s="1"/>
  <c r="X105" i="4"/>
  <c r="X104" i="4"/>
  <c r="X103" i="4"/>
  <c r="X106" i="4"/>
  <c r="X102" i="4"/>
  <c r="D161" i="4"/>
  <c r="V161" i="4" s="1"/>
  <c r="I872" i="6"/>
  <c r="I874" i="6"/>
  <c r="I886" i="6"/>
  <c r="I568" i="6"/>
  <c r="I941" i="6"/>
  <c r="F18" i="6"/>
  <c r="F340" i="6"/>
  <c r="F357" i="6" s="1"/>
  <c r="I936" i="6"/>
  <c r="I110" i="6"/>
  <c r="I123" i="6"/>
  <c r="I104" i="6"/>
  <c r="I790" i="6"/>
  <c r="I940" i="6"/>
  <c r="X328" i="6"/>
  <c r="I573" i="6"/>
  <c r="I821" i="6"/>
  <c r="I838" i="6"/>
  <c r="I929" i="6"/>
  <c r="I930" i="6"/>
  <c r="I947" i="6"/>
  <c r="X1972" i="6"/>
  <c r="I569" i="6"/>
  <c r="K1958" i="6"/>
  <c r="K820" i="6" s="1"/>
  <c r="X1970" i="6"/>
  <c r="K1982" i="6"/>
  <c r="K844" i="6" s="1"/>
  <c r="K2010" i="6"/>
  <c r="K872" i="6" s="1"/>
  <c r="K2058" i="6"/>
  <c r="K920" i="6" s="1"/>
  <c r="I810" i="6"/>
  <c r="I813" i="6"/>
  <c r="I909" i="6"/>
  <c r="F13" i="6"/>
  <c r="I782" i="6"/>
  <c r="F10" i="6"/>
  <c r="M10" i="6" s="1"/>
  <c r="F15" i="6"/>
  <c r="I865" i="6"/>
  <c r="I866" i="6"/>
  <c r="I7" i="10"/>
  <c r="I40" i="10"/>
  <c r="F38" i="9"/>
  <c r="F181" i="9"/>
  <c r="M216" i="9"/>
  <c r="M219" i="9"/>
  <c r="I396" i="9"/>
  <c r="V217" i="9"/>
  <c r="V221" i="9"/>
  <c r="D384" i="9"/>
  <c r="V384" i="9" s="1"/>
  <c r="F450" i="9"/>
  <c r="L450" i="9" s="1"/>
  <c r="J323" i="9"/>
  <c r="D350" i="9"/>
  <c r="V350" i="9" s="1"/>
  <c r="I393" i="9"/>
  <c r="D510" i="9"/>
  <c r="V25" i="9"/>
  <c r="V508" i="9" s="1"/>
  <c r="V26" i="9"/>
  <c r="V510" i="9" s="1"/>
  <c r="K38" i="9"/>
  <c r="M181" i="9"/>
  <c r="M211" i="9"/>
  <c r="M215" i="9"/>
  <c r="I397" i="9"/>
  <c r="I14" i="7"/>
  <c r="K47" i="7"/>
  <c r="F109" i="7"/>
  <c r="K109" i="7" s="1"/>
  <c r="K113" i="7"/>
  <c r="F532" i="7"/>
  <c r="F536" i="7"/>
  <c r="F537" i="7"/>
  <c r="I597" i="7"/>
  <c r="J935" i="7"/>
  <c r="I1142" i="7"/>
  <c r="F89" i="7"/>
  <c r="K89" i="7" s="1"/>
  <c r="I592" i="7"/>
  <c r="I601" i="7"/>
  <c r="J647" i="7"/>
  <c r="I756" i="7"/>
  <c r="I757" i="7"/>
  <c r="F987" i="7"/>
  <c r="V1002" i="7"/>
  <c r="I1083" i="7"/>
  <c r="F49" i="7"/>
  <c r="K49" i="7" s="1"/>
  <c r="F541" i="7"/>
  <c r="I594" i="7"/>
  <c r="F975" i="7"/>
  <c r="F979" i="7"/>
  <c r="M979" i="7" s="1"/>
  <c r="I808" i="6"/>
  <c r="I823" i="6"/>
  <c r="I918" i="6"/>
  <c r="I921" i="6"/>
  <c r="I933" i="6"/>
  <c r="I934" i="6"/>
  <c r="K1938" i="6"/>
  <c r="K800" i="6" s="1"/>
  <c r="I106" i="6"/>
  <c r="I114" i="6"/>
  <c r="I122" i="6"/>
  <c r="I833" i="6"/>
  <c r="I571" i="6"/>
  <c r="I572" i="6"/>
  <c r="I850" i="6"/>
  <c r="I851" i="6"/>
  <c r="I855" i="6"/>
  <c r="I862" i="6"/>
  <c r="I944" i="6"/>
  <c r="F7" i="6"/>
  <c r="M7" i="6" s="1"/>
  <c r="F8" i="6"/>
  <c r="I677" i="6"/>
  <c r="I781" i="6"/>
  <c r="I799" i="6"/>
  <c r="I807" i="6"/>
  <c r="I825" i="6"/>
  <c r="I848" i="6"/>
  <c r="I849" i="6"/>
  <c r="I860" i="6"/>
  <c r="I861" i="6"/>
  <c r="I864" i="6"/>
  <c r="I867" i="6"/>
  <c r="I870" i="6"/>
  <c r="I873" i="6"/>
  <c r="I876" i="6"/>
  <c r="I887" i="6"/>
  <c r="I889" i="6"/>
  <c r="I891" i="6"/>
  <c r="I893" i="6"/>
  <c r="I900" i="6"/>
  <c r="I908" i="6"/>
  <c r="I916" i="6"/>
  <c r="I945" i="6"/>
  <c r="I786" i="6"/>
  <c r="I835" i="6"/>
  <c r="I853" i="6"/>
  <c r="I117" i="6"/>
  <c r="I118" i="6"/>
  <c r="I125" i="6"/>
  <c r="I126" i="6"/>
  <c r="I357" i="6"/>
  <c r="I811" i="6"/>
  <c r="I827" i="6"/>
  <c r="I871" i="6"/>
  <c r="I884" i="6"/>
  <c r="I928" i="6"/>
  <c r="I937" i="6"/>
  <c r="I951" i="6"/>
  <c r="F10" i="9"/>
  <c r="I10" i="9" s="1"/>
  <c r="F969" i="7"/>
  <c r="M969" i="7" s="1"/>
  <c r="M983" i="7"/>
  <c r="I877" i="6"/>
  <c r="I38" i="5"/>
  <c r="I211" i="5"/>
  <c r="I39" i="5"/>
  <c r="J111" i="5"/>
  <c r="I181" i="5"/>
  <c r="I213" i="5"/>
  <c r="I41" i="5"/>
  <c r="J75" i="5"/>
  <c r="J110" i="5"/>
  <c r="I209" i="5"/>
  <c r="E216" i="4"/>
  <c r="E124" i="4"/>
  <c r="E192" i="4"/>
  <c r="E243" i="4"/>
  <c r="I12" i="7"/>
  <c r="K50" i="7"/>
  <c r="F91" i="7"/>
  <c r="F95" i="7"/>
  <c r="D372" i="7"/>
  <c r="V372" i="7" s="1"/>
  <c r="D452" i="7"/>
  <c r="M532" i="7"/>
  <c r="F533" i="7"/>
  <c r="F534" i="7"/>
  <c r="I598" i="7"/>
  <c r="I599" i="7"/>
  <c r="I603" i="7"/>
  <c r="F685" i="7"/>
  <c r="J685" i="7" s="1"/>
  <c r="I768" i="7"/>
  <c r="I769" i="7"/>
  <c r="I878" i="7"/>
  <c r="M971" i="7"/>
  <c r="M985" i="7"/>
  <c r="V1003" i="7"/>
  <c r="V1013" i="7"/>
  <c r="E1037" i="7"/>
  <c r="V1037" i="7" s="1"/>
  <c r="E1064" i="7"/>
  <c r="I1084" i="7"/>
  <c r="I8" i="7"/>
  <c r="I13" i="7"/>
  <c r="F86" i="7"/>
  <c r="F115" i="7"/>
  <c r="K115" i="7" s="1"/>
  <c r="V1012" i="7"/>
  <c r="F531" i="7"/>
  <c r="M531" i="7" s="1"/>
  <c r="F540" i="7"/>
  <c r="M540" i="7" s="1"/>
  <c r="I595" i="7"/>
  <c r="I600" i="7"/>
  <c r="J648" i="7"/>
  <c r="I754" i="7"/>
  <c r="I758" i="7"/>
  <c r="I766" i="7"/>
  <c r="V1017" i="7"/>
  <c r="E1036" i="7"/>
  <c r="V1036" i="7" s="1"/>
  <c r="E1071" i="7"/>
  <c r="I1082" i="7"/>
  <c r="I1143" i="7"/>
  <c r="M537" i="7"/>
  <c r="F538" i="7"/>
  <c r="I602" i="7"/>
  <c r="I760" i="7"/>
  <c r="I764" i="7"/>
  <c r="M975" i="7"/>
  <c r="M987" i="7"/>
  <c r="V1006" i="7"/>
  <c r="I1081" i="7"/>
  <c r="I1086" i="7"/>
  <c r="X1118" i="7"/>
  <c r="I1145" i="7"/>
  <c r="I10" i="2"/>
  <c r="I14" i="2"/>
  <c r="I18" i="2"/>
  <c r="I25" i="2"/>
  <c r="I419" i="2"/>
  <c r="I441" i="2"/>
  <c r="I614" i="2"/>
  <c r="I663" i="2"/>
  <c r="I13" i="2"/>
  <c r="I17" i="2"/>
  <c r="I24" i="2"/>
  <c r="I102" i="2"/>
  <c r="I105" i="2"/>
  <c r="I107" i="2"/>
  <c r="I140" i="2"/>
  <c r="I717" i="2"/>
  <c r="I9" i="2"/>
  <c r="I12" i="2"/>
  <c r="I16" i="2"/>
  <c r="I23" i="2"/>
  <c r="I27" i="2"/>
  <c r="I65" i="2"/>
  <c r="I90" i="2"/>
  <c r="I95" i="2"/>
  <c r="F159" i="2"/>
  <c r="I159" i="2" s="1"/>
  <c r="F162" i="2"/>
  <c r="I162" i="2" s="1"/>
  <c r="I201" i="2"/>
  <c r="I215" i="2"/>
  <c r="F254" i="2"/>
  <c r="I254" i="2" s="1"/>
  <c r="F255" i="2"/>
  <c r="H273" i="2"/>
  <c r="I287" i="2"/>
  <c r="I303" i="2"/>
  <c r="I396" i="2"/>
  <c r="I440" i="2"/>
  <c r="I89" i="2"/>
  <c r="I94" i="2"/>
  <c r="I232" i="2"/>
  <c r="F253" i="2"/>
  <c r="I442" i="2"/>
  <c r="I469" i="2"/>
  <c r="I139" i="2"/>
  <c r="I160" i="2"/>
  <c r="F161" i="2"/>
  <c r="I184" i="2"/>
  <c r="I471" i="2"/>
  <c r="I682" i="2"/>
  <c r="I100" i="2"/>
  <c r="I106" i="2"/>
  <c r="I110" i="2"/>
  <c r="I253" i="2"/>
  <c r="I288" i="2"/>
  <c r="I335" i="2"/>
  <c r="I337" i="2"/>
  <c r="I395" i="2"/>
  <c r="I397" i="2"/>
  <c r="I443" i="2"/>
  <c r="I507" i="2"/>
  <c r="I61" i="2"/>
  <c r="I183" i="2"/>
  <c r="I379" i="2"/>
  <c r="I416" i="2"/>
  <c r="I491" i="2"/>
  <c r="I531" i="2"/>
  <c r="I716" i="2"/>
  <c r="I255" i="2"/>
  <c r="I465" i="2"/>
  <c r="I467" i="2"/>
  <c r="F508" i="2"/>
  <c r="I508" i="2" s="1"/>
  <c r="I582" i="2"/>
  <c r="F598" i="2"/>
  <c r="I598" i="2" s="1"/>
  <c r="I646" i="2"/>
  <c r="I662" i="2"/>
  <c r="I42" i="5"/>
  <c r="I60" i="4"/>
  <c r="I68" i="4"/>
  <c r="F16" i="6"/>
  <c r="M18" i="6"/>
  <c r="I111" i="6"/>
  <c r="I119" i="6"/>
  <c r="X319" i="6"/>
  <c r="I679" i="6"/>
  <c r="I683" i="6"/>
  <c r="I685" i="6"/>
  <c r="I793" i="6"/>
  <c r="I801" i="6"/>
  <c r="I818" i="6"/>
  <c r="I830" i="6"/>
  <c r="I831" i="6"/>
  <c r="I846" i="6"/>
  <c r="I857" i="6"/>
  <c r="I875" i="6"/>
  <c r="I896" i="6"/>
  <c r="I907" i="6"/>
  <c r="I919" i="6"/>
  <c r="I935" i="6"/>
  <c r="I948" i="6"/>
  <c r="I115" i="6"/>
  <c r="I120" i="6"/>
  <c r="I121" i="6"/>
  <c r="I688" i="6"/>
  <c r="I784" i="6"/>
  <c r="I806" i="6"/>
  <c r="I815" i="6"/>
  <c r="I820" i="6"/>
  <c r="I832" i="6"/>
  <c r="L834" i="6"/>
  <c r="I885" i="6"/>
  <c r="I901" i="6"/>
  <c r="I905" i="6"/>
  <c r="I917" i="6"/>
  <c r="I925" i="6"/>
  <c r="K1996" i="6"/>
  <c r="K858" i="6" s="1"/>
  <c r="I678" i="6"/>
  <c r="I796" i="6"/>
  <c r="I797" i="6"/>
  <c r="I803" i="6"/>
  <c r="I804" i="6"/>
  <c r="I812" i="6"/>
  <c r="I817" i="6"/>
  <c r="I882" i="6"/>
  <c r="I899" i="6"/>
  <c r="I902" i="6"/>
  <c r="I910" i="6"/>
  <c r="I914" i="6"/>
  <c r="I926" i="6"/>
  <c r="I938" i="6"/>
  <c r="I942" i="6"/>
  <c r="I943" i="6"/>
  <c r="I950" i="6"/>
  <c r="Q973" i="6"/>
  <c r="X1946" i="6" s="1"/>
  <c r="Q978" i="6"/>
  <c r="K2054" i="6" s="1"/>
  <c r="K916" i="6" s="1"/>
  <c r="Q974" i="6"/>
  <c r="Q976" i="6"/>
  <c r="K2038" i="6" s="1"/>
  <c r="K900" i="6" s="1"/>
  <c r="F12" i="6"/>
  <c r="I780" i="6"/>
  <c r="I783" i="6"/>
  <c r="I792" i="6"/>
  <c r="I826" i="6"/>
  <c r="I829" i="6"/>
  <c r="I836" i="6"/>
  <c r="I842" i="6"/>
  <c r="I856" i="6"/>
  <c r="I863" i="6"/>
  <c r="I868" i="6"/>
  <c r="I892" i="6"/>
  <c r="K1984" i="6"/>
  <c r="K846" i="6" s="1"/>
  <c r="E201" i="9"/>
  <c r="V201" i="9" s="1"/>
  <c r="F9" i="6"/>
  <c r="F17" i="6"/>
  <c r="M17" i="6" s="1"/>
  <c r="I105" i="6"/>
  <c r="I108" i="6"/>
  <c r="I109" i="6"/>
  <c r="I112" i="6"/>
  <c r="I113" i="6"/>
  <c r="I116" i="6"/>
  <c r="J325" i="6"/>
  <c r="K121" i="6" s="1"/>
  <c r="I904" i="6"/>
  <c r="I932" i="6"/>
  <c r="M15" i="6"/>
  <c r="I340" i="6"/>
  <c r="I570" i="6"/>
  <c r="I788" i="6"/>
  <c r="I789" i="6"/>
  <c r="I800" i="6"/>
  <c r="I802" i="6"/>
  <c r="I809" i="6"/>
  <c r="I845" i="6"/>
  <c r="I869" i="6"/>
  <c r="X1950" i="6"/>
  <c r="E479" i="9"/>
  <c r="F14" i="6"/>
  <c r="F11" i="6"/>
  <c r="M11" i="6" s="1"/>
  <c r="X90" i="6"/>
  <c r="I94" i="6"/>
  <c r="O15" i="6" s="1"/>
  <c r="I107" i="6"/>
  <c r="I124" i="6"/>
  <c r="I127" i="6"/>
  <c r="I680" i="6"/>
  <c r="I682" i="6"/>
  <c r="I794" i="6"/>
  <c r="I816" i="6"/>
  <c r="I822" i="6"/>
  <c r="I828" i="6"/>
  <c r="I839" i="6"/>
  <c r="I847" i="6"/>
  <c r="I852" i="6"/>
  <c r="I858" i="6"/>
  <c r="I879" i="6"/>
  <c r="I880" i="6"/>
  <c r="I883" i="6"/>
  <c r="I888" i="6"/>
  <c r="I894" i="6"/>
  <c r="I903" i="6"/>
  <c r="I911" i="6"/>
  <c r="I912" i="6"/>
  <c r="I915" i="6"/>
  <c r="I920" i="6"/>
  <c r="I923" i="6"/>
  <c r="I924" i="6"/>
  <c r="I931" i="6"/>
  <c r="K2086" i="6"/>
  <c r="K948" i="6" s="1"/>
  <c r="K1994" i="6"/>
  <c r="K856" i="6" s="1"/>
  <c r="E203" i="9"/>
  <c r="F433" i="7"/>
  <c r="K433" i="7" s="1"/>
  <c r="I161" i="2"/>
  <c r="N8" i="3"/>
  <c r="N12" i="3"/>
  <c r="N20" i="3"/>
  <c r="H419" i="9"/>
  <c r="I168" i="4"/>
  <c r="I419" i="9" s="1"/>
  <c r="M9" i="6"/>
  <c r="I351" i="6"/>
  <c r="F368" i="6"/>
  <c r="I368" i="6" s="1"/>
  <c r="I417" i="2"/>
  <c r="I549" i="2"/>
  <c r="F8" i="3"/>
  <c r="G8" i="3" s="1"/>
  <c r="F12" i="3"/>
  <c r="G12" i="3" s="1"/>
  <c r="F20" i="3"/>
  <c r="G20" i="3" s="1"/>
  <c r="H423" i="9"/>
  <c r="I172" i="4"/>
  <c r="I423" i="9" s="1"/>
  <c r="J76" i="5"/>
  <c r="M13" i="6"/>
  <c r="E1100" i="7"/>
  <c r="E1102" i="7"/>
  <c r="H355" i="2"/>
  <c r="H356" i="2"/>
  <c r="H357" i="2"/>
  <c r="H358" i="2"/>
  <c r="H359" i="2"/>
  <c r="H360" i="2"/>
  <c r="I468" i="2"/>
  <c r="I734" i="2"/>
  <c r="N10" i="3"/>
  <c r="G10" i="3"/>
  <c r="N14" i="3"/>
  <c r="G14" i="3"/>
  <c r="N18" i="3"/>
  <c r="G18" i="3"/>
  <c r="N22" i="3"/>
  <c r="G22" i="3"/>
  <c r="N26" i="3"/>
  <c r="G26" i="3"/>
  <c r="E40" i="5"/>
  <c r="E39" i="5"/>
  <c r="I62" i="4"/>
  <c r="E38" i="5"/>
  <c r="M14" i="6"/>
  <c r="M16" i="6"/>
  <c r="F347" i="6"/>
  <c r="K394" i="6"/>
  <c r="F345" i="6"/>
  <c r="N16" i="3"/>
  <c r="G16" i="3"/>
  <c r="N24" i="3"/>
  <c r="G24" i="3"/>
  <c r="F424" i="9"/>
  <c r="F175" i="4"/>
  <c r="I173" i="4"/>
  <c r="I424" i="9" s="1"/>
  <c r="R143" i="6"/>
  <c r="X329" i="6" s="1"/>
  <c r="R144" i="6"/>
  <c r="R142" i="6"/>
  <c r="X323" i="6" s="1"/>
  <c r="R141" i="6"/>
  <c r="X317" i="6" s="1"/>
  <c r="R148" i="6"/>
  <c r="R147" i="6"/>
  <c r="R146" i="6"/>
  <c r="G9" i="3"/>
  <c r="G13" i="3"/>
  <c r="G17" i="3"/>
  <c r="G21" i="3"/>
  <c r="G25" i="3"/>
  <c r="F420" i="9"/>
  <c r="I169" i="4"/>
  <c r="I420" i="9" s="1"/>
  <c r="K8" i="5"/>
  <c r="M8" i="6"/>
  <c r="M12" i="6"/>
  <c r="R140" i="6"/>
  <c r="J311" i="6" s="1"/>
  <c r="K107" i="6" s="1"/>
  <c r="R145" i="6"/>
  <c r="X331" i="6"/>
  <c r="J328" i="6"/>
  <c r="K124" i="6" s="1"/>
  <c r="J331" i="6"/>
  <c r="K127" i="6" s="1"/>
  <c r="K426" i="6"/>
  <c r="F339" i="6"/>
  <c r="K428" i="6"/>
  <c r="F342" i="6"/>
  <c r="K430" i="6"/>
  <c r="F348" i="6"/>
  <c r="K1952" i="6"/>
  <c r="K814" i="6" s="1"/>
  <c r="K1930" i="6"/>
  <c r="K792" i="6" s="1"/>
  <c r="X1960" i="6"/>
  <c r="X1934" i="6"/>
  <c r="X1952" i="6"/>
  <c r="X1930" i="6"/>
  <c r="K1934" i="6"/>
  <c r="K796" i="6" s="1"/>
  <c r="K1960" i="6"/>
  <c r="K822" i="6" s="1"/>
  <c r="L975" i="6"/>
  <c r="F787" i="6"/>
  <c r="I787" i="6" s="1"/>
  <c r="X1978" i="6"/>
  <c r="L979" i="6"/>
  <c r="F795" i="6"/>
  <c r="I795" i="6" s="1"/>
  <c r="V53" i="4"/>
  <c r="D124" i="4"/>
  <c r="V124" i="4" s="1"/>
  <c r="E125" i="4"/>
  <c r="I170" i="4"/>
  <c r="I421" i="9" s="1"/>
  <c r="I174" i="4"/>
  <c r="I425" i="9" s="1"/>
  <c r="D192" i="4"/>
  <c r="V192" i="4" s="1"/>
  <c r="E193" i="4"/>
  <c r="D216" i="4"/>
  <c r="V216" i="4" s="1"/>
  <c r="E217" i="4"/>
  <c r="D243" i="4"/>
  <c r="V243" i="4" s="1"/>
  <c r="E244" i="4"/>
  <c r="X88" i="6"/>
  <c r="W90" i="6"/>
  <c r="X96" i="6"/>
  <c r="X322" i="6"/>
  <c r="F341" i="6"/>
  <c r="K395" i="6"/>
  <c r="F349" i="6"/>
  <c r="I687" i="6"/>
  <c r="I684" i="6"/>
  <c r="F686" i="6"/>
  <c r="I686" i="6" s="1"/>
  <c r="D160" i="4"/>
  <c r="V160" i="4" s="1"/>
  <c r="I88" i="6"/>
  <c r="O9" i="6" s="1"/>
  <c r="W94" i="6"/>
  <c r="I96" i="6"/>
  <c r="O17" i="6" s="1"/>
  <c r="D494" i="6"/>
  <c r="V284" i="6"/>
  <c r="X316" i="6"/>
  <c r="K393" i="6"/>
  <c r="F343" i="6"/>
  <c r="D125" i="4"/>
  <c r="V125" i="4" s="1"/>
  <c r="D193" i="4"/>
  <c r="V193" i="4" s="1"/>
  <c r="D217" i="4"/>
  <c r="V217" i="4" s="1"/>
  <c r="W88" i="6"/>
  <c r="I90" i="6"/>
  <c r="O11" i="6" s="1"/>
  <c r="X94" i="6"/>
  <c r="D664" i="6"/>
  <c r="V664" i="6" s="1"/>
  <c r="V528" i="6"/>
  <c r="F353" i="6"/>
  <c r="K396" i="6"/>
  <c r="K425" i="6"/>
  <c r="F338" i="6"/>
  <c r="F337" i="6"/>
  <c r="X531" i="6"/>
  <c r="X548" i="6"/>
  <c r="J531" i="6"/>
  <c r="K340" i="6" s="1"/>
  <c r="L357" i="6"/>
  <c r="L340" i="6"/>
  <c r="F344" i="6"/>
  <c r="K429" i="6"/>
  <c r="F346" i="6"/>
  <c r="F350" i="6"/>
  <c r="K431" i="6"/>
  <c r="F352" i="6"/>
  <c r="I681" i="6"/>
  <c r="F9" i="7"/>
  <c r="I9" i="7" s="1"/>
  <c r="F10" i="7"/>
  <c r="I10" i="7" s="1"/>
  <c r="V308" i="6"/>
  <c r="I785" i="6"/>
  <c r="I798" i="6"/>
  <c r="K1918" i="6"/>
  <c r="K780" i="6" s="1"/>
  <c r="X1918" i="6"/>
  <c r="F106" i="9"/>
  <c r="I35" i="9" s="1"/>
  <c r="F35" i="9" s="1"/>
  <c r="K35" i="9" s="1"/>
  <c r="N35" i="9"/>
  <c r="J35" i="9"/>
  <c r="F107" i="9"/>
  <c r="I36" i="9" s="1"/>
  <c r="F36" i="9" s="1"/>
  <c r="K36" i="9" s="1"/>
  <c r="N36" i="9"/>
  <c r="J36" i="9"/>
  <c r="F111" i="9"/>
  <c r="I40" i="9" s="1"/>
  <c r="F40" i="9" s="1"/>
  <c r="K40" i="9" s="1"/>
  <c r="N40" i="9"/>
  <c r="J40" i="9"/>
  <c r="F115" i="9"/>
  <c r="I44" i="9" s="1"/>
  <c r="F44" i="9" s="1"/>
  <c r="K44" i="9" s="1"/>
  <c r="N44" i="9"/>
  <c r="J44" i="9"/>
  <c r="V750" i="6"/>
  <c r="L977" i="6"/>
  <c r="F791" i="6"/>
  <c r="I791" i="6" s="1"/>
  <c r="V762" i="6"/>
  <c r="I814" i="6"/>
  <c r="I819" i="6"/>
  <c r="I824" i="6"/>
  <c r="I834" i="6"/>
  <c r="I844" i="6"/>
  <c r="I854" i="6"/>
  <c r="I859" i="6"/>
  <c r="I881" i="6"/>
  <c r="I906" i="6"/>
  <c r="I913" i="6"/>
  <c r="I939" i="6"/>
  <c r="I949" i="6"/>
  <c r="K2084" i="6"/>
  <c r="K946" i="6" s="1"/>
  <c r="K2016" i="6"/>
  <c r="K878" i="6" s="1"/>
  <c r="K1976" i="6"/>
  <c r="K838" i="6" s="1"/>
  <c r="K1974" i="6"/>
  <c r="K836" i="6" s="1"/>
  <c r="Q977" i="6"/>
  <c r="K2050" i="6" s="1"/>
  <c r="K912" i="6" s="1"/>
  <c r="X2084" i="6"/>
  <c r="X2016" i="6"/>
  <c r="X1976" i="6"/>
  <c r="X1974" i="6"/>
  <c r="X2054" i="6"/>
  <c r="X2074" i="6"/>
  <c r="K1956" i="6"/>
  <c r="K818" i="6" s="1"/>
  <c r="K95" i="7"/>
  <c r="N87" i="7"/>
  <c r="J87" i="7"/>
  <c r="F279" i="7"/>
  <c r="I87" i="7" s="1"/>
  <c r="F284" i="7"/>
  <c r="I92" i="7" s="1"/>
  <c r="F92" i="7" s="1"/>
  <c r="K92" i="7" s="1"/>
  <c r="F286" i="7"/>
  <c r="I94" i="7" s="1"/>
  <c r="J94" i="7"/>
  <c r="N99" i="7"/>
  <c r="J99" i="7"/>
  <c r="F291" i="7"/>
  <c r="I99" i="7" s="1"/>
  <c r="F296" i="7"/>
  <c r="I104" i="7" s="1"/>
  <c r="J104" i="7"/>
  <c r="N104" i="7"/>
  <c r="F298" i="7"/>
  <c r="I106" i="7" s="1"/>
  <c r="N106" i="7"/>
  <c r="J106" i="7"/>
  <c r="N111" i="7"/>
  <c r="J111" i="7"/>
  <c r="F303" i="7"/>
  <c r="I111" i="7" s="1"/>
  <c r="J1144" i="7"/>
  <c r="J1143" i="7"/>
  <c r="J1142" i="7"/>
  <c r="J1145" i="7"/>
  <c r="I805" i="6"/>
  <c r="I837" i="6"/>
  <c r="I878" i="6"/>
  <c r="I890" i="6"/>
  <c r="I897" i="6"/>
  <c r="I922" i="6"/>
  <c r="I927" i="6"/>
  <c r="I946" i="6"/>
  <c r="W626" i="7"/>
  <c r="W627" i="7" s="1"/>
  <c r="K2080" i="6"/>
  <c r="K942" i="6" s="1"/>
  <c r="K2002" i="6"/>
  <c r="K864" i="6" s="1"/>
  <c r="K1968" i="6"/>
  <c r="K830" i="6" s="1"/>
  <c r="K1966" i="6"/>
  <c r="K828" i="6" s="1"/>
  <c r="Q975" i="6"/>
  <c r="X2022" i="6" s="1"/>
  <c r="X2080" i="6"/>
  <c r="X2002" i="6"/>
  <c r="X1968" i="6"/>
  <c r="X1966" i="6"/>
  <c r="K1926" i="6"/>
  <c r="K788" i="6" s="1"/>
  <c r="X1926" i="6"/>
  <c r="K2088" i="6"/>
  <c r="K950" i="6" s="1"/>
  <c r="Q979" i="6"/>
  <c r="X2076" i="6" s="1"/>
  <c r="X1996" i="6"/>
  <c r="X1994" i="6"/>
  <c r="X2088" i="6"/>
  <c r="K1940" i="6"/>
  <c r="K802" i="6" s="1"/>
  <c r="X1940" i="6"/>
  <c r="K1964" i="6"/>
  <c r="K826" i="6" s="1"/>
  <c r="X1964" i="6"/>
  <c r="K2060" i="6"/>
  <c r="K922" i="6" s="1"/>
  <c r="L926" i="6"/>
  <c r="L930" i="6"/>
  <c r="X2072" i="6"/>
  <c r="L938" i="6"/>
  <c r="K2008" i="6"/>
  <c r="K870" i="6" s="1"/>
  <c r="K2074" i="6"/>
  <c r="K936" i="6" s="1"/>
  <c r="N51" i="7"/>
  <c r="J51" i="7"/>
  <c r="F51" i="7" s="1"/>
  <c r="K51" i="7" s="1"/>
  <c r="G475" i="7"/>
  <c r="K91" i="7"/>
  <c r="D491" i="7"/>
  <c r="V451" i="7"/>
  <c r="F725" i="7"/>
  <c r="I725" i="7" s="1"/>
  <c r="F726" i="7"/>
  <c r="F724" i="7"/>
  <c r="I724" i="7" s="1"/>
  <c r="K2072" i="6"/>
  <c r="K934" i="6" s="1"/>
  <c r="M534" i="7"/>
  <c r="E1103" i="7"/>
  <c r="E1101" i="7"/>
  <c r="X2058" i="6"/>
  <c r="X2082" i="6"/>
  <c r="X2086" i="6"/>
  <c r="W614" i="7"/>
  <c r="W615" i="7" s="1"/>
  <c r="K86" i="7"/>
  <c r="F90" i="7"/>
  <c r="K90" i="7" s="1"/>
  <c r="B177" i="9"/>
  <c r="V177" i="9" s="1"/>
  <c r="V528" i="7"/>
  <c r="M533" i="7"/>
  <c r="M535" i="7"/>
  <c r="J904" i="7"/>
  <c r="P216" i="9"/>
  <c r="W276" i="9"/>
  <c r="F276" i="9"/>
  <c r="E1056" i="7"/>
  <c r="V1001" i="7"/>
  <c r="E1059" i="7"/>
  <c r="V1004" i="7"/>
  <c r="E1069" i="7"/>
  <c r="V1014" i="7"/>
  <c r="V1019" i="7"/>
  <c r="E1074" i="7"/>
  <c r="F221" i="9"/>
  <c r="V222" i="9" s="1"/>
  <c r="X1956" i="6"/>
  <c r="X1958" i="6"/>
  <c r="X1982" i="6"/>
  <c r="X1984" i="6"/>
  <c r="X2008" i="6"/>
  <c r="X2010" i="6"/>
  <c r="F98" i="7"/>
  <c r="K98" i="7" s="1"/>
  <c r="N407" i="7"/>
  <c r="J407" i="7"/>
  <c r="F407" i="7" s="1"/>
  <c r="K407" i="7" s="1"/>
  <c r="V426" i="7"/>
  <c r="I459" i="7"/>
  <c r="M541" i="7"/>
  <c r="F542" i="7"/>
  <c r="M542" i="7" s="1"/>
  <c r="I591" i="7"/>
  <c r="I726" i="7"/>
  <c r="I767" i="7"/>
  <c r="F986" i="7"/>
  <c r="M986" i="7" s="1"/>
  <c r="E1060" i="7"/>
  <c r="V1005" i="7"/>
  <c r="E1063" i="7"/>
  <c r="V1008" i="7"/>
  <c r="E1070" i="7"/>
  <c r="V1015" i="7"/>
  <c r="E1073" i="7"/>
  <c r="V1018" i="7"/>
  <c r="K1970" i="6"/>
  <c r="K832" i="6" s="1"/>
  <c r="K1972" i="6"/>
  <c r="K834" i="6" s="1"/>
  <c r="F48" i="7"/>
  <c r="K48" i="7" s="1"/>
  <c r="F280" i="7"/>
  <c r="I88" i="7" s="1"/>
  <c r="F88" i="7" s="1"/>
  <c r="K88" i="7" s="1"/>
  <c r="F285" i="7"/>
  <c r="I93" i="7" s="1"/>
  <c r="F93" i="7" s="1"/>
  <c r="K93" i="7" s="1"/>
  <c r="F292" i="7"/>
  <c r="I100" i="7" s="1"/>
  <c r="F100" i="7" s="1"/>
  <c r="K100" i="7" s="1"/>
  <c r="F297" i="7"/>
  <c r="I105" i="7" s="1"/>
  <c r="F105" i="7" s="1"/>
  <c r="K105" i="7" s="1"/>
  <c r="N105" i="7"/>
  <c r="J105" i="7"/>
  <c r="F302" i="7"/>
  <c r="I110" i="7" s="1"/>
  <c r="F110" i="7" s="1"/>
  <c r="K110" i="7" s="1"/>
  <c r="F304" i="7"/>
  <c r="I112" i="7" s="1"/>
  <c r="F112" i="7" s="1"/>
  <c r="K112" i="7" s="1"/>
  <c r="F288" i="7"/>
  <c r="I96" i="7" s="1"/>
  <c r="F96" i="7" s="1"/>
  <c r="K96" i="7" s="1"/>
  <c r="F294" i="7"/>
  <c r="I102" i="7" s="1"/>
  <c r="F102" i="7" s="1"/>
  <c r="K102" i="7" s="1"/>
  <c r="F300" i="7"/>
  <c r="I108" i="7" s="1"/>
  <c r="F108" i="7" s="1"/>
  <c r="K108" i="7" s="1"/>
  <c r="F306" i="7"/>
  <c r="I114" i="7" s="1"/>
  <c r="F114" i="7" s="1"/>
  <c r="K114" i="7" s="1"/>
  <c r="K459" i="7"/>
  <c r="J459" i="7" s="1"/>
  <c r="F498" i="7"/>
  <c r="K498" i="7" s="1"/>
  <c r="M536" i="7"/>
  <c r="M538" i="7"/>
  <c r="F539" i="7"/>
  <c r="M539" i="7" s="1"/>
  <c r="I596" i="7"/>
  <c r="I604" i="7"/>
  <c r="I759" i="7"/>
  <c r="F970" i="7"/>
  <c r="M970" i="7" s="1"/>
  <c r="F974" i="7"/>
  <c r="M974" i="7" s="1"/>
  <c r="F978" i="7"/>
  <c r="M978" i="7" s="1"/>
  <c r="F982" i="7"/>
  <c r="M982" i="7" s="1"/>
  <c r="I7" i="9"/>
  <c r="F275" i="9"/>
  <c r="P215" i="9"/>
  <c r="W275" i="9"/>
  <c r="F976" i="7"/>
  <c r="M976" i="7" s="1"/>
  <c r="F984" i="7"/>
  <c r="M984" i="7" s="1"/>
  <c r="M217" i="9"/>
  <c r="P220" i="9"/>
  <c r="W280" i="9"/>
  <c r="F222" i="9"/>
  <c r="M222" i="9" s="1"/>
  <c r="F280" i="9"/>
  <c r="J499" i="7"/>
  <c r="F499" i="7" s="1"/>
  <c r="K499" i="7" s="1"/>
  <c r="F843" i="7"/>
  <c r="J843" i="7" s="1"/>
  <c r="W274" i="9"/>
  <c r="F274" i="9"/>
  <c r="F972" i="7"/>
  <c r="M972" i="7" s="1"/>
  <c r="F980" i="7"/>
  <c r="M980" i="7" s="1"/>
  <c r="F988" i="7"/>
  <c r="M988" i="7" s="1"/>
  <c r="E1040" i="7"/>
  <c r="V1040" i="7" s="1"/>
  <c r="V1020" i="7"/>
  <c r="F180" i="9"/>
  <c r="M180" i="9" s="1"/>
  <c r="D351" i="9"/>
  <c r="V351" i="9" s="1"/>
  <c r="D480" i="9"/>
  <c r="V480" i="9" s="1"/>
  <c r="D385" i="9"/>
  <c r="V385" i="9" s="1"/>
  <c r="N39" i="9"/>
  <c r="J39" i="9"/>
  <c r="N43" i="9"/>
  <c r="J43" i="9"/>
  <c r="I43" i="9"/>
  <c r="F110" i="9"/>
  <c r="I39" i="9" s="1"/>
  <c r="F39" i="9" s="1"/>
  <c r="K39" i="9" s="1"/>
  <c r="D140" i="9"/>
  <c r="V140" i="9" s="1"/>
  <c r="F210" i="9"/>
  <c r="V211" i="9" s="1"/>
  <c r="M214" i="9"/>
  <c r="F214" i="9"/>
  <c r="V215" i="9" s="1"/>
  <c r="P218" i="9"/>
  <c r="F278" i="9"/>
  <c r="J288" i="9"/>
  <c r="D317" i="9"/>
  <c r="V317" i="9" s="1"/>
  <c r="F493" i="9"/>
  <c r="F486" i="9" s="1"/>
  <c r="I486" i="9" s="1"/>
  <c r="X1119" i="7"/>
  <c r="F1118" i="7"/>
  <c r="F1109" i="7" s="1"/>
  <c r="I1109" i="7" s="1"/>
  <c r="F1110" i="7"/>
  <c r="I1110" i="7" s="1"/>
  <c r="I1144" i="7"/>
  <c r="K37" i="9"/>
  <c r="K42" i="9"/>
  <c r="K155" i="9"/>
  <c r="D203" i="9"/>
  <c r="V203" i="9" s="1"/>
  <c r="M213" i="9"/>
  <c r="M218" i="9"/>
  <c r="F218" i="9"/>
  <c r="V219" i="9" s="1"/>
  <c r="I395" i="9"/>
  <c r="F494" i="9"/>
  <c r="F487" i="9" s="1"/>
  <c r="I487" i="9" s="1"/>
  <c r="D316" i="9"/>
  <c r="V316" i="9" s="1"/>
  <c r="D508" i="9"/>
  <c r="E510" i="9"/>
  <c r="D139" i="9"/>
  <c r="V139" i="9" s="1"/>
  <c r="D201" i="9"/>
  <c r="F104" i="7" l="1"/>
  <c r="K104" i="7" s="1"/>
  <c r="F106" i="7"/>
  <c r="K106" i="7" s="1"/>
  <c r="F94" i="7"/>
  <c r="K94" i="7" s="1"/>
  <c r="X2038" i="6"/>
  <c r="K2004" i="6"/>
  <c r="K866" i="6" s="1"/>
  <c r="F99" i="7"/>
  <c r="K99" i="7" s="1"/>
  <c r="X1942" i="6"/>
  <c r="K1942" i="6"/>
  <c r="K804" i="6" s="1"/>
  <c r="F8" i="9"/>
  <c r="I8" i="9" s="1"/>
  <c r="K1946" i="6"/>
  <c r="K808" i="6" s="1"/>
  <c r="X1922" i="6"/>
  <c r="F9" i="9"/>
  <c r="I9" i="9" s="1"/>
  <c r="K1922" i="6"/>
  <c r="K784" i="6" s="1"/>
  <c r="M210" i="9"/>
  <c r="X2046" i="6"/>
  <c r="K2068" i="6"/>
  <c r="K930" i="6" s="1"/>
  <c r="K2034" i="6"/>
  <c r="K896" i="6" s="1"/>
  <c r="K2030" i="6"/>
  <c r="K892" i="6" s="1"/>
  <c r="X2030" i="6"/>
  <c r="X2004" i="6"/>
  <c r="X2034" i="6"/>
  <c r="F111" i="7"/>
  <c r="K111" i="7" s="1"/>
  <c r="V452" i="7"/>
  <c r="D492" i="7"/>
  <c r="K1978" i="6"/>
  <c r="K840" i="6" s="1"/>
  <c r="K2064" i="6"/>
  <c r="K926" i="6" s="1"/>
  <c r="X2064" i="6"/>
  <c r="X2060" i="6"/>
  <c r="K1928" i="6"/>
  <c r="K790" i="6" s="1"/>
  <c r="X1928" i="6"/>
  <c r="L790" i="6"/>
  <c r="F370" i="6"/>
  <c r="I370" i="6" s="1"/>
  <c r="I353" i="6"/>
  <c r="I345" i="6"/>
  <c r="F362" i="6"/>
  <c r="I362" i="6" s="1"/>
  <c r="M221" i="9"/>
  <c r="F277" i="9"/>
  <c r="P217" i="9"/>
  <c r="W277" i="9"/>
  <c r="K1990" i="6"/>
  <c r="K852" i="6" s="1"/>
  <c r="X1986" i="6"/>
  <c r="X1990" i="6"/>
  <c r="K1986" i="6"/>
  <c r="K848" i="6" s="1"/>
  <c r="K2076" i="6"/>
  <c r="K938" i="6" s="1"/>
  <c r="X1998" i="6"/>
  <c r="X2026" i="6"/>
  <c r="X2018" i="6"/>
  <c r="K2022" i="6"/>
  <c r="K884" i="6" s="1"/>
  <c r="K1998" i="6"/>
  <c r="K860" i="6" s="1"/>
  <c r="K2018" i="6"/>
  <c r="K880" i="6" s="1"/>
  <c r="F369" i="6"/>
  <c r="I369" i="6" s="1"/>
  <c r="I352" i="6"/>
  <c r="X535" i="6"/>
  <c r="X552" i="6"/>
  <c r="J535" i="6"/>
  <c r="K344" i="6" s="1"/>
  <c r="L361" i="6"/>
  <c r="L344" i="6"/>
  <c r="J552" i="6"/>
  <c r="K361" i="6" s="1"/>
  <c r="F355" i="6"/>
  <c r="I355" i="6" s="1"/>
  <c r="I338" i="6"/>
  <c r="F360" i="6"/>
  <c r="I360" i="6" s="1"/>
  <c r="I343" i="6"/>
  <c r="J556" i="6"/>
  <c r="K365" i="6" s="1"/>
  <c r="X556" i="6"/>
  <c r="J539" i="6"/>
  <c r="K348" i="6" s="1"/>
  <c r="L348" i="6"/>
  <c r="L365" i="6"/>
  <c r="X539" i="6"/>
  <c r="X547" i="6"/>
  <c r="J530" i="6"/>
  <c r="K339" i="6" s="1"/>
  <c r="J547" i="6"/>
  <c r="K356" i="6" s="1"/>
  <c r="X530" i="6"/>
  <c r="L356" i="6"/>
  <c r="L339" i="6"/>
  <c r="L337" i="6"/>
  <c r="X314" i="6"/>
  <c r="J314" i="6"/>
  <c r="K110" i="6" s="1"/>
  <c r="F459" i="7"/>
  <c r="L459" i="7" s="1"/>
  <c r="F363" i="6"/>
  <c r="I363" i="6" s="1"/>
  <c r="I346" i="6"/>
  <c r="I337" i="6"/>
  <c r="F354" i="6"/>
  <c r="I354" i="6" s="1"/>
  <c r="I348" i="6"/>
  <c r="F365" i="6"/>
  <c r="I365" i="6" s="1"/>
  <c r="J326" i="6"/>
  <c r="K122" i="6" s="1"/>
  <c r="X326" i="6"/>
  <c r="V491" i="7"/>
  <c r="D524" i="7"/>
  <c r="J458" i="7"/>
  <c r="I458" i="7"/>
  <c r="X2012" i="6"/>
  <c r="X2050" i="6"/>
  <c r="X2042" i="6"/>
  <c r="K2046" i="6"/>
  <c r="K908" i="6" s="1"/>
  <c r="K2012" i="6"/>
  <c r="K874" i="6" s="1"/>
  <c r="J558" i="6"/>
  <c r="K367" i="6" s="1"/>
  <c r="X558" i="6"/>
  <c r="J541" i="6"/>
  <c r="K350" i="6" s="1"/>
  <c r="L367" i="6"/>
  <c r="L350" i="6"/>
  <c r="X541" i="6"/>
  <c r="F361" i="6"/>
  <c r="I361" i="6" s="1"/>
  <c r="I344" i="6"/>
  <c r="X545" i="6"/>
  <c r="X533" i="6"/>
  <c r="J545" i="6"/>
  <c r="K354" i="6" s="1"/>
  <c r="J533" i="6"/>
  <c r="K342" i="6" s="1"/>
  <c r="J528" i="6"/>
  <c r="K337" i="6" s="1"/>
  <c r="X528" i="6"/>
  <c r="L354" i="6"/>
  <c r="L342" i="6"/>
  <c r="F358" i="6"/>
  <c r="I358" i="6" s="1"/>
  <c r="I341" i="6"/>
  <c r="I342" i="6"/>
  <c r="F359" i="6"/>
  <c r="I359" i="6" s="1"/>
  <c r="X308" i="6"/>
  <c r="J308" i="6"/>
  <c r="K104" i="6" s="1"/>
  <c r="J320" i="6"/>
  <c r="K116" i="6" s="1"/>
  <c r="J323" i="6"/>
  <c r="K119" i="6" s="1"/>
  <c r="X320" i="6"/>
  <c r="F1087" i="7"/>
  <c r="F426" i="9"/>
  <c r="I175" i="4"/>
  <c r="I426" i="9" s="1"/>
  <c r="F364" i="6"/>
  <c r="I364" i="6" s="1"/>
  <c r="I347" i="6"/>
  <c r="J317" i="6"/>
  <c r="K113" i="6" s="1"/>
  <c r="F279" i="9"/>
  <c r="P219" i="9"/>
  <c r="W279" i="9"/>
  <c r="F366" i="6"/>
  <c r="I366" i="6" s="1"/>
  <c r="I349" i="6"/>
  <c r="F356" i="6"/>
  <c r="I356" i="6" s="1"/>
  <c r="I339" i="6"/>
  <c r="F43" i="9"/>
  <c r="K43" i="9" s="1"/>
  <c r="X2068" i="6"/>
  <c r="F87" i="7"/>
  <c r="K87" i="7" s="1"/>
  <c r="K2042" i="6"/>
  <c r="K904" i="6" s="1"/>
  <c r="K2026" i="6"/>
  <c r="K888" i="6" s="1"/>
  <c r="F367" i="6"/>
  <c r="I367" i="6" s="1"/>
  <c r="I350" i="6"/>
  <c r="J329" i="6"/>
  <c r="K125" i="6" s="1"/>
  <c r="D657" i="6"/>
  <c r="V657" i="6" s="1"/>
  <c r="V494" i="6"/>
  <c r="X550" i="6"/>
  <c r="J550" i="6"/>
  <c r="K359" i="6" s="1"/>
  <c r="L359" i="6"/>
  <c r="X311" i="6"/>
  <c r="F458" i="7" l="1"/>
  <c r="L458" i="7" s="1"/>
  <c r="D525" i="7"/>
  <c r="V492" i="7"/>
  <c r="D574" i="7"/>
  <c r="V524" i="7"/>
  <c r="D637" i="7" l="1"/>
  <c r="D580" i="7"/>
  <c r="V580" i="7" s="1"/>
  <c r="V525" i="7"/>
  <c r="V574" i="7"/>
  <c r="D636" i="7"/>
  <c r="D677" i="7" l="1"/>
  <c r="V637" i="7"/>
  <c r="V636" i="7"/>
  <c r="D676" i="7"/>
  <c r="V677" i="7" l="1"/>
  <c r="D717" i="7"/>
  <c r="D716" i="7"/>
  <c r="V676" i="7"/>
  <c r="V717" i="7" l="1"/>
  <c r="D747" i="7"/>
  <c r="D746" i="7"/>
  <c r="V716" i="7"/>
  <c r="D836" i="7" l="1"/>
  <c r="V747" i="7"/>
  <c r="D835" i="7"/>
  <c r="V835" i="7" s="1"/>
  <c r="D870" i="7"/>
  <c r="V746" i="7"/>
  <c r="D871" i="7" l="1"/>
  <c r="V836" i="7"/>
  <c r="V870" i="7"/>
  <c r="D896" i="7"/>
  <c r="D897" i="7" l="1"/>
  <c r="V871" i="7"/>
  <c r="D927" i="7"/>
  <c r="V896" i="7"/>
  <c r="V897" i="7" l="1"/>
  <c r="D928" i="7"/>
  <c r="D960" i="7"/>
  <c r="V927" i="7"/>
  <c r="V928" i="7" l="1"/>
  <c r="D961" i="7"/>
  <c r="D1099" i="7"/>
  <c r="D1052" i="7"/>
  <c r="V1052" i="7" s="1"/>
  <c r="V960" i="7"/>
  <c r="D1056" i="7" l="1"/>
  <c r="V961" i="7"/>
  <c r="D1133" i="7"/>
  <c r="V1133" i="7" s="1"/>
  <c r="V1099" i="7"/>
  <c r="V1056" i="7" l="1"/>
  <c r="D1135" i="7"/>
  <c r="V1135" i="7" s="1"/>
</calcChain>
</file>

<file path=xl/comments1.xml><?xml version="1.0" encoding="utf-8"?>
<comments xmlns="http://schemas.openxmlformats.org/spreadsheetml/2006/main">
  <authors>
    <author>David Gajewski</author>
    <author>Brueggemann, Jeff R</author>
  </authors>
  <commentList>
    <comment ref="F38" authorId="0" shapeId="0">
      <text>
        <r>
          <rPr>
            <sz val="9"/>
            <color indexed="81"/>
            <rFont val="Tahoma"/>
            <family val="2"/>
          </rPr>
          <t>LED New and Baseline Assumptions</t>
        </r>
      </text>
    </comment>
    <comment ref="G38" authorId="0" shapeId="0">
      <text>
        <r>
          <rPr>
            <sz val="9"/>
            <color indexed="81"/>
            <rFont val="Tahoma"/>
            <family val="2"/>
          </rPr>
          <t>LED New and Baseline Assumptions</t>
        </r>
      </text>
    </comment>
    <comment ref="H38" authorId="0" shapeId="0">
      <text>
        <r>
          <rPr>
            <sz val="9"/>
            <color indexed="81"/>
            <rFont val="Tahoma"/>
            <family val="2"/>
          </rPr>
          <t>Lighting Reference Table</t>
        </r>
      </text>
    </comment>
    <comment ref="I38" authorId="0" shapeId="0">
      <text>
        <r>
          <rPr>
            <sz val="9"/>
            <color indexed="81"/>
            <rFont val="Tahoma"/>
            <family val="2"/>
          </rPr>
          <t>Lighting Reference Table</t>
        </r>
      </text>
    </comment>
    <comment ref="F55" authorId="1" shapeId="0">
      <text>
        <r>
          <rPr>
            <b/>
            <sz val="9"/>
            <color indexed="81"/>
            <rFont val="Tahoma"/>
            <family val="2"/>
          </rPr>
          <t>Average of measures 3023,3024,3025 from ADM</t>
        </r>
      </text>
    </comment>
    <comment ref="X55" authorId="1" shapeId="0">
      <text>
        <r>
          <rPr>
            <b/>
            <sz val="9"/>
            <color indexed="81"/>
            <rFont val="Tahoma"/>
            <family val="2"/>
          </rPr>
          <t>Average of measures 3023,3024,3025 from ADM</t>
        </r>
      </text>
    </comment>
    <comment ref="F76" authorId="0" shapeId="0">
      <text>
        <r>
          <rPr>
            <sz val="9"/>
            <color indexed="81"/>
            <rFont val="Tahoma"/>
            <family val="2"/>
          </rPr>
          <t>Lighting_Controls Tables</t>
        </r>
      </text>
    </comment>
    <comment ref="G76" authorId="0" shapeId="0">
      <text>
        <r>
          <rPr>
            <sz val="9"/>
            <color indexed="81"/>
            <rFont val="Tahoma"/>
            <family val="2"/>
          </rPr>
          <t>Lighting Reference Table</t>
        </r>
      </text>
    </comment>
    <comment ref="H76" authorId="0" shapeId="0">
      <text>
        <r>
          <rPr>
            <sz val="9"/>
            <color indexed="81"/>
            <rFont val="Tahoma"/>
            <family val="2"/>
          </rPr>
          <t>Lighting_Controls Tables</t>
        </r>
      </text>
    </comment>
    <comment ref="I76" authorId="0" shapeId="0">
      <text>
        <r>
          <rPr>
            <sz val="9"/>
            <color indexed="81"/>
            <rFont val="Tahoma"/>
            <family val="2"/>
          </rPr>
          <t>Lighting Reference Table</t>
        </r>
      </text>
    </comment>
    <comment ref="D82" authorId="1" shapeId="0">
      <text>
        <r>
          <rPr>
            <b/>
            <sz val="9"/>
            <color indexed="81"/>
            <rFont val="Tahoma"/>
            <family val="2"/>
          </rPr>
          <t>Lawrence Berkeley National Laboratory. A Meta-Analysis of Energy Savings from Lighting Controls in Commercial Buildings. Page &amp; Associates Inc. 2011.</t>
        </r>
      </text>
    </comment>
    <comment ref="H119" authorId="0" shapeId="0">
      <text>
        <r>
          <rPr>
            <sz val="9"/>
            <color indexed="81"/>
            <rFont val="Tahoma"/>
            <family val="2"/>
          </rPr>
          <t>Refrigerator &amp; Freezer Tables</t>
        </r>
      </text>
    </comment>
    <comment ref="J119" authorId="0" shapeId="0">
      <text>
        <r>
          <rPr>
            <sz val="9"/>
            <color indexed="81"/>
            <rFont val="Tahoma"/>
            <family val="2"/>
          </rPr>
          <t>Refrigerator &amp; Freezer Tables</t>
        </r>
      </text>
    </comment>
    <comment ref="F172" authorId="0" shapeId="0">
      <text>
        <r>
          <rPr>
            <sz val="9"/>
            <color indexed="81"/>
            <rFont val="Tahoma"/>
            <family val="2"/>
          </rPr>
          <t>Heat Pump Water Heater Tables</t>
        </r>
      </text>
    </comment>
    <comment ref="H172" authorId="0" shapeId="0">
      <text>
        <r>
          <rPr>
            <sz val="9"/>
            <color indexed="81"/>
            <rFont val="Tahoma"/>
            <family val="2"/>
          </rPr>
          <t>Heat Pump Water Heater Tables</t>
        </r>
      </text>
    </comment>
    <comment ref="Q172" authorId="0" shapeId="0">
      <text>
        <r>
          <rPr>
            <sz val="9"/>
            <color indexed="81"/>
            <rFont val="Tahoma"/>
            <family val="2"/>
          </rPr>
          <t>Heat Pump Water Heater Tables</t>
        </r>
      </text>
    </comment>
    <comment ref="R172" authorId="0" shapeId="0">
      <text>
        <r>
          <rPr>
            <sz val="9"/>
            <color indexed="81"/>
            <rFont val="Tahoma"/>
            <family val="2"/>
          </rPr>
          <t>Heat Pump Water Heater Tables</t>
        </r>
      </text>
    </comment>
    <comment ref="S172" authorId="0" shapeId="0">
      <text>
        <r>
          <rPr>
            <sz val="9"/>
            <color indexed="81"/>
            <rFont val="Tahoma"/>
            <family val="2"/>
          </rPr>
          <t>Heat Pump Water Heater Tables</t>
        </r>
      </text>
    </comment>
    <comment ref="I194" authorId="0" shapeId="0">
      <text>
        <r>
          <rPr>
            <sz val="9"/>
            <color indexed="81"/>
            <rFont val="Tahoma"/>
            <family val="2"/>
          </rPr>
          <t>Average eff from energy.gov</t>
        </r>
      </text>
    </comment>
    <comment ref="K243" authorId="0" shapeId="0">
      <text>
        <r>
          <rPr>
            <sz val="9"/>
            <color indexed="81"/>
            <rFont val="Tahoma"/>
            <family val="2"/>
          </rPr>
          <t>Stm Cooker &amp; Holding Cab Tables</t>
        </r>
      </text>
    </comment>
    <comment ref="I264" authorId="0" shapeId="0">
      <text>
        <r>
          <rPr>
            <sz val="9"/>
            <color indexed="81"/>
            <rFont val="Tahoma"/>
            <family val="2"/>
          </rPr>
          <t>Stm Cooker &amp; Holding Cab Tables</t>
        </r>
      </text>
    </comment>
    <comment ref="H297" authorId="0" shapeId="0">
      <text>
        <r>
          <rPr>
            <sz val="9"/>
            <color indexed="81"/>
            <rFont val="Tahoma"/>
            <family val="2"/>
          </rPr>
          <t>Chilled_Hot Water Pump Tables</t>
        </r>
      </text>
    </comment>
    <comment ref="I297" authorId="0" shapeId="0">
      <text>
        <r>
          <rPr>
            <sz val="9"/>
            <color indexed="81"/>
            <rFont val="Tahoma"/>
            <family val="2"/>
          </rPr>
          <t>Chilled_Hot Water Pump Tables</t>
        </r>
      </text>
    </comment>
    <comment ref="H328" authorId="0" shapeId="0">
      <text>
        <r>
          <rPr>
            <sz val="9"/>
            <color indexed="81"/>
            <rFont val="Tahoma"/>
            <family val="2"/>
          </rPr>
          <t>VFD Supply_Return Fan Tables</t>
        </r>
      </text>
    </comment>
    <comment ref="I328" authorId="0" shapeId="0">
      <text>
        <r>
          <rPr>
            <sz val="9"/>
            <color indexed="81"/>
            <rFont val="Tahoma"/>
            <family val="2"/>
          </rPr>
          <t>VFD Supply_Return Fan Tables</t>
        </r>
      </text>
    </comment>
    <comment ref="J328" authorId="0" shapeId="0">
      <text>
        <r>
          <rPr>
            <sz val="9"/>
            <color indexed="81"/>
            <rFont val="Tahoma"/>
            <family val="2"/>
          </rPr>
          <t>VFD Supply_Return Fan Tables</t>
        </r>
      </text>
    </comment>
    <comment ref="K328" authorId="0" shapeId="0">
      <text>
        <r>
          <rPr>
            <sz val="9"/>
            <color indexed="81"/>
            <rFont val="Tahoma"/>
            <family val="2"/>
          </rPr>
          <t>VFD Supply_Return Fan Tables</t>
        </r>
      </text>
    </comment>
    <comment ref="H329" authorId="0" shapeId="0">
      <text>
        <r>
          <rPr>
            <sz val="9"/>
            <color indexed="81"/>
            <rFont val="Tahoma"/>
            <family val="2"/>
          </rPr>
          <t>Assumed 20HP ODP 4-pole 1800RPM</t>
        </r>
      </text>
    </comment>
    <comment ref="G346" authorId="0" shapeId="0">
      <text>
        <r>
          <rPr>
            <sz val="9"/>
            <color indexed="81"/>
            <rFont val="Tahoma"/>
            <family val="2"/>
          </rPr>
          <t>2009 IECC</t>
        </r>
      </text>
    </comment>
    <comment ref="I346" authorId="0" shapeId="0">
      <text>
        <r>
          <rPr>
            <sz val="9"/>
            <color indexed="81"/>
            <rFont val="Tahoma"/>
            <family val="2"/>
          </rPr>
          <t>2009 IECC</t>
        </r>
      </text>
    </comment>
    <comment ref="G369" authorId="0" shapeId="0">
      <text>
        <r>
          <rPr>
            <sz val="9"/>
            <color indexed="81"/>
            <rFont val="Tahoma"/>
            <family val="2"/>
          </rPr>
          <t>2009 IECC</t>
        </r>
      </text>
    </comment>
    <comment ref="I369" authorId="0" shapeId="0">
      <text>
        <r>
          <rPr>
            <sz val="9"/>
            <color indexed="81"/>
            <rFont val="Tahoma"/>
            <family val="2"/>
          </rPr>
          <t>2009 IECC</t>
        </r>
      </text>
    </comment>
    <comment ref="N369" authorId="0" shapeId="0">
      <text>
        <r>
          <rPr>
            <sz val="9"/>
            <color indexed="81"/>
            <rFont val="Tahoma"/>
            <family val="2"/>
          </rPr>
          <t>2009 IECC</t>
        </r>
      </text>
    </comment>
    <comment ref="G370" authorId="0" shapeId="0">
      <text>
        <r>
          <rPr>
            <sz val="9"/>
            <color indexed="81"/>
            <rFont val="Tahoma"/>
            <family val="2"/>
          </rPr>
          <t>2009 IECC</t>
        </r>
      </text>
    </comment>
    <comment ref="H370" authorId="0" shapeId="0">
      <text>
        <r>
          <rPr>
            <sz val="9"/>
            <color indexed="81"/>
            <rFont val="Tahoma"/>
            <family val="2"/>
          </rPr>
          <t>2015 IECC (First 2)</t>
        </r>
      </text>
    </comment>
    <comment ref="G388" authorId="0" shapeId="0">
      <text>
        <r>
          <rPr>
            <sz val="9"/>
            <color indexed="81"/>
            <rFont val="Tahoma"/>
            <family val="2"/>
          </rPr>
          <t>2009 IECC</t>
        </r>
      </text>
    </comment>
    <comment ref="N523" authorId="1" shapeId="0">
      <text>
        <r>
          <rPr>
            <b/>
            <sz val="9"/>
            <color indexed="81"/>
            <rFont val="Tahoma"/>
            <family val="2"/>
          </rPr>
          <t xml:space="preserve">Cut and pasted this entire section of inputs below the inputs above to allow room room for revision updates to the right of column "U" </t>
        </r>
      </text>
    </comment>
    <comment ref="G674" authorId="0" shapeId="0">
      <text>
        <r>
          <rPr>
            <sz val="9"/>
            <color indexed="81"/>
            <rFont val="Tahoma"/>
            <family val="2"/>
          </rPr>
          <t>Average of Table</t>
        </r>
      </text>
    </comment>
    <comment ref="H674" authorId="0" shapeId="0">
      <text>
        <r>
          <rPr>
            <sz val="9"/>
            <color indexed="81"/>
            <rFont val="Tahoma"/>
            <family val="2"/>
          </rPr>
          <t>Average of Table</t>
        </r>
      </text>
    </comment>
  </commentList>
</comments>
</file>

<file path=xl/comments2.xml><?xml version="1.0" encoding="utf-8"?>
<comments xmlns="http://schemas.openxmlformats.org/spreadsheetml/2006/main">
  <authors>
    <author>Brueggemann, Jeff R</author>
  </authors>
  <commentList>
    <comment ref="X44" authorId="0" shapeId="0">
      <text>
        <r>
          <rPr>
            <b/>
            <sz val="9"/>
            <color indexed="81"/>
            <rFont val="Tahoma"/>
            <family val="2"/>
          </rPr>
          <t xml:space="preserve">One measures "12W_LED_Dimmable" showed a base watts last year of 76.3 watts and this year it showed a base watts of 60.0 watts (dropped savings from 70.5 down to 47.3) - only 3k measues in this bucket in 2017  -------------From: Laura James 
Sent: Thursday, August 9, 2018 1:26 PM
To: Sara Wist &lt;Sara.Wist@cadmusgroup.com&gt;
Subject: RE: question from Ameren 
We made a methodology change.  Instead of using the maximum wattage to evaluate 3-ways, we used the middle wattage to be more consistent with other evaluations.  Three-way bulbs are consistently a tiny fraction of the market, so it had a limited impact on savings.  </t>
        </r>
      </text>
    </comment>
  </commentList>
</comments>
</file>

<file path=xl/comments3.xml><?xml version="1.0" encoding="utf-8"?>
<comments xmlns="http://schemas.openxmlformats.org/spreadsheetml/2006/main">
  <authors>
    <author>Brueggemann, Jeff R</author>
  </authors>
  <commentList>
    <comment ref="W33" authorId="0" shapeId="0">
      <text>
        <r>
          <rPr>
            <b/>
            <sz val="9"/>
            <color indexed="81"/>
            <rFont val="Tahoma"/>
            <family val="2"/>
          </rPr>
          <t>Ameren TRM</t>
        </r>
      </text>
    </comment>
    <comment ref="W90" authorId="0" shapeId="0">
      <text>
        <r>
          <rPr>
            <b/>
            <sz val="9"/>
            <color indexed="81"/>
            <rFont val="Tahoma"/>
            <family val="2"/>
          </rPr>
          <t>St Louis - Heat Pump- MO TRM</t>
        </r>
        <r>
          <rPr>
            <sz val="9"/>
            <color indexed="81"/>
            <rFont val="Tahoma"/>
            <family val="2"/>
          </rPr>
          <t xml:space="preserve">
</t>
        </r>
      </text>
    </comment>
    <comment ref="X90" authorId="0" shapeId="0">
      <text>
        <r>
          <rPr>
            <sz val="9"/>
            <color indexed="81"/>
            <rFont val="Tahoma"/>
            <family val="2"/>
          </rPr>
          <t xml:space="preserve">Filterd cadmus data on "Cooling"  for Heat Pump measures - took average
</t>
        </r>
      </text>
    </comment>
    <comment ref="W91" authorId="0" shapeId="0">
      <text>
        <r>
          <rPr>
            <b/>
            <sz val="9"/>
            <color indexed="81"/>
            <rFont val="Tahoma"/>
            <family val="2"/>
          </rPr>
          <t>St Louis - Resistance - MO TRM</t>
        </r>
        <r>
          <rPr>
            <sz val="9"/>
            <color indexed="81"/>
            <rFont val="Tahoma"/>
            <family val="2"/>
          </rPr>
          <t xml:space="preserve">
</t>
        </r>
      </text>
    </comment>
    <comment ref="W92" authorId="0" shapeId="0">
      <text>
        <r>
          <rPr>
            <b/>
            <sz val="9"/>
            <color indexed="81"/>
            <rFont val="Tahoma"/>
            <family val="2"/>
          </rPr>
          <t xml:space="preserve">St Louis - Resistance - MO TRM
</t>
        </r>
        <r>
          <rPr>
            <sz val="9"/>
            <color indexed="81"/>
            <rFont val="Tahoma"/>
            <family val="2"/>
          </rPr>
          <t xml:space="preserve">
</t>
        </r>
      </text>
    </comment>
    <comment ref="X94" authorId="0" shapeId="0">
      <text>
        <r>
          <rPr>
            <sz val="9"/>
            <color indexed="81"/>
            <rFont val="Tahoma"/>
            <family val="2"/>
          </rPr>
          <t xml:space="preserve">If you exclude gas systems from Gas data, this average value is 12,382.71  Used this value as gas measures have own line item (set as "0")
</t>
        </r>
      </text>
    </comment>
    <comment ref="W100" authorId="0" shapeId="0">
      <text>
        <r>
          <rPr>
            <b/>
            <sz val="9"/>
            <color indexed="81"/>
            <rFont val="Tahoma"/>
            <family val="2"/>
          </rPr>
          <t>MO - TRM</t>
        </r>
      </text>
    </comment>
    <comment ref="X100" authorId="0" shapeId="0">
      <text>
        <r>
          <rPr>
            <sz val="9"/>
            <color indexed="81"/>
            <rFont val="Tahoma"/>
            <family val="2"/>
          </rPr>
          <t xml:space="preserve">This is a weighted average of the types shown in the Word TRM document
</t>
        </r>
      </text>
    </comment>
    <comment ref="X115" authorId="0" shapeId="0">
      <text>
        <r>
          <rPr>
            <sz val="9"/>
            <color indexed="81"/>
            <rFont val="Tahoma"/>
            <family val="2"/>
          </rPr>
          <t>Used default value for MF (SF x 65%)</t>
        </r>
      </text>
    </comment>
    <comment ref="W122" authorId="0" shapeId="0">
      <text>
        <r>
          <rPr>
            <b/>
            <sz val="9"/>
            <color indexed="81"/>
            <rFont val="Tahoma"/>
            <family val="2"/>
          </rPr>
          <t>MO - TRM</t>
        </r>
      </text>
    </comment>
    <comment ref="F208" authorId="0" shapeId="0">
      <text>
        <r>
          <rPr>
            <b/>
            <sz val="9"/>
            <color indexed="81"/>
            <rFont val="Tahoma"/>
            <family val="2"/>
          </rPr>
          <t>PY17 EfficientProducts Database</t>
        </r>
      </text>
    </comment>
    <comment ref="W208" authorId="0" shapeId="0">
      <text>
        <r>
          <rPr>
            <b/>
            <sz val="9"/>
            <color indexed="81"/>
            <rFont val="Tahoma"/>
            <family val="2"/>
          </rPr>
          <t>PY16 EfficientProducts Database - Average CADR/Watt, updated Mar 2017</t>
        </r>
        <r>
          <rPr>
            <sz val="9"/>
            <color indexed="81"/>
            <rFont val="Tahoma"/>
            <family val="2"/>
          </rPr>
          <t xml:space="preserve">
</t>
        </r>
      </text>
    </comment>
    <comment ref="X208" authorId="0" shapeId="0">
      <text>
        <r>
          <rPr>
            <b/>
            <sz val="9"/>
            <color indexed="81"/>
            <rFont val="Tahoma"/>
            <family val="2"/>
          </rPr>
          <t>PY17 EfficientProducts Database</t>
        </r>
      </text>
    </comment>
    <comment ref="F210" authorId="0" shapeId="0">
      <text>
        <r>
          <rPr>
            <b/>
            <sz val="9"/>
            <color indexed="81"/>
            <rFont val="Tahoma"/>
            <family val="2"/>
          </rPr>
          <t>PY17 EfficientProducts Database</t>
        </r>
        <r>
          <rPr>
            <sz val="9"/>
            <color indexed="81"/>
            <rFont val="Tahoma"/>
            <family val="2"/>
          </rPr>
          <t xml:space="preserve">
</t>
        </r>
      </text>
    </comment>
    <comment ref="W210" authorId="0" shapeId="0">
      <text>
        <r>
          <rPr>
            <b/>
            <sz val="9"/>
            <color indexed="81"/>
            <rFont val="Tahoma"/>
            <family val="2"/>
          </rPr>
          <t xml:space="preserve">PY16 EfficientProducts Database - Average standby power, updated Mar 2017
</t>
        </r>
        <r>
          <rPr>
            <sz val="9"/>
            <color indexed="81"/>
            <rFont val="Tahoma"/>
            <family val="2"/>
          </rPr>
          <t xml:space="preserve">
</t>
        </r>
      </text>
    </comment>
    <comment ref="X210" authorId="0" shapeId="0">
      <text>
        <r>
          <rPr>
            <b/>
            <sz val="9"/>
            <color indexed="81"/>
            <rFont val="Tahoma"/>
            <family val="2"/>
          </rPr>
          <t>PY17 EfficientProducts Database</t>
        </r>
        <r>
          <rPr>
            <sz val="9"/>
            <color indexed="81"/>
            <rFont val="Tahoma"/>
            <family val="2"/>
          </rPr>
          <t xml:space="preserve">
</t>
        </r>
      </text>
    </comment>
    <comment ref="F212" authorId="0" shapeId="0">
      <text>
        <r>
          <rPr>
            <b/>
            <sz val="9"/>
            <color indexed="81"/>
            <rFont val="Tahoma"/>
            <family val="2"/>
          </rPr>
          <t>PY17 EfficientProducts Database</t>
        </r>
        <r>
          <rPr>
            <sz val="9"/>
            <color indexed="81"/>
            <rFont val="Tahoma"/>
            <family val="2"/>
          </rPr>
          <t xml:space="preserve">
</t>
        </r>
      </text>
    </comment>
    <comment ref="W212" authorId="0" shapeId="0">
      <text>
        <r>
          <rPr>
            <b/>
            <sz val="9"/>
            <color indexed="81"/>
            <rFont val="Tahoma"/>
            <family val="2"/>
          </rPr>
          <t xml:space="preserve">PY16 EfficientProducts Database - Average dust-free delivery rate, updated Mar 2017
</t>
        </r>
        <r>
          <rPr>
            <sz val="9"/>
            <color indexed="81"/>
            <rFont val="Tahoma"/>
            <family val="2"/>
          </rPr>
          <t xml:space="preserve">
</t>
        </r>
      </text>
    </comment>
    <comment ref="X212" authorId="0" shapeId="0">
      <text>
        <r>
          <rPr>
            <b/>
            <sz val="9"/>
            <color indexed="81"/>
            <rFont val="Tahoma"/>
            <family val="2"/>
          </rPr>
          <t>PY17 EfficientProducts Database</t>
        </r>
        <r>
          <rPr>
            <sz val="9"/>
            <color indexed="81"/>
            <rFont val="Tahoma"/>
            <family val="2"/>
          </rPr>
          <t xml:space="preserve">
</t>
        </r>
      </text>
    </comment>
    <comment ref="E230" authorId="0" shapeId="0">
      <text>
        <r>
          <rPr>
            <b/>
            <sz val="9"/>
            <color indexed="81"/>
            <rFont val="Tahoma"/>
            <family val="2"/>
          </rPr>
          <t>THESE CATEGORIES WERE TITLED WRONG - SIMPLY FLIPPED THE NAMES TOP TO BOTTOM</t>
        </r>
      </text>
    </comment>
    <comment ref="W265" authorId="0" shapeId="0">
      <text>
        <r>
          <rPr>
            <b/>
            <sz val="9"/>
            <color indexed="81"/>
            <rFont val="Tahoma"/>
            <family val="2"/>
          </rPr>
          <t>PY13 RebateSavers Database (average BTU)</t>
        </r>
        <r>
          <rPr>
            <sz val="9"/>
            <color indexed="81"/>
            <rFont val="Tahoma"/>
            <family val="2"/>
          </rPr>
          <t xml:space="preserve">
</t>
        </r>
      </text>
    </comment>
    <comment ref="W266" authorId="0" shapeId="0">
      <text>
        <r>
          <rPr>
            <b/>
            <sz val="9"/>
            <color indexed="81"/>
            <rFont val="Tahoma"/>
            <family val="2"/>
          </rPr>
          <t>Federal minimum efficiency standard (updated from EER to CEER in March 2017)</t>
        </r>
        <r>
          <rPr>
            <sz val="9"/>
            <color indexed="81"/>
            <rFont val="Tahoma"/>
            <family val="2"/>
          </rPr>
          <t xml:space="preserve">
</t>
        </r>
      </text>
    </comment>
    <comment ref="X266" authorId="0" shapeId="0">
      <text>
        <r>
          <rPr>
            <b/>
            <sz val="9"/>
            <color indexed="81"/>
            <rFont val="Tahoma"/>
            <family val="2"/>
          </rPr>
          <t>https://www.energystar.gov/products/heating_cooling/air_conditioning_room/key_product_criteria</t>
        </r>
      </text>
    </comment>
    <comment ref="X269"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AJ270" authorId="0" shapeId="0">
      <text>
        <r>
          <rPr>
            <b/>
            <sz val="9"/>
            <color indexed="81"/>
            <rFont val="Tahoma"/>
            <family val="2"/>
          </rPr>
          <t>used EFLH that ADM used for all measures</t>
        </r>
      </text>
    </comment>
  </commentList>
</comments>
</file>

<file path=xl/comments4.xml><?xml version="1.0" encoding="utf-8"?>
<comments xmlns="http://schemas.openxmlformats.org/spreadsheetml/2006/main">
  <authors>
    <author>Brueggemann, Jeff R</author>
  </authors>
  <commentList>
    <comment ref="X32" authorId="0" shapeId="0">
      <text>
        <r>
          <rPr>
            <b/>
            <sz val="9"/>
            <color indexed="81"/>
            <rFont val="Tahoma"/>
            <family val="2"/>
          </rPr>
          <t xml:space="preserve">In PY2017 this was included in the ISR rate </t>
        </r>
      </text>
    </comment>
    <comment ref="W64" authorId="0" shapeId="0">
      <text>
        <r>
          <rPr>
            <b/>
            <sz val="9"/>
            <color indexed="81"/>
            <rFont val="Tahoma"/>
            <family val="2"/>
          </rPr>
          <t>PY16 Engineering Simulation Modeling adjusted for heating and cooling saturations</t>
        </r>
      </text>
    </comment>
    <comment ref="AI64" authorId="0" shapeId="0">
      <text>
        <r>
          <rPr>
            <b/>
            <sz val="9"/>
            <color indexed="81"/>
            <rFont val="Tahoma"/>
            <family val="2"/>
          </rPr>
          <t xml:space="preserve">PY16 Engineering Simulation Modeling adjusted for heating and cooling saturations </t>
        </r>
        <r>
          <rPr>
            <sz val="9"/>
            <color indexed="81"/>
            <rFont val="Tahoma"/>
            <family val="2"/>
          </rPr>
          <t xml:space="preserve">
</t>
        </r>
      </text>
    </comment>
    <comment ref="W66" authorId="0" shapeId="0">
      <text>
        <r>
          <rPr>
            <b/>
            <sz val="9"/>
            <color indexed="81"/>
            <rFont val="Tahoma"/>
            <family val="2"/>
          </rPr>
          <t xml:space="preserve">PY16 Energy Efficiency Kits School Survey Results </t>
        </r>
        <r>
          <rPr>
            <sz val="9"/>
            <color indexed="81"/>
            <rFont val="Tahoma"/>
            <family val="2"/>
          </rPr>
          <t xml:space="preserve">
</t>
        </r>
      </text>
    </comment>
    <comment ref="I67" authorId="0" shapeId="0">
      <text>
        <r>
          <rPr>
            <b/>
            <sz val="9"/>
            <color indexed="81"/>
            <rFont val="Tahoma"/>
            <family val="2"/>
          </rPr>
          <t xml:space="preserve">PY15 Evaluation </t>
        </r>
        <r>
          <rPr>
            <sz val="9"/>
            <color indexed="81"/>
            <rFont val="Tahoma"/>
            <family val="2"/>
          </rPr>
          <t xml:space="preserve">
</t>
        </r>
      </text>
    </comment>
    <comment ref="W67" authorId="0" shapeId="0">
      <text>
        <r>
          <rPr>
            <b/>
            <sz val="9"/>
            <color indexed="81"/>
            <rFont val="Tahoma"/>
            <family val="2"/>
          </rPr>
          <t xml:space="preserve">PY16 Energy Efficiency Kits School Survey Results </t>
        </r>
        <r>
          <rPr>
            <sz val="9"/>
            <color indexed="81"/>
            <rFont val="Tahoma"/>
            <family val="2"/>
          </rPr>
          <t xml:space="preserve">
</t>
        </r>
      </text>
    </comment>
    <comment ref="AI67" authorId="0" shapeId="0">
      <text>
        <r>
          <rPr>
            <b/>
            <sz val="9"/>
            <color indexed="81"/>
            <rFont val="Tahoma"/>
            <family val="2"/>
          </rPr>
          <t xml:space="preserve">PY15 Evaluation </t>
        </r>
        <r>
          <rPr>
            <sz val="9"/>
            <color indexed="81"/>
            <rFont val="Tahoma"/>
            <family val="2"/>
          </rPr>
          <t xml:space="preserve">
</t>
        </r>
      </text>
    </comment>
    <comment ref="AJ67" authorId="0" shapeId="0">
      <text>
        <r>
          <rPr>
            <b/>
            <sz val="9"/>
            <color indexed="81"/>
            <rFont val="Tahoma"/>
            <family val="2"/>
          </rPr>
          <t xml:space="preserve">PY15 Evaluation </t>
        </r>
        <r>
          <rPr>
            <sz val="9"/>
            <color indexed="81"/>
            <rFont val="Tahoma"/>
            <family val="2"/>
          </rPr>
          <t xml:space="preserve">
</t>
        </r>
      </text>
    </comment>
    <comment ref="W86" authorId="0" shapeId="0">
      <text>
        <r>
          <rPr>
            <b/>
            <sz val="9"/>
            <color indexed="81"/>
            <rFont val="Tahoma"/>
            <family val="2"/>
          </rPr>
          <t>PY16 Energy Efficiency Kits School Survey Results</t>
        </r>
        <r>
          <rPr>
            <sz val="9"/>
            <color indexed="81"/>
            <rFont val="Tahoma"/>
            <family val="2"/>
          </rPr>
          <t xml:space="preserve">
</t>
        </r>
      </text>
    </comment>
    <comment ref="AI86" authorId="0" shapeId="0">
      <text>
        <r>
          <rPr>
            <b/>
            <sz val="9"/>
            <color indexed="81"/>
            <rFont val="Tahoma"/>
            <family val="2"/>
          </rPr>
          <t>Assumption based on program design</t>
        </r>
      </text>
    </comment>
    <comment ref="W91" authorId="0" shapeId="0">
      <text>
        <r>
          <rPr>
            <b/>
            <sz val="9"/>
            <color indexed="81"/>
            <rFont val="Tahoma"/>
            <family val="2"/>
          </rPr>
          <t>PY16 Energy Efficiency Kits School Survey Results</t>
        </r>
        <r>
          <rPr>
            <sz val="9"/>
            <color indexed="81"/>
            <rFont val="Tahoma"/>
            <family val="2"/>
          </rPr>
          <t xml:space="preserve">
</t>
        </r>
      </text>
    </comment>
    <comment ref="AI91" authorId="0" shapeId="0">
      <text>
        <r>
          <rPr>
            <b/>
            <sz val="9"/>
            <color indexed="81"/>
            <rFont val="Tahoma"/>
            <family val="2"/>
          </rPr>
          <t xml:space="preserve">PY14 Community Savers Program Data </t>
        </r>
        <r>
          <rPr>
            <sz val="9"/>
            <color indexed="81"/>
            <rFont val="Tahoma"/>
            <family val="2"/>
          </rPr>
          <t xml:space="preserve">
</t>
        </r>
      </text>
    </comment>
    <comment ref="AI94" authorId="0" shapeId="0">
      <text>
        <r>
          <rPr>
            <b/>
            <sz val="9"/>
            <color indexed="81"/>
            <rFont val="Tahoma"/>
            <family val="2"/>
          </rPr>
          <t>PY13 Program Data</t>
        </r>
        <r>
          <rPr>
            <sz val="9"/>
            <color indexed="81"/>
            <rFont val="Tahoma"/>
            <family val="2"/>
          </rPr>
          <t xml:space="preserve">
</t>
        </r>
      </text>
    </comment>
    <comment ref="W101" authorId="0" shapeId="0">
      <text>
        <r>
          <rPr>
            <b/>
            <sz val="9"/>
            <color indexed="81"/>
            <rFont val="Tahoma"/>
            <family val="2"/>
          </rPr>
          <t>PY16 Energy Efficiency Kits School Survey Results</t>
        </r>
        <r>
          <rPr>
            <sz val="9"/>
            <color indexed="81"/>
            <rFont val="Tahoma"/>
            <family val="2"/>
          </rPr>
          <t xml:space="preserve">
</t>
        </r>
      </text>
    </comment>
    <comment ref="AI101" authorId="0" shapeId="0">
      <text>
        <r>
          <rPr>
            <b/>
            <sz val="9"/>
            <color indexed="81"/>
            <rFont val="Tahoma"/>
            <family val="2"/>
          </rPr>
          <t>Assumption based on program design</t>
        </r>
        <r>
          <rPr>
            <sz val="9"/>
            <color indexed="81"/>
            <rFont val="Tahoma"/>
            <family val="2"/>
          </rPr>
          <t xml:space="preserve">
</t>
        </r>
      </text>
    </comment>
    <comment ref="W102" authorId="0" shapeId="0">
      <text>
        <r>
          <rPr>
            <b/>
            <sz val="9"/>
            <color indexed="81"/>
            <rFont val="Tahoma"/>
            <family val="2"/>
          </rPr>
          <t>PY16 Energy Efficiency Kits School Survey Results</t>
        </r>
        <r>
          <rPr>
            <sz val="9"/>
            <color indexed="81"/>
            <rFont val="Tahoma"/>
            <family val="2"/>
          </rPr>
          <t xml:space="preserve">
</t>
        </r>
      </text>
    </comment>
    <comment ref="AI102" authorId="0" shapeId="0">
      <text>
        <r>
          <rPr>
            <b/>
            <sz val="9"/>
            <color indexed="81"/>
            <rFont val="Tahoma"/>
            <family val="2"/>
          </rPr>
          <t xml:space="preserve">PY15 Evaluation </t>
        </r>
      </text>
    </comment>
    <comment ref="W121" authorId="0" shapeId="0">
      <text>
        <r>
          <rPr>
            <b/>
            <sz val="9"/>
            <color indexed="81"/>
            <rFont val="Tahoma"/>
            <family val="2"/>
          </rPr>
          <t xml:space="preserve">PY16 Energy Efficiency Kits School Survey Results </t>
        </r>
        <r>
          <rPr>
            <sz val="9"/>
            <color indexed="81"/>
            <rFont val="Tahoma"/>
            <family val="2"/>
          </rPr>
          <t xml:space="preserve">
</t>
        </r>
      </text>
    </comment>
    <comment ref="AI121" authorId="0" shapeId="0">
      <text>
        <r>
          <rPr>
            <b/>
            <sz val="9"/>
            <color indexed="81"/>
            <rFont val="Tahoma"/>
            <family val="2"/>
          </rPr>
          <t>Assumption based on program design</t>
        </r>
        <r>
          <rPr>
            <sz val="9"/>
            <color indexed="81"/>
            <rFont val="Tahoma"/>
            <family val="2"/>
          </rPr>
          <t xml:space="preserve">
</t>
        </r>
      </text>
    </comment>
    <comment ref="W126" authorId="0" shapeId="0">
      <text>
        <r>
          <rPr>
            <b/>
            <sz val="9"/>
            <color indexed="81"/>
            <rFont val="Tahoma"/>
            <family val="2"/>
          </rPr>
          <t xml:space="preserve">PY16 Energy Efficiency Kits School Survey Results </t>
        </r>
        <r>
          <rPr>
            <sz val="9"/>
            <color indexed="81"/>
            <rFont val="Tahoma"/>
            <family val="2"/>
          </rPr>
          <t xml:space="preserve">
</t>
        </r>
      </text>
    </comment>
    <comment ref="AI126" authorId="0" shapeId="0">
      <text>
        <r>
          <rPr>
            <b/>
            <sz val="9"/>
            <color indexed="81"/>
            <rFont val="Tahoma"/>
            <family val="2"/>
          </rPr>
          <t xml:space="preserve">PY14 Community Savers Program Data </t>
        </r>
        <r>
          <rPr>
            <sz val="9"/>
            <color indexed="81"/>
            <rFont val="Tahoma"/>
            <family val="2"/>
          </rPr>
          <t xml:space="preserve">
</t>
        </r>
      </text>
    </comment>
    <comment ref="W129" authorId="0" shapeId="0">
      <text>
        <r>
          <rPr>
            <b/>
            <sz val="9"/>
            <color indexed="81"/>
            <rFont val="Tahoma"/>
            <family val="2"/>
          </rPr>
          <t xml:space="preserve">PY16 Energy Efficiency Kits School Survey Results </t>
        </r>
        <r>
          <rPr>
            <sz val="9"/>
            <color indexed="81"/>
            <rFont val="Tahoma"/>
            <family val="2"/>
          </rPr>
          <t xml:space="preserve">
</t>
        </r>
      </text>
    </comment>
    <comment ref="AI129" authorId="0" shapeId="0">
      <text>
        <r>
          <rPr>
            <b/>
            <sz val="9"/>
            <color indexed="81"/>
            <rFont val="Tahoma"/>
            <family val="2"/>
          </rPr>
          <t>PY13 Program Data</t>
        </r>
        <r>
          <rPr>
            <sz val="9"/>
            <color indexed="81"/>
            <rFont val="Tahoma"/>
            <family val="2"/>
          </rPr>
          <t xml:space="preserve">
</t>
        </r>
      </text>
    </comment>
    <comment ref="W136" authorId="0" shapeId="0">
      <text>
        <r>
          <rPr>
            <b/>
            <sz val="9"/>
            <color indexed="81"/>
            <rFont val="Tahoma"/>
            <family val="2"/>
          </rPr>
          <t xml:space="preserve">PY16 Energy Efficiency Kits School Survey Results </t>
        </r>
      </text>
    </comment>
    <comment ref="AI136" authorId="0" shapeId="0">
      <text>
        <r>
          <rPr>
            <b/>
            <sz val="9"/>
            <color indexed="81"/>
            <rFont val="Tahoma"/>
            <family val="2"/>
          </rPr>
          <t>Assumption based on program design</t>
        </r>
      </text>
    </comment>
    <comment ref="W137" authorId="0" shapeId="0">
      <text>
        <r>
          <rPr>
            <b/>
            <sz val="9"/>
            <color indexed="81"/>
            <rFont val="Tahoma"/>
            <family val="2"/>
          </rPr>
          <t xml:space="preserve">PY16 Energy Efficiency Kits School Survey Results </t>
        </r>
        <r>
          <rPr>
            <sz val="9"/>
            <color indexed="81"/>
            <rFont val="Tahoma"/>
            <family val="2"/>
          </rPr>
          <t xml:space="preserve">
</t>
        </r>
      </text>
    </comment>
    <comment ref="AI137" authorId="0" shapeId="0">
      <text>
        <r>
          <rPr>
            <b/>
            <sz val="9"/>
            <color indexed="81"/>
            <rFont val="Tahoma"/>
            <family val="2"/>
          </rPr>
          <t xml:space="preserve">PY15 Evaluation </t>
        </r>
      </text>
    </comment>
    <comment ref="W156" authorId="0" shapeId="0">
      <text>
        <r>
          <rPr>
            <b/>
            <sz val="9"/>
            <color indexed="81"/>
            <rFont val="Tahoma"/>
            <family val="2"/>
          </rPr>
          <t>PY16 Energy Efficiency Kits School Survey Results</t>
        </r>
        <r>
          <rPr>
            <sz val="9"/>
            <color indexed="81"/>
            <rFont val="Tahoma"/>
            <family val="2"/>
          </rPr>
          <t xml:space="preserve">
</t>
        </r>
      </text>
    </comment>
    <comment ref="AI156" authorId="0" shapeId="0">
      <text>
        <r>
          <rPr>
            <b/>
            <sz val="9"/>
            <color indexed="81"/>
            <rFont val="Tahoma"/>
            <family val="2"/>
          </rPr>
          <t>Assumption based on program design</t>
        </r>
        <r>
          <rPr>
            <sz val="9"/>
            <color indexed="81"/>
            <rFont val="Tahoma"/>
            <family val="2"/>
          </rPr>
          <t xml:space="preserve">
</t>
        </r>
      </text>
    </comment>
    <comment ref="W161" authorId="0" shapeId="0">
      <text>
        <r>
          <rPr>
            <b/>
            <sz val="9"/>
            <color indexed="81"/>
            <rFont val="Tahoma"/>
            <family val="2"/>
          </rPr>
          <t>PY16 Energy Efficiency Kits School Survey Results </t>
        </r>
        <r>
          <rPr>
            <sz val="9"/>
            <color indexed="81"/>
            <rFont val="Tahoma"/>
            <family val="2"/>
          </rPr>
          <t xml:space="preserve">
</t>
        </r>
      </text>
    </comment>
    <comment ref="AI161" authorId="0" shapeId="0">
      <text>
        <r>
          <rPr>
            <b/>
            <sz val="9"/>
            <color indexed="81"/>
            <rFont val="Tahoma"/>
            <family val="2"/>
          </rPr>
          <t xml:space="preserve">PY14 Community Savers Program Data </t>
        </r>
        <r>
          <rPr>
            <sz val="9"/>
            <color indexed="81"/>
            <rFont val="Tahoma"/>
            <family val="2"/>
          </rPr>
          <t xml:space="preserve">
</t>
        </r>
      </text>
    </comment>
    <comment ref="W164" authorId="0" shapeId="0">
      <text>
        <r>
          <rPr>
            <b/>
            <sz val="9"/>
            <color indexed="81"/>
            <rFont val="Tahoma"/>
            <family val="2"/>
          </rPr>
          <t>PY16 Energy Efficiency Kits School Survey Results </t>
        </r>
      </text>
    </comment>
    <comment ref="AI164" authorId="0" shapeId="0">
      <text>
        <r>
          <rPr>
            <b/>
            <sz val="9"/>
            <color indexed="81"/>
            <rFont val="Tahoma"/>
            <family val="2"/>
          </rPr>
          <t>PY13 Program Data</t>
        </r>
        <r>
          <rPr>
            <sz val="9"/>
            <color indexed="81"/>
            <rFont val="Tahoma"/>
            <family val="2"/>
          </rPr>
          <t xml:space="preserve">
</t>
        </r>
      </text>
    </comment>
    <comment ref="W171" authorId="0" shapeId="0">
      <text>
        <r>
          <rPr>
            <b/>
            <sz val="9"/>
            <color indexed="81"/>
            <rFont val="Tahoma"/>
            <family val="2"/>
          </rPr>
          <t>PY16 Energy Efficiency Kits School Survey Results </t>
        </r>
        <r>
          <rPr>
            <sz val="9"/>
            <color indexed="81"/>
            <rFont val="Tahoma"/>
            <family val="2"/>
          </rPr>
          <t xml:space="preserve">
</t>
        </r>
      </text>
    </comment>
    <comment ref="AI171" authorId="0" shapeId="0">
      <text>
        <r>
          <rPr>
            <b/>
            <sz val="9"/>
            <color indexed="81"/>
            <rFont val="Tahoma"/>
            <family val="2"/>
          </rPr>
          <t>Assumption based on program design</t>
        </r>
      </text>
    </comment>
    <comment ref="W172" authorId="0" shapeId="0">
      <text>
        <r>
          <rPr>
            <b/>
            <sz val="9"/>
            <color indexed="81"/>
            <rFont val="Tahoma"/>
            <family val="2"/>
          </rPr>
          <t>PY16 Energy Efficiency Kits School Survey Results </t>
        </r>
        <r>
          <rPr>
            <sz val="9"/>
            <color indexed="81"/>
            <rFont val="Tahoma"/>
            <family val="2"/>
          </rPr>
          <t xml:space="preserve">
</t>
        </r>
      </text>
    </comment>
    <comment ref="AI172" authorId="0" shapeId="0">
      <text>
        <r>
          <rPr>
            <b/>
            <sz val="9"/>
            <color indexed="81"/>
            <rFont val="Tahoma"/>
            <family val="2"/>
          </rPr>
          <t xml:space="preserve">PY15 Evaluation </t>
        </r>
      </text>
    </comment>
    <comment ref="F197" authorId="0" shapeId="0">
      <text>
        <r>
          <rPr>
            <b/>
            <sz val="9"/>
            <color indexed="81"/>
            <rFont val="Tahoma"/>
            <family val="2"/>
          </rPr>
          <t>Brueggemann, Jeff R:</t>
        </r>
        <r>
          <rPr>
            <sz val="9"/>
            <color indexed="81"/>
            <rFont val="Tahoma"/>
            <family val="2"/>
          </rPr>
          <t xml:space="preserve">
should this be assumed in PLAN??
</t>
        </r>
      </text>
    </comment>
    <comment ref="W197" authorId="0" shapeId="0">
      <text>
        <r>
          <rPr>
            <b/>
            <sz val="9"/>
            <color indexed="81"/>
            <rFont val="Tahoma"/>
            <family val="2"/>
          </rPr>
          <t xml:space="preserve">PY16 Energy Efficiency Kits School Survey Results </t>
        </r>
        <r>
          <rPr>
            <sz val="9"/>
            <color indexed="81"/>
            <rFont val="Tahoma"/>
            <family val="2"/>
          </rPr>
          <t xml:space="preserve">
</t>
        </r>
      </text>
    </comment>
    <comment ref="W198" authorId="0" shapeId="0">
      <text>
        <r>
          <rPr>
            <b/>
            <sz val="9"/>
            <color indexed="81"/>
            <rFont val="Tahoma"/>
            <family val="2"/>
          </rPr>
          <t xml:space="preserve">PY16 Energy Efficiency Kits School Survey Results </t>
        </r>
        <r>
          <rPr>
            <sz val="9"/>
            <color indexed="81"/>
            <rFont val="Tahoma"/>
            <family val="2"/>
          </rPr>
          <t xml:space="preserve">
</t>
        </r>
      </text>
    </comment>
    <comment ref="AI198" authorId="0" shapeId="0">
      <text>
        <r>
          <rPr>
            <b/>
            <sz val="9"/>
            <color indexed="81"/>
            <rFont val="Tahoma"/>
            <family val="2"/>
          </rPr>
          <t>Assumption based on program design</t>
        </r>
        <r>
          <rPr>
            <sz val="9"/>
            <color indexed="81"/>
            <rFont val="Tahoma"/>
            <family val="2"/>
          </rPr>
          <t xml:space="preserve">
</t>
        </r>
      </text>
    </comment>
    <comment ref="AI199" authorId="0" shapeId="0">
      <text>
        <r>
          <rPr>
            <b/>
            <sz val="9"/>
            <color indexed="81"/>
            <rFont val="Tahoma"/>
            <family val="2"/>
          </rPr>
          <t xml:space="preserve">PY15 Evaluation </t>
        </r>
        <r>
          <rPr>
            <sz val="9"/>
            <color indexed="81"/>
            <rFont val="Tahoma"/>
            <family val="2"/>
          </rPr>
          <t xml:space="preserve">
</t>
        </r>
      </text>
    </comment>
  </commentList>
</comments>
</file>

<file path=xl/comments5.xml><?xml version="1.0" encoding="utf-8"?>
<comments xmlns="http://schemas.openxmlformats.org/spreadsheetml/2006/main">
  <authors>
    <author>Brueggemann, Jeff R</author>
    <author>Frank Falter</author>
  </authors>
  <commentList>
    <comment ref="K7" authorId="0" shapeId="0">
      <text>
        <r>
          <rPr>
            <b/>
            <sz val="12"/>
            <color indexed="81"/>
            <rFont val="Tahoma"/>
            <family val="2"/>
          </rPr>
          <t>This 10 % circulation value was adjusted to 0% by EM&amp;V in PY2017.  In settlment of the 207 EM&amp;V it was approved to remain and will be further reviewed in future EM&amp;V</t>
        </r>
        <r>
          <rPr>
            <sz val="12"/>
            <color indexed="81"/>
            <rFont val="Tahoma"/>
            <family val="2"/>
          </rPr>
          <t xml:space="preserve">
</t>
        </r>
      </text>
    </comment>
    <comment ref="I59" authorId="0" shapeId="0">
      <text>
        <r>
          <rPr>
            <sz val="12"/>
            <color indexed="81"/>
            <rFont val="Tahoma"/>
            <family val="2"/>
          </rPr>
          <t xml:space="preserve">THIS VALUE SHOULD REMAIN 1215 
The formula compares uses a ratio of the Wisconsin vs St. Louis values </t>
        </r>
      </text>
    </comment>
    <comment ref="X59" authorId="0" shapeId="0">
      <text>
        <r>
          <rPr>
            <sz val="12"/>
            <color indexed="81"/>
            <rFont val="Tahoma"/>
            <family val="2"/>
          </rPr>
          <t xml:space="preserve">THIS VALUE SHOULD REMAIN 1215 
The formula compares uses a ratio of the Wisconsin vs St. Louis values </t>
        </r>
      </text>
    </comment>
    <comment ref="I62" authorId="0" shapeId="0">
      <text>
        <r>
          <rPr>
            <sz val="12"/>
            <color indexed="81"/>
            <rFont val="Tahoma"/>
            <family val="2"/>
          </rPr>
          <t>SEE NOTE IN CELL "E62"</t>
        </r>
      </text>
    </comment>
    <comment ref="X62" authorId="0" shapeId="0">
      <text>
        <r>
          <rPr>
            <sz val="12"/>
            <color indexed="81"/>
            <rFont val="Tahoma"/>
            <family val="2"/>
          </rPr>
          <t>SEE NOTE IN CELL "E62"</t>
        </r>
      </text>
    </comment>
    <comment ref="J143" authorId="0" shapeId="0">
      <text>
        <r>
          <rPr>
            <b/>
            <sz val="9"/>
            <color indexed="81"/>
            <rFont val="Tahoma"/>
            <family val="2"/>
          </rPr>
          <t>update from Community Savers - ADM</t>
        </r>
        <r>
          <rPr>
            <sz val="9"/>
            <color indexed="81"/>
            <rFont val="Tahoma"/>
            <family val="2"/>
          </rPr>
          <t xml:space="preserve">
</t>
        </r>
      </text>
    </comment>
    <comment ref="X143" authorId="0" shapeId="0">
      <text>
        <r>
          <rPr>
            <b/>
            <sz val="9"/>
            <color indexed="81"/>
            <rFont val="Tahoma"/>
            <family val="2"/>
          </rPr>
          <t>update from Community Savers - ADM</t>
        </r>
        <r>
          <rPr>
            <sz val="9"/>
            <color indexed="81"/>
            <rFont val="Tahoma"/>
            <family val="2"/>
          </rPr>
          <t xml:space="preserve">
</t>
        </r>
      </text>
    </comment>
    <comment ref="J144" authorId="0" shapeId="0">
      <text>
        <r>
          <rPr>
            <b/>
            <sz val="9"/>
            <color indexed="81"/>
            <rFont val="Tahoma"/>
            <family val="2"/>
          </rPr>
          <t>update from Community Savers - ADM</t>
        </r>
        <r>
          <rPr>
            <sz val="9"/>
            <color indexed="81"/>
            <rFont val="Tahoma"/>
            <family val="2"/>
          </rPr>
          <t xml:space="preserve">
</t>
        </r>
      </text>
    </comment>
    <comment ref="X144" authorId="0" shapeId="0">
      <text>
        <r>
          <rPr>
            <b/>
            <sz val="9"/>
            <color indexed="81"/>
            <rFont val="Tahoma"/>
            <family val="2"/>
          </rPr>
          <t>update from Community Savers - ADM</t>
        </r>
        <r>
          <rPr>
            <sz val="9"/>
            <color indexed="81"/>
            <rFont val="Tahoma"/>
            <family val="2"/>
          </rPr>
          <t xml:space="preserve">
</t>
        </r>
      </text>
    </comment>
    <comment ref="J145" authorId="0" shapeId="0">
      <text>
        <r>
          <rPr>
            <b/>
            <sz val="9"/>
            <color indexed="81"/>
            <rFont val="Tahoma"/>
            <family val="2"/>
          </rPr>
          <t>update from Community Savers - ADM</t>
        </r>
        <r>
          <rPr>
            <sz val="9"/>
            <color indexed="81"/>
            <rFont val="Tahoma"/>
            <family val="2"/>
          </rPr>
          <t xml:space="preserve">
</t>
        </r>
      </text>
    </comment>
    <comment ref="X145" authorId="0" shapeId="0">
      <text>
        <r>
          <rPr>
            <b/>
            <sz val="9"/>
            <color indexed="81"/>
            <rFont val="Tahoma"/>
            <family val="2"/>
          </rPr>
          <t>update from Community Savers - ADM</t>
        </r>
        <r>
          <rPr>
            <sz val="9"/>
            <color indexed="81"/>
            <rFont val="Tahoma"/>
            <family val="2"/>
          </rPr>
          <t xml:space="preserve">
</t>
        </r>
      </text>
    </comment>
    <comment ref="J149" authorId="0" shapeId="0">
      <text>
        <r>
          <rPr>
            <b/>
            <sz val="9"/>
            <color indexed="81"/>
            <rFont val="Tahoma"/>
            <family val="2"/>
          </rPr>
          <t>update from Community Savers - ADM</t>
        </r>
        <r>
          <rPr>
            <sz val="9"/>
            <color indexed="81"/>
            <rFont val="Tahoma"/>
            <family val="2"/>
          </rPr>
          <t xml:space="preserve">
</t>
        </r>
      </text>
    </comment>
    <comment ref="X149" authorId="0" shapeId="0">
      <text>
        <r>
          <rPr>
            <b/>
            <sz val="9"/>
            <color indexed="81"/>
            <rFont val="Tahoma"/>
            <family val="2"/>
          </rPr>
          <t>update from Community Savers - ADM</t>
        </r>
        <r>
          <rPr>
            <sz val="9"/>
            <color indexed="81"/>
            <rFont val="Tahoma"/>
            <family val="2"/>
          </rPr>
          <t xml:space="preserve">
</t>
        </r>
      </text>
    </comment>
    <comment ref="J150" authorId="0" shapeId="0">
      <text>
        <r>
          <rPr>
            <b/>
            <sz val="9"/>
            <color indexed="81"/>
            <rFont val="Tahoma"/>
            <family val="2"/>
          </rPr>
          <t>update from Community Savers - ADM</t>
        </r>
        <r>
          <rPr>
            <sz val="9"/>
            <color indexed="81"/>
            <rFont val="Tahoma"/>
            <family val="2"/>
          </rPr>
          <t xml:space="preserve">
</t>
        </r>
      </text>
    </comment>
    <comment ref="X150" authorId="0" shapeId="0">
      <text>
        <r>
          <rPr>
            <b/>
            <sz val="9"/>
            <color indexed="81"/>
            <rFont val="Tahoma"/>
            <family val="2"/>
          </rPr>
          <t>update from Community Savers - ADM</t>
        </r>
        <r>
          <rPr>
            <sz val="9"/>
            <color indexed="81"/>
            <rFont val="Tahoma"/>
            <family val="2"/>
          </rPr>
          <t xml:space="preserve">
</t>
        </r>
      </text>
    </comment>
    <comment ref="J151" authorId="0" shapeId="0">
      <text>
        <r>
          <rPr>
            <b/>
            <sz val="9"/>
            <color indexed="81"/>
            <rFont val="Tahoma"/>
            <family val="2"/>
          </rPr>
          <t>update from Community Savers - ADM</t>
        </r>
        <r>
          <rPr>
            <sz val="9"/>
            <color indexed="81"/>
            <rFont val="Tahoma"/>
            <family val="2"/>
          </rPr>
          <t xml:space="preserve">
</t>
        </r>
      </text>
    </comment>
    <comment ref="O151" authorId="0" shapeId="0">
      <text>
        <r>
          <rPr>
            <sz val="12"/>
            <color indexed="81"/>
            <rFont val="Tahoma"/>
            <family val="2"/>
          </rPr>
          <t>Early replacement: The full install cost for this measure is the actual cost of removing the existing unit and installing the new one. If this is unknown, assume $3,413368.</t>
        </r>
        <r>
          <rPr>
            <sz val="9"/>
            <color indexed="81"/>
            <rFont val="Tahoma"/>
            <family val="2"/>
          </rPr>
          <t xml:space="preserve">
</t>
        </r>
      </text>
    </comment>
    <comment ref="X151" authorId="0" shapeId="0">
      <text>
        <r>
          <rPr>
            <b/>
            <sz val="9"/>
            <color indexed="81"/>
            <rFont val="Tahoma"/>
            <family val="2"/>
          </rPr>
          <t>update from Community Savers - ADM</t>
        </r>
        <r>
          <rPr>
            <sz val="9"/>
            <color indexed="81"/>
            <rFont val="Tahoma"/>
            <family val="2"/>
          </rPr>
          <t xml:space="preserve">
</t>
        </r>
      </text>
    </comment>
    <comment ref="O152" authorId="0" shapeId="0">
      <text>
        <r>
          <rPr>
            <sz val="11"/>
            <color indexed="81"/>
            <rFont val="Tahoma"/>
            <family val="2"/>
          </rPr>
          <t>3 ton intial cost per MO TRM (Original source Energy Star Central AC calculator)</t>
        </r>
      </text>
    </comment>
    <comment ref="J155" authorId="0" shapeId="0">
      <text>
        <r>
          <rPr>
            <b/>
            <sz val="9"/>
            <color indexed="81"/>
            <rFont val="Tahoma"/>
            <family val="2"/>
          </rPr>
          <t>update from Community Savers - ADM</t>
        </r>
        <r>
          <rPr>
            <sz val="9"/>
            <color indexed="81"/>
            <rFont val="Tahoma"/>
            <family val="2"/>
          </rPr>
          <t xml:space="preserve">
</t>
        </r>
      </text>
    </comment>
    <comment ref="X155" authorId="0" shapeId="0">
      <text>
        <r>
          <rPr>
            <b/>
            <sz val="9"/>
            <color indexed="81"/>
            <rFont val="Tahoma"/>
            <family val="2"/>
          </rPr>
          <t>update from Community Savers - ADM</t>
        </r>
        <r>
          <rPr>
            <sz val="9"/>
            <color indexed="81"/>
            <rFont val="Tahoma"/>
            <family val="2"/>
          </rPr>
          <t xml:space="preserve">
</t>
        </r>
      </text>
    </comment>
    <comment ref="J156" authorId="0" shapeId="0">
      <text>
        <r>
          <rPr>
            <b/>
            <sz val="9"/>
            <color indexed="81"/>
            <rFont val="Tahoma"/>
            <family val="2"/>
          </rPr>
          <t>update from Community Savers - ADM</t>
        </r>
        <r>
          <rPr>
            <sz val="9"/>
            <color indexed="81"/>
            <rFont val="Tahoma"/>
            <family val="2"/>
          </rPr>
          <t xml:space="preserve">
</t>
        </r>
      </text>
    </comment>
    <comment ref="X156" authorId="0" shapeId="0">
      <text>
        <r>
          <rPr>
            <b/>
            <sz val="9"/>
            <color indexed="81"/>
            <rFont val="Tahoma"/>
            <family val="2"/>
          </rPr>
          <t>update from Community Savers - ADM</t>
        </r>
        <r>
          <rPr>
            <sz val="9"/>
            <color indexed="81"/>
            <rFont val="Tahoma"/>
            <family val="2"/>
          </rPr>
          <t xml:space="preserve">
</t>
        </r>
      </text>
    </comment>
    <comment ref="J157" authorId="0" shapeId="0">
      <text>
        <r>
          <rPr>
            <b/>
            <sz val="9"/>
            <color indexed="81"/>
            <rFont val="Tahoma"/>
            <family val="2"/>
          </rPr>
          <t>update from Community Savers - ADM</t>
        </r>
        <r>
          <rPr>
            <sz val="9"/>
            <color indexed="81"/>
            <rFont val="Tahoma"/>
            <family val="2"/>
          </rPr>
          <t xml:space="preserve">
</t>
        </r>
      </text>
    </comment>
    <comment ref="X157" authorId="0" shapeId="0">
      <text>
        <r>
          <rPr>
            <b/>
            <sz val="9"/>
            <color indexed="81"/>
            <rFont val="Tahoma"/>
            <family val="2"/>
          </rPr>
          <t>update from Community Savers - ADM</t>
        </r>
        <r>
          <rPr>
            <sz val="9"/>
            <color indexed="81"/>
            <rFont val="Tahoma"/>
            <family val="2"/>
          </rPr>
          <t xml:space="preserve">
</t>
        </r>
      </text>
    </comment>
    <comment ref="J167" authorId="0" shapeId="0">
      <text>
        <r>
          <rPr>
            <b/>
            <sz val="9"/>
            <color indexed="81"/>
            <rFont val="Tahoma"/>
            <family val="2"/>
          </rPr>
          <t>update from Community Savers - ADM</t>
        </r>
        <r>
          <rPr>
            <sz val="9"/>
            <color indexed="81"/>
            <rFont val="Tahoma"/>
            <family val="2"/>
          </rPr>
          <t xml:space="preserve">
</t>
        </r>
      </text>
    </comment>
    <comment ref="X167" authorId="0" shapeId="0">
      <text>
        <r>
          <rPr>
            <b/>
            <sz val="9"/>
            <color indexed="81"/>
            <rFont val="Tahoma"/>
            <family val="2"/>
          </rPr>
          <t>update from Community Savers - ADM</t>
        </r>
        <r>
          <rPr>
            <sz val="9"/>
            <color indexed="81"/>
            <rFont val="Tahoma"/>
            <family val="2"/>
          </rPr>
          <t xml:space="preserve">
</t>
        </r>
      </text>
    </comment>
    <comment ref="J168" authorId="0" shapeId="0">
      <text>
        <r>
          <rPr>
            <b/>
            <sz val="9"/>
            <color indexed="81"/>
            <rFont val="Tahoma"/>
            <family val="2"/>
          </rPr>
          <t>update from Community Savers - ADM</t>
        </r>
        <r>
          <rPr>
            <sz val="9"/>
            <color indexed="81"/>
            <rFont val="Tahoma"/>
            <family val="2"/>
          </rPr>
          <t xml:space="preserve">
</t>
        </r>
      </text>
    </comment>
    <comment ref="X168" authorId="0" shapeId="0">
      <text>
        <r>
          <rPr>
            <b/>
            <sz val="9"/>
            <color indexed="81"/>
            <rFont val="Tahoma"/>
            <family val="2"/>
          </rPr>
          <t>update from Community Savers - ADM</t>
        </r>
        <r>
          <rPr>
            <sz val="9"/>
            <color indexed="81"/>
            <rFont val="Tahoma"/>
            <family val="2"/>
          </rPr>
          <t xml:space="preserve">
</t>
        </r>
      </text>
    </comment>
    <comment ref="J169" authorId="0" shapeId="0">
      <text>
        <r>
          <rPr>
            <b/>
            <sz val="9"/>
            <color indexed="81"/>
            <rFont val="Tahoma"/>
            <family val="2"/>
          </rPr>
          <t>update from Community Savers - ADM</t>
        </r>
        <r>
          <rPr>
            <sz val="9"/>
            <color indexed="81"/>
            <rFont val="Tahoma"/>
            <family val="2"/>
          </rPr>
          <t xml:space="preserve">
</t>
        </r>
      </text>
    </comment>
    <comment ref="X169" authorId="0" shapeId="0">
      <text>
        <r>
          <rPr>
            <b/>
            <sz val="9"/>
            <color indexed="81"/>
            <rFont val="Tahoma"/>
            <family val="2"/>
          </rPr>
          <t>update from Community Savers - ADM</t>
        </r>
        <r>
          <rPr>
            <sz val="9"/>
            <color indexed="81"/>
            <rFont val="Tahoma"/>
            <family val="2"/>
          </rPr>
          <t xml:space="preserve">
</t>
        </r>
      </text>
    </comment>
    <comment ref="J179" authorId="0" shapeId="0">
      <text>
        <r>
          <rPr>
            <b/>
            <sz val="9"/>
            <color indexed="81"/>
            <rFont val="Tahoma"/>
            <family val="2"/>
          </rPr>
          <t>update from Community Savers - ADM</t>
        </r>
        <r>
          <rPr>
            <sz val="9"/>
            <color indexed="81"/>
            <rFont val="Tahoma"/>
            <family val="2"/>
          </rPr>
          <t xml:space="preserve">
</t>
        </r>
      </text>
    </comment>
    <comment ref="X179" authorId="0" shapeId="0">
      <text>
        <r>
          <rPr>
            <b/>
            <sz val="9"/>
            <color indexed="81"/>
            <rFont val="Tahoma"/>
            <family val="2"/>
          </rPr>
          <t>update from Community Savers - ADM</t>
        </r>
        <r>
          <rPr>
            <sz val="9"/>
            <color indexed="81"/>
            <rFont val="Tahoma"/>
            <family val="2"/>
          </rPr>
          <t xml:space="preserve">
</t>
        </r>
      </text>
    </comment>
    <comment ref="J180" authorId="0" shapeId="0">
      <text>
        <r>
          <rPr>
            <b/>
            <sz val="9"/>
            <color indexed="81"/>
            <rFont val="Tahoma"/>
            <family val="2"/>
          </rPr>
          <t>update from Community Savers - ADM</t>
        </r>
        <r>
          <rPr>
            <sz val="9"/>
            <color indexed="81"/>
            <rFont val="Tahoma"/>
            <family val="2"/>
          </rPr>
          <t xml:space="preserve">
</t>
        </r>
      </text>
    </comment>
    <comment ref="X180" authorId="0" shapeId="0">
      <text>
        <r>
          <rPr>
            <b/>
            <sz val="9"/>
            <color indexed="81"/>
            <rFont val="Tahoma"/>
            <family val="2"/>
          </rPr>
          <t>update from Community Savers - ADM</t>
        </r>
        <r>
          <rPr>
            <sz val="9"/>
            <color indexed="81"/>
            <rFont val="Tahoma"/>
            <family val="2"/>
          </rPr>
          <t xml:space="preserve">
</t>
        </r>
      </text>
    </comment>
    <comment ref="J181" authorId="0" shapeId="0">
      <text>
        <r>
          <rPr>
            <b/>
            <sz val="9"/>
            <color indexed="81"/>
            <rFont val="Tahoma"/>
            <family val="2"/>
          </rPr>
          <t>update from Community Savers - ADM</t>
        </r>
        <r>
          <rPr>
            <sz val="9"/>
            <color indexed="81"/>
            <rFont val="Tahoma"/>
            <family val="2"/>
          </rPr>
          <t xml:space="preserve">
</t>
        </r>
      </text>
    </comment>
    <comment ref="X181" authorId="0" shapeId="0">
      <text>
        <r>
          <rPr>
            <b/>
            <sz val="9"/>
            <color indexed="81"/>
            <rFont val="Tahoma"/>
            <family val="2"/>
          </rPr>
          <t>update from Community Savers - ADM</t>
        </r>
        <r>
          <rPr>
            <sz val="9"/>
            <color indexed="81"/>
            <rFont val="Tahoma"/>
            <family val="2"/>
          </rPr>
          <t xml:space="preserve">
</t>
        </r>
      </text>
    </comment>
    <comment ref="J215" authorId="0" shapeId="0">
      <text>
        <r>
          <rPr>
            <b/>
            <sz val="9"/>
            <color indexed="81"/>
            <rFont val="Tahoma"/>
            <family val="2"/>
          </rPr>
          <t>update from Community Savers - ADM</t>
        </r>
        <r>
          <rPr>
            <sz val="9"/>
            <color indexed="81"/>
            <rFont val="Tahoma"/>
            <family val="2"/>
          </rPr>
          <t xml:space="preserve">
</t>
        </r>
      </text>
    </comment>
    <comment ref="X215" authorId="0" shapeId="0">
      <text>
        <r>
          <rPr>
            <b/>
            <sz val="9"/>
            <color indexed="81"/>
            <rFont val="Tahoma"/>
            <family val="2"/>
          </rPr>
          <t>update from Community Savers - ADM</t>
        </r>
        <r>
          <rPr>
            <sz val="9"/>
            <color indexed="81"/>
            <rFont val="Tahoma"/>
            <family val="2"/>
          </rPr>
          <t xml:space="preserve">
</t>
        </r>
      </text>
    </comment>
    <comment ref="J216" authorId="0" shapeId="0">
      <text>
        <r>
          <rPr>
            <b/>
            <sz val="9"/>
            <color indexed="81"/>
            <rFont val="Tahoma"/>
            <family val="2"/>
          </rPr>
          <t>update from Community Savers - ADM</t>
        </r>
        <r>
          <rPr>
            <sz val="9"/>
            <color indexed="81"/>
            <rFont val="Tahoma"/>
            <family val="2"/>
          </rPr>
          <t xml:space="preserve">
</t>
        </r>
      </text>
    </comment>
    <comment ref="X216" authorId="0" shapeId="0">
      <text>
        <r>
          <rPr>
            <b/>
            <sz val="9"/>
            <color indexed="81"/>
            <rFont val="Tahoma"/>
            <family val="2"/>
          </rPr>
          <t>update from Community Savers - ADM</t>
        </r>
        <r>
          <rPr>
            <sz val="9"/>
            <color indexed="81"/>
            <rFont val="Tahoma"/>
            <family val="2"/>
          </rPr>
          <t xml:space="preserve">
</t>
        </r>
      </text>
    </comment>
    <comment ref="J217" authorId="0" shapeId="0">
      <text>
        <r>
          <rPr>
            <b/>
            <sz val="9"/>
            <color indexed="81"/>
            <rFont val="Tahoma"/>
            <family val="2"/>
          </rPr>
          <t>update from Community Savers - ADM</t>
        </r>
        <r>
          <rPr>
            <sz val="9"/>
            <color indexed="81"/>
            <rFont val="Tahoma"/>
            <family val="2"/>
          </rPr>
          <t xml:space="preserve">
</t>
        </r>
      </text>
    </comment>
    <comment ref="X217" authorId="0" shapeId="0">
      <text>
        <r>
          <rPr>
            <b/>
            <sz val="9"/>
            <color indexed="81"/>
            <rFont val="Tahoma"/>
            <family val="2"/>
          </rPr>
          <t>update from Community Savers - ADM</t>
        </r>
        <r>
          <rPr>
            <sz val="9"/>
            <color indexed="81"/>
            <rFont val="Tahoma"/>
            <family val="2"/>
          </rPr>
          <t xml:space="preserve">
</t>
        </r>
      </text>
    </comment>
    <comment ref="J224" authorId="0" shapeId="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X224" authorId="0" shapeId="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J227" authorId="0" shapeId="0">
      <text>
        <r>
          <rPr>
            <b/>
            <sz val="9"/>
            <color indexed="81"/>
            <rFont val="Tahoma"/>
            <family val="2"/>
          </rPr>
          <t>update from Community Savers - ADM</t>
        </r>
        <r>
          <rPr>
            <sz val="9"/>
            <color indexed="81"/>
            <rFont val="Tahoma"/>
            <family val="2"/>
          </rPr>
          <t xml:space="preserve">
</t>
        </r>
      </text>
    </comment>
    <comment ref="X227" authorId="0" shapeId="0">
      <text>
        <r>
          <rPr>
            <b/>
            <sz val="9"/>
            <color indexed="81"/>
            <rFont val="Tahoma"/>
            <family val="2"/>
          </rPr>
          <t>update from Community Savers - ADM</t>
        </r>
        <r>
          <rPr>
            <sz val="9"/>
            <color indexed="81"/>
            <rFont val="Tahoma"/>
            <family val="2"/>
          </rPr>
          <t xml:space="preserve">
</t>
        </r>
      </text>
    </comment>
    <comment ref="J228" authorId="0" shapeId="0">
      <text>
        <r>
          <rPr>
            <b/>
            <sz val="9"/>
            <color indexed="81"/>
            <rFont val="Tahoma"/>
            <family val="2"/>
          </rPr>
          <t>update from Community Savers - ADM</t>
        </r>
        <r>
          <rPr>
            <sz val="9"/>
            <color indexed="81"/>
            <rFont val="Tahoma"/>
            <family val="2"/>
          </rPr>
          <t xml:space="preserve">
</t>
        </r>
      </text>
    </comment>
    <comment ref="X228" authorId="0" shapeId="0">
      <text>
        <r>
          <rPr>
            <b/>
            <sz val="9"/>
            <color indexed="81"/>
            <rFont val="Tahoma"/>
            <family val="2"/>
          </rPr>
          <t>update from Community Savers - ADM</t>
        </r>
        <r>
          <rPr>
            <sz val="9"/>
            <color indexed="81"/>
            <rFont val="Tahoma"/>
            <family val="2"/>
          </rPr>
          <t xml:space="preserve">
</t>
        </r>
      </text>
    </comment>
    <comment ref="J229" authorId="0" shapeId="0">
      <text>
        <r>
          <rPr>
            <b/>
            <sz val="9"/>
            <color indexed="81"/>
            <rFont val="Tahoma"/>
            <family val="2"/>
          </rPr>
          <t>update from Community Savers - ADM</t>
        </r>
        <r>
          <rPr>
            <sz val="9"/>
            <color indexed="81"/>
            <rFont val="Tahoma"/>
            <family val="2"/>
          </rPr>
          <t xml:space="preserve">
</t>
        </r>
      </text>
    </comment>
    <comment ref="X229" authorId="0" shapeId="0">
      <text>
        <r>
          <rPr>
            <b/>
            <sz val="9"/>
            <color indexed="81"/>
            <rFont val="Tahoma"/>
            <family val="2"/>
          </rPr>
          <t>update from Community Savers - ADM</t>
        </r>
        <r>
          <rPr>
            <sz val="9"/>
            <color indexed="81"/>
            <rFont val="Tahoma"/>
            <family val="2"/>
          </rPr>
          <t xml:space="preserve">
</t>
        </r>
      </text>
    </comment>
    <comment ref="J26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6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6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6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6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6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6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6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70"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70"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7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7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7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7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7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7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77"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77"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8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8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82"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82"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8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8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08" authorId="0" shapeId="0">
      <text>
        <r>
          <rPr>
            <b/>
            <sz val="9"/>
            <color indexed="81"/>
            <rFont val="Tahoma"/>
            <family val="2"/>
          </rPr>
          <t>capacities updated</t>
        </r>
        <r>
          <rPr>
            <sz val="9"/>
            <color indexed="81"/>
            <rFont val="Tahoma"/>
            <family val="2"/>
          </rPr>
          <t xml:space="preserve">
</t>
        </r>
      </text>
    </comment>
    <comment ref="F396" authorId="0" shapeId="0">
      <text>
        <r>
          <rPr>
            <b/>
            <sz val="14"/>
            <color indexed="81"/>
            <rFont val="Tahoma"/>
            <family val="2"/>
          </rPr>
          <t>Originally was a ROF measue above this line in each section that was not in the list above, therefore removed it ---  was a repeate of ASHP replace on fail SF ROF</t>
        </r>
        <r>
          <rPr>
            <sz val="9"/>
            <color indexed="81"/>
            <rFont val="Tahoma"/>
            <family val="2"/>
          </rPr>
          <t xml:space="preserve">
</t>
        </r>
      </text>
    </comment>
    <comment ref="J406" authorId="0" shapeId="0">
      <text>
        <r>
          <rPr>
            <sz val="11"/>
            <color indexed="81"/>
            <rFont val="Tahoma"/>
            <family val="2"/>
          </rPr>
          <t>MO TRM includes 7.7 for manufacture dates prior to 1/2/2017 and 8.0 for manufacture dates after 1/1/2017</t>
        </r>
      </text>
    </comment>
    <comment ref="W406" authorId="0" shapeId="0">
      <text>
        <r>
          <rPr>
            <sz val="11"/>
            <color indexed="81"/>
            <rFont val="Tahoma"/>
            <family val="2"/>
          </rPr>
          <t>MO TRM includes 7.7 for manufacture dates prior to 1/2/2017 and 8.0 for manufacture dates after 1/1/2017</t>
        </r>
      </text>
    </comment>
    <comment ref="X406" authorId="0" shapeId="0">
      <text>
        <r>
          <rPr>
            <sz val="11"/>
            <color indexed="81"/>
            <rFont val="Tahoma"/>
            <family val="2"/>
          </rPr>
          <t>MO TRM includes 7.7 for manufacture dates prior to 1/2/2017 and 8.0 for manufacture dates after 1/1/2017</t>
        </r>
      </text>
    </comment>
    <comment ref="W425" authorId="1" shapeId="0">
      <text>
        <r>
          <rPr>
            <sz val="9"/>
            <color indexed="81"/>
            <rFont val="Tahoma"/>
            <family val="2"/>
          </rPr>
          <t>Assumed same size as similar ASHP</t>
        </r>
      </text>
    </comment>
    <comment ref="X425" authorId="0" shapeId="0">
      <text>
        <r>
          <rPr>
            <sz val="11"/>
            <color indexed="81"/>
            <rFont val="Tahoma"/>
            <family val="2"/>
          </rPr>
          <t>CADMUS PROVIDED A SINGLE "Tonnage" value" used same for heating and cooling</t>
        </r>
        <r>
          <rPr>
            <sz val="9"/>
            <color indexed="81"/>
            <rFont val="Tahoma"/>
            <family val="2"/>
          </rPr>
          <t xml:space="preserve">
</t>
        </r>
      </text>
    </comment>
    <comment ref="W426" authorId="1" shapeId="0">
      <text>
        <r>
          <rPr>
            <sz val="9"/>
            <color indexed="81"/>
            <rFont val="Tahoma"/>
            <family val="2"/>
          </rPr>
          <t xml:space="preserve">Assumed Same Size as similar ASHP
</t>
        </r>
      </text>
    </comment>
    <comment ref="J439" authorId="0" shapeId="0">
      <text>
        <r>
          <rPr>
            <sz val="11"/>
            <color indexed="81"/>
            <rFont val="Tahoma"/>
            <family val="2"/>
          </rPr>
          <t>MO TRM includes 13 for manufacture dates prior to 1/2/2017 and 14 for manufacture dates after 1/1/2017</t>
        </r>
      </text>
    </comment>
    <comment ref="W439" authorId="0" shapeId="0">
      <text>
        <r>
          <rPr>
            <sz val="11"/>
            <color indexed="81"/>
            <rFont val="Tahoma"/>
            <family val="2"/>
          </rPr>
          <t>MO TRM includes 13 for manufacture dates prior to 1/2/2017 and 14 for manufacture dates after 1/1/2017</t>
        </r>
      </text>
    </comment>
    <comment ref="X439" authorId="0" shapeId="0">
      <text>
        <r>
          <rPr>
            <sz val="11"/>
            <color indexed="81"/>
            <rFont val="Tahoma"/>
            <family val="2"/>
          </rPr>
          <t>MO TRM includes 13 for manufacture dates prior to 1/2/2017 and 14 for manufacture dates after 1/1/2017</t>
        </r>
      </text>
    </comment>
    <comment ref="X477" authorId="0" shapeId="0">
      <text>
        <r>
          <rPr>
            <sz val="11"/>
            <color indexed="81"/>
            <rFont val="Tahoma"/>
            <family val="2"/>
          </rPr>
          <t>Used Cadmus data to update the tonnage of the units  but the updated tonnage was for SF only therfore left the application here to convert for MF</t>
        </r>
      </text>
    </comment>
    <comment ref="X528" authorId="0" shapeId="0">
      <text>
        <r>
          <rPr>
            <b/>
            <sz val="9"/>
            <color indexed="81"/>
            <rFont val="Tahoma"/>
            <family val="2"/>
          </rPr>
          <t>Capacity of units adjusted which impacts cost/ton calculation</t>
        </r>
      </text>
    </comment>
    <comment ref="X594" authorId="0" shapeId="0">
      <text>
        <r>
          <rPr>
            <sz val="11"/>
            <color indexed="81"/>
            <rFont val="Tahoma"/>
            <family val="2"/>
          </rPr>
          <t>Not a good comparison or enough data to update as the PY2017 summary from Cadmus has 15/16/18 SEER and the only SEER here are 19, 20,21.</t>
        </r>
        <r>
          <rPr>
            <sz val="9"/>
            <color indexed="81"/>
            <rFont val="Tahoma"/>
            <family val="2"/>
          </rPr>
          <t xml:space="preserve">
</t>
        </r>
      </text>
    </comment>
    <comment ref="X650" authorId="0" shapeId="0">
      <text>
        <r>
          <rPr>
            <sz val="14"/>
            <color indexed="81"/>
            <rFont val="Tahoma"/>
            <family val="2"/>
          </rPr>
          <t>Left these at 65% because  did not adjust the capacity based upon MF capacities above - If we obtain evaluation data on capacities of MF units this should then be adjusted to 100%</t>
        </r>
      </text>
    </comment>
    <comment ref="J725" authorId="0" shapeId="0">
      <text>
        <r>
          <rPr>
            <b/>
            <sz val="9"/>
            <color indexed="81"/>
            <rFont val="Tahoma"/>
            <family val="2"/>
          </rPr>
          <t>these were dividing by 3.41 which were giving a COP value, not a HSPF</t>
        </r>
      </text>
    </comment>
    <comment ref="K1058" authorId="0" shapeId="0">
      <text>
        <r>
          <rPr>
            <b/>
            <sz val="9"/>
            <color indexed="81"/>
            <rFont val="Tahoma"/>
            <family val="2"/>
          </rPr>
          <t>2017 Cadmus EM&amp;V - 2016 -2017 AMR Data &amp; HP</t>
        </r>
        <r>
          <rPr>
            <sz val="9"/>
            <color indexed="81"/>
            <rFont val="Tahoma"/>
            <family val="2"/>
          </rPr>
          <t xml:space="preserve">
</t>
        </r>
      </text>
    </comment>
    <comment ref="W1058" authorId="0" shapeId="0">
      <text>
        <r>
          <rPr>
            <b/>
            <sz val="9"/>
            <color indexed="81"/>
            <rFont val="Tahoma"/>
            <family val="2"/>
          </rPr>
          <t>MO TRM</t>
        </r>
        <r>
          <rPr>
            <sz val="9"/>
            <color indexed="81"/>
            <rFont val="Tahoma"/>
            <family val="2"/>
          </rPr>
          <t xml:space="preserve">
</t>
        </r>
      </text>
    </comment>
    <comment ref="X1058" authorId="0" shapeId="0">
      <text>
        <r>
          <rPr>
            <b/>
            <sz val="9"/>
            <color indexed="81"/>
            <rFont val="Tahoma"/>
            <family val="2"/>
          </rPr>
          <t>2017 Cadmus EM&amp;V - 2016 -2017 AMR Data &amp; HP</t>
        </r>
        <r>
          <rPr>
            <sz val="9"/>
            <color indexed="81"/>
            <rFont val="Tahoma"/>
            <family val="2"/>
          </rPr>
          <t xml:space="preserve">
</t>
        </r>
      </text>
    </comment>
    <comment ref="K1059" authorId="0" shapeId="0">
      <text>
        <r>
          <rPr>
            <b/>
            <sz val="9"/>
            <color indexed="81"/>
            <rFont val="Tahoma"/>
            <family val="2"/>
          </rPr>
          <t>2017 Cadmus EM&amp;V - 2016 -2017 AMR Data &amp; HP</t>
        </r>
        <r>
          <rPr>
            <sz val="9"/>
            <color indexed="81"/>
            <rFont val="Tahoma"/>
            <family val="2"/>
          </rPr>
          <t xml:space="preserve">
</t>
        </r>
      </text>
    </comment>
    <comment ref="W1059" authorId="0" shapeId="0">
      <text>
        <r>
          <rPr>
            <b/>
            <sz val="9"/>
            <color indexed="81"/>
            <rFont val="Tahoma"/>
            <family val="2"/>
          </rPr>
          <t>MO TRM</t>
        </r>
        <r>
          <rPr>
            <sz val="9"/>
            <color indexed="81"/>
            <rFont val="Tahoma"/>
            <family val="2"/>
          </rPr>
          <t xml:space="preserve">
</t>
        </r>
      </text>
    </comment>
    <comment ref="X1059" authorId="0" shapeId="0">
      <text>
        <r>
          <rPr>
            <b/>
            <sz val="9"/>
            <color indexed="81"/>
            <rFont val="Tahoma"/>
            <family val="2"/>
          </rPr>
          <t>2017 Cadmus EM&amp;V - 2016 -2017 AMR Data &amp; HP</t>
        </r>
        <r>
          <rPr>
            <sz val="9"/>
            <color indexed="81"/>
            <rFont val="Tahoma"/>
            <family val="2"/>
          </rPr>
          <t xml:space="preserve">
</t>
        </r>
      </text>
    </comment>
    <comment ref="K1060" authorId="0" shapeId="0">
      <text>
        <r>
          <rPr>
            <b/>
            <sz val="9"/>
            <color indexed="81"/>
            <rFont val="Tahoma"/>
            <family val="2"/>
          </rPr>
          <t>2017 Cadmus EM&amp;V - 2016 -2017 AMR Data &amp; HP</t>
        </r>
        <r>
          <rPr>
            <sz val="9"/>
            <color indexed="81"/>
            <rFont val="Tahoma"/>
            <family val="2"/>
          </rPr>
          <t xml:space="preserve">
</t>
        </r>
      </text>
    </comment>
    <comment ref="W1060" authorId="0" shapeId="0">
      <text>
        <r>
          <rPr>
            <b/>
            <sz val="9"/>
            <color indexed="81"/>
            <rFont val="Tahoma"/>
            <family val="2"/>
          </rPr>
          <t>MO TRM</t>
        </r>
        <r>
          <rPr>
            <sz val="9"/>
            <color indexed="81"/>
            <rFont val="Tahoma"/>
            <family val="2"/>
          </rPr>
          <t xml:space="preserve">
</t>
        </r>
      </text>
    </comment>
    <comment ref="X1060" authorId="0" shapeId="0">
      <text>
        <r>
          <rPr>
            <b/>
            <sz val="9"/>
            <color indexed="81"/>
            <rFont val="Tahoma"/>
            <family val="2"/>
          </rPr>
          <t>2017 Cadmus EM&amp;V - 2016 -2017 AMR Data &amp; HP</t>
        </r>
        <r>
          <rPr>
            <sz val="9"/>
            <color indexed="81"/>
            <rFont val="Tahoma"/>
            <family val="2"/>
          </rPr>
          <t xml:space="preserve">
</t>
        </r>
      </text>
    </comment>
    <comment ref="K1061" authorId="0" shapeId="0">
      <text>
        <r>
          <rPr>
            <b/>
            <sz val="9"/>
            <color indexed="81"/>
            <rFont val="Tahoma"/>
            <family val="2"/>
          </rPr>
          <t>2017 Cadmus EM&amp;V - 2016 -2017 AMR Data &amp; HP</t>
        </r>
        <r>
          <rPr>
            <sz val="9"/>
            <color indexed="81"/>
            <rFont val="Tahoma"/>
            <family val="2"/>
          </rPr>
          <t xml:space="preserve">
</t>
        </r>
      </text>
    </comment>
    <comment ref="W1061" authorId="0" shapeId="0">
      <text>
        <r>
          <rPr>
            <b/>
            <sz val="9"/>
            <color indexed="81"/>
            <rFont val="Tahoma"/>
            <family val="2"/>
          </rPr>
          <t>MO TRM</t>
        </r>
        <r>
          <rPr>
            <sz val="9"/>
            <color indexed="81"/>
            <rFont val="Tahoma"/>
            <family val="2"/>
          </rPr>
          <t xml:space="preserve">
</t>
        </r>
      </text>
    </comment>
    <comment ref="X1061" authorId="0" shapeId="0">
      <text>
        <r>
          <rPr>
            <b/>
            <sz val="9"/>
            <color indexed="81"/>
            <rFont val="Tahoma"/>
            <family val="2"/>
          </rPr>
          <t>2017 Cadmus EM&amp;V - 2016 -2017 AMR Data &amp; HP</t>
        </r>
        <r>
          <rPr>
            <sz val="9"/>
            <color indexed="81"/>
            <rFont val="Tahoma"/>
            <family val="2"/>
          </rPr>
          <t xml:space="preserve">
</t>
        </r>
      </text>
    </comment>
    <comment ref="K1062" authorId="0" shapeId="0">
      <text>
        <r>
          <rPr>
            <b/>
            <sz val="9"/>
            <color indexed="81"/>
            <rFont val="Tahoma"/>
            <family val="2"/>
          </rPr>
          <t>2017 Cadmus EM&amp;V - 2016 -2017 AMR Data &amp; HP</t>
        </r>
        <r>
          <rPr>
            <sz val="9"/>
            <color indexed="81"/>
            <rFont val="Tahoma"/>
            <family val="2"/>
          </rPr>
          <t xml:space="preserve">
</t>
        </r>
      </text>
    </comment>
    <comment ref="W1062" authorId="0" shapeId="0">
      <text>
        <r>
          <rPr>
            <b/>
            <sz val="9"/>
            <color indexed="81"/>
            <rFont val="Tahoma"/>
            <family val="2"/>
          </rPr>
          <t>MO TRM</t>
        </r>
        <r>
          <rPr>
            <sz val="9"/>
            <color indexed="81"/>
            <rFont val="Tahoma"/>
            <family val="2"/>
          </rPr>
          <t xml:space="preserve">
</t>
        </r>
      </text>
    </comment>
    <comment ref="X1062" authorId="0" shapeId="0">
      <text>
        <r>
          <rPr>
            <b/>
            <sz val="9"/>
            <color indexed="81"/>
            <rFont val="Tahoma"/>
            <family val="2"/>
          </rPr>
          <t>2017 Cadmus EM&amp;V - 2016 -2017 AMR Data &amp; HP</t>
        </r>
        <r>
          <rPr>
            <sz val="9"/>
            <color indexed="81"/>
            <rFont val="Tahoma"/>
            <family val="2"/>
          </rPr>
          <t xml:space="preserve">
</t>
        </r>
      </text>
    </comment>
    <comment ref="K1063" authorId="0" shapeId="0">
      <text>
        <r>
          <rPr>
            <b/>
            <sz val="9"/>
            <color indexed="81"/>
            <rFont val="Tahoma"/>
            <family val="2"/>
          </rPr>
          <t>2017 Cadmus EM&amp;V - 2016 -2017 AMR Data &amp; HP</t>
        </r>
        <r>
          <rPr>
            <sz val="9"/>
            <color indexed="81"/>
            <rFont val="Tahoma"/>
            <family val="2"/>
          </rPr>
          <t xml:space="preserve">
</t>
        </r>
      </text>
    </comment>
    <comment ref="W1063" authorId="0" shapeId="0">
      <text>
        <r>
          <rPr>
            <b/>
            <sz val="9"/>
            <color indexed="81"/>
            <rFont val="Tahoma"/>
            <family val="2"/>
          </rPr>
          <t>MO TRM</t>
        </r>
        <r>
          <rPr>
            <sz val="9"/>
            <color indexed="81"/>
            <rFont val="Tahoma"/>
            <family val="2"/>
          </rPr>
          <t xml:space="preserve">
</t>
        </r>
      </text>
    </comment>
    <comment ref="X1063" authorId="0" shapeId="0">
      <text>
        <r>
          <rPr>
            <b/>
            <sz val="9"/>
            <color indexed="81"/>
            <rFont val="Tahoma"/>
            <family val="2"/>
          </rPr>
          <t>2017 Cadmus EM&amp;V - 2016 -2017 AMR Data &amp; HP</t>
        </r>
        <r>
          <rPr>
            <sz val="9"/>
            <color indexed="81"/>
            <rFont val="Tahoma"/>
            <family val="2"/>
          </rPr>
          <t xml:space="preserve">
</t>
        </r>
      </text>
    </comment>
    <comment ref="K1064" authorId="0" shapeId="0">
      <text>
        <r>
          <rPr>
            <b/>
            <sz val="9"/>
            <color indexed="81"/>
            <rFont val="Tahoma"/>
            <family val="2"/>
          </rPr>
          <t>2017 Cadmus EM&amp;V - 2016 -2017 AMR Data &amp; HP</t>
        </r>
        <r>
          <rPr>
            <sz val="9"/>
            <color indexed="81"/>
            <rFont val="Tahoma"/>
            <family val="2"/>
          </rPr>
          <t xml:space="preserve">
</t>
        </r>
      </text>
    </comment>
    <comment ref="W1064" authorId="0" shapeId="0">
      <text>
        <r>
          <rPr>
            <b/>
            <sz val="9"/>
            <color indexed="81"/>
            <rFont val="Tahoma"/>
            <family val="2"/>
          </rPr>
          <t>MO TRM</t>
        </r>
        <r>
          <rPr>
            <sz val="9"/>
            <color indexed="81"/>
            <rFont val="Tahoma"/>
            <family val="2"/>
          </rPr>
          <t xml:space="preserve">
</t>
        </r>
      </text>
    </comment>
    <comment ref="X1064" authorId="0" shapeId="0">
      <text>
        <r>
          <rPr>
            <b/>
            <sz val="9"/>
            <color indexed="81"/>
            <rFont val="Tahoma"/>
            <family val="2"/>
          </rPr>
          <t>2017 Cadmus EM&amp;V - 2016 -2017 AMR Data &amp; HP</t>
        </r>
        <r>
          <rPr>
            <sz val="9"/>
            <color indexed="81"/>
            <rFont val="Tahoma"/>
            <family val="2"/>
          </rPr>
          <t xml:space="preserve">
</t>
        </r>
      </text>
    </comment>
    <comment ref="K1065" authorId="0" shapeId="0">
      <text>
        <r>
          <rPr>
            <b/>
            <sz val="9"/>
            <color indexed="81"/>
            <rFont val="Tahoma"/>
            <family val="2"/>
          </rPr>
          <t>2017 Cadmus EM&amp;V - 2016 -2017 AMR Data &amp; HP</t>
        </r>
        <r>
          <rPr>
            <sz val="9"/>
            <color indexed="81"/>
            <rFont val="Tahoma"/>
            <family val="2"/>
          </rPr>
          <t xml:space="preserve">
</t>
        </r>
      </text>
    </comment>
    <comment ref="W1065" authorId="0" shapeId="0">
      <text>
        <r>
          <rPr>
            <b/>
            <sz val="9"/>
            <color indexed="81"/>
            <rFont val="Tahoma"/>
            <family val="2"/>
          </rPr>
          <t>MO TRM</t>
        </r>
        <r>
          <rPr>
            <sz val="9"/>
            <color indexed="81"/>
            <rFont val="Tahoma"/>
            <family val="2"/>
          </rPr>
          <t xml:space="preserve">
</t>
        </r>
      </text>
    </comment>
    <comment ref="X1065" authorId="0" shapeId="0">
      <text>
        <r>
          <rPr>
            <b/>
            <sz val="9"/>
            <color indexed="81"/>
            <rFont val="Tahoma"/>
            <family val="2"/>
          </rPr>
          <t>2017 Cadmus EM&amp;V - 2016 -2017 AMR Data &amp; HP</t>
        </r>
        <r>
          <rPr>
            <sz val="9"/>
            <color indexed="81"/>
            <rFont val="Tahoma"/>
            <family val="2"/>
          </rPr>
          <t xml:space="preserve">
</t>
        </r>
      </text>
    </comment>
    <comment ref="K1066" authorId="0" shapeId="0">
      <text>
        <r>
          <rPr>
            <b/>
            <sz val="9"/>
            <color indexed="81"/>
            <rFont val="Tahoma"/>
            <family val="2"/>
          </rPr>
          <t>2017 Cadmus EM&amp;V - 2016 -2017 AMR Data &amp; HP</t>
        </r>
        <r>
          <rPr>
            <sz val="9"/>
            <color indexed="81"/>
            <rFont val="Tahoma"/>
            <family val="2"/>
          </rPr>
          <t xml:space="preserve">
</t>
        </r>
      </text>
    </comment>
    <comment ref="W1066" authorId="0" shapeId="0">
      <text>
        <r>
          <rPr>
            <b/>
            <sz val="9"/>
            <color indexed="81"/>
            <rFont val="Tahoma"/>
            <family val="2"/>
          </rPr>
          <t>MO TRM</t>
        </r>
        <r>
          <rPr>
            <sz val="9"/>
            <color indexed="81"/>
            <rFont val="Tahoma"/>
            <family val="2"/>
          </rPr>
          <t xml:space="preserve">
</t>
        </r>
      </text>
    </comment>
    <comment ref="X1066" authorId="0" shapeId="0">
      <text>
        <r>
          <rPr>
            <b/>
            <sz val="9"/>
            <color indexed="81"/>
            <rFont val="Tahoma"/>
            <family val="2"/>
          </rPr>
          <t>2017 Cadmus EM&amp;V - 2016 -2017 AMR Data &amp; HP</t>
        </r>
        <r>
          <rPr>
            <sz val="9"/>
            <color indexed="81"/>
            <rFont val="Tahoma"/>
            <family val="2"/>
          </rPr>
          <t xml:space="preserve">
</t>
        </r>
      </text>
    </comment>
    <comment ref="K1067" authorId="0" shapeId="0">
      <text>
        <r>
          <rPr>
            <b/>
            <sz val="9"/>
            <color indexed="81"/>
            <rFont val="Tahoma"/>
            <family val="2"/>
          </rPr>
          <t>2017 Cadmus EM&amp;V - 2016 -2017 AMR Data &amp; HP</t>
        </r>
        <r>
          <rPr>
            <sz val="9"/>
            <color indexed="81"/>
            <rFont val="Tahoma"/>
            <family val="2"/>
          </rPr>
          <t xml:space="preserve">
</t>
        </r>
      </text>
    </comment>
    <comment ref="W1067" authorId="0" shapeId="0">
      <text>
        <r>
          <rPr>
            <b/>
            <sz val="9"/>
            <color indexed="81"/>
            <rFont val="Tahoma"/>
            <family val="2"/>
          </rPr>
          <t>MO TRM</t>
        </r>
        <r>
          <rPr>
            <sz val="9"/>
            <color indexed="81"/>
            <rFont val="Tahoma"/>
            <family val="2"/>
          </rPr>
          <t xml:space="preserve">
</t>
        </r>
      </text>
    </comment>
    <comment ref="X1067" authorId="0" shapeId="0">
      <text>
        <r>
          <rPr>
            <b/>
            <sz val="9"/>
            <color indexed="81"/>
            <rFont val="Tahoma"/>
            <family val="2"/>
          </rPr>
          <t>2017 Cadmus EM&amp;V - 2016 -2017 AMR Data &amp; HP</t>
        </r>
        <r>
          <rPr>
            <sz val="9"/>
            <color indexed="81"/>
            <rFont val="Tahoma"/>
            <family val="2"/>
          </rPr>
          <t xml:space="preserve">
</t>
        </r>
      </text>
    </comment>
    <comment ref="K1068" authorId="0" shapeId="0">
      <text>
        <r>
          <rPr>
            <b/>
            <sz val="9"/>
            <color indexed="81"/>
            <rFont val="Tahoma"/>
            <family val="2"/>
          </rPr>
          <t>2017 Cadmus EM&amp;V - 2016 -2017 AMR Data &amp; HP</t>
        </r>
        <r>
          <rPr>
            <sz val="9"/>
            <color indexed="81"/>
            <rFont val="Tahoma"/>
            <family val="2"/>
          </rPr>
          <t xml:space="preserve">
</t>
        </r>
      </text>
    </comment>
    <comment ref="W1068" authorId="0" shapeId="0">
      <text>
        <r>
          <rPr>
            <b/>
            <sz val="9"/>
            <color indexed="81"/>
            <rFont val="Tahoma"/>
            <family val="2"/>
          </rPr>
          <t>MO TRM</t>
        </r>
        <r>
          <rPr>
            <sz val="9"/>
            <color indexed="81"/>
            <rFont val="Tahoma"/>
            <family val="2"/>
          </rPr>
          <t xml:space="preserve">
</t>
        </r>
      </text>
    </comment>
    <comment ref="X1068" authorId="0" shapeId="0">
      <text>
        <r>
          <rPr>
            <b/>
            <sz val="9"/>
            <color indexed="81"/>
            <rFont val="Tahoma"/>
            <family val="2"/>
          </rPr>
          <t>2017 Cadmus EM&amp;V - 2016 -2017 AMR Data &amp; HP</t>
        </r>
        <r>
          <rPr>
            <sz val="9"/>
            <color indexed="81"/>
            <rFont val="Tahoma"/>
            <family val="2"/>
          </rPr>
          <t xml:space="preserve">
</t>
        </r>
      </text>
    </comment>
    <comment ref="K1069" authorId="0" shapeId="0">
      <text>
        <r>
          <rPr>
            <b/>
            <sz val="9"/>
            <color indexed="81"/>
            <rFont val="Tahoma"/>
            <family val="2"/>
          </rPr>
          <t>2017 Cadmus EM&amp;V - 2016 -2017 AMR Data &amp; HP</t>
        </r>
        <r>
          <rPr>
            <sz val="9"/>
            <color indexed="81"/>
            <rFont val="Tahoma"/>
            <family val="2"/>
          </rPr>
          <t xml:space="preserve">
</t>
        </r>
      </text>
    </comment>
    <comment ref="W1069" authorId="0" shapeId="0">
      <text>
        <r>
          <rPr>
            <b/>
            <sz val="9"/>
            <color indexed="81"/>
            <rFont val="Tahoma"/>
            <family val="2"/>
          </rPr>
          <t>MO TRM</t>
        </r>
        <r>
          <rPr>
            <sz val="9"/>
            <color indexed="81"/>
            <rFont val="Tahoma"/>
            <family val="2"/>
          </rPr>
          <t xml:space="preserve">
</t>
        </r>
      </text>
    </comment>
    <comment ref="X1069" authorId="0" shapeId="0">
      <text>
        <r>
          <rPr>
            <b/>
            <sz val="9"/>
            <color indexed="81"/>
            <rFont val="Tahoma"/>
            <family val="2"/>
          </rPr>
          <t>2017 Cadmus EM&amp;V - 2016 -2017 AMR Data &amp; HP</t>
        </r>
        <r>
          <rPr>
            <sz val="9"/>
            <color indexed="81"/>
            <rFont val="Tahoma"/>
            <family val="2"/>
          </rPr>
          <t xml:space="preserve">
</t>
        </r>
      </text>
    </comment>
    <comment ref="K1070" authorId="0" shapeId="0">
      <text>
        <r>
          <rPr>
            <b/>
            <sz val="9"/>
            <color indexed="81"/>
            <rFont val="Tahoma"/>
            <family val="2"/>
          </rPr>
          <t>2017 Cadmus EM&amp;V - 2016 -2017 AMR Data &amp; HP</t>
        </r>
        <r>
          <rPr>
            <sz val="9"/>
            <color indexed="81"/>
            <rFont val="Tahoma"/>
            <family val="2"/>
          </rPr>
          <t xml:space="preserve">
</t>
        </r>
      </text>
    </comment>
    <comment ref="W1070" authorId="0" shapeId="0">
      <text>
        <r>
          <rPr>
            <b/>
            <sz val="9"/>
            <color indexed="81"/>
            <rFont val="Tahoma"/>
            <family val="2"/>
          </rPr>
          <t>MO TRM</t>
        </r>
        <r>
          <rPr>
            <sz val="9"/>
            <color indexed="81"/>
            <rFont val="Tahoma"/>
            <family val="2"/>
          </rPr>
          <t xml:space="preserve">
</t>
        </r>
      </text>
    </comment>
    <comment ref="X1070" authorId="0" shapeId="0">
      <text>
        <r>
          <rPr>
            <b/>
            <sz val="9"/>
            <color indexed="81"/>
            <rFont val="Tahoma"/>
            <family val="2"/>
          </rPr>
          <t>2017 Cadmus EM&amp;V - 2016 -2017 AMR Data &amp; HP</t>
        </r>
        <r>
          <rPr>
            <sz val="9"/>
            <color indexed="81"/>
            <rFont val="Tahoma"/>
            <family val="2"/>
          </rPr>
          <t xml:space="preserve">
</t>
        </r>
      </text>
    </comment>
    <comment ref="K1071" authorId="0" shapeId="0">
      <text>
        <r>
          <rPr>
            <b/>
            <sz val="9"/>
            <color indexed="81"/>
            <rFont val="Tahoma"/>
            <family val="2"/>
          </rPr>
          <t>2017 Cadmus EM&amp;V - 2016 -2017 AMR Data &amp; HP</t>
        </r>
        <r>
          <rPr>
            <sz val="9"/>
            <color indexed="81"/>
            <rFont val="Tahoma"/>
            <family val="2"/>
          </rPr>
          <t xml:space="preserve">
</t>
        </r>
      </text>
    </comment>
    <comment ref="W1071" authorId="0" shapeId="0">
      <text>
        <r>
          <rPr>
            <b/>
            <sz val="9"/>
            <color indexed="81"/>
            <rFont val="Tahoma"/>
            <family val="2"/>
          </rPr>
          <t>MO TRM</t>
        </r>
        <r>
          <rPr>
            <sz val="9"/>
            <color indexed="81"/>
            <rFont val="Tahoma"/>
            <family val="2"/>
          </rPr>
          <t xml:space="preserve">
</t>
        </r>
      </text>
    </comment>
    <comment ref="X1071" authorId="0" shapeId="0">
      <text>
        <r>
          <rPr>
            <b/>
            <sz val="9"/>
            <color indexed="81"/>
            <rFont val="Tahoma"/>
            <family val="2"/>
          </rPr>
          <t>2017 Cadmus EM&amp;V - 2016 -2017 AMR Data &amp; HP</t>
        </r>
        <r>
          <rPr>
            <sz val="9"/>
            <color indexed="81"/>
            <rFont val="Tahoma"/>
            <family val="2"/>
          </rPr>
          <t xml:space="preserve">
</t>
        </r>
      </text>
    </comment>
    <comment ref="K1072" authorId="0" shapeId="0">
      <text>
        <r>
          <rPr>
            <b/>
            <sz val="9"/>
            <color indexed="81"/>
            <rFont val="Tahoma"/>
            <family val="2"/>
          </rPr>
          <t>2017 Cadmus EM&amp;V - 2016 -2017 AMR Data &amp; HP</t>
        </r>
        <r>
          <rPr>
            <sz val="9"/>
            <color indexed="81"/>
            <rFont val="Tahoma"/>
            <family val="2"/>
          </rPr>
          <t xml:space="preserve">
</t>
        </r>
      </text>
    </comment>
    <comment ref="W1072" authorId="0" shapeId="0">
      <text>
        <r>
          <rPr>
            <b/>
            <sz val="9"/>
            <color indexed="81"/>
            <rFont val="Tahoma"/>
            <family val="2"/>
          </rPr>
          <t>MO TRM</t>
        </r>
        <r>
          <rPr>
            <sz val="9"/>
            <color indexed="81"/>
            <rFont val="Tahoma"/>
            <family val="2"/>
          </rPr>
          <t xml:space="preserve">
</t>
        </r>
      </text>
    </comment>
    <comment ref="X1072" authorId="0" shapeId="0">
      <text>
        <r>
          <rPr>
            <b/>
            <sz val="9"/>
            <color indexed="81"/>
            <rFont val="Tahoma"/>
            <family val="2"/>
          </rPr>
          <t>2017 Cadmus EM&amp;V - 2016 -2017 AMR Data &amp; HP</t>
        </r>
        <r>
          <rPr>
            <sz val="9"/>
            <color indexed="81"/>
            <rFont val="Tahoma"/>
            <family val="2"/>
          </rPr>
          <t xml:space="preserve">
</t>
        </r>
      </text>
    </comment>
    <comment ref="K1073" authorId="0" shapeId="0">
      <text>
        <r>
          <rPr>
            <b/>
            <sz val="9"/>
            <color indexed="81"/>
            <rFont val="Tahoma"/>
            <family val="2"/>
          </rPr>
          <t>2017 Cadmus EM&amp;V - 2016 -2017 AMR Data &amp; HP</t>
        </r>
        <r>
          <rPr>
            <sz val="9"/>
            <color indexed="81"/>
            <rFont val="Tahoma"/>
            <family val="2"/>
          </rPr>
          <t xml:space="preserve">
</t>
        </r>
      </text>
    </comment>
    <comment ref="W1073" authorId="0" shapeId="0">
      <text>
        <r>
          <rPr>
            <b/>
            <sz val="9"/>
            <color indexed="81"/>
            <rFont val="Tahoma"/>
            <family val="2"/>
          </rPr>
          <t>MO TRM</t>
        </r>
        <r>
          <rPr>
            <sz val="9"/>
            <color indexed="81"/>
            <rFont val="Tahoma"/>
            <family val="2"/>
          </rPr>
          <t xml:space="preserve">
</t>
        </r>
      </text>
    </comment>
    <comment ref="X1073" authorId="0" shapeId="0">
      <text>
        <r>
          <rPr>
            <b/>
            <sz val="9"/>
            <color indexed="81"/>
            <rFont val="Tahoma"/>
            <family val="2"/>
          </rPr>
          <t>2017 Cadmus EM&amp;V - 2016 -2017 AMR Data &amp; HP</t>
        </r>
        <r>
          <rPr>
            <sz val="9"/>
            <color indexed="81"/>
            <rFont val="Tahoma"/>
            <family val="2"/>
          </rPr>
          <t xml:space="preserve">
</t>
        </r>
      </text>
    </comment>
    <comment ref="K1074" authorId="0" shapeId="0">
      <text>
        <r>
          <rPr>
            <b/>
            <sz val="9"/>
            <color indexed="81"/>
            <rFont val="Tahoma"/>
            <family val="2"/>
          </rPr>
          <t>2017 Cadmus EM&amp;V - 2016 -2017 AMR Data &amp; HP</t>
        </r>
        <r>
          <rPr>
            <sz val="9"/>
            <color indexed="81"/>
            <rFont val="Tahoma"/>
            <family val="2"/>
          </rPr>
          <t xml:space="preserve">
</t>
        </r>
      </text>
    </comment>
    <comment ref="W1074" authorId="0" shapeId="0">
      <text>
        <r>
          <rPr>
            <b/>
            <sz val="9"/>
            <color indexed="81"/>
            <rFont val="Tahoma"/>
            <family val="2"/>
          </rPr>
          <t>MO TRM</t>
        </r>
        <r>
          <rPr>
            <sz val="9"/>
            <color indexed="81"/>
            <rFont val="Tahoma"/>
            <family val="2"/>
          </rPr>
          <t xml:space="preserve">
</t>
        </r>
      </text>
    </comment>
    <comment ref="X1074" authorId="0" shapeId="0">
      <text>
        <r>
          <rPr>
            <b/>
            <sz val="9"/>
            <color indexed="81"/>
            <rFont val="Tahoma"/>
            <family val="2"/>
          </rPr>
          <t>2017 Cadmus EM&amp;V - 2016 -2017 AMR Data &amp; HP</t>
        </r>
        <r>
          <rPr>
            <sz val="9"/>
            <color indexed="81"/>
            <rFont val="Tahoma"/>
            <family val="2"/>
          </rPr>
          <t xml:space="preserve">
</t>
        </r>
      </text>
    </comment>
    <comment ref="K1075" authorId="0" shapeId="0">
      <text>
        <r>
          <rPr>
            <b/>
            <sz val="9"/>
            <color indexed="81"/>
            <rFont val="Tahoma"/>
            <family val="2"/>
          </rPr>
          <t>2017 Cadmus EM&amp;V - 2016 -2017 AMR Data &amp; HP</t>
        </r>
        <r>
          <rPr>
            <sz val="9"/>
            <color indexed="81"/>
            <rFont val="Tahoma"/>
            <family val="2"/>
          </rPr>
          <t xml:space="preserve">
</t>
        </r>
      </text>
    </comment>
    <comment ref="W1075" authorId="0" shapeId="0">
      <text>
        <r>
          <rPr>
            <b/>
            <sz val="9"/>
            <color indexed="81"/>
            <rFont val="Tahoma"/>
            <family val="2"/>
          </rPr>
          <t>MO TRM</t>
        </r>
        <r>
          <rPr>
            <sz val="9"/>
            <color indexed="81"/>
            <rFont val="Tahoma"/>
            <family val="2"/>
          </rPr>
          <t xml:space="preserve">
</t>
        </r>
      </text>
    </comment>
    <comment ref="X1075" authorId="0" shapeId="0">
      <text>
        <r>
          <rPr>
            <b/>
            <sz val="9"/>
            <color indexed="81"/>
            <rFont val="Tahoma"/>
            <family val="2"/>
          </rPr>
          <t>2017 Cadmus EM&amp;V - 2016 -2017 AMR Data &amp; HP</t>
        </r>
        <r>
          <rPr>
            <sz val="9"/>
            <color indexed="81"/>
            <rFont val="Tahoma"/>
            <family val="2"/>
          </rPr>
          <t xml:space="preserve">
</t>
        </r>
      </text>
    </comment>
    <comment ref="K1076" authorId="0" shapeId="0">
      <text>
        <r>
          <rPr>
            <b/>
            <sz val="9"/>
            <color indexed="81"/>
            <rFont val="Tahoma"/>
            <family val="2"/>
          </rPr>
          <t>2017 Cadmus EM&amp;V - 2016 -2017 AMR Data &amp; HP</t>
        </r>
        <r>
          <rPr>
            <sz val="9"/>
            <color indexed="81"/>
            <rFont val="Tahoma"/>
            <family val="2"/>
          </rPr>
          <t xml:space="preserve">
</t>
        </r>
      </text>
    </comment>
    <comment ref="W1076" authorId="0" shapeId="0">
      <text>
        <r>
          <rPr>
            <b/>
            <sz val="9"/>
            <color indexed="81"/>
            <rFont val="Tahoma"/>
            <family val="2"/>
          </rPr>
          <t>MO TRM</t>
        </r>
        <r>
          <rPr>
            <sz val="9"/>
            <color indexed="81"/>
            <rFont val="Tahoma"/>
            <family val="2"/>
          </rPr>
          <t xml:space="preserve">
</t>
        </r>
      </text>
    </comment>
    <comment ref="X1076" authorId="0" shapeId="0">
      <text>
        <r>
          <rPr>
            <b/>
            <sz val="9"/>
            <color indexed="81"/>
            <rFont val="Tahoma"/>
            <family val="2"/>
          </rPr>
          <t>2017 Cadmus EM&amp;V - 2016 -2017 AMR Data &amp; HP</t>
        </r>
        <r>
          <rPr>
            <sz val="9"/>
            <color indexed="81"/>
            <rFont val="Tahoma"/>
            <family val="2"/>
          </rPr>
          <t xml:space="preserve">
</t>
        </r>
      </text>
    </comment>
    <comment ref="K1077" authorId="0" shapeId="0">
      <text>
        <r>
          <rPr>
            <b/>
            <sz val="9"/>
            <color indexed="81"/>
            <rFont val="Tahoma"/>
            <family val="2"/>
          </rPr>
          <t>2017 Cadmus EM&amp;V - 2016 -2017 AMR Data &amp; HP</t>
        </r>
        <r>
          <rPr>
            <sz val="9"/>
            <color indexed="81"/>
            <rFont val="Tahoma"/>
            <family val="2"/>
          </rPr>
          <t xml:space="preserve">
</t>
        </r>
      </text>
    </comment>
    <comment ref="W1077" authorId="0" shapeId="0">
      <text>
        <r>
          <rPr>
            <b/>
            <sz val="9"/>
            <color indexed="81"/>
            <rFont val="Tahoma"/>
            <family val="2"/>
          </rPr>
          <t>MO TRM</t>
        </r>
        <r>
          <rPr>
            <sz val="9"/>
            <color indexed="81"/>
            <rFont val="Tahoma"/>
            <family val="2"/>
          </rPr>
          <t xml:space="preserve">
</t>
        </r>
      </text>
    </comment>
    <comment ref="X1077" authorId="0" shapeId="0">
      <text>
        <r>
          <rPr>
            <b/>
            <sz val="9"/>
            <color indexed="81"/>
            <rFont val="Tahoma"/>
            <family val="2"/>
          </rPr>
          <t>2017 Cadmus EM&amp;V - 2016 -2017 AMR Data &amp; HP</t>
        </r>
        <r>
          <rPr>
            <sz val="9"/>
            <color indexed="81"/>
            <rFont val="Tahoma"/>
            <family val="2"/>
          </rPr>
          <t xml:space="preserve">
</t>
        </r>
      </text>
    </comment>
    <comment ref="K1078" authorId="0" shapeId="0">
      <text>
        <r>
          <rPr>
            <b/>
            <sz val="9"/>
            <color indexed="81"/>
            <rFont val="Tahoma"/>
            <family val="2"/>
          </rPr>
          <t>2017 Cadmus EM&amp;V - 2016 -2017 AMR Data &amp; HP</t>
        </r>
        <r>
          <rPr>
            <sz val="9"/>
            <color indexed="81"/>
            <rFont val="Tahoma"/>
            <family val="2"/>
          </rPr>
          <t xml:space="preserve">
</t>
        </r>
      </text>
    </comment>
    <comment ref="W1078" authorId="0" shapeId="0">
      <text>
        <r>
          <rPr>
            <b/>
            <sz val="9"/>
            <color indexed="81"/>
            <rFont val="Tahoma"/>
            <family val="2"/>
          </rPr>
          <t>MO TRM</t>
        </r>
        <r>
          <rPr>
            <sz val="9"/>
            <color indexed="81"/>
            <rFont val="Tahoma"/>
            <family val="2"/>
          </rPr>
          <t xml:space="preserve">
</t>
        </r>
      </text>
    </comment>
    <comment ref="X1078" authorId="0" shapeId="0">
      <text>
        <r>
          <rPr>
            <b/>
            <sz val="9"/>
            <color indexed="81"/>
            <rFont val="Tahoma"/>
            <family val="2"/>
          </rPr>
          <t>2017 Cadmus EM&amp;V - 2016 -2017 AMR Data &amp; HP</t>
        </r>
        <r>
          <rPr>
            <sz val="9"/>
            <color indexed="81"/>
            <rFont val="Tahoma"/>
            <family val="2"/>
          </rPr>
          <t xml:space="preserve">
</t>
        </r>
      </text>
    </comment>
    <comment ref="K1079" authorId="0" shapeId="0">
      <text>
        <r>
          <rPr>
            <b/>
            <sz val="9"/>
            <color indexed="81"/>
            <rFont val="Tahoma"/>
            <family val="2"/>
          </rPr>
          <t>2017 Cadmus EM&amp;V - 2016 -2017 AMR Data &amp; HP</t>
        </r>
        <r>
          <rPr>
            <sz val="9"/>
            <color indexed="81"/>
            <rFont val="Tahoma"/>
            <family val="2"/>
          </rPr>
          <t xml:space="preserve">
</t>
        </r>
      </text>
    </comment>
    <comment ref="W1079" authorId="0" shapeId="0">
      <text>
        <r>
          <rPr>
            <b/>
            <sz val="9"/>
            <color indexed="81"/>
            <rFont val="Tahoma"/>
            <family val="2"/>
          </rPr>
          <t>MO TRM</t>
        </r>
        <r>
          <rPr>
            <sz val="9"/>
            <color indexed="81"/>
            <rFont val="Tahoma"/>
            <family val="2"/>
          </rPr>
          <t xml:space="preserve">
</t>
        </r>
      </text>
    </comment>
    <comment ref="X1079" authorId="0" shapeId="0">
      <text>
        <r>
          <rPr>
            <b/>
            <sz val="9"/>
            <color indexed="81"/>
            <rFont val="Tahoma"/>
            <family val="2"/>
          </rPr>
          <t>2017 Cadmus EM&amp;V - 2016 -2017 AMR Data &amp; HP</t>
        </r>
        <r>
          <rPr>
            <sz val="9"/>
            <color indexed="81"/>
            <rFont val="Tahoma"/>
            <family val="2"/>
          </rPr>
          <t xml:space="preserve">
</t>
        </r>
      </text>
    </comment>
    <comment ref="K1080" authorId="0" shapeId="0">
      <text>
        <r>
          <rPr>
            <b/>
            <sz val="9"/>
            <color indexed="81"/>
            <rFont val="Tahoma"/>
            <family val="2"/>
          </rPr>
          <t>2017 Cadmus EM&amp;V - 2016 -2017 AMR Data &amp; HP</t>
        </r>
        <r>
          <rPr>
            <sz val="9"/>
            <color indexed="81"/>
            <rFont val="Tahoma"/>
            <family val="2"/>
          </rPr>
          <t xml:space="preserve">
</t>
        </r>
      </text>
    </comment>
    <comment ref="W1080" authorId="0" shapeId="0">
      <text>
        <r>
          <rPr>
            <b/>
            <sz val="9"/>
            <color indexed="81"/>
            <rFont val="Tahoma"/>
            <family val="2"/>
          </rPr>
          <t>MO TRM</t>
        </r>
        <r>
          <rPr>
            <sz val="9"/>
            <color indexed="81"/>
            <rFont val="Tahoma"/>
            <family val="2"/>
          </rPr>
          <t xml:space="preserve">
</t>
        </r>
      </text>
    </comment>
    <comment ref="X1080" authorId="0" shapeId="0">
      <text>
        <r>
          <rPr>
            <b/>
            <sz val="9"/>
            <color indexed="81"/>
            <rFont val="Tahoma"/>
            <family val="2"/>
          </rPr>
          <t>2017 Cadmus EM&amp;V - 2016 -2017 AMR Data &amp; HP</t>
        </r>
        <r>
          <rPr>
            <sz val="9"/>
            <color indexed="81"/>
            <rFont val="Tahoma"/>
            <family val="2"/>
          </rPr>
          <t xml:space="preserve">
</t>
        </r>
      </text>
    </comment>
    <comment ref="K1081" authorId="0" shapeId="0">
      <text>
        <r>
          <rPr>
            <b/>
            <sz val="9"/>
            <color indexed="81"/>
            <rFont val="Tahoma"/>
            <family val="2"/>
          </rPr>
          <t>2017 Cadmus EM&amp;V - 2016 -2017 AMR Data &amp; HP</t>
        </r>
        <r>
          <rPr>
            <sz val="9"/>
            <color indexed="81"/>
            <rFont val="Tahoma"/>
            <family val="2"/>
          </rPr>
          <t xml:space="preserve">
</t>
        </r>
      </text>
    </comment>
    <comment ref="W1081" authorId="0" shapeId="0">
      <text>
        <r>
          <rPr>
            <b/>
            <sz val="9"/>
            <color indexed="81"/>
            <rFont val="Tahoma"/>
            <family val="2"/>
          </rPr>
          <t>MO TRM</t>
        </r>
        <r>
          <rPr>
            <sz val="9"/>
            <color indexed="81"/>
            <rFont val="Tahoma"/>
            <family val="2"/>
          </rPr>
          <t xml:space="preserve">
</t>
        </r>
      </text>
    </comment>
    <comment ref="X1081" authorId="0" shapeId="0">
      <text>
        <r>
          <rPr>
            <b/>
            <sz val="9"/>
            <color indexed="81"/>
            <rFont val="Tahoma"/>
            <family val="2"/>
          </rPr>
          <t>2017 Cadmus EM&amp;V - 2016 -2017 AMR Data &amp; HP</t>
        </r>
        <r>
          <rPr>
            <sz val="9"/>
            <color indexed="81"/>
            <rFont val="Tahoma"/>
            <family val="2"/>
          </rPr>
          <t xml:space="preserve">
</t>
        </r>
      </text>
    </comment>
    <comment ref="K1082" authorId="0" shapeId="0">
      <text>
        <r>
          <rPr>
            <b/>
            <sz val="9"/>
            <color indexed="81"/>
            <rFont val="Tahoma"/>
            <family val="2"/>
          </rPr>
          <t>2017 Cadmus EM&amp;V - 2016 -2017 AMR Data &amp; HP</t>
        </r>
        <r>
          <rPr>
            <sz val="9"/>
            <color indexed="81"/>
            <rFont val="Tahoma"/>
            <family val="2"/>
          </rPr>
          <t xml:space="preserve">
</t>
        </r>
      </text>
    </comment>
    <comment ref="W1082" authorId="0" shapeId="0">
      <text>
        <r>
          <rPr>
            <b/>
            <sz val="9"/>
            <color indexed="81"/>
            <rFont val="Tahoma"/>
            <family val="2"/>
          </rPr>
          <t>MO TRM</t>
        </r>
        <r>
          <rPr>
            <sz val="9"/>
            <color indexed="81"/>
            <rFont val="Tahoma"/>
            <family val="2"/>
          </rPr>
          <t xml:space="preserve">
</t>
        </r>
      </text>
    </comment>
    <comment ref="X1082" authorId="0" shapeId="0">
      <text>
        <r>
          <rPr>
            <b/>
            <sz val="9"/>
            <color indexed="81"/>
            <rFont val="Tahoma"/>
            <family val="2"/>
          </rPr>
          <t>2017 Cadmus EM&amp;V - 2016 -2017 AMR Data &amp; HP</t>
        </r>
        <r>
          <rPr>
            <sz val="9"/>
            <color indexed="81"/>
            <rFont val="Tahoma"/>
            <family val="2"/>
          </rPr>
          <t xml:space="preserve">
</t>
        </r>
      </text>
    </comment>
    <comment ref="K1083" authorId="0" shapeId="0">
      <text>
        <r>
          <rPr>
            <b/>
            <sz val="9"/>
            <color indexed="81"/>
            <rFont val="Tahoma"/>
            <family val="2"/>
          </rPr>
          <t>2017 Cadmus EM&amp;V - 2016 -2017 AMR Data &amp; HP</t>
        </r>
        <r>
          <rPr>
            <sz val="9"/>
            <color indexed="81"/>
            <rFont val="Tahoma"/>
            <family val="2"/>
          </rPr>
          <t xml:space="preserve">
</t>
        </r>
      </text>
    </comment>
    <comment ref="W1083" authorId="0" shapeId="0">
      <text>
        <r>
          <rPr>
            <b/>
            <sz val="9"/>
            <color indexed="81"/>
            <rFont val="Tahoma"/>
            <family val="2"/>
          </rPr>
          <t>MO TRM</t>
        </r>
        <r>
          <rPr>
            <sz val="9"/>
            <color indexed="81"/>
            <rFont val="Tahoma"/>
            <family val="2"/>
          </rPr>
          <t xml:space="preserve">
</t>
        </r>
      </text>
    </comment>
    <comment ref="X1083" authorId="0" shapeId="0">
      <text>
        <r>
          <rPr>
            <b/>
            <sz val="9"/>
            <color indexed="81"/>
            <rFont val="Tahoma"/>
            <family val="2"/>
          </rPr>
          <t>2017 Cadmus EM&amp;V - 2016 -2017 AMR Data &amp; HP</t>
        </r>
        <r>
          <rPr>
            <sz val="9"/>
            <color indexed="81"/>
            <rFont val="Tahoma"/>
            <family val="2"/>
          </rPr>
          <t xml:space="preserve">
</t>
        </r>
      </text>
    </comment>
    <comment ref="K1084" authorId="0" shapeId="0">
      <text>
        <r>
          <rPr>
            <b/>
            <sz val="9"/>
            <color indexed="81"/>
            <rFont val="Tahoma"/>
            <family val="2"/>
          </rPr>
          <t>2017 Cadmus EM&amp;V - 2016 -2017 AMR Data &amp; HP</t>
        </r>
        <r>
          <rPr>
            <sz val="9"/>
            <color indexed="81"/>
            <rFont val="Tahoma"/>
            <family val="2"/>
          </rPr>
          <t xml:space="preserve">
</t>
        </r>
      </text>
    </comment>
    <comment ref="W1084" authorId="0" shapeId="0">
      <text>
        <r>
          <rPr>
            <b/>
            <sz val="9"/>
            <color indexed="81"/>
            <rFont val="Tahoma"/>
            <family val="2"/>
          </rPr>
          <t>MO TRM</t>
        </r>
        <r>
          <rPr>
            <sz val="9"/>
            <color indexed="81"/>
            <rFont val="Tahoma"/>
            <family val="2"/>
          </rPr>
          <t xml:space="preserve">
</t>
        </r>
      </text>
    </comment>
    <comment ref="X1084" authorId="0" shapeId="0">
      <text>
        <r>
          <rPr>
            <b/>
            <sz val="9"/>
            <color indexed="81"/>
            <rFont val="Tahoma"/>
            <family val="2"/>
          </rPr>
          <t>2017 Cadmus EM&amp;V - 2016 -2017 AMR Data &amp; HP</t>
        </r>
        <r>
          <rPr>
            <sz val="9"/>
            <color indexed="81"/>
            <rFont val="Tahoma"/>
            <family val="2"/>
          </rPr>
          <t xml:space="preserve">
</t>
        </r>
      </text>
    </comment>
    <comment ref="K1085" authorId="0" shapeId="0">
      <text>
        <r>
          <rPr>
            <b/>
            <sz val="9"/>
            <color indexed="81"/>
            <rFont val="Tahoma"/>
            <family val="2"/>
          </rPr>
          <t>2017 Cadmus EM&amp;V - 2016 -2017 AMR Data &amp; HP</t>
        </r>
        <r>
          <rPr>
            <sz val="9"/>
            <color indexed="81"/>
            <rFont val="Tahoma"/>
            <family val="2"/>
          </rPr>
          <t xml:space="preserve">
</t>
        </r>
      </text>
    </comment>
    <comment ref="W1085" authorId="0" shapeId="0">
      <text>
        <r>
          <rPr>
            <b/>
            <sz val="9"/>
            <color indexed="81"/>
            <rFont val="Tahoma"/>
            <family val="2"/>
          </rPr>
          <t>MO TRM</t>
        </r>
        <r>
          <rPr>
            <sz val="9"/>
            <color indexed="81"/>
            <rFont val="Tahoma"/>
            <family val="2"/>
          </rPr>
          <t xml:space="preserve">
</t>
        </r>
      </text>
    </comment>
    <comment ref="X1085" authorId="0" shapeId="0">
      <text>
        <r>
          <rPr>
            <b/>
            <sz val="9"/>
            <color indexed="81"/>
            <rFont val="Tahoma"/>
            <family val="2"/>
          </rPr>
          <t>2017 Cadmus EM&amp;V - 2016 -2017 AMR Data &amp; HP</t>
        </r>
        <r>
          <rPr>
            <sz val="9"/>
            <color indexed="81"/>
            <rFont val="Tahoma"/>
            <family val="2"/>
          </rPr>
          <t xml:space="preserve">
</t>
        </r>
      </text>
    </comment>
    <comment ref="K1086" authorId="0" shapeId="0">
      <text>
        <r>
          <rPr>
            <b/>
            <sz val="9"/>
            <color indexed="81"/>
            <rFont val="Tahoma"/>
            <family val="2"/>
          </rPr>
          <t>2017 Cadmus EM&amp;V - 2016 -2017 AMR Data &amp; HP</t>
        </r>
        <r>
          <rPr>
            <sz val="9"/>
            <color indexed="81"/>
            <rFont val="Tahoma"/>
            <family val="2"/>
          </rPr>
          <t xml:space="preserve">
</t>
        </r>
      </text>
    </comment>
    <comment ref="W1086" authorId="0" shapeId="0">
      <text>
        <r>
          <rPr>
            <b/>
            <sz val="9"/>
            <color indexed="81"/>
            <rFont val="Tahoma"/>
            <family val="2"/>
          </rPr>
          <t>MO TRM</t>
        </r>
        <r>
          <rPr>
            <sz val="9"/>
            <color indexed="81"/>
            <rFont val="Tahoma"/>
            <family val="2"/>
          </rPr>
          <t xml:space="preserve">
</t>
        </r>
      </text>
    </comment>
    <comment ref="X1086" authorId="0" shapeId="0">
      <text>
        <r>
          <rPr>
            <b/>
            <sz val="9"/>
            <color indexed="81"/>
            <rFont val="Tahoma"/>
            <family val="2"/>
          </rPr>
          <t>2017 Cadmus EM&amp;V - 2016 -2017 AMR Data &amp; HP</t>
        </r>
        <r>
          <rPr>
            <sz val="9"/>
            <color indexed="81"/>
            <rFont val="Tahoma"/>
            <family val="2"/>
          </rPr>
          <t xml:space="preserve">
</t>
        </r>
      </text>
    </comment>
    <comment ref="K1087" authorId="0" shapeId="0">
      <text>
        <r>
          <rPr>
            <b/>
            <sz val="9"/>
            <color indexed="81"/>
            <rFont val="Tahoma"/>
            <family val="2"/>
          </rPr>
          <t>2017 Cadmus EM&amp;V - 2016 -2017 AMR Data &amp; HP</t>
        </r>
        <r>
          <rPr>
            <sz val="9"/>
            <color indexed="81"/>
            <rFont val="Tahoma"/>
            <family val="2"/>
          </rPr>
          <t xml:space="preserve">
</t>
        </r>
      </text>
    </comment>
    <comment ref="W1087" authorId="0" shapeId="0">
      <text>
        <r>
          <rPr>
            <b/>
            <sz val="9"/>
            <color indexed="81"/>
            <rFont val="Tahoma"/>
            <family val="2"/>
          </rPr>
          <t>MO TRM</t>
        </r>
        <r>
          <rPr>
            <sz val="9"/>
            <color indexed="81"/>
            <rFont val="Tahoma"/>
            <family val="2"/>
          </rPr>
          <t xml:space="preserve">
</t>
        </r>
      </text>
    </comment>
    <comment ref="X1087" authorId="0" shapeId="0">
      <text>
        <r>
          <rPr>
            <b/>
            <sz val="9"/>
            <color indexed="81"/>
            <rFont val="Tahoma"/>
            <family val="2"/>
          </rPr>
          <t>2017 Cadmus EM&amp;V - 2016 -2017 AMR Data &amp; HP</t>
        </r>
        <r>
          <rPr>
            <sz val="9"/>
            <color indexed="81"/>
            <rFont val="Tahoma"/>
            <family val="2"/>
          </rPr>
          <t xml:space="preserve">
</t>
        </r>
      </text>
    </comment>
    <comment ref="K1088" authorId="0" shapeId="0">
      <text>
        <r>
          <rPr>
            <b/>
            <sz val="9"/>
            <color indexed="81"/>
            <rFont val="Tahoma"/>
            <family val="2"/>
          </rPr>
          <t>2017 Cadmus EM&amp;V - 2016 -2017 AMR Data &amp; HP</t>
        </r>
        <r>
          <rPr>
            <sz val="9"/>
            <color indexed="81"/>
            <rFont val="Tahoma"/>
            <family val="2"/>
          </rPr>
          <t xml:space="preserve">
</t>
        </r>
      </text>
    </comment>
    <comment ref="W1088" authorId="0" shapeId="0">
      <text>
        <r>
          <rPr>
            <b/>
            <sz val="9"/>
            <color indexed="81"/>
            <rFont val="Tahoma"/>
            <family val="2"/>
          </rPr>
          <t>MO TRM</t>
        </r>
        <r>
          <rPr>
            <sz val="9"/>
            <color indexed="81"/>
            <rFont val="Tahoma"/>
            <family val="2"/>
          </rPr>
          <t xml:space="preserve">
</t>
        </r>
      </text>
    </comment>
    <comment ref="X1088" authorId="0" shapeId="0">
      <text>
        <r>
          <rPr>
            <b/>
            <sz val="9"/>
            <color indexed="81"/>
            <rFont val="Tahoma"/>
            <family val="2"/>
          </rPr>
          <t>2017 Cadmus EM&amp;V - 2016 -2017 AMR Data &amp; HP</t>
        </r>
        <r>
          <rPr>
            <sz val="9"/>
            <color indexed="81"/>
            <rFont val="Tahoma"/>
            <family val="2"/>
          </rPr>
          <t xml:space="preserve">
</t>
        </r>
      </text>
    </comment>
    <comment ref="K1089" authorId="0" shapeId="0">
      <text>
        <r>
          <rPr>
            <b/>
            <sz val="9"/>
            <color indexed="81"/>
            <rFont val="Tahoma"/>
            <family val="2"/>
          </rPr>
          <t>2017 Cadmus EM&amp;V - 2016 -2017 AMR Data &amp; HP</t>
        </r>
        <r>
          <rPr>
            <sz val="9"/>
            <color indexed="81"/>
            <rFont val="Tahoma"/>
            <family val="2"/>
          </rPr>
          <t xml:space="preserve">
</t>
        </r>
      </text>
    </comment>
    <comment ref="W1089" authorId="0" shapeId="0">
      <text>
        <r>
          <rPr>
            <b/>
            <sz val="9"/>
            <color indexed="81"/>
            <rFont val="Tahoma"/>
            <family val="2"/>
          </rPr>
          <t>MO TRM</t>
        </r>
        <r>
          <rPr>
            <sz val="9"/>
            <color indexed="81"/>
            <rFont val="Tahoma"/>
            <family val="2"/>
          </rPr>
          <t xml:space="preserve">
</t>
        </r>
      </text>
    </comment>
    <comment ref="X1089" authorId="0" shapeId="0">
      <text>
        <r>
          <rPr>
            <b/>
            <sz val="9"/>
            <color indexed="81"/>
            <rFont val="Tahoma"/>
            <family val="2"/>
          </rPr>
          <t>2017 Cadmus EM&amp;V - 2016 -2017 AMR Data &amp; HP</t>
        </r>
        <r>
          <rPr>
            <sz val="9"/>
            <color indexed="81"/>
            <rFont val="Tahoma"/>
            <family val="2"/>
          </rPr>
          <t xml:space="preserve">
</t>
        </r>
      </text>
    </comment>
    <comment ref="K1090" authorId="0" shapeId="0">
      <text>
        <r>
          <rPr>
            <b/>
            <sz val="9"/>
            <color indexed="81"/>
            <rFont val="Tahoma"/>
            <family val="2"/>
          </rPr>
          <t>2017 Cadmus EM&amp;V - 2016 -2017 AMR Data &amp; HP</t>
        </r>
        <r>
          <rPr>
            <sz val="9"/>
            <color indexed="81"/>
            <rFont val="Tahoma"/>
            <family val="2"/>
          </rPr>
          <t xml:space="preserve">
</t>
        </r>
      </text>
    </comment>
    <comment ref="W1090" authorId="0" shapeId="0">
      <text>
        <r>
          <rPr>
            <b/>
            <sz val="9"/>
            <color indexed="81"/>
            <rFont val="Tahoma"/>
            <family val="2"/>
          </rPr>
          <t>MO TRM</t>
        </r>
        <r>
          <rPr>
            <sz val="9"/>
            <color indexed="81"/>
            <rFont val="Tahoma"/>
            <family val="2"/>
          </rPr>
          <t xml:space="preserve">
</t>
        </r>
      </text>
    </comment>
    <comment ref="X1090" authorId="0" shapeId="0">
      <text>
        <r>
          <rPr>
            <b/>
            <sz val="9"/>
            <color indexed="81"/>
            <rFont val="Tahoma"/>
            <family val="2"/>
          </rPr>
          <t>2017 Cadmus EM&amp;V - 2016 -2017 AMR Data &amp; HP</t>
        </r>
        <r>
          <rPr>
            <sz val="9"/>
            <color indexed="81"/>
            <rFont val="Tahoma"/>
            <family val="2"/>
          </rPr>
          <t xml:space="preserve">
</t>
        </r>
      </text>
    </comment>
    <comment ref="K1091" authorId="0" shapeId="0">
      <text>
        <r>
          <rPr>
            <b/>
            <sz val="9"/>
            <color indexed="81"/>
            <rFont val="Tahoma"/>
            <family val="2"/>
          </rPr>
          <t>2017 Cadmus EM&amp;V - 2016 -2017 AMR Data &amp; HP</t>
        </r>
        <r>
          <rPr>
            <sz val="9"/>
            <color indexed="81"/>
            <rFont val="Tahoma"/>
            <family val="2"/>
          </rPr>
          <t xml:space="preserve">
</t>
        </r>
      </text>
    </comment>
    <comment ref="W1091" authorId="0" shapeId="0">
      <text>
        <r>
          <rPr>
            <b/>
            <sz val="9"/>
            <color indexed="81"/>
            <rFont val="Tahoma"/>
            <family val="2"/>
          </rPr>
          <t>MO TRM</t>
        </r>
        <r>
          <rPr>
            <sz val="9"/>
            <color indexed="81"/>
            <rFont val="Tahoma"/>
            <family val="2"/>
          </rPr>
          <t xml:space="preserve">
</t>
        </r>
      </text>
    </comment>
    <comment ref="X1091" authorId="0" shapeId="0">
      <text>
        <r>
          <rPr>
            <b/>
            <sz val="9"/>
            <color indexed="81"/>
            <rFont val="Tahoma"/>
            <family val="2"/>
          </rPr>
          <t>2017 Cadmus EM&amp;V - 2016 -2017 AMR Data &amp; HP</t>
        </r>
        <r>
          <rPr>
            <sz val="9"/>
            <color indexed="81"/>
            <rFont val="Tahoma"/>
            <family val="2"/>
          </rPr>
          <t xml:space="preserve">
</t>
        </r>
      </text>
    </comment>
    <comment ref="K1092" authorId="0" shapeId="0">
      <text>
        <r>
          <rPr>
            <b/>
            <sz val="9"/>
            <color indexed="81"/>
            <rFont val="Tahoma"/>
            <family val="2"/>
          </rPr>
          <t>2017 Cadmus EM&amp;V - 2016 -2017 AMR Data &amp; HP</t>
        </r>
        <r>
          <rPr>
            <sz val="9"/>
            <color indexed="81"/>
            <rFont val="Tahoma"/>
            <family val="2"/>
          </rPr>
          <t xml:space="preserve">
</t>
        </r>
      </text>
    </comment>
    <comment ref="W1092" authorId="0" shapeId="0">
      <text>
        <r>
          <rPr>
            <b/>
            <sz val="9"/>
            <color indexed="81"/>
            <rFont val="Tahoma"/>
            <family val="2"/>
          </rPr>
          <t>MO TRM</t>
        </r>
        <r>
          <rPr>
            <sz val="9"/>
            <color indexed="81"/>
            <rFont val="Tahoma"/>
            <family val="2"/>
          </rPr>
          <t xml:space="preserve">
</t>
        </r>
      </text>
    </comment>
    <comment ref="X1092" authorId="0" shapeId="0">
      <text>
        <r>
          <rPr>
            <b/>
            <sz val="9"/>
            <color indexed="81"/>
            <rFont val="Tahoma"/>
            <family val="2"/>
          </rPr>
          <t>2017 Cadmus EM&amp;V - 2016 -2017 AMR Data &amp; HP</t>
        </r>
        <r>
          <rPr>
            <sz val="9"/>
            <color indexed="81"/>
            <rFont val="Tahoma"/>
            <family val="2"/>
          </rPr>
          <t xml:space="preserve">
</t>
        </r>
      </text>
    </comment>
    <comment ref="K1093" authorId="0" shapeId="0">
      <text>
        <r>
          <rPr>
            <b/>
            <sz val="9"/>
            <color indexed="81"/>
            <rFont val="Tahoma"/>
            <family val="2"/>
          </rPr>
          <t>2017 Cadmus EM&amp;V - 2016 -2017 AMR Data &amp; HP</t>
        </r>
        <r>
          <rPr>
            <sz val="9"/>
            <color indexed="81"/>
            <rFont val="Tahoma"/>
            <family val="2"/>
          </rPr>
          <t xml:space="preserve">
</t>
        </r>
      </text>
    </comment>
    <comment ref="W1093" authorId="0" shapeId="0">
      <text>
        <r>
          <rPr>
            <b/>
            <sz val="9"/>
            <color indexed="81"/>
            <rFont val="Tahoma"/>
            <family val="2"/>
          </rPr>
          <t>MO TRM</t>
        </r>
        <r>
          <rPr>
            <sz val="9"/>
            <color indexed="81"/>
            <rFont val="Tahoma"/>
            <family val="2"/>
          </rPr>
          <t xml:space="preserve">
</t>
        </r>
      </text>
    </comment>
    <comment ref="X1093" authorId="0" shapeId="0">
      <text>
        <r>
          <rPr>
            <b/>
            <sz val="9"/>
            <color indexed="81"/>
            <rFont val="Tahoma"/>
            <family val="2"/>
          </rPr>
          <t>2017 Cadmus EM&amp;V - 2016 -2017 AMR Data &amp; HP</t>
        </r>
        <r>
          <rPr>
            <sz val="9"/>
            <color indexed="81"/>
            <rFont val="Tahoma"/>
            <family val="2"/>
          </rPr>
          <t xml:space="preserve">
</t>
        </r>
      </text>
    </comment>
    <comment ref="K1094" authorId="0" shapeId="0">
      <text>
        <r>
          <rPr>
            <b/>
            <sz val="9"/>
            <color indexed="81"/>
            <rFont val="Tahoma"/>
            <family val="2"/>
          </rPr>
          <t>2017 Cadmus EM&amp;V - 2016 -2017 AMR Data &amp; HP</t>
        </r>
        <r>
          <rPr>
            <sz val="9"/>
            <color indexed="81"/>
            <rFont val="Tahoma"/>
            <family val="2"/>
          </rPr>
          <t xml:space="preserve">
</t>
        </r>
      </text>
    </comment>
    <comment ref="W1094" authorId="0" shapeId="0">
      <text>
        <r>
          <rPr>
            <b/>
            <sz val="9"/>
            <color indexed="81"/>
            <rFont val="Tahoma"/>
            <family val="2"/>
          </rPr>
          <t>MO TRM</t>
        </r>
        <r>
          <rPr>
            <sz val="9"/>
            <color indexed="81"/>
            <rFont val="Tahoma"/>
            <family val="2"/>
          </rPr>
          <t xml:space="preserve">
</t>
        </r>
      </text>
    </comment>
    <comment ref="X1094" authorId="0" shapeId="0">
      <text>
        <r>
          <rPr>
            <b/>
            <sz val="9"/>
            <color indexed="81"/>
            <rFont val="Tahoma"/>
            <family val="2"/>
          </rPr>
          <t>2017 Cadmus EM&amp;V - 2016 -2017 AMR Data &amp; HP</t>
        </r>
        <r>
          <rPr>
            <sz val="9"/>
            <color indexed="81"/>
            <rFont val="Tahoma"/>
            <family val="2"/>
          </rPr>
          <t xml:space="preserve">
</t>
        </r>
      </text>
    </comment>
    <comment ref="K1095" authorId="0" shapeId="0">
      <text>
        <r>
          <rPr>
            <b/>
            <sz val="9"/>
            <color indexed="81"/>
            <rFont val="Tahoma"/>
            <family val="2"/>
          </rPr>
          <t>2017 Cadmus EM&amp;V - 2016 -2017 AMR Data &amp; HP</t>
        </r>
        <r>
          <rPr>
            <sz val="9"/>
            <color indexed="81"/>
            <rFont val="Tahoma"/>
            <family val="2"/>
          </rPr>
          <t xml:space="preserve">
</t>
        </r>
      </text>
    </comment>
    <comment ref="W1095" authorId="0" shapeId="0">
      <text>
        <r>
          <rPr>
            <b/>
            <sz val="9"/>
            <color indexed="81"/>
            <rFont val="Tahoma"/>
            <family val="2"/>
          </rPr>
          <t>MO TRM</t>
        </r>
        <r>
          <rPr>
            <sz val="9"/>
            <color indexed="81"/>
            <rFont val="Tahoma"/>
            <family val="2"/>
          </rPr>
          <t xml:space="preserve">
</t>
        </r>
      </text>
    </comment>
    <comment ref="X1095" authorId="0" shapeId="0">
      <text>
        <r>
          <rPr>
            <b/>
            <sz val="9"/>
            <color indexed="81"/>
            <rFont val="Tahoma"/>
            <family val="2"/>
          </rPr>
          <t>2017 Cadmus EM&amp;V - 2016 -2017 AMR Data &amp; HP</t>
        </r>
        <r>
          <rPr>
            <sz val="9"/>
            <color indexed="81"/>
            <rFont val="Tahoma"/>
            <family val="2"/>
          </rPr>
          <t xml:space="preserve">
</t>
        </r>
      </text>
    </comment>
    <comment ref="K1096" authorId="0" shapeId="0">
      <text>
        <r>
          <rPr>
            <b/>
            <sz val="9"/>
            <color indexed="81"/>
            <rFont val="Tahoma"/>
            <family val="2"/>
          </rPr>
          <t>2017 Cadmus EM&amp;V - 2016 -2017 AMR Data &amp; HP</t>
        </r>
        <r>
          <rPr>
            <sz val="9"/>
            <color indexed="81"/>
            <rFont val="Tahoma"/>
            <family val="2"/>
          </rPr>
          <t xml:space="preserve">
</t>
        </r>
      </text>
    </comment>
    <comment ref="W1096" authorId="0" shapeId="0">
      <text>
        <r>
          <rPr>
            <b/>
            <sz val="9"/>
            <color indexed="81"/>
            <rFont val="Tahoma"/>
            <family val="2"/>
          </rPr>
          <t>MO TRM</t>
        </r>
        <r>
          <rPr>
            <sz val="9"/>
            <color indexed="81"/>
            <rFont val="Tahoma"/>
            <family val="2"/>
          </rPr>
          <t xml:space="preserve">
</t>
        </r>
      </text>
    </comment>
    <comment ref="X1096" authorId="0" shapeId="0">
      <text>
        <r>
          <rPr>
            <b/>
            <sz val="9"/>
            <color indexed="81"/>
            <rFont val="Tahoma"/>
            <family val="2"/>
          </rPr>
          <t>2017 Cadmus EM&amp;V - 2016 -2017 AMR Data &amp; HP</t>
        </r>
        <r>
          <rPr>
            <sz val="9"/>
            <color indexed="81"/>
            <rFont val="Tahoma"/>
            <family val="2"/>
          </rPr>
          <t xml:space="preserve">
</t>
        </r>
      </text>
    </comment>
    <comment ref="K1097" authorId="0" shapeId="0">
      <text>
        <r>
          <rPr>
            <b/>
            <sz val="9"/>
            <color indexed="81"/>
            <rFont val="Tahoma"/>
            <family val="2"/>
          </rPr>
          <t>2017 Cadmus EM&amp;V - 2016 -2017 AMR Data &amp; HP</t>
        </r>
        <r>
          <rPr>
            <sz val="9"/>
            <color indexed="81"/>
            <rFont val="Tahoma"/>
            <family val="2"/>
          </rPr>
          <t xml:space="preserve">
</t>
        </r>
      </text>
    </comment>
    <comment ref="W1097" authorId="0" shapeId="0">
      <text>
        <r>
          <rPr>
            <b/>
            <sz val="9"/>
            <color indexed="81"/>
            <rFont val="Tahoma"/>
            <family val="2"/>
          </rPr>
          <t>MO TRM</t>
        </r>
        <r>
          <rPr>
            <sz val="9"/>
            <color indexed="81"/>
            <rFont val="Tahoma"/>
            <family val="2"/>
          </rPr>
          <t xml:space="preserve">
</t>
        </r>
      </text>
    </comment>
    <comment ref="X1097" authorId="0" shapeId="0">
      <text>
        <r>
          <rPr>
            <b/>
            <sz val="9"/>
            <color indexed="81"/>
            <rFont val="Tahoma"/>
            <family val="2"/>
          </rPr>
          <t>2017 Cadmus EM&amp;V - 2016 -2017 AMR Data &amp; HP</t>
        </r>
        <r>
          <rPr>
            <sz val="9"/>
            <color indexed="81"/>
            <rFont val="Tahoma"/>
            <family val="2"/>
          </rPr>
          <t xml:space="preserve">
</t>
        </r>
      </text>
    </comment>
    <comment ref="K1098" authorId="0" shapeId="0">
      <text>
        <r>
          <rPr>
            <b/>
            <sz val="9"/>
            <color indexed="81"/>
            <rFont val="Tahoma"/>
            <family val="2"/>
          </rPr>
          <t>2017 Cadmus EM&amp;V - 2016 -2017 AMR Data &amp; HP</t>
        </r>
        <r>
          <rPr>
            <sz val="9"/>
            <color indexed="81"/>
            <rFont val="Tahoma"/>
            <family val="2"/>
          </rPr>
          <t xml:space="preserve">
</t>
        </r>
      </text>
    </comment>
    <comment ref="W1098" authorId="0" shapeId="0">
      <text>
        <r>
          <rPr>
            <b/>
            <sz val="9"/>
            <color indexed="81"/>
            <rFont val="Tahoma"/>
            <family val="2"/>
          </rPr>
          <t>MO TRM</t>
        </r>
        <r>
          <rPr>
            <sz val="9"/>
            <color indexed="81"/>
            <rFont val="Tahoma"/>
            <family val="2"/>
          </rPr>
          <t xml:space="preserve">
</t>
        </r>
      </text>
    </comment>
    <comment ref="X1098" authorId="0" shapeId="0">
      <text>
        <r>
          <rPr>
            <b/>
            <sz val="9"/>
            <color indexed="81"/>
            <rFont val="Tahoma"/>
            <family val="2"/>
          </rPr>
          <t>2017 Cadmus EM&amp;V - 2016 -2017 AMR Data &amp; HP</t>
        </r>
        <r>
          <rPr>
            <sz val="9"/>
            <color indexed="81"/>
            <rFont val="Tahoma"/>
            <family val="2"/>
          </rPr>
          <t xml:space="preserve">
</t>
        </r>
      </text>
    </comment>
    <comment ref="K1099" authorId="0" shapeId="0">
      <text>
        <r>
          <rPr>
            <b/>
            <sz val="9"/>
            <color indexed="81"/>
            <rFont val="Tahoma"/>
            <family val="2"/>
          </rPr>
          <t>2017 Cadmus EM&amp;V - 2016 -2017 AMR Data &amp; HP</t>
        </r>
        <r>
          <rPr>
            <sz val="9"/>
            <color indexed="81"/>
            <rFont val="Tahoma"/>
            <family val="2"/>
          </rPr>
          <t xml:space="preserve">
</t>
        </r>
      </text>
    </comment>
    <comment ref="W1099" authorId="0" shapeId="0">
      <text>
        <r>
          <rPr>
            <b/>
            <sz val="9"/>
            <color indexed="81"/>
            <rFont val="Tahoma"/>
            <family val="2"/>
          </rPr>
          <t>MO TRM</t>
        </r>
        <r>
          <rPr>
            <sz val="9"/>
            <color indexed="81"/>
            <rFont val="Tahoma"/>
            <family val="2"/>
          </rPr>
          <t xml:space="preserve">
</t>
        </r>
      </text>
    </comment>
    <comment ref="X1099" authorId="0" shapeId="0">
      <text>
        <r>
          <rPr>
            <b/>
            <sz val="9"/>
            <color indexed="81"/>
            <rFont val="Tahoma"/>
            <family val="2"/>
          </rPr>
          <t>2017 Cadmus EM&amp;V - 2016 -2017 AMR Data &amp; HP</t>
        </r>
        <r>
          <rPr>
            <sz val="9"/>
            <color indexed="81"/>
            <rFont val="Tahoma"/>
            <family val="2"/>
          </rPr>
          <t xml:space="preserve">
</t>
        </r>
      </text>
    </comment>
    <comment ref="K1100" authorId="0" shapeId="0">
      <text>
        <r>
          <rPr>
            <b/>
            <sz val="9"/>
            <color indexed="81"/>
            <rFont val="Tahoma"/>
            <family val="2"/>
          </rPr>
          <t>2017 Cadmus EM&amp;V - 2016 -2017 AMR Data &amp; HP</t>
        </r>
        <r>
          <rPr>
            <sz val="9"/>
            <color indexed="81"/>
            <rFont val="Tahoma"/>
            <family val="2"/>
          </rPr>
          <t xml:space="preserve">
</t>
        </r>
      </text>
    </comment>
    <comment ref="W1100" authorId="0" shapeId="0">
      <text>
        <r>
          <rPr>
            <b/>
            <sz val="9"/>
            <color indexed="81"/>
            <rFont val="Tahoma"/>
            <family val="2"/>
          </rPr>
          <t>MO TRM</t>
        </r>
        <r>
          <rPr>
            <sz val="9"/>
            <color indexed="81"/>
            <rFont val="Tahoma"/>
            <family val="2"/>
          </rPr>
          <t xml:space="preserve">
</t>
        </r>
      </text>
    </comment>
    <comment ref="X1100" authorId="0" shapeId="0">
      <text>
        <r>
          <rPr>
            <b/>
            <sz val="9"/>
            <color indexed="81"/>
            <rFont val="Tahoma"/>
            <family val="2"/>
          </rPr>
          <t>2017 Cadmus EM&amp;V - 2016 -2017 AMR Data &amp; HP</t>
        </r>
        <r>
          <rPr>
            <sz val="9"/>
            <color indexed="81"/>
            <rFont val="Tahoma"/>
            <family val="2"/>
          </rPr>
          <t xml:space="preserve">
</t>
        </r>
      </text>
    </comment>
    <comment ref="K1101" authorId="0" shapeId="0">
      <text>
        <r>
          <rPr>
            <b/>
            <sz val="9"/>
            <color indexed="81"/>
            <rFont val="Tahoma"/>
            <family val="2"/>
          </rPr>
          <t>2017 Cadmus EM&amp;V - 2016 -2017 AMR Data &amp; HP</t>
        </r>
        <r>
          <rPr>
            <sz val="9"/>
            <color indexed="81"/>
            <rFont val="Tahoma"/>
            <family val="2"/>
          </rPr>
          <t xml:space="preserve">
</t>
        </r>
      </text>
    </comment>
    <comment ref="W1101" authorId="0" shapeId="0">
      <text>
        <r>
          <rPr>
            <b/>
            <sz val="9"/>
            <color indexed="81"/>
            <rFont val="Tahoma"/>
            <family val="2"/>
          </rPr>
          <t>MO TRM</t>
        </r>
        <r>
          <rPr>
            <sz val="9"/>
            <color indexed="81"/>
            <rFont val="Tahoma"/>
            <family val="2"/>
          </rPr>
          <t xml:space="preserve">
</t>
        </r>
      </text>
    </comment>
    <comment ref="X1101" authorId="0" shapeId="0">
      <text>
        <r>
          <rPr>
            <b/>
            <sz val="9"/>
            <color indexed="81"/>
            <rFont val="Tahoma"/>
            <family val="2"/>
          </rPr>
          <t>2017 Cadmus EM&amp;V - 2016 -2017 AMR Data &amp; HP</t>
        </r>
        <r>
          <rPr>
            <sz val="9"/>
            <color indexed="81"/>
            <rFont val="Tahoma"/>
            <family val="2"/>
          </rPr>
          <t xml:space="preserve">
</t>
        </r>
      </text>
    </comment>
    <comment ref="K1102" authorId="0" shapeId="0">
      <text>
        <r>
          <rPr>
            <b/>
            <sz val="9"/>
            <color indexed="81"/>
            <rFont val="Tahoma"/>
            <family val="2"/>
          </rPr>
          <t>2017 Cadmus EM&amp;V - 2016 -2017 AMR Data &amp; HP</t>
        </r>
        <r>
          <rPr>
            <sz val="9"/>
            <color indexed="81"/>
            <rFont val="Tahoma"/>
            <family val="2"/>
          </rPr>
          <t xml:space="preserve">
</t>
        </r>
      </text>
    </comment>
    <comment ref="W1102" authorId="0" shapeId="0">
      <text>
        <r>
          <rPr>
            <b/>
            <sz val="9"/>
            <color indexed="81"/>
            <rFont val="Tahoma"/>
            <family val="2"/>
          </rPr>
          <t>MO TRM</t>
        </r>
        <r>
          <rPr>
            <sz val="9"/>
            <color indexed="81"/>
            <rFont val="Tahoma"/>
            <family val="2"/>
          </rPr>
          <t xml:space="preserve">
</t>
        </r>
      </text>
    </comment>
    <comment ref="X1102" authorId="0" shapeId="0">
      <text>
        <r>
          <rPr>
            <b/>
            <sz val="9"/>
            <color indexed="81"/>
            <rFont val="Tahoma"/>
            <family val="2"/>
          </rPr>
          <t>2017 Cadmus EM&amp;V - 2016 -2017 AMR Data &amp; HP</t>
        </r>
        <r>
          <rPr>
            <sz val="9"/>
            <color indexed="81"/>
            <rFont val="Tahoma"/>
            <family val="2"/>
          </rPr>
          <t xml:space="preserve">
</t>
        </r>
      </text>
    </comment>
    <comment ref="K1103" authorId="0" shapeId="0">
      <text>
        <r>
          <rPr>
            <b/>
            <sz val="9"/>
            <color indexed="81"/>
            <rFont val="Tahoma"/>
            <family val="2"/>
          </rPr>
          <t>2017 Cadmus EM&amp;V - 2016 -2017 AMR Data &amp; HP</t>
        </r>
        <r>
          <rPr>
            <sz val="9"/>
            <color indexed="81"/>
            <rFont val="Tahoma"/>
            <family val="2"/>
          </rPr>
          <t xml:space="preserve">
</t>
        </r>
      </text>
    </comment>
    <comment ref="W1103" authorId="0" shapeId="0">
      <text>
        <r>
          <rPr>
            <b/>
            <sz val="9"/>
            <color indexed="81"/>
            <rFont val="Tahoma"/>
            <family val="2"/>
          </rPr>
          <t>MO TRM</t>
        </r>
        <r>
          <rPr>
            <sz val="9"/>
            <color indexed="81"/>
            <rFont val="Tahoma"/>
            <family val="2"/>
          </rPr>
          <t xml:space="preserve">
</t>
        </r>
      </text>
    </comment>
    <comment ref="X1103" authorId="0" shapeId="0">
      <text>
        <r>
          <rPr>
            <b/>
            <sz val="9"/>
            <color indexed="81"/>
            <rFont val="Tahoma"/>
            <family val="2"/>
          </rPr>
          <t>2017 Cadmus EM&amp;V - 2016 -2017 AMR Data &amp; HP</t>
        </r>
        <r>
          <rPr>
            <sz val="9"/>
            <color indexed="81"/>
            <rFont val="Tahoma"/>
            <family val="2"/>
          </rPr>
          <t xml:space="preserve">
</t>
        </r>
      </text>
    </comment>
    <comment ref="K1104" authorId="0" shapeId="0">
      <text>
        <r>
          <rPr>
            <b/>
            <sz val="9"/>
            <color indexed="81"/>
            <rFont val="Tahoma"/>
            <family val="2"/>
          </rPr>
          <t>2017 Cadmus EM&amp;V - 2016 -2017 AMR Data &amp; HP</t>
        </r>
        <r>
          <rPr>
            <sz val="9"/>
            <color indexed="81"/>
            <rFont val="Tahoma"/>
            <family val="2"/>
          </rPr>
          <t xml:space="preserve">
</t>
        </r>
      </text>
    </comment>
    <comment ref="W1104" authorId="0" shapeId="0">
      <text>
        <r>
          <rPr>
            <b/>
            <sz val="9"/>
            <color indexed="81"/>
            <rFont val="Tahoma"/>
            <family val="2"/>
          </rPr>
          <t>MO TRM</t>
        </r>
        <r>
          <rPr>
            <sz val="9"/>
            <color indexed="81"/>
            <rFont val="Tahoma"/>
            <family val="2"/>
          </rPr>
          <t xml:space="preserve">
</t>
        </r>
      </text>
    </comment>
    <comment ref="X1104" authorId="0" shapeId="0">
      <text>
        <r>
          <rPr>
            <b/>
            <sz val="9"/>
            <color indexed="81"/>
            <rFont val="Tahoma"/>
            <family val="2"/>
          </rPr>
          <t>2017 Cadmus EM&amp;V - 2016 -2017 AMR Data &amp; HP</t>
        </r>
        <r>
          <rPr>
            <sz val="9"/>
            <color indexed="81"/>
            <rFont val="Tahoma"/>
            <family val="2"/>
          </rPr>
          <t xml:space="preserve">
</t>
        </r>
      </text>
    </comment>
    <comment ref="K1105" authorId="0" shapeId="0">
      <text>
        <r>
          <rPr>
            <b/>
            <sz val="9"/>
            <color indexed="81"/>
            <rFont val="Tahoma"/>
            <family val="2"/>
          </rPr>
          <t>2017 Cadmus EM&amp;V - 2016 -2017 AMR Data &amp; HP</t>
        </r>
        <r>
          <rPr>
            <sz val="9"/>
            <color indexed="81"/>
            <rFont val="Tahoma"/>
            <family val="2"/>
          </rPr>
          <t xml:space="preserve">
</t>
        </r>
      </text>
    </comment>
    <comment ref="W1105" authorId="0" shapeId="0">
      <text>
        <r>
          <rPr>
            <b/>
            <sz val="9"/>
            <color indexed="81"/>
            <rFont val="Tahoma"/>
            <family val="2"/>
          </rPr>
          <t>MO TRM</t>
        </r>
        <r>
          <rPr>
            <sz val="9"/>
            <color indexed="81"/>
            <rFont val="Tahoma"/>
            <family val="2"/>
          </rPr>
          <t xml:space="preserve">
</t>
        </r>
      </text>
    </comment>
    <comment ref="X1105" authorId="0" shapeId="0">
      <text>
        <r>
          <rPr>
            <b/>
            <sz val="9"/>
            <color indexed="81"/>
            <rFont val="Tahoma"/>
            <family val="2"/>
          </rPr>
          <t>2017 Cadmus EM&amp;V - 2016 -2017 AMR Data &amp; HP</t>
        </r>
        <r>
          <rPr>
            <sz val="9"/>
            <color indexed="81"/>
            <rFont val="Tahoma"/>
            <family val="2"/>
          </rPr>
          <t xml:space="preserve">
</t>
        </r>
      </text>
    </comment>
    <comment ref="K1106" authorId="0" shapeId="0">
      <text>
        <r>
          <rPr>
            <b/>
            <sz val="9"/>
            <color indexed="81"/>
            <rFont val="Tahoma"/>
            <family val="2"/>
          </rPr>
          <t>2017 Cadmus EM&amp;V - 2016 -2017 AMR Data &amp; HP</t>
        </r>
        <r>
          <rPr>
            <sz val="9"/>
            <color indexed="81"/>
            <rFont val="Tahoma"/>
            <family val="2"/>
          </rPr>
          <t xml:space="preserve">
</t>
        </r>
      </text>
    </comment>
    <comment ref="W1106" authorId="0" shapeId="0">
      <text>
        <r>
          <rPr>
            <b/>
            <sz val="9"/>
            <color indexed="81"/>
            <rFont val="Tahoma"/>
            <family val="2"/>
          </rPr>
          <t>MO TRM</t>
        </r>
        <r>
          <rPr>
            <sz val="9"/>
            <color indexed="81"/>
            <rFont val="Tahoma"/>
            <family val="2"/>
          </rPr>
          <t xml:space="preserve">
</t>
        </r>
      </text>
    </comment>
    <comment ref="X1106" authorId="0" shapeId="0">
      <text>
        <r>
          <rPr>
            <b/>
            <sz val="9"/>
            <color indexed="81"/>
            <rFont val="Tahoma"/>
            <family val="2"/>
          </rPr>
          <t>2017 Cadmus EM&amp;V - 2016 -2017 AMR Data &amp; HP</t>
        </r>
        <r>
          <rPr>
            <sz val="9"/>
            <color indexed="81"/>
            <rFont val="Tahoma"/>
            <family val="2"/>
          </rPr>
          <t xml:space="preserve">
</t>
        </r>
      </text>
    </comment>
    <comment ref="K1107" authorId="0" shapeId="0">
      <text>
        <r>
          <rPr>
            <b/>
            <sz val="9"/>
            <color indexed="81"/>
            <rFont val="Tahoma"/>
            <family val="2"/>
          </rPr>
          <t>2017 Cadmus EM&amp;V - 2016 -2017 AMR Data &amp; HP</t>
        </r>
        <r>
          <rPr>
            <sz val="9"/>
            <color indexed="81"/>
            <rFont val="Tahoma"/>
            <family val="2"/>
          </rPr>
          <t xml:space="preserve">
</t>
        </r>
      </text>
    </comment>
    <comment ref="W1107" authorId="0" shapeId="0">
      <text>
        <r>
          <rPr>
            <b/>
            <sz val="9"/>
            <color indexed="81"/>
            <rFont val="Tahoma"/>
            <family val="2"/>
          </rPr>
          <t>MO TRM</t>
        </r>
        <r>
          <rPr>
            <sz val="9"/>
            <color indexed="81"/>
            <rFont val="Tahoma"/>
            <family val="2"/>
          </rPr>
          <t xml:space="preserve">
</t>
        </r>
      </text>
    </comment>
    <comment ref="X1107" authorId="0" shapeId="0">
      <text>
        <r>
          <rPr>
            <b/>
            <sz val="9"/>
            <color indexed="81"/>
            <rFont val="Tahoma"/>
            <family val="2"/>
          </rPr>
          <t>2017 Cadmus EM&amp;V - 2016 -2017 AMR Data &amp; HP</t>
        </r>
        <r>
          <rPr>
            <sz val="9"/>
            <color indexed="81"/>
            <rFont val="Tahoma"/>
            <family val="2"/>
          </rPr>
          <t xml:space="preserve">
</t>
        </r>
      </text>
    </comment>
    <comment ref="K1108" authorId="0" shapeId="0">
      <text>
        <r>
          <rPr>
            <b/>
            <sz val="9"/>
            <color indexed="81"/>
            <rFont val="Tahoma"/>
            <family val="2"/>
          </rPr>
          <t>2017 Cadmus EM&amp;V - 2016 -2017 AMR Data &amp; HP</t>
        </r>
        <r>
          <rPr>
            <sz val="9"/>
            <color indexed="81"/>
            <rFont val="Tahoma"/>
            <family val="2"/>
          </rPr>
          <t xml:space="preserve">
</t>
        </r>
      </text>
    </comment>
    <comment ref="W1108" authorId="0" shapeId="0">
      <text>
        <r>
          <rPr>
            <b/>
            <sz val="9"/>
            <color indexed="81"/>
            <rFont val="Tahoma"/>
            <family val="2"/>
          </rPr>
          <t>MO TRM</t>
        </r>
        <r>
          <rPr>
            <sz val="9"/>
            <color indexed="81"/>
            <rFont val="Tahoma"/>
            <family val="2"/>
          </rPr>
          <t xml:space="preserve">
</t>
        </r>
      </text>
    </comment>
    <comment ref="X1108" authorId="0" shapeId="0">
      <text>
        <r>
          <rPr>
            <b/>
            <sz val="9"/>
            <color indexed="81"/>
            <rFont val="Tahoma"/>
            <family val="2"/>
          </rPr>
          <t>2017 Cadmus EM&amp;V - 2016 -2017 AMR Data &amp; HP</t>
        </r>
        <r>
          <rPr>
            <sz val="9"/>
            <color indexed="81"/>
            <rFont val="Tahoma"/>
            <family val="2"/>
          </rPr>
          <t xml:space="preserve">
</t>
        </r>
      </text>
    </comment>
    <comment ref="K1109" authorId="0" shapeId="0">
      <text>
        <r>
          <rPr>
            <b/>
            <sz val="9"/>
            <color indexed="81"/>
            <rFont val="Tahoma"/>
            <family val="2"/>
          </rPr>
          <t>2017 Cadmus EM&amp;V - 2016 -2017 AMR Data &amp; HP</t>
        </r>
        <r>
          <rPr>
            <sz val="9"/>
            <color indexed="81"/>
            <rFont val="Tahoma"/>
            <family val="2"/>
          </rPr>
          <t xml:space="preserve">
</t>
        </r>
      </text>
    </comment>
    <comment ref="W1109" authorId="0" shapeId="0">
      <text>
        <r>
          <rPr>
            <b/>
            <sz val="9"/>
            <color indexed="81"/>
            <rFont val="Tahoma"/>
            <family val="2"/>
          </rPr>
          <t>MO TRM</t>
        </r>
        <r>
          <rPr>
            <sz val="9"/>
            <color indexed="81"/>
            <rFont val="Tahoma"/>
            <family val="2"/>
          </rPr>
          <t xml:space="preserve">
</t>
        </r>
      </text>
    </comment>
    <comment ref="X1109" authorId="0" shapeId="0">
      <text>
        <r>
          <rPr>
            <b/>
            <sz val="9"/>
            <color indexed="81"/>
            <rFont val="Tahoma"/>
            <family val="2"/>
          </rPr>
          <t>2017 Cadmus EM&amp;V - 2016 -2017 AMR Data &amp; HP</t>
        </r>
        <r>
          <rPr>
            <sz val="9"/>
            <color indexed="81"/>
            <rFont val="Tahoma"/>
            <family val="2"/>
          </rPr>
          <t xml:space="preserve">
</t>
        </r>
      </text>
    </comment>
    <comment ref="K1110" authorId="0" shapeId="0">
      <text>
        <r>
          <rPr>
            <b/>
            <sz val="9"/>
            <color indexed="81"/>
            <rFont val="Tahoma"/>
            <family val="2"/>
          </rPr>
          <t>2017 Cadmus EM&amp;V - 2016 -2017 AMR Data &amp; HP</t>
        </r>
        <r>
          <rPr>
            <sz val="9"/>
            <color indexed="81"/>
            <rFont val="Tahoma"/>
            <family val="2"/>
          </rPr>
          <t xml:space="preserve">
</t>
        </r>
      </text>
    </comment>
    <comment ref="W1110" authorId="0" shapeId="0">
      <text>
        <r>
          <rPr>
            <b/>
            <sz val="9"/>
            <color indexed="81"/>
            <rFont val="Tahoma"/>
            <family val="2"/>
          </rPr>
          <t>MO TRM</t>
        </r>
        <r>
          <rPr>
            <sz val="9"/>
            <color indexed="81"/>
            <rFont val="Tahoma"/>
            <family val="2"/>
          </rPr>
          <t xml:space="preserve">
</t>
        </r>
      </text>
    </comment>
    <comment ref="X1110" authorId="0" shapeId="0">
      <text>
        <r>
          <rPr>
            <b/>
            <sz val="9"/>
            <color indexed="81"/>
            <rFont val="Tahoma"/>
            <family val="2"/>
          </rPr>
          <t>2017 Cadmus EM&amp;V - 2016 -2017 AMR Data &amp; HP</t>
        </r>
        <r>
          <rPr>
            <sz val="9"/>
            <color indexed="81"/>
            <rFont val="Tahoma"/>
            <family val="2"/>
          </rPr>
          <t xml:space="preserve">
</t>
        </r>
      </text>
    </comment>
    <comment ref="K1111" authorId="0" shapeId="0">
      <text>
        <r>
          <rPr>
            <b/>
            <sz val="9"/>
            <color indexed="81"/>
            <rFont val="Tahoma"/>
            <family val="2"/>
          </rPr>
          <t>2017 Cadmus EM&amp;V - 2016 -2017 AMR Data &amp; HP</t>
        </r>
        <r>
          <rPr>
            <sz val="9"/>
            <color indexed="81"/>
            <rFont val="Tahoma"/>
            <family val="2"/>
          </rPr>
          <t xml:space="preserve">
</t>
        </r>
      </text>
    </comment>
    <comment ref="W1111" authorId="0" shapeId="0">
      <text>
        <r>
          <rPr>
            <b/>
            <sz val="9"/>
            <color indexed="81"/>
            <rFont val="Tahoma"/>
            <family val="2"/>
          </rPr>
          <t>MO TRM</t>
        </r>
        <r>
          <rPr>
            <sz val="9"/>
            <color indexed="81"/>
            <rFont val="Tahoma"/>
            <family val="2"/>
          </rPr>
          <t xml:space="preserve">
</t>
        </r>
      </text>
    </comment>
    <comment ref="X1111" authorId="0" shapeId="0">
      <text>
        <r>
          <rPr>
            <b/>
            <sz val="9"/>
            <color indexed="81"/>
            <rFont val="Tahoma"/>
            <family val="2"/>
          </rPr>
          <t>2017 Cadmus EM&amp;V - 2016 -2017 AMR Data &amp; HP</t>
        </r>
        <r>
          <rPr>
            <sz val="9"/>
            <color indexed="81"/>
            <rFont val="Tahoma"/>
            <family val="2"/>
          </rPr>
          <t xml:space="preserve">
</t>
        </r>
      </text>
    </comment>
    <comment ref="K1112" authorId="0" shapeId="0">
      <text>
        <r>
          <rPr>
            <b/>
            <sz val="9"/>
            <color indexed="81"/>
            <rFont val="Tahoma"/>
            <family val="2"/>
          </rPr>
          <t>2017 Cadmus EM&amp;V - 2016 -2017 AMR Data &amp; HP</t>
        </r>
        <r>
          <rPr>
            <sz val="9"/>
            <color indexed="81"/>
            <rFont val="Tahoma"/>
            <family val="2"/>
          </rPr>
          <t xml:space="preserve">
</t>
        </r>
      </text>
    </comment>
    <comment ref="W1112" authorId="0" shapeId="0">
      <text>
        <r>
          <rPr>
            <b/>
            <sz val="9"/>
            <color indexed="81"/>
            <rFont val="Tahoma"/>
            <family val="2"/>
          </rPr>
          <t>MO TRM</t>
        </r>
        <r>
          <rPr>
            <sz val="9"/>
            <color indexed="81"/>
            <rFont val="Tahoma"/>
            <family val="2"/>
          </rPr>
          <t xml:space="preserve">
</t>
        </r>
      </text>
    </comment>
    <comment ref="X1112" authorId="0" shapeId="0">
      <text>
        <r>
          <rPr>
            <b/>
            <sz val="9"/>
            <color indexed="81"/>
            <rFont val="Tahoma"/>
            <family val="2"/>
          </rPr>
          <t>2017 Cadmus EM&amp;V - 2016 -2017 AMR Data &amp; HP</t>
        </r>
        <r>
          <rPr>
            <sz val="9"/>
            <color indexed="81"/>
            <rFont val="Tahoma"/>
            <family val="2"/>
          </rPr>
          <t xml:space="preserve">
</t>
        </r>
      </text>
    </comment>
    <comment ref="K1113" authorId="0" shapeId="0">
      <text>
        <r>
          <rPr>
            <b/>
            <sz val="9"/>
            <color indexed="81"/>
            <rFont val="Tahoma"/>
            <family val="2"/>
          </rPr>
          <t>2017 Cadmus EM&amp;V - 2016 -2017 AMR Data &amp; HP</t>
        </r>
        <r>
          <rPr>
            <sz val="9"/>
            <color indexed="81"/>
            <rFont val="Tahoma"/>
            <family val="2"/>
          </rPr>
          <t xml:space="preserve">
</t>
        </r>
      </text>
    </comment>
    <comment ref="W1113" authorId="0" shapeId="0">
      <text>
        <r>
          <rPr>
            <b/>
            <sz val="9"/>
            <color indexed="81"/>
            <rFont val="Tahoma"/>
            <family val="2"/>
          </rPr>
          <t>MO TRM</t>
        </r>
        <r>
          <rPr>
            <sz val="9"/>
            <color indexed="81"/>
            <rFont val="Tahoma"/>
            <family val="2"/>
          </rPr>
          <t xml:space="preserve">
</t>
        </r>
      </text>
    </comment>
    <comment ref="X1113" authorId="0" shapeId="0">
      <text>
        <r>
          <rPr>
            <b/>
            <sz val="9"/>
            <color indexed="81"/>
            <rFont val="Tahoma"/>
            <family val="2"/>
          </rPr>
          <t>2017 Cadmus EM&amp;V - 2016 -2017 AMR Data &amp; HP</t>
        </r>
        <r>
          <rPr>
            <sz val="9"/>
            <color indexed="81"/>
            <rFont val="Tahoma"/>
            <family val="2"/>
          </rPr>
          <t xml:space="preserve">
</t>
        </r>
      </text>
    </comment>
    <comment ref="K1114" authorId="0" shapeId="0">
      <text>
        <r>
          <rPr>
            <b/>
            <sz val="9"/>
            <color indexed="81"/>
            <rFont val="Tahoma"/>
            <family val="2"/>
          </rPr>
          <t>2017 Cadmus EM&amp;V - 2016 -2017 AMR Data &amp; HP</t>
        </r>
        <r>
          <rPr>
            <sz val="9"/>
            <color indexed="81"/>
            <rFont val="Tahoma"/>
            <family val="2"/>
          </rPr>
          <t xml:space="preserve">
</t>
        </r>
      </text>
    </comment>
    <comment ref="W1114" authorId="0" shapeId="0">
      <text>
        <r>
          <rPr>
            <b/>
            <sz val="9"/>
            <color indexed="81"/>
            <rFont val="Tahoma"/>
            <family val="2"/>
          </rPr>
          <t>MO TRM</t>
        </r>
        <r>
          <rPr>
            <sz val="9"/>
            <color indexed="81"/>
            <rFont val="Tahoma"/>
            <family val="2"/>
          </rPr>
          <t xml:space="preserve">
</t>
        </r>
      </text>
    </comment>
    <comment ref="X1114" authorId="0" shapeId="0">
      <text>
        <r>
          <rPr>
            <b/>
            <sz val="9"/>
            <color indexed="81"/>
            <rFont val="Tahoma"/>
            <family val="2"/>
          </rPr>
          <t>2017 Cadmus EM&amp;V - 2016 -2017 AMR Data &amp; HP</t>
        </r>
        <r>
          <rPr>
            <sz val="9"/>
            <color indexed="81"/>
            <rFont val="Tahoma"/>
            <family val="2"/>
          </rPr>
          <t xml:space="preserve">
</t>
        </r>
      </text>
    </comment>
    <comment ref="K1115" authorId="0" shapeId="0">
      <text>
        <r>
          <rPr>
            <b/>
            <sz val="9"/>
            <color indexed="81"/>
            <rFont val="Tahoma"/>
            <family val="2"/>
          </rPr>
          <t>2017 Cadmus EM&amp;V - 2016 -2017 AMR Data &amp; HP</t>
        </r>
        <r>
          <rPr>
            <sz val="9"/>
            <color indexed="81"/>
            <rFont val="Tahoma"/>
            <family val="2"/>
          </rPr>
          <t xml:space="preserve">
</t>
        </r>
      </text>
    </comment>
    <comment ref="W1115" authorId="0" shapeId="0">
      <text>
        <r>
          <rPr>
            <b/>
            <sz val="9"/>
            <color indexed="81"/>
            <rFont val="Tahoma"/>
            <family val="2"/>
          </rPr>
          <t>MO TRM</t>
        </r>
        <r>
          <rPr>
            <sz val="9"/>
            <color indexed="81"/>
            <rFont val="Tahoma"/>
            <family val="2"/>
          </rPr>
          <t xml:space="preserve">
</t>
        </r>
      </text>
    </comment>
    <comment ref="X1115" authorId="0" shapeId="0">
      <text>
        <r>
          <rPr>
            <b/>
            <sz val="9"/>
            <color indexed="81"/>
            <rFont val="Tahoma"/>
            <family val="2"/>
          </rPr>
          <t>2017 Cadmus EM&amp;V - 2016 -2017 AMR Data &amp; HP</t>
        </r>
        <r>
          <rPr>
            <sz val="9"/>
            <color indexed="81"/>
            <rFont val="Tahoma"/>
            <family val="2"/>
          </rPr>
          <t xml:space="preserve">
</t>
        </r>
      </text>
    </comment>
    <comment ref="K1116" authorId="0" shapeId="0">
      <text>
        <r>
          <rPr>
            <b/>
            <sz val="9"/>
            <color indexed="81"/>
            <rFont val="Tahoma"/>
            <family val="2"/>
          </rPr>
          <t>2017 Cadmus EM&amp;V - 2016 -2017 AMR Data &amp; HP</t>
        </r>
        <r>
          <rPr>
            <sz val="9"/>
            <color indexed="81"/>
            <rFont val="Tahoma"/>
            <family val="2"/>
          </rPr>
          <t xml:space="preserve">
</t>
        </r>
      </text>
    </comment>
    <comment ref="W1116" authorId="0" shapeId="0">
      <text>
        <r>
          <rPr>
            <b/>
            <sz val="9"/>
            <color indexed="81"/>
            <rFont val="Tahoma"/>
            <family val="2"/>
          </rPr>
          <t>MO TRM</t>
        </r>
        <r>
          <rPr>
            <sz val="9"/>
            <color indexed="81"/>
            <rFont val="Tahoma"/>
            <family val="2"/>
          </rPr>
          <t xml:space="preserve">
</t>
        </r>
      </text>
    </comment>
    <comment ref="X1116" authorId="0" shapeId="0">
      <text>
        <r>
          <rPr>
            <b/>
            <sz val="9"/>
            <color indexed="81"/>
            <rFont val="Tahoma"/>
            <family val="2"/>
          </rPr>
          <t>2017 Cadmus EM&amp;V - 2016 -2017 AMR Data &amp; HP</t>
        </r>
        <r>
          <rPr>
            <sz val="9"/>
            <color indexed="81"/>
            <rFont val="Tahoma"/>
            <family val="2"/>
          </rPr>
          <t xml:space="preserve">
</t>
        </r>
      </text>
    </comment>
    <comment ref="K1117" authorId="0" shapeId="0">
      <text>
        <r>
          <rPr>
            <b/>
            <sz val="9"/>
            <color indexed="81"/>
            <rFont val="Tahoma"/>
            <family val="2"/>
          </rPr>
          <t>2017 Cadmus EM&amp;V - 2016 -2017 AMR Data &amp; HP</t>
        </r>
        <r>
          <rPr>
            <sz val="9"/>
            <color indexed="81"/>
            <rFont val="Tahoma"/>
            <family val="2"/>
          </rPr>
          <t xml:space="preserve">
</t>
        </r>
      </text>
    </comment>
    <comment ref="W1117" authorId="0" shapeId="0">
      <text>
        <r>
          <rPr>
            <b/>
            <sz val="9"/>
            <color indexed="81"/>
            <rFont val="Tahoma"/>
            <family val="2"/>
          </rPr>
          <t>MO TRM</t>
        </r>
        <r>
          <rPr>
            <sz val="9"/>
            <color indexed="81"/>
            <rFont val="Tahoma"/>
            <family val="2"/>
          </rPr>
          <t xml:space="preserve">
</t>
        </r>
      </text>
    </comment>
    <comment ref="X1117" authorId="0" shapeId="0">
      <text>
        <r>
          <rPr>
            <b/>
            <sz val="9"/>
            <color indexed="81"/>
            <rFont val="Tahoma"/>
            <family val="2"/>
          </rPr>
          <t>2017 Cadmus EM&amp;V - 2016 -2017 AMR Data &amp; HP</t>
        </r>
        <r>
          <rPr>
            <sz val="9"/>
            <color indexed="81"/>
            <rFont val="Tahoma"/>
            <family val="2"/>
          </rPr>
          <t xml:space="preserve">
</t>
        </r>
      </text>
    </comment>
    <comment ref="K1118" authorId="0" shapeId="0">
      <text>
        <r>
          <rPr>
            <b/>
            <sz val="9"/>
            <color indexed="81"/>
            <rFont val="Tahoma"/>
            <family val="2"/>
          </rPr>
          <t>2017 Cadmus EM&amp;V - 2016 -2017 AMR Data &amp; HP</t>
        </r>
        <r>
          <rPr>
            <sz val="9"/>
            <color indexed="81"/>
            <rFont val="Tahoma"/>
            <family val="2"/>
          </rPr>
          <t xml:space="preserve">
</t>
        </r>
      </text>
    </comment>
    <comment ref="W1118" authorId="0" shapeId="0">
      <text>
        <r>
          <rPr>
            <b/>
            <sz val="9"/>
            <color indexed="81"/>
            <rFont val="Tahoma"/>
            <family val="2"/>
          </rPr>
          <t>MO TRM</t>
        </r>
        <r>
          <rPr>
            <sz val="9"/>
            <color indexed="81"/>
            <rFont val="Tahoma"/>
            <family val="2"/>
          </rPr>
          <t xml:space="preserve">
</t>
        </r>
      </text>
    </comment>
    <comment ref="X1118" authorId="0" shapeId="0">
      <text>
        <r>
          <rPr>
            <b/>
            <sz val="9"/>
            <color indexed="81"/>
            <rFont val="Tahoma"/>
            <family val="2"/>
          </rPr>
          <t>2017 Cadmus EM&amp;V - 2016 -2017 AMR Data &amp; HP</t>
        </r>
        <r>
          <rPr>
            <sz val="9"/>
            <color indexed="81"/>
            <rFont val="Tahoma"/>
            <family val="2"/>
          </rPr>
          <t xml:space="preserve">
</t>
        </r>
      </text>
    </comment>
    <comment ref="K1119" authorId="0" shapeId="0">
      <text>
        <r>
          <rPr>
            <b/>
            <sz val="9"/>
            <color indexed="81"/>
            <rFont val="Tahoma"/>
            <family val="2"/>
          </rPr>
          <t>2017 Cadmus EM&amp;V - 2016 -2017 AMR Data &amp; HP</t>
        </r>
        <r>
          <rPr>
            <sz val="9"/>
            <color indexed="81"/>
            <rFont val="Tahoma"/>
            <family val="2"/>
          </rPr>
          <t xml:space="preserve">
</t>
        </r>
      </text>
    </comment>
    <comment ref="W1119" authorId="0" shapeId="0">
      <text>
        <r>
          <rPr>
            <b/>
            <sz val="9"/>
            <color indexed="81"/>
            <rFont val="Tahoma"/>
            <family val="2"/>
          </rPr>
          <t>MO TRM</t>
        </r>
        <r>
          <rPr>
            <sz val="9"/>
            <color indexed="81"/>
            <rFont val="Tahoma"/>
            <family val="2"/>
          </rPr>
          <t xml:space="preserve">
</t>
        </r>
      </text>
    </comment>
    <comment ref="X1119" authorId="0" shapeId="0">
      <text>
        <r>
          <rPr>
            <b/>
            <sz val="9"/>
            <color indexed="81"/>
            <rFont val="Tahoma"/>
            <family val="2"/>
          </rPr>
          <t>2017 Cadmus EM&amp;V - 2016 -2017 AMR Data &amp; HP</t>
        </r>
        <r>
          <rPr>
            <sz val="9"/>
            <color indexed="81"/>
            <rFont val="Tahoma"/>
            <family val="2"/>
          </rPr>
          <t xml:space="preserve">
</t>
        </r>
      </text>
    </comment>
    <comment ref="K1120" authorId="0" shapeId="0">
      <text>
        <r>
          <rPr>
            <b/>
            <sz val="9"/>
            <color indexed="81"/>
            <rFont val="Tahoma"/>
            <family val="2"/>
          </rPr>
          <t>2017 Cadmus EM&amp;V - 2016 -2017 AMR Data &amp; HP</t>
        </r>
        <r>
          <rPr>
            <sz val="9"/>
            <color indexed="81"/>
            <rFont val="Tahoma"/>
            <family val="2"/>
          </rPr>
          <t xml:space="preserve">
</t>
        </r>
      </text>
    </comment>
    <comment ref="W1120" authorId="0" shapeId="0">
      <text>
        <r>
          <rPr>
            <b/>
            <sz val="9"/>
            <color indexed="81"/>
            <rFont val="Tahoma"/>
            <family val="2"/>
          </rPr>
          <t>MO TRM</t>
        </r>
        <r>
          <rPr>
            <sz val="9"/>
            <color indexed="81"/>
            <rFont val="Tahoma"/>
            <family val="2"/>
          </rPr>
          <t xml:space="preserve">
</t>
        </r>
      </text>
    </comment>
    <comment ref="X1120" authorId="0" shapeId="0">
      <text>
        <r>
          <rPr>
            <b/>
            <sz val="9"/>
            <color indexed="81"/>
            <rFont val="Tahoma"/>
            <family val="2"/>
          </rPr>
          <t>2017 Cadmus EM&amp;V - 2016 -2017 AMR Data &amp; HP</t>
        </r>
        <r>
          <rPr>
            <sz val="9"/>
            <color indexed="81"/>
            <rFont val="Tahoma"/>
            <family val="2"/>
          </rPr>
          <t xml:space="preserve">
</t>
        </r>
      </text>
    </comment>
    <comment ref="K1121" authorId="0" shapeId="0">
      <text>
        <r>
          <rPr>
            <b/>
            <sz val="9"/>
            <color indexed="81"/>
            <rFont val="Tahoma"/>
            <family val="2"/>
          </rPr>
          <t>2017 Cadmus EM&amp;V - 2016 -2017 AMR Data &amp; HP</t>
        </r>
        <r>
          <rPr>
            <sz val="9"/>
            <color indexed="81"/>
            <rFont val="Tahoma"/>
            <family val="2"/>
          </rPr>
          <t xml:space="preserve">
</t>
        </r>
      </text>
    </comment>
    <comment ref="W1121" authorId="0" shapeId="0">
      <text>
        <r>
          <rPr>
            <b/>
            <sz val="9"/>
            <color indexed="81"/>
            <rFont val="Tahoma"/>
            <family val="2"/>
          </rPr>
          <t>MO TRM</t>
        </r>
        <r>
          <rPr>
            <sz val="9"/>
            <color indexed="81"/>
            <rFont val="Tahoma"/>
            <family val="2"/>
          </rPr>
          <t xml:space="preserve">
</t>
        </r>
      </text>
    </comment>
    <comment ref="X1121" authorId="0" shapeId="0">
      <text>
        <r>
          <rPr>
            <b/>
            <sz val="9"/>
            <color indexed="81"/>
            <rFont val="Tahoma"/>
            <family val="2"/>
          </rPr>
          <t>2017 Cadmus EM&amp;V - 2016 -2017 AMR Data &amp; HP</t>
        </r>
        <r>
          <rPr>
            <sz val="9"/>
            <color indexed="81"/>
            <rFont val="Tahoma"/>
            <family val="2"/>
          </rPr>
          <t xml:space="preserve">
</t>
        </r>
      </text>
    </comment>
    <comment ref="K1122" authorId="0" shapeId="0">
      <text>
        <r>
          <rPr>
            <b/>
            <sz val="9"/>
            <color indexed="81"/>
            <rFont val="Tahoma"/>
            <family val="2"/>
          </rPr>
          <t>2017 Cadmus EM&amp;V - 2016 -2017 AMR Data &amp; HP</t>
        </r>
        <r>
          <rPr>
            <sz val="9"/>
            <color indexed="81"/>
            <rFont val="Tahoma"/>
            <family val="2"/>
          </rPr>
          <t xml:space="preserve">
</t>
        </r>
      </text>
    </comment>
    <comment ref="W1122" authorId="0" shapeId="0">
      <text>
        <r>
          <rPr>
            <b/>
            <sz val="9"/>
            <color indexed="81"/>
            <rFont val="Tahoma"/>
            <family val="2"/>
          </rPr>
          <t>MO TRM</t>
        </r>
        <r>
          <rPr>
            <sz val="9"/>
            <color indexed="81"/>
            <rFont val="Tahoma"/>
            <family val="2"/>
          </rPr>
          <t xml:space="preserve">
</t>
        </r>
      </text>
    </comment>
    <comment ref="X1122" authorId="0" shapeId="0">
      <text>
        <r>
          <rPr>
            <b/>
            <sz val="9"/>
            <color indexed="81"/>
            <rFont val="Tahoma"/>
            <family val="2"/>
          </rPr>
          <t>2017 Cadmus EM&amp;V - 2016 -2017 AMR Data &amp; HP</t>
        </r>
        <r>
          <rPr>
            <sz val="9"/>
            <color indexed="81"/>
            <rFont val="Tahoma"/>
            <family val="2"/>
          </rPr>
          <t xml:space="preserve">
</t>
        </r>
      </text>
    </comment>
    <comment ref="K1123" authorId="0" shapeId="0">
      <text>
        <r>
          <rPr>
            <b/>
            <sz val="9"/>
            <color indexed="81"/>
            <rFont val="Tahoma"/>
            <family val="2"/>
          </rPr>
          <t>2017 Cadmus EM&amp;V - 2016 -2017 AMR Data &amp; HP</t>
        </r>
        <r>
          <rPr>
            <sz val="9"/>
            <color indexed="81"/>
            <rFont val="Tahoma"/>
            <family val="2"/>
          </rPr>
          <t xml:space="preserve">
</t>
        </r>
      </text>
    </comment>
    <comment ref="W1123" authorId="0" shapeId="0">
      <text>
        <r>
          <rPr>
            <b/>
            <sz val="9"/>
            <color indexed="81"/>
            <rFont val="Tahoma"/>
            <family val="2"/>
          </rPr>
          <t>MO TRM</t>
        </r>
        <r>
          <rPr>
            <sz val="9"/>
            <color indexed="81"/>
            <rFont val="Tahoma"/>
            <family val="2"/>
          </rPr>
          <t xml:space="preserve">
</t>
        </r>
      </text>
    </comment>
    <comment ref="X1123" authorId="0" shapeId="0">
      <text>
        <r>
          <rPr>
            <b/>
            <sz val="9"/>
            <color indexed="81"/>
            <rFont val="Tahoma"/>
            <family val="2"/>
          </rPr>
          <t>2017 Cadmus EM&amp;V - 2016 -2017 AMR Data &amp; HP</t>
        </r>
        <r>
          <rPr>
            <sz val="9"/>
            <color indexed="81"/>
            <rFont val="Tahoma"/>
            <family val="2"/>
          </rPr>
          <t xml:space="preserve">
</t>
        </r>
      </text>
    </comment>
    <comment ref="K1124" authorId="0" shapeId="0">
      <text>
        <r>
          <rPr>
            <b/>
            <sz val="9"/>
            <color indexed="81"/>
            <rFont val="Tahoma"/>
            <family val="2"/>
          </rPr>
          <t>2017 Cadmus EM&amp;V - 2016 -2017 AMR Data &amp; HP</t>
        </r>
        <r>
          <rPr>
            <sz val="9"/>
            <color indexed="81"/>
            <rFont val="Tahoma"/>
            <family val="2"/>
          </rPr>
          <t xml:space="preserve">
</t>
        </r>
      </text>
    </comment>
    <comment ref="W1124" authorId="0" shapeId="0">
      <text>
        <r>
          <rPr>
            <b/>
            <sz val="9"/>
            <color indexed="81"/>
            <rFont val="Tahoma"/>
            <family val="2"/>
          </rPr>
          <t>MO TRM</t>
        </r>
        <r>
          <rPr>
            <sz val="9"/>
            <color indexed="81"/>
            <rFont val="Tahoma"/>
            <family val="2"/>
          </rPr>
          <t xml:space="preserve">
</t>
        </r>
      </text>
    </comment>
    <comment ref="X1124" authorId="0" shapeId="0">
      <text>
        <r>
          <rPr>
            <b/>
            <sz val="9"/>
            <color indexed="81"/>
            <rFont val="Tahoma"/>
            <family val="2"/>
          </rPr>
          <t>2017 Cadmus EM&amp;V - 2016 -2017 AMR Data &amp; HP</t>
        </r>
        <r>
          <rPr>
            <sz val="9"/>
            <color indexed="81"/>
            <rFont val="Tahoma"/>
            <family val="2"/>
          </rPr>
          <t xml:space="preserve">
</t>
        </r>
      </text>
    </comment>
    <comment ref="K1125" authorId="0" shapeId="0">
      <text>
        <r>
          <rPr>
            <b/>
            <sz val="9"/>
            <color indexed="81"/>
            <rFont val="Tahoma"/>
            <family val="2"/>
          </rPr>
          <t>2017 Cadmus EM&amp;V - 2016 -2017 AMR Data &amp; HP</t>
        </r>
        <r>
          <rPr>
            <sz val="9"/>
            <color indexed="81"/>
            <rFont val="Tahoma"/>
            <family val="2"/>
          </rPr>
          <t xml:space="preserve">
</t>
        </r>
      </text>
    </comment>
    <comment ref="W1125" authorId="0" shapeId="0">
      <text>
        <r>
          <rPr>
            <b/>
            <sz val="9"/>
            <color indexed="81"/>
            <rFont val="Tahoma"/>
            <family val="2"/>
          </rPr>
          <t>MO TRM</t>
        </r>
        <r>
          <rPr>
            <sz val="9"/>
            <color indexed="81"/>
            <rFont val="Tahoma"/>
            <family val="2"/>
          </rPr>
          <t xml:space="preserve">
</t>
        </r>
      </text>
    </comment>
    <comment ref="X1125" authorId="0" shapeId="0">
      <text>
        <r>
          <rPr>
            <b/>
            <sz val="9"/>
            <color indexed="81"/>
            <rFont val="Tahoma"/>
            <family val="2"/>
          </rPr>
          <t>2017 Cadmus EM&amp;V - 2016 -2017 AMR Data &amp; HP</t>
        </r>
        <r>
          <rPr>
            <sz val="9"/>
            <color indexed="81"/>
            <rFont val="Tahoma"/>
            <family val="2"/>
          </rPr>
          <t xml:space="preserve">
</t>
        </r>
      </text>
    </comment>
    <comment ref="K1126" authorId="0" shapeId="0">
      <text>
        <r>
          <rPr>
            <b/>
            <sz val="9"/>
            <color indexed="81"/>
            <rFont val="Tahoma"/>
            <family val="2"/>
          </rPr>
          <t>2017 Cadmus EM&amp;V - 2016 -2017 AMR Data &amp; HP</t>
        </r>
        <r>
          <rPr>
            <sz val="9"/>
            <color indexed="81"/>
            <rFont val="Tahoma"/>
            <family val="2"/>
          </rPr>
          <t xml:space="preserve">
</t>
        </r>
      </text>
    </comment>
    <comment ref="W1126" authorId="0" shapeId="0">
      <text>
        <r>
          <rPr>
            <b/>
            <sz val="9"/>
            <color indexed="81"/>
            <rFont val="Tahoma"/>
            <family val="2"/>
          </rPr>
          <t>MO TRM</t>
        </r>
        <r>
          <rPr>
            <sz val="9"/>
            <color indexed="81"/>
            <rFont val="Tahoma"/>
            <family val="2"/>
          </rPr>
          <t xml:space="preserve">
</t>
        </r>
      </text>
    </comment>
    <comment ref="X1126" authorId="0" shapeId="0">
      <text>
        <r>
          <rPr>
            <b/>
            <sz val="9"/>
            <color indexed="81"/>
            <rFont val="Tahoma"/>
            <family val="2"/>
          </rPr>
          <t>2017 Cadmus EM&amp;V - 2016 -2017 AMR Data &amp; HP</t>
        </r>
        <r>
          <rPr>
            <sz val="9"/>
            <color indexed="81"/>
            <rFont val="Tahoma"/>
            <family val="2"/>
          </rPr>
          <t xml:space="preserve">
</t>
        </r>
      </text>
    </comment>
    <comment ref="K1127" authorId="0" shapeId="0">
      <text>
        <r>
          <rPr>
            <b/>
            <sz val="9"/>
            <color indexed="81"/>
            <rFont val="Tahoma"/>
            <family val="2"/>
          </rPr>
          <t>2017 Cadmus EM&amp;V - 2016 -2017 AMR Data &amp; HP</t>
        </r>
        <r>
          <rPr>
            <sz val="9"/>
            <color indexed="81"/>
            <rFont val="Tahoma"/>
            <family val="2"/>
          </rPr>
          <t xml:space="preserve">
</t>
        </r>
      </text>
    </comment>
    <comment ref="W1127" authorId="0" shapeId="0">
      <text>
        <r>
          <rPr>
            <b/>
            <sz val="9"/>
            <color indexed="81"/>
            <rFont val="Tahoma"/>
            <family val="2"/>
          </rPr>
          <t>MO TRM</t>
        </r>
        <r>
          <rPr>
            <sz val="9"/>
            <color indexed="81"/>
            <rFont val="Tahoma"/>
            <family val="2"/>
          </rPr>
          <t xml:space="preserve">
</t>
        </r>
      </text>
    </comment>
    <comment ref="X1127" authorId="0" shapeId="0">
      <text>
        <r>
          <rPr>
            <b/>
            <sz val="9"/>
            <color indexed="81"/>
            <rFont val="Tahoma"/>
            <family val="2"/>
          </rPr>
          <t>2017 Cadmus EM&amp;V - 2016 -2017 AMR Data &amp; HP</t>
        </r>
        <r>
          <rPr>
            <sz val="9"/>
            <color indexed="81"/>
            <rFont val="Tahoma"/>
            <family val="2"/>
          </rPr>
          <t xml:space="preserve">
</t>
        </r>
      </text>
    </comment>
    <comment ref="K1128" authorId="0" shapeId="0">
      <text>
        <r>
          <rPr>
            <b/>
            <sz val="9"/>
            <color indexed="81"/>
            <rFont val="Tahoma"/>
            <family val="2"/>
          </rPr>
          <t>2017 Cadmus EM&amp;V - 2016 -2017 AMR Data &amp; HP</t>
        </r>
        <r>
          <rPr>
            <sz val="9"/>
            <color indexed="81"/>
            <rFont val="Tahoma"/>
            <family val="2"/>
          </rPr>
          <t xml:space="preserve">
</t>
        </r>
      </text>
    </comment>
    <comment ref="W1128" authorId="0" shapeId="0">
      <text>
        <r>
          <rPr>
            <b/>
            <sz val="9"/>
            <color indexed="81"/>
            <rFont val="Tahoma"/>
            <family val="2"/>
          </rPr>
          <t>MO TRM</t>
        </r>
        <r>
          <rPr>
            <sz val="9"/>
            <color indexed="81"/>
            <rFont val="Tahoma"/>
            <family val="2"/>
          </rPr>
          <t xml:space="preserve">
</t>
        </r>
      </text>
    </comment>
    <comment ref="X1128" authorId="0" shapeId="0">
      <text>
        <r>
          <rPr>
            <b/>
            <sz val="9"/>
            <color indexed="81"/>
            <rFont val="Tahoma"/>
            <family val="2"/>
          </rPr>
          <t>2017 Cadmus EM&amp;V - 2016 -2017 AMR Data &amp; HP</t>
        </r>
        <r>
          <rPr>
            <sz val="9"/>
            <color indexed="81"/>
            <rFont val="Tahoma"/>
            <family val="2"/>
          </rPr>
          <t xml:space="preserve">
</t>
        </r>
      </text>
    </comment>
    <comment ref="K1129" authorId="0" shapeId="0">
      <text>
        <r>
          <rPr>
            <b/>
            <sz val="9"/>
            <color indexed="81"/>
            <rFont val="Tahoma"/>
            <family val="2"/>
          </rPr>
          <t>2017 Cadmus EM&amp;V - 2016 -2017 AMR Data &amp; HP</t>
        </r>
        <r>
          <rPr>
            <sz val="9"/>
            <color indexed="81"/>
            <rFont val="Tahoma"/>
            <family val="2"/>
          </rPr>
          <t xml:space="preserve">
</t>
        </r>
      </text>
    </comment>
    <comment ref="W1129" authorId="0" shapeId="0">
      <text>
        <r>
          <rPr>
            <b/>
            <sz val="9"/>
            <color indexed="81"/>
            <rFont val="Tahoma"/>
            <family val="2"/>
          </rPr>
          <t>MO TRM</t>
        </r>
        <r>
          <rPr>
            <sz val="9"/>
            <color indexed="81"/>
            <rFont val="Tahoma"/>
            <family val="2"/>
          </rPr>
          <t xml:space="preserve">
</t>
        </r>
      </text>
    </comment>
    <comment ref="X1129" authorId="0" shapeId="0">
      <text>
        <r>
          <rPr>
            <b/>
            <sz val="9"/>
            <color indexed="81"/>
            <rFont val="Tahoma"/>
            <family val="2"/>
          </rPr>
          <t>2017 Cadmus EM&amp;V - 2016 -2017 AMR Data &amp; HP</t>
        </r>
        <r>
          <rPr>
            <sz val="9"/>
            <color indexed="81"/>
            <rFont val="Tahoma"/>
            <family val="2"/>
          </rPr>
          <t xml:space="preserve">
</t>
        </r>
      </text>
    </comment>
    <comment ref="K1130" authorId="0" shapeId="0">
      <text>
        <r>
          <rPr>
            <b/>
            <sz val="9"/>
            <color indexed="81"/>
            <rFont val="Tahoma"/>
            <family val="2"/>
          </rPr>
          <t>2017 Cadmus EM&amp;V - 2016 -2017 AMR Data &amp; HP</t>
        </r>
        <r>
          <rPr>
            <sz val="9"/>
            <color indexed="81"/>
            <rFont val="Tahoma"/>
            <family val="2"/>
          </rPr>
          <t xml:space="preserve">
</t>
        </r>
      </text>
    </comment>
    <comment ref="W1130" authorId="0" shapeId="0">
      <text>
        <r>
          <rPr>
            <b/>
            <sz val="9"/>
            <color indexed="81"/>
            <rFont val="Tahoma"/>
            <family val="2"/>
          </rPr>
          <t>MO TRM</t>
        </r>
        <r>
          <rPr>
            <sz val="9"/>
            <color indexed="81"/>
            <rFont val="Tahoma"/>
            <family val="2"/>
          </rPr>
          <t xml:space="preserve">
</t>
        </r>
      </text>
    </comment>
    <comment ref="X1130" authorId="0" shapeId="0">
      <text>
        <r>
          <rPr>
            <b/>
            <sz val="9"/>
            <color indexed="81"/>
            <rFont val="Tahoma"/>
            <family val="2"/>
          </rPr>
          <t>2017 Cadmus EM&amp;V - 2016 -2017 AMR Data &amp; HP</t>
        </r>
        <r>
          <rPr>
            <sz val="9"/>
            <color indexed="81"/>
            <rFont val="Tahoma"/>
            <family val="2"/>
          </rPr>
          <t xml:space="preserve">
</t>
        </r>
      </text>
    </comment>
    <comment ref="K1131" authorId="0" shapeId="0">
      <text>
        <r>
          <rPr>
            <b/>
            <sz val="9"/>
            <color indexed="81"/>
            <rFont val="Tahoma"/>
            <family val="2"/>
          </rPr>
          <t>2017 Cadmus EM&amp;V - 2016 -2017 AMR Data &amp; HP</t>
        </r>
        <r>
          <rPr>
            <sz val="9"/>
            <color indexed="81"/>
            <rFont val="Tahoma"/>
            <family val="2"/>
          </rPr>
          <t xml:space="preserve">
</t>
        </r>
      </text>
    </comment>
    <comment ref="W1131" authorId="0" shapeId="0">
      <text>
        <r>
          <rPr>
            <b/>
            <sz val="9"/>
            <color indexed="81"/>
            <rFont val="Tahoma"/>
            <family val="2"/>
          </rPr>
          <t>MO TRM</t>
        </r>
        <r>
          <rPr>
            <sz val="9"/>
            <color indexed="81"/>
            <rFont val="Tahoma"/>
            <family val="2"/>
          </rPr>
          <t xml:space="preserve">
</t>
        </r>
      </text>
    </comment>
    <comment ref="X1131" authorId="0" shapeId="0">
      <text>
        <r>
          <rPr>
            <b/>
            <sz val="9"/>
            <color indexed="81"/>
            <rFont val="Tahoma"/>
            <family val="2"/>
          </rPr>
          <t>2017 Cadmus EM&amp;V - 2016 -2017 AMR Data &amp; HP</t>
        </r>
        <r>
          <rPr>
            <sz val="9"/>
            <color indexed="81"/>
            <rFont val="Tahoma"/>
            <family val="2"/>
          </rPr>
          <t xml:space="preserve">
</t>
        </r>
      </text>
    </comment>
    <comment ref="K1132" authorId="0" shapeId="0">
      <text>
        <r>
          <rPr>
            <b/>
            <sz val="9"/>
            <color indexed="81"/>
            <rFont val="Tahoma"/>
            <family val="2"/>
          </rPr>
          <t>2017 Cadmus EM&amp;V - 2016 -2017 AMR Data &amp; HP</t>
        </r>
        <r>
          <rPr>
            <sz val="9"/>
            <color indexed="81"/>
            <rFont val="Tahoma"/>
            <family val="2"/>
          </rPr>
          <t xml:space="preserve">
</t>
        </r>
      </text>
    </comment>
    <comment ref="W1132" authorId="0" shapeId="0">
      <text>
        <r>
          <rPr>
            <b/>
            <sz val="9"/>
            <color indexed="81"/>
            <rFont val="Tahoma"/>
            <family val="2"/>
          </rPr>
          <t>MO TRM</t>
        </r>
        <r>
          <rPr>
            <sz val="9"/>
            <color indexed="81"/>
            <rFont val="Tahoma"/>
            <family val="2"/>
          </rPr>
          <t xml:space="preserve">
</t>
        </r>
      </text>
    </comment>
    <comment ref="X1132" authorId="0" shapeId="0">
      <text>
        <r>
          <rPr>
            <b/>
            <sz val="9"/>
            <color indexed="81"/>
            <rFont val="Tahoma"/>
            <family val="2"/>
          </rPr>
          <t>2017 Cadmus EM&amp;V - 2016 -2017 AMR Data &amp; HP</t>
        </r>
        <r>
          <rPr>
            <sz val="9"/>
            <color indexed="81"/>
            <rFont val="Tahoma"/>
            <family val="2"/>
          </rPr>
          <t xml:space="preserve">
</t>
        </r>
      </text>
    </comment>
    <comment ref="K1133" authorId="0" shapeId="0">
      <text>
        <r>
          <rPr>
            <b/>
            <sz val="9"/>
            <color indexed="81"/>
            <rFont val="Tahoma"/>
            <family val="2"/>
          </rPr>
          <t>2017 Cadmus EM&amp;V - 2016 -2017 AMR Data &amp; HP</t>
        </r>
        <r>
          <rPr>
            <sz val="9"/>
            <color indexed="81"/>
            <rFont val="Tahoma"/>
            <family val="2"/>
          </rPr>
          <t xml:space="preserve">
</t>
        </r>
      </text>
    </comment>
    <comment ref="W1133" authorId="0" shapeId="0">
      <text>
        <r>
          <rPr>
            <b/>
            <sz val="9"/>
            <color indexed="81"/>
            <rFont val="Tahoma"/>
            <family val="2"/>
          </rPr>
          <t>MO TRM</t>
        </r>
        <r>
          <rPr>
            <sz val="9"/>
            <color indexed="81"/>
            <rFont val="Tahoma"/>
            <family val="2"/>
          </rPr>
          <t xml:space="preserve">
</t>
        </r>
      </text>
    </comment>
    <comment ref="X1133" authorId="0" shapeId="0">
      <text>
        <r>
          <rPr>
            <b/>
            <sz val="9"/>
            <color indexed="81"/>
            <rFont val="Tahoma"/>
            <family val="2"/>
          </rPr>
          <t>2017 Cadmus EM&amp;V - 2016 -2017 AMR Data &amp; HP</t>
        </r>
        <r>
          <rPr>
            <sz val="9"/>
            <color indexed="81"/>
            <rFont val="Tahoma"/>
            <family val="2"/>
          </rPr>
          <t xml:space="preserve">
</t>
        </r>
      </text>
    </comment>
    <comment ref="K1134" authorId="0" shapeId="0">
      <text>
        <r>
          <rPr>
            <b/>
            <sz val="9"/>
            <color indexed="81"/>
            <rFont val="Tahoma"/>
            <family val="2"/>
          </rPr>
          <t>2017 Cadmus EM&amp;V - 2016 -2017 AMR Data &amp; HP</t>
        </r>
        <r>
          <rPr>
            <sz val="9"/>
            <color indexed="81"/>
            <rFont val="Tahoma"/>
            <family val="2"/>
          </rPr>
          <t xml:space="preserve">
</t>
        </r>
      </text>
    </comment>
    <comment ref="W1134" authorId="0" shapeId="0">
      <text>
        <r>
          <rPr>
            <b/>
            <sz val="9"/>
            <color indexed="81"/>
            <rFont val="Tahoma"/>
            <family val="2"/>
          </rPr>
          <t>MO TRM</t>
        </r>
        <r>
          <rPr>
            <sz val="9"/>
            <color indexed="81"/>
            <rFont val="Tahoma"/>
            <family val="2"/>
          </rPr>
          <t xml:space="preserve">
</t>
        </r>
      </text>
    </comment>
    <comment ref="X1134" authorId="0" shapeId="0">
      <text>
        <r>
          <rPr>
            <b/>
            <sz val="9"/>
            <color indexed="81"/>
            <rFont val="Tahoma"/>
            <family val="2"/>
          </rPr>
          <t>2017 Cadmus EM&amp;V - 2016 -2017 AMR Data &amp; HP</t>
        </r>
        <r>
          <rPr>
            <sz val="9"/>
            <color indexed="81"/>
            <rFont val="Tahoma"/>
            <family val="2"/>
          </rPr>
          <t xml:space="preserve">
</t>
        </r>
      </text>
    </comment>
    <comment ref="K1135" authorId="0" shapeId="0">
      <text>
        <r>
          <rPr>
            <b/>
            <sz val="9"/>
            <color indexed="81"/>
            <rFont val="Tahoma"/>
            <family val="2"/>
          </rPr>
          <t>2017 Cadmus EM&amp;V - 2016 -2017 AMR Data &amp; HP</t>
        </r>
        <r>
          <rPr>
            <sz val="9"/>
            <color indexed="81"/>
            <rFont val="Tahoma"/>
            <family val="2"/>
          </rPr>
          <t xml:space="preserve">
</t>
        </r>
      </text>
    </comment>
    <comment ref="W1135" authorId="0" shapeId="0">
      <text>
        <r>
          <rPr>
            <b/>
            <sz val="9"/>
            <color indexed="81"/>
            <rFont val="Tahoma"/>
            <family val="2"/>
          </rPr>
          <t>MO TRM</t>
        </r>
        <r>
          <rPr>
            <sz val="9"/>
            <color indexed="81"/>
            <rFont val="Tahoma"/>
            <family val="2"/>
          </rPr>
          <t xml:space="preserve">
</t>
        </r>
      </text>
    </comment>
    <comment ref="X1135" authorId="0" shapeId="0">
      <text>
        <r>
          <rPr>
            <b/>
            <sz val="9"/>
            <color indexed="81"/>
            <rFont val="Tahoma"/>
            <family val="2"/>
          </rPr>
          <t>2017 Cadmus EM&amp;V - 2016 -2017 AMR Data &amp; HP</t>
        </r>
        <r>
          <rPr>
            <sz val="9"/>
            <color indexed="81"/>
            <rFont val="Tahoma"/>
            <family val="2"/>
          </rPr>
          <t xml:space="preserve">
</t>
        </r>
      </text>
    </comment>
    <comment ref="K1136" authorId="0" shapeId="0">
      <text>
        <r>
          <rPr>
            <b/>
            <sz val="9"/>
            <color indexed="81"/>
            <rFont val="Tahoma"/>
            <family val="2"/>
          </rPr>
          <t>2017 Cadmus EM&amp;V - 2016 -2017 AMR Data &amp; HP</t>
        </r>
        <r>
          <rPr>
            <sz val="9"/>
            <color indexed="81"/>
            <rFont val="Tahoma"/>
            <family val="2"/>
          </rPr>
          <t xml:space="preserve">
</t>
        </r>
      </text>
    </comment>
    <comment ref="W1136" authorId="0" shapeId="0">
      <text>
        <r>
          <rPr>
            <b/>
            <sz val="9"/>
            <color indexed="81"/>
            <rFont val="Tahoma"/>
            <family val="2"/>
          </rPr>
          <t>MO TRM</t>
        </r>
        <r>
          <rPr>
            <sz val="9"/>
            <color indexed="81"/>
            <rFont val="Tahoma"/>
            <family val="2"/>
          </rPr>
          <t xml:space="preserve">
</t>
        </r>
      </text>
    </comment>
    <comment ref="X1136" authorId="0" shapeId="0">
      <text>
        <r>
          <rPr>
            <b/>
            <sz val="9"/>
            <color indexed="81"/>
            <rFont val="Tahoma"/>
            <family val="2"/>
          </rPr>
          <t>2017 Cadmus EM&amp;V - 2016 -2017 AMR Data &amp; HP</t>
        </r>
        <r>
          <rPr>
            <sz val="9"/>
            <color indexed="81"/>
            <rFont val="Tahoma"/>
            <family val="2"/>
          </rPr>
          <t xml:space="preserve">
</t>
        </r>
      </text>
    </comment>
    <comment ref="K1137" authorId="0" shapeId="0">
      <text>
        <r>
          <rPr>
            <b/>
            <sz val="9"/>
            <color indexed="81"/>
            <rFont val="Tahoma"/>
            <family val="2"/>
          </rPr>
          <t>2017 Cadmus EM&amp;V - 2016 -2017 AMR Data &amp; HP</t>
        </r>
        <r>
          <rPr>
            <sz val="9"/>
            <color indexed="81"/>
            <rFont val="Tahoma"/>
            <family val="2"/>
          </rPr>
          <t xml:space="preserve">
</t>
        </r>
      </text>
    </comment>
    <comment ref="W1137" authorId="0" shapeId="0">
      <text>
        <r>
          <rPr>
            <b/>
            <sz val="9"/>
            <color indexed="81"/>
            <rFont val="Tahoma"/>
            <family val="2"/>
          </rPr>
          <t>MO TRM</t>
        </r>
        <r>
          <rPr>
            <sz val="9"/>
            <color indexed="81"/>
            <rFont val="Tahoma"/>
            <family val="2"/>
          </rPr>
          <t xml:space="preserve">
</t>
        </r>
      </text>
    </comment>
    <comment ref="X1137" authorId="0" shapeId="0">
      <text>
        <r>
          <rPr>
            <b/>
            <sz val="9"/>
            <color indexed="81"/>
            <rFont val="Tahoma"/>
            <family val="2"/>
          </rPr>
          <t>2017 Cadmus EM&amp;V - 2016 -2017 AMR Data &amp; HP</t>
        </r>
        <r>
          <rPr>
            <sz val="9"/>
            <color indexed="81"/>
            <rFont val="Tahoma"/>
            <family val="2"/>
          </rPr>
          <t xml:space="preserve">
</t>
        </r>
      </text>
    </comment>
    <comment ref="K1138" authorId="0" shapeId="0">
      <text>
        <r>
          <rPr>
            <b/>
            <sz val="9"/>
            <color indexed="81"/>
            <rFont val="Tahoma"/>
            <family val="2"/>
          </rPr>
          <t>2017 Cadmus EM&amp;V - 2016 -2017 AMR Data &amp; HP</t>
        </r>
        <r>
          <rPr>
            <sz val="9"/>
            <color indexed="81"/>
            <rFont val="Tahoma"/>
            <family val="2"/>
          </rPr>
          <t xml:space="preserve">
</t>
        </r>
      </text>
    </comment>
    <comment ref="W1138" authorId="0" shapeId="0">
      <text>
        <r>
          <rPr>
            <b/>
            <sz val="9"/>
            <color indexed="81"/>
            <rFont val="Tahoma"/>
            <family val="2"/>
          </rPr>
          <t>MO TRM</t>
        </r>
        <r>
          <rPr>
            <sz val="9"/>
            <color indexed="81"/>
            <rFont val="Tahoma"/>
            <family val="2"/>
          </rPr>
          <t xml:space="preserve">
</t>
        </r>
      </text>
    </comment>
    <comment ref="X1138" authorId="0" shapeId="0">
      <text>
        <r>
          <rPr>
            <b/>
            <sz val="9"/>
            <color indexed="81"/>
            <rFont val="Tahoma"/>
            <family val="2"/>
          </rPr>
          <t>2017 Cadmus EM&amp;V - 2016 -2017 AMR Data &amp; HP</t>
        </r>
        <r>
          <rPr>
            <sz val="9"/>
            <color indexed="81"/>
            <rFont val="Tahoma"/>
            <family val="2"/>
          </rPr>
          <t xml:space="preserve">
</t>
        </r>
      </text>
    </comment>
    <comment ref="K1139" authorId="0" shapeId="0">
      <text>
        <r>
          <rPr>
            <b/>
            <sz val="9"/>
            <color indexed="81"/>
            <rFont val="Tahoma"/>
            <family val="2"/>
          </rPr>
          <t>2017 Cadmus EM&amp;V - 2016 -2017 AMR Data &amp; HP</t>
        </r>
        <r>
          <rPr>
            <sz val="9"/>
            <color indexed="81"/>
            <rFont val="Tahoma"/>
            <family val="2"/>
          </rPr>
          <t xml:space="preserve">
</t>
        </r>
      </text>
    </comment>
    <comment ref="W1139" authorId="0" shapeId="0">
      <text>
        <r>
          <rPr>
            <b/>
            <sz val="9"/>
            <color indexed="81"/>
            <rFont val="Tahoma"/>
            <family val="2"/>
          </rPr>
          <t>MO TRM</t>
        </r>
        <r>
          <rPr>
            <sz val="9"/>
            <color indexed="81"/>
            <rFont val="Tahoma"/>
            <family val="2"/>
          </rPr>
          <t xml:space="preserve">
</t>
        </r>
      </text>
    </comment>
    <comment ref="X1139" authorId="0" shapeId="0">
      <text>
        <r>
          <rPr>
            <b/>
            <sz val="9"/>
            <color indexed="81"/>
            <rFont val="Tahoma"/>
            <family val="2"/>
          </rPr>
          <t>2017 Cadmus EM&amp;V - 2016 -2017 AMR Data &amp; HP</t>
        </r>
        <r>
          <rPr>
            <sz val="9"/>
            <color indexed="81"/>
            <rFont val="Tahoma"/>
            <family val="2"/>
          </rPr>
          <t xml:space="preserve">
</t>
        </r>
      </text>
    </comment>
    <comment ref="K1140" authorId="0" shapeId="0">
      <text>
        <r>
          <rPr>
            <b/>
            <sz val="9"/>
            <color indexed="81"/>
            <rFont val="Tahoma"/>
            <family val="2"/>
          </rPr>
          <t>2017 Cadmus EM&amp;V - 2016 -2017 AMR Data &amp; HP</t>
        </r>
        <r>
          <rPr>
            <sz val="9"/>
            <color indexed="81"/>
            <rFont val="Tahoma"/>
            <family val="2"/>
          </rPr>
          <t xml:space="preserve">
</t>
        </r>
      </text>
    </comment>
    <comment ref="W1140" authorId="0" shapeId="0">
      <text>
        <r>
          <rPr>
            <b/>
            <sz val="9"/>
            <color indexed="81"/>
            <rFont val="Tahoma"/>
            <family val="2"/>
          </rPr>
          <t>MO TRM</t>
        </r>
        <r>
          <rPr>
            <sz val="9"/>
            <color indexed="81"/>
            <rFont val="Tahoma"/>
            <family val="2"/>
          </rPr>
          <t xml:space="preserve">
</t>
        </r>
      </text>
    </comment>
    <comment ref="X1140" authorId="0" shapeId="0">
      <text>
        <r>
          <rPr>
            <b/>
            <sz val="9"/>
            <color indexed="81"/>
            <rFont val="Tahoma"/>
            <family val="2"/>
          </rPr>
          <t>2017 Cadmus EM&amp;V - 2016 -2017 AMR Data &amp; HP</t>
        </r>
        <r>
          <rPr>
            <sz val="9"/>
            <color indexed="81"/>
            <rFont val="Tahoma"/>
            <family val="2"/>
          </rPr>
          <t xml:space="preserve">
</t>
        </r>
      </text>
    </comment>
    <comment ref="K1141" authorId="0" shapeId="0">
      <text>
        <r>
          <rPr>
            <b/>
            <sz val="9"/>
            <color indexed="81"/>
            <rFont val="Tahoma"/>
            <family val="2"/>
          </rPr>
          <t>2017 Cadmus EM&amp;V - 2016 -2017 AMR Data &amp; HP</t>
        </r>
        <r>
          <rPr>
            <sz val="9"/>
            <color indexed="81"/>
            <rFont val="Tahoma"/>
            <family val="2"/>
          </rPr>
          <t xml:space="preserve">
</t>
        </r>
      </text>
    </comment>
    <comment ref="W1141" authorId="0" shapeId="0">
      <text>
        <r>
          <rPr>
            <b/>
            <sz val="9"/>
            <color indexed="81"/>
            <rFont val="Tahoma"/>
            <family val="2"/>
          </rPr>
          <t>MO TRM</t>
        </r>
        <r>
          <rPr>
            <sz val="9"/>
            <color indexed="81"/>
            <rFont val="Tahoma"/>
            <family val="2"/>
          </rPr>
          <t xml:space="preserve">
</t>
        </r>
      </text>
    </comment>
    <comment ref="X1141" authorId="0" shapeId="0">
      <text>
        <r>
          <rPr>
            <b/>
            <sz val="9"/>
            <color indexed="81"/>
            <rFont val="Tahoma"/>
            <family val="2"/>
          </rPr>
          <t>2017 Cadmus EM&amp;V - 2016 -2017 AMR Data &amp; HP</t>
        </r>
        <r>
          <rPr>
            <sz val="9"/>
            <color indexed="81"/>
            <rFont val="Tahoma"/>
            <family val="2"/>
          </rPr>
          <t xml:space="preserve">
</t>
        </r>
      </text>
    </comment>
    <comment ref="K1142" authorId="0" shapeId="0">
      <text>
        <r>
          <rPr>
            <b/>
            <sz val="9"/>
            <color indexed="81"/>
            <rFont val="Tahoma"/>
            <family val="2"/>
          </rPr>
          <t>2017 Cadmus EM&amp;V - 2016 -2017 AMR Data &amp; HP</t>
        </r>
        <r>
          <rPr>
            <sz val="9"/>
            <color indexed="81"/>
            <rFont val="Tahoma"/>
            <family val="2"/>
          </rPr>
          <t xml:space="preserve">
</t>
        </r>
      </text>
    </comment>
    <comment ref="W1142" authorId="0" shapeId="0">
      <text>
        <r>
          <rPr>
            <b/>
            <sz val="9"/>
            <color indexed="81"/>
            <rFont val="Tahoma"/>
            <family val="2"/>
          </rPr>
          <t>MO TRM</t>
        </r>
        <r>
          <rPr>
            <sz val="9"/>
            <color indexed="81"/>
            <rFont val="Tahoma"/>
            <family val="2"/>
          </rPr>
          <t xml:space="preserve">
</t>
        </r>
      </text>
    </comment>
    <comment ref="X1142" authorId="0" shapeId="0">
      <text>
        <r>
          <rPr>
            <b/>
            <sz val="9"/>
            <color indexed="81"/>
            <rFont val="Tahoma"/>
            <family val="2"/>
          </rPr>
          <t>2017 Cadmus EM&amp;V - 2016 -2017 AMR Data &amp; HP</t>
        </r>
        <r>
          <rPr>
            <sz val="9"/>
            <color indexed="81"/>
            <rFont val="Tahoma"/>
            <family val="2"/>
          </rPr>
          <t xml:space="preserve">
</t>
        </r>
      </text>
    </comment>
    <comment ref="K1143" authorId="0" shapeId="0">
      <text>
        <r>
          <rPr>
            <b/>
            <sz val="9"/>
            <color indexed="81"/>
            <rFont val="Tahoma"/>
            <family val="2"/>
          </rPr>
          <t>2017 Cadmus EM&amp;V - 2016 -2017 AMR Data &amp; HP</t>
        </r>
        <r>
          <rPr>
            <sz val="9"/>
            <color indexed="81"/>
            <rFont val="Tahoma"/>
            <family val="2"/>
          </rPr>
          <t xml:space="preserve">
</t>
        </r>
      </text>
    </comment>
    <comment ref="W1143" authorId="0" shapeId="0">
      <text>
        <r>
          <rPr>
            <b/>
            <sz val="9"/>
            <color indexed="81"/>
            <rFont val="Tahoma"/>
            <family val="2"/>
          </rPr>
          <t>MO TRM</t>
        </r>
        <r>
          <rPr>
            <sz val="9"/>
            <color indexed="81"/>
            <rFont val="Tahoma"/>
            <family val="2"/>
          </rPr>
          <t xml:space="preserve">
</t>
        </r>
      </text>
    </comment>
    <comment ref="X1143" authorId="0" shapeId="0">
      <text>
        <r>
          <rPr>
            <b/>
            <sz val="9"/>
            <color indexed="81"/>
            <rFont val="Tahoma"/>
            <family val="2"/>
          </rPr>
          <t>2017 Cadmus EM&amp;V - 2016 -2017 AMR Data &amp; HP</t>
        </r>
        <r>
          <rPr>
            <sz val="9"/>
            <color indexed="81"/>
            <rFont val="Tahoma"/>
            <family val="2"/>
          </rPr>
          <t xml:space="preserve">
</t>
        </r>
      </text>
    </comment>
    <comment ref="X1580" authorId="0" shapeId="0">
      <text>
        <r>
          <rPr>
            <b/>
            <sz val="16"/>
            <color indexed="81"/>
            <rFont val="Tahoma"/>
            <family val="2"/>
          </rPr>
          <t>EM&amp;V data was for 16+ measurses… did not update these values because these may overstate as there are higher SEER units in these tables (Cadmus data was 16.86 for this 16+ category</t>
        </r>
        <r>
          <rPr>
            <sz val="20"/>
            <color indexed="81"/>
            <rFont val="Tahoma"/>
            <family val="2"/>
          </rPr>
          <t xml:space="preserve">
</t>
        </r>
      </text>
    </comment>
    <comment ref="X2026" authorId="0" shapeId="0">
      <text>
        <r>
          <rPr>
            <b/>
            <sz val="14"/>
            <color indexed="81"/>
            <rFont val="Tahoma"/>
            <family val="2"/>
          </rPr>
          <t xml:space="preserve">These highlighted "Green" include a corrections to the forumula. It was previously pointing to an incorrect cell reference
</t>
        </r>
      </text>
    </comment>
  </commentList>
</comments>
</file>

<file path=xl/comments6.xml><?xml version="1.0" encoding="utf-8"?>
<comments xmlns="http://schemas.openxmlformats.org/spreadsheetml/2006/main">
  <authors>
    <author>Brueggemann, Jeff R</author>
  </authors>
  <commentList>
    <comment ref="W21"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X21"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22"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X22"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W23" authorId="0" shapeId="0">
      <text>
        <r>
          <rPr>
            <b/>
            <sz val="9"/>
            <color indexed="81"/>
            <rFont val="Tahoma"/>
            <family val="2"/>
          </rPr>
          <t xml:space="preserve">SF capacity for same measure *0.65, per Ameren guidance.
</t>
        </r>
      </text>
    </comment>
    <comment ref="X23" authorId="0" shapeId="0">
      <text>
        <r>
          <rPr>
            <b/>
            <sz val="9"/>
            <color indexed="81"/>
            <rFont val="Tahoma"/>
            <family val="2"/>
          </rPr>
          <t xml:space="preserve">SF capacity for same measure *0.65, per Ameren guidance.
</t>
        </r>
      </text>
    </comment>
    <comment ref="W24"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X24"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W25" authorId="0" shapeId="0">
      <text>
        <r>
          <rPr>
            <b/>
            <sz val="9"/>
            <color indexed="81"/>
            <rFont val="Tahoma"/>
            <family val="2"/>
          </rPr>
          <t>MO TRM</t>
        </r>
        <r>
          <rPr>
            <sz val="9"/>
            <color indexed="81"/>
            <rFont val="Tahoma"/>
            <family val="2"/>
          </rPr>
          <t xml:space="preserve">
</t>
        </r>
      </text>
    </comment>
    <comment ref="X25" authorId="0" shapeId="0">
      <text>
        <r>
          <rPr>
            <b/>
            <sz val="9"/>
            <color indexed="81"/>
            <rFont val="Tahoma"/>
            <family val="2"/>
          </rPr>
          <t>MO TRM</t>
        </r>
        <r>
          <rPr>
            <sz val="9"/>
            <color indexed="81"/>
            <rFont val="Tahoma"/>
            <family val="2"/>
          </rPr>
          <t xml:space="preserve">
</t>
        </r>
      </text>
    </comment>
    <comment ref="W26" authorId="0" shapeId="0">
      <text>
        <r>
          <rPr>
            <b/>
            <sz val="9"/>
            <color indexed="81"/>
            <rFont val="Tahoma"/>
            <family val="2"/>
          </rPr>
          <t>MO TRM
Matches 2015 Heating and Cooling evaluation</t>
        </r>
      </text>
    </comment>
    <comment ref="X26" authorId="0" shapeId="0">
      <text>
        <r>
          <rPr>
            <b/>
            <sz val="9"/>
            <color indexed="81"/>
            <rFont val="Tahoma"/>
            <family val="2"/>
          </rPr>
          <t>MO TRM
Matches 2015 Heating and Cooling evaluation</t>
        </r>
      </text>
    </comment>
    <comment ref="W27" authorId="0" shapeId="0">
      <text>
        <r>
          <rPr>
            <b/>
            <sz val="9"/>
            <color indexed="81"/>
            <rFont val="Tahoma"/>
            <family val="2"/>
          </rPr>
          <t>MO TRM</t>
        </r>
        <r>
          <rPr>
            <sz val="9"/>
            <color indexed="81"/>
            <rFont val="Tahoma"/>
            <family val="2"/>
          </rPr>
          <t xml:space="preserve">
</t>
        </r>
      </text>
    </comment>
    <comment ref="X27" authorId="0" shapeId="0">
      <text>
        <r>
          <rPr>
            <b/>
            <sz val="9"/>
            <color indexed="81"/>
            <rFont val="Tahoma"/>
            <family val="2"/>
          </rPr>
          <t>MO TRM</t>
        </r>
        <r>
          <rPr>
            <sz val="9"/>
            <color indexed="81"/>
            <rFont val="Tahoma"/>
            <family val="2"/>
          </rPr>
          <t xml:space="preserve">
</t>
        </r>
      </text>
    </comment>
    <comment ref="W28" authorId="0" shapeId="0">
      <text>
        <r>
          <rPr>
            <b/>
            <sz val="9"/>
            <color indexed="81"/>
            <rFont val="Tahoma"/>
            <family val="2"/>
          </rPr>
          <t>MO TRM</t>
        </r>
        <r>
          <rPr>
            <sz val="9"/>
            <color indexed="81"/>
            <rFont val="Tahoma"/>
            <family val="2"/>
          </rPr>
          <t xml:space="preserve">
</t>
        </r>
      </text>
    </comment>
    <comment ref="X28" authorId="0" shapeId="0">
      <text>
        <r>
          <rPr>
            <b/>
            <sz val="9"/>
            <color indexed="81"/>
            <rFont val="Tahoma"/>
            <family val="2"/>
          </rPr>
          <t>MO TRM</t>
        </r>
        <r>
          <rPr>
            <sz val="9"/>
            <color indexed="81"/>
            <rFont val="Tahoma"/>
            <family val="2"/>
          </rPr>
          <t xml:space="preserve">
</t>
        </r>
      </text>
    </comment>
    <comment ref="W29" authorId="0" shapeId="0">
      <text>
        <r>
          <rPr>
            <b/>
            <sz val="9"/>
            <color indexed="81"/>
            <rFont val="Tahoma"/>
            <family val="2"/>
          </rPr>
          <t>MO TRM</t>
        </r>
        <r>
          <rPr>
            <sz val="9"/>
            <color indexed="81"/>
            <rFont val="Tahoma"/>
            <family val="2"/>
          </rPr>
          <t xml:space="preserve">
Matches 2015 Heating and Cooling evaluation
</t>
        </r>
      </text>
    </comment>
    <comment ref="X29" authorId="0" shapeId="0">
      <text>
        <r>
          <rPr>
            <b/>
            <sz val="9"/>
            <color indexed="81"/>
            <rFont val="Tahoma"/>
            <family val="2"/>
          </rPr>
          <t>MO TRM</t>
        </r>
        <r>
          <rPr>
            <sz val="9"/>
            <color indexed="81"/>
            <rFont val="Tahoma"/>
            <family val="2"/>
          </rPr>
          <t xml:space="preserve">
Matches 2015 Heating and Cooling evaluation
</t>
        </r>
      </text>
    </comment>
    <comment ref="W30" authorId="0" shapeId="0">
      <text>
        <r>
          <rPr>
            <b/>
            <sz val="9"/>
            <color indexed="81"/>
            <rFont val="Tahoma"/>
            <family val="2"/>
          </rPr>
          <t>MO TRM
Matches 2015 Heating and Cooling evaluation</t>
        </r>
      </text>
    </comment>
    <comment ref="X30" authorId="0" shapeId="0">
      <text>
        <r>
          <rPr>
            <b/>
            <sz val="9"/>
            <color indexed="81"/>
            <rFont val="Tahoma"/>
            <family val="2"/>
          </rPr>
          <t>MO TRM
Matches 2015 Heating and Cooling evaluation</t>
        </r>
      </text>
    </comment>
    <comment ref="W31" authorId="0" shapeId="0">
      <text>
        <r>
          <rPr>
            <b/>
            <sz val="9"/>
            <color indexed="81"/>
            <rFont val="Tahoma"/>
            <family val="2"/>
          </rPr>
          <t>MO TRM</t>
        </r>
        <r>
          <rPr>
            <sz val="9"/>
            <color indexed="81"/>
            <rFont val="Tahoma"/>
            <family val="2"/>
          </rPr>
          <t xml:space="preserve">
Matches 2015 Heating and Cooling evaluation</t>
        </r>
      </text>
    </comment>
    <comment ref="X31" authorId="0" shapeId="0">
      <text>
        <r>
          <rPr>
            <b/>
            <sz val="9"/>
            <color indexed="81"/>
            <rFont val="Tahoma"/>
            <family val="2"/>
          </rPr>
          <t>MO TRM</t>
        </r>
        <r>
          <rPr>
            <sz val="9"/>
            <color indexed="81"/>
            <rFont val="Tahoma"/>
            <family val="2"/>
          </rPr>
          <t xml:space="preserve">
Matches 2015 Heating and Cooling evaluation</t>
        </r>
      </text>
    </comment>
    <comment ref="X442" authorId="0" shapeId="0">
      <text>
        <r>
          <rPr>
            <b/>
            <sz val="9"/>
            <color indexed="81"/>
            <rFont val="Tahoma"/>
            <family val="2"/>
          </rPr>
          <t>The %AC and % Heating values were not used in the prior ADM calcs but applying them at 100% obtains the same value they reached.</t>
        </r>
        <r>
          <rPr>
            <sz val="9"/>
            <color indexed="81"/>
            <rFont val="Tahoma"/>
            <family val="2"/>
          </rPr>
          <t xml:space="preserve">
</t>
        </r>
      </text>
    </comment>
    <comment ref="X450" authorId="0" shapeId="0">
      <text>
        <r>
          <rPr>
            <b/>
            <sz val="9"/>
            <color indexed="81"/>
            <rFont val="Tahoma"/>
            <family val="2"/>
          </rPr>
          <t>In PY2017 this was included in the ISR rate.</t>
        </r>
        <r>
          <rPr>
            <sz val="9"/>
            <color indexed="81"/>
            <rFont val="Tahoma"/>
            <family val="2"/>
          </rPr>
          <t xml:space="preserve">
</t>
        </r>
      </text>
    </comment>
    <comment ref="H571"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H572"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H573"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W613" authorId="0" shapeId="0">
      <text>
        <r>
          <rPr>
            <b/>
            <sz val="9"/>
            <color indexed="81"/>
            <rFont val="Tahoma"/>
            <family val="2"/>
          </rPr>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r>
        <r>
          <rPr>
            <sz val="9"/>
            <color indexed="81"/>
            <rFont val="Tahoma"/>
            <family val="2"/>
          </rPr>
          <t xml:space="preserve">
</t>
        </r>
      </text>
    </comment>
    <comment ref="W614" authorId="0" shapeId="0">
      <text>
        <r>
          <rPr>
            <b/>
            <sz val="9"/>
            <color indexed="81"/>
            <rFont val="Tahoma"/>
            <family val="2"/>
          </rPr>
          <t>Average capacity of 'Air Source Heat Pumps' measures in 'HVAC' program.  Values come from evaluation</t>
        </r>
        <r>
          <rPr>
            <sz val="9"/>
            <color indexed="81"/>
            <rFont val="Tahoma"/>
            <family val="2"/>
          </rPr>
          <t xml:space="preserve">
</t>
        </r>
      </text>
    </comment>
    <comment ref="W615" authorId="0" shapeId="0">
      <text>
        <r>
          <rPr>
            <b/>
            <sz val="9"/>
            <color indexed="81"/>
            <rFont val="Tahoma"/>
            <family val="2"/>
          </rPr>
          <t xml:space="preserve">SF capacity for same measure *0.65
</t>
        </r>
      </text>
    </comment>
    <comment ref="W616" authorId="0" shapeId="0">
      <text>
        <r>
          <rPr>
            <b/>
            <sz val="9"/>
            <color indexed="81"/>
            <rFont val="Tahoma"/>
            <family val="2"/>
          </rPr>
          <t xml:space="preserve">MO TRM
</t>
        </r>
        <r>
          <rPr>
            <sz val="9"/>
            <color indexed="81"/>
            <rFont val="Tahoma"/>
            <family val="2"/>
          </rPr>
          <t xml:space="preserve">
</t>
        </r>
      </text>
    </comment>
    <comment ref="W618" authorId="0" shapeId="0">
      <text>
        <r>
          <rPr>
            <b/>
            <sz val="9"/>
            <color indexed="81"/>
            <rFont val="Tahoma"/>
            <family val="2"/>
          </rPr>
          <t>MO TRM</t>
        </r>
        <r>
          <rPr>
            <sz val="9"/>
            <color indexed="81"/>
            <rFont val="Tahoma"/>
            <family val="2"/>
          </rPr>
          <t xml:space="preserve">
Matches 2015 Heating and Cooling evaluation</t>
        </r>
      </text>
    </comment>
    <comment ref="W620" authorId="0" shapeId="0">
      <text>
        <r>
          <rPr>
            <b/>
            <sz val="9"/>
            <color indexed="81"/>
            <rFont val="Tahoma"/>
            <family val="2"/>
          </rPr>
          <t xml:space="preserve">MO TRM
</t>
        </r>
        <r>
          <rPr>
            <sz val="9"/>
            <color indexed="81"/>
            <rFont val="Tahoma"/>
            <family val="2"/>
          </rPr>
          <t xml:space="preserve">Matches 2015 Heating and Cooling evaluation
</t>
        </r>
      </text>
    </comment>
    <comment ref="W621" authorId="0" shapeId="0">
      <text>
        <r>
          <rPr>
            <b/>
            <sz val="9"/>
            <color indexed="81"/>
            <rFont val="Tahoma"/>
            <family val="2"/>
          </rPr>
          <t xml:space="preserve">MO TRM
</t>
        </r>
        <r>
          <rPr>
            <sz val="9"/>
            <color indexed="81"/>
            <rFont val="Tahoma"/>
            <family val="2"/>
          </rPr>
          <t>Matches 2015 Heating and Cooling evaluation</t>
        </r>
      </text>
    </comment>
    <comment ref="W622" authorId="0" shapeId="0">
      <text>
        <r>
          <rPr>
            <b/>
            <sz val="9"/>
            <color indexed="81"/>
            <rFont val="Tahoma"/>
            <family val="2"/>
          </rPr>
          <t xml:space="preserve">MO TRM
</t>
        </r>
        <r>
          <rPr>
            <sz val="9"/>
            <color indexed="81"/>
            <rFont val="Tahoma"/>
            <family val="2"/>
          </rPr>
          <t xml:space="preserve">
</t>
        </r>
      </text>
    </comment>
    <comment ref="W623" authorId="0" shapeId="0">
      <text>
        <r>
          <rPr>
            <b/>
            <sz val="9"/>
            <color indexed="81"/>
            <rFont val="Tahoma"/>
            <family val="2"/>
          </rPr>
          <t xml:space="preserve">MO TRM
</t>
        </r>
        <r>
          <rPr>
            <sz val="9"/>
            <color indexed="81"/>
            <rFont val="Tahoma"/>
            <family val="2"/>
          </rPr>
          <t>Matches 2015 Heating and Cooling evaluation</t>
        </r>
      </text>
    </comment>
    <comment ref="W625" authorId="0" shapeId="0">
      <text>
        <r>
          <rPr>
            <b/>
            <sz val="9"/>
            <color indexed="81"/>
            <rFont val="Tahoma"/>
            <family val="2"/>
          </rPr>
          <t>Based on Full Load Hour assumptions (for St Louis and Kansas City) taken from the ENERGY STAR calculator (http://www.energystar.gov/ia/business/bulk_purchasing/bpsavings_calc/Calc_CAC.xls). The other climate region values are calculated using the Climate Normals Heating Degree Day ratios (at 60F set point).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r>
      </text>
    </comment>
    <comment ref="W626" authorId="0" shapeId="0">
      <text>
        <r>
          <rPr>
            <sz val="10"/>
            <color indexed="81"/>
            <rFont val="Tahoma"/>
            <family val="2"/>
          </rPr>
          <t>Average capacity of 'Air Source Heat Pumps' measures in 'HVAC' program.  Values come from evaluation
Value not provided in TRM.  Average value from 'Air Source Heat Pump' measures provides consistancy in assumptions.</t>
        </r>
        <r>
          <rPr>
            <sz val="9"/>
            <color indexed="81"/>
            <rFont val="Tahoma"/>
            <family val="2"/>
          </rPr>
          <t xml:space="preserve">
</t>
        </r>
      </text>
    </comment>
    <comment ref="W627" authorId="0" shapeId="0">
      <text>
        <r>
          <rPr>
            <b/>
            <sz val="9"/>
            <color indexed="81"/>
            <rFont val="Tahoma"/>
            <family val="2"/>
          </rPr>
          <t>SF capacity for same measure *0.65</t>
        </r>
        <r>
          <rPr>
            <sz val="9"/>
            <color indexed="81"/>
            <rFont val="Tahoma"/>
            <family val="2"/>
          </rPr>
          <t xml:space="preserve">
</t>
        </r>
      </text>
    </comment>
    <comment ref="W628" authorId="0" shapeId="0">
      <text>
        <r>
          <rPr>
            <b/>
            <sz val="9"/>
            <color indexed="81"/>
            <rFont val="Tahoma"/>
            <family val="2"/>
          </rPr>
          <t>Based on evaluation results outlined in “Ameren Missouri Heating and Cooling Program Impact and Process Evaluation: Program Year 2015.”</t>
        </r>
        <r>
          <rPr>
            <sz val="9"/>
            <color indexed="81"/>
            <rFont val="Tahoma"/>
            <family val="2"/>
          </rPr>
          <t xml:space="preserve">
</t>
        </r>
      </text>
    </comment>
    <comment ref="W630" authorId="0" shapeId="0">
      <text>
        <r>
          <rPr>
            <b/>
            <sz val="9"/>
            <color indexed="81"/>
            <rFont val="Tahoma"/>
            <family val="2"/>
          </rPr>
          <t>Based on evaluation results outlined in “Ameren Missouri Heating and Cooling Program Impact and Process Evaluation: Program Year 2015.”</t>
        </r>
      </text>
    </comment>
    <comment ref="W632" authorId="0" shapeId="0">
      <text>
        <r>
          <rPr>
            <b/>
            <sz val="9"/>
            <color indexed="81"/>
            <rFont val="Tahoma"/>
            <family val="2"/>
          </rPr>
          <t>MO TRM:  "Assumes the efficiency improvement is the same in heating mode as was realized in cooling mode. Based on the improvement reported in “Ameren Missouri Heating and Cooling Program Impact and Process Evaluation: Program Year 2015"</t>
        </r>
        <r>
          <rPr>
            <sz val="9"/>
            <color indexed="81"/>
            <rFont val="Tahoma"/>
            <family val="2"/>
          </rPr>
          <t xml:space="preserve">
Determined through linerar interpolation, using MO TRM value for overall tune-up improvement (HSPF=6.9) and partial improvement values used for General, Refrigerant Charge, and Coil Clean improvements (SEERtest-out values above).  Using 6.9 for all Tune-Up measures would result in double counting of heating savings.  </t>
        </r>
      </text>
    </comment>
    <comment ref="W633" authorId="0" shapeId="0">
      <text>
        <r>
          <rPr>
            <b/>
            <sz val="9"/>
            <color indexed="81"/>
            <rFont val="Tahoma"/>
            <family val="2"/>
          </rPr>
          <t xml:space="preserve">MO TRM:  "Assumes the efficiency improvement is the same in heating mode as was realized in cooling mode. Based on the improvement reported in “Ameren Missouri Heating and Cooling Program Impact and Process Evaluation: Program Year 2015"
Determined through linerar interpolation, using MO TRM value for overall tune-up improvement (HSPF=6.9) and partial improvement values used for General, Refrigerant Charge, and Coil Clean improvements (SEERtest-out values above).  Using 6.9 for all Tune-Up measures would result in double counting of heating savings.  </t>
        </r>
      </text>
    </comment>
    <comment ref="W634" authorId="0" shapeId="0">
      <text>
        <r>
          <rPr>
            <b/>
            <sz val="9"/>
            <color indexed="81"/>
            <rFont val="Tahoma"/>
            <family val="2"/>
          </rPr>
          <t xml:space="preserve">MO TRM:  "Assumes the efficiency improvement is the same in heating mode as was realized in cooling mode. Based on the improvement reported in “Ameren Missouri Heating and Cooling Program Impact and Process Evaluation: Program Year 2015"
Determined through linerar interpolation, using MO TRM value for overall tune-up improvement (HSPF=6.9) and partial improvement values used for General, Refrigerant Charge, and Coil Clean improvements (SEERtest-out values above).  Using 6.9 for all Tune-Up measures would result in double counting of heating savings.  </t>
        </r>
        <r>
          <rPr>
            <sz val="9"/>
            <color indexed="81"/>
            <rFont val="Tahoma"/>
            <family val="2"/>
          </rPr>
          <t xml:space="preserve">
</t>
        </r>
      </text>
    </comment>
    <comment ref="W635" authorId="0" shapeId="0">
      <text>
        <r>
          <rPr>
            <b/>
            <sz val="9"/>
            <color indexed="81"/>
            <rFont val="Tahoma"/>
            <family val="2"/>
          </rPr>
          <t xml:space="preserve">MO TRM:  "Assumes the efficiency improvement is the same in heating mode as was realized in cooling mode. Based on the improvement reported in “Ameren Missouri Heating and Cooling Program Impact and Process Evaluation: Program Year 2015"
Determined through linerar interpolation, using MO TRM value for overall tune-up improvement (HSPF=6.9) and partial improvement values used for General, Refrigerant Charge, and Coil Clean improvements (SEERtest-out values above).  Using 6.9 for all Tune-Up measures would result in double counting of heating savings.  </t>
        </r>
      </text>
    </comment>
    <comment ref="G664" authorId="0" shapeId="0">
      <text>
        <r>
          <rPr>
            <b/>
            <sz val="9"/>
            <color indexed="81"/>
            <rFont val="Tahoma"/>
            <family val="2"/>
          </rPr>
          <t xml:space="preserve">No Drain factor included in PY2017 EM&amp;V results
</t>
        </r>
      </text>
    </comment>
    <comment ref="W664" authorId="0" shapeId="0">
      <text>
        <r>
          <rPr>
            <b/>
            <sz val="9"/>
            <color indexed="81"/>
            <rFont val="Tahoma"/>
            <family val="2"/>
          </rPr>
          <t>Illinois Statewide Technical Reference Manual for Energy Efficiency Version 5.0. pp. 175. 2016. Available online: http://ilsagfiles.org/SAG_files/Technical_Reference_Manual/Version_5/Final/IL-TRM_Version_5.0_dated_February-11-2016_Final_Compiled_Volumes_1-4.pdf</t>
        </r>
      </text>
    </comment>
    <comment ref="W666" authorId="0" shapeId="0">
      <text>
        <r>
          <rPr>
            <b/>
            <sz val="9"/>
            <color indexed="81"/>
            <rFont val="Tahoma"/>
            <family val="2"/>
          </rPr>
          <t xml:space="preserve">PY2016 Program Data, per Community Saves 2016 EM&amp;V report. </t>
        </r>
        <r>
          <rPr>
            <sz val="9"/>
            <color indexed="81"/>
            <rFont val="Tahoma"/>
            <family val="2"/>
          </rPr>
          <t xml:space="preserve">
</t>
        </r>
      </text>
    </comment>
    <comment ref="W674" authorId="0" shapeId="0">
      <text>
        <r>
          <rPr>
            <b/>
            <sz val="9"/>
            <color indexed="81"/>
            <rFont val="Tahoma"/>
            <family val="2"/>
          </rPr>
          <t>These original values appear to be flipped - would assume DI would be 100%</t>
        </r>
      </text>
    </comment>
    <comment ref="W675" authorId="0" shapeId="0">
      <text>
        <r>
          <rPr>
            <b/>
            <sz val="9"/>
            <color indexed="81"/>
            <rFont val="Tahoma"/>
            <family val="2"/>
          </rPr>
          <t>Missouri TRM</t>
        </r>
        <r>
          <rPr>
            <sz val="9"/>
            <color indexed="81"/>
            <rFont val="Tahoma"/>
            <family val="2"/>
          </rPr>
          <t xml:space="preserve">
</t>
        </r>
      </text>
    </comment>
    <comment ref="G697" authorId="0" shapeId="0">
      <text>
        <r>
          <rPr>
            <b/>
            <sz val="9"/>
            <color indexed="81"/>
            <rFont val="Tahoma"/>
            <family val="2"/>
          </rPr>
          <t>ADM just provided the delta value of 1.0 (the actual base and efficient values were not provided)</t>
        </r>
        <r>
          <rPr>
            <sz val="9"/>
            <color indexed="81"/>
            <rFont val="Tahoma"/>
            <family val="2"/>
          </rPr>
          <t xml:space="preserve">
</t>
        </r>
      </text>
    </comment>
    <comment ref="V697" authorId="0" shapeId="0">
      <text>
        <r>
          <rPr>
            <b/>
            <sz val="9"/>
            <color indexed="81"/>
            <rFont val="Tahoma"/>
            <family val="2"/>
          </rPr>
          <t>Illinois Statewide Technical Reference Manual for Energy Efficiency Version 5.0. pp. 184. 2016. Available Online: http://ilsagfiles.org/SAG_files/Technical_Reference
_Manual/Version_5/Final/IL-TRM_Version_5.0_dated_February-11-2016_Final_Compiled_Volumes_1-4.pdf</t>
        </r>
      </text>
    </comment>
    <comment ref="X697" authorId="0" shapeId="0">
      <text>
        <r>
          <rPr>
            <b/>
            <sz val="9"/>
            <color indexed="81"/>
            <rFont val="Tahoma"/>
            <family val="2"/>
          </rPr>
          <t>PY2017  Community Savers Site Visit Data and Ride Along Data (ADM only provided the delta GPM, not the base and efficient values)</t>
        </r>
        <r>
          <rPr>
            <sz val="9"/>
            <color indexed="81"/>
            <rFont val="Tahoma"/>
            <family val="2"/>
          </rPr>
          <t xml:space="preserve">
</t>
        </r>
      </text>
    </comment>
    <comment ref="G699" authorId="0" shapeId="0">
      <text>
        <r>
          <rPr>
            <b/>
            <sz val="9"/>
            <color indexed="81"/>
            <rFont val="Tahoma"/>
            <family val="2"/>
          </rPr>
          <t>ADM just provided the delta value of 1.0 (the actual base and efficient values were not provided)</t>
        </r>
        <r>
          <rPr>
            <sz val="9"/>
            <color indexed="81"/>
            <rFont val="Tahoma"/>
            <family val="2"/>
          </rPr>
          <t xml:space="preserve">
</t>
        </r>
      </text>
    </comment>
    <comment ref="V699" authorId="0" shapeId="0">
      <text>
        <r>
          <rPr>
            <b/>
            <sz val="9"/>
            <color indexed="81"/>
            <rFont val="Tahoma"/>
            <family val="2"/>
          </rPr>
          <t>PY2016 Program Data, per Community Saves 2016 EM&amp;V report. </t>
        </r>
        <r>
          <rPr>
            <sz val="9"/>
            <color indexed="81"/>
            <rFont val="Tahoma"/>
            <family val="2"/>
          </rPr>
          <t xml:space="preserve">
</t>
        </r>
      </text>
    </comment>
    <comment ref="X699" authorId="0" shapeId="0">
      <text>
        <r>
          <rPr>
            <b/>
            <sz val="9"/>
            <color indexed="81"/>
            <rFont val="Tahoma"/>
            <family val="2"/>
          </rPr>
          <t>PY2017  Community Savers Site Visit Data and Ride Along Data (ADM only provided the delta GPM, not the base and efficient values)</t>
        </r>
      </text>
    </comment>
    <comment ref="W702" authorId="0" shapeId="0">
      <text>
        <r>
          <rPr>
            <b/>
            <sz val="9"/>
            <color indexed="81"/>
            <rFont val="Tahoma"/>
            <family val="2"/>
          </rPr>
          <t>Missouri TRM</t>
        </r>
      </text>
    </comment>
    <comment ref="W706" authorId="0" shapeId="0">
      <text>
        <r>
          <rPr>
            <b/>
            <sz val="9"/>
            <color indexed="81"/>
            <rFont val="Tahoma"/>
            <family val="2"/>
          </rPr>
          <t>Ameren Missouri Efficient Products Impact and Process Evaluation: Planning Year 2015, provided by Cadmus.</t>
        </r>
        <r>
          <rPr>
            <sz val="9"/>
            <color indexed="81"/>
            <rFont val="Tahoma"/>
            <family val="2"/>
          </rPr>
          <t xml:space="preserve">
</t>
        </r>
      </text>
    </comment>
    <comment ref="W737" authorId="0" shapeId="0">
      <text>
        <r>
          <rPr>
            <b/>
            <sz val="9"/>
            <color indexed="81"/>
            <rFont val="Tahoma"/>
            <family val="2"/>
          </rPr>
          <t>MO TRM - Assumes 125°F water leaving the hot water tank and average basement temperature of 65°F.
Cited in Ameren Missouri Low Income and Process Evaluation: program Year 2015. p.24</t>
        </r>
      </text>
    </comment>
    <comment ref="F799" authorId="0" shapeId="0">
      <text>
        <r>
          <rPr>
            <sz val="9"/>
            <color indexed="81"/>
            <rFont val="Tahoma"/>
            <family val="2"/>
          </rPr>
          <t>no adjustment as these did not align in same manner with ADM data</t>
        </r>
      </text>
    </comment>
    <comment ref="F834" authorId="0" shapeId="0">
      <text>
        <r>
          <rPr>
            <b/>
            <sz val="9"/>
            <color indexed="81"/>
            <rFont val="Tahoma"/>
            <family val="2"/>
          </rPr>
          <t>no adjustment as these did not align in same manner with ADM data</t>
        </r>
        <r>
          <rPr>
            <sz val="9"/>
            <color indexed="81"/>
            <rFont val="Tahoma"/>
            <family val="2"/>
          </rPr>
          <t xml:space="preserve">
</t>
        </r>
      </text>
    </comment>
    <comment ref="X834" authorId="0" shapeId="0">
      <text>
        <r>
          <rPr>
            <b/>
            <sz val="9"/>
            <color indexed="81"/>
            <rFont val="Tahoma"/>
            <family val="2"/>
          </rPr>
          <t>no adjustment as these did not align in same manner with ADM formula</t>
        </r>
        <r>
          <rPr>
            <sz val="9"/>
            <color indexed="81"/>
            <rFont val="Tahoma"/>
            <family val="2"/>
          </rPr>
          <t xml:space="preserve">
</t>
        </r>
      </text>
    </comment>
    <comment ref="W1001" authorId="0" shapeId="0">
      <text>
        <r>
          <rPr>
            <b/>
            <sz val="9"/>
            <color indexed="81"/>
            <rFont val="Tahoma"/>
            <family val="2"/>
          </rPr>
          <t xml:space="preserve">Bulb-type and lumen look-up in Energy Star database
</t>
        </r>
      </text>
    </comment>
    <comment ref="W1003" authorId="0" shapeId="0">
      <text>
        <r>
          <rPr>
            <b/>
            <sz val="9"/>
            <color indexed="81"/>
            <rFont val="Tahoma"/>
            <family val="2"/>
          </rPr>
          <t xml:space="preserve">Matched to nearest EE wattage in TRM wattage table
</t>
        </r>
        <r>
          <rPr>
            <sz val="9"/>
            <color indexed="81"/>
            <rFont val="Tahoma"/>
            <family val="2"/>
          </rPr>
          <t xml:space="preserve">
</t>
        </r>
      </text>
    </comment>
    <comment ref="W1004" authorId="0" shapeId="0">
      <text>
        <r>
          <rPr>
            <b/>
            <sz val="9"/>
            <color indexed="81"/>
            <rFont val="Tahoma"/>
            <family val="2"/>
          </rPr>
          <t>Bulb-type and lumen look-up in Energy Star database</t>
        </r>
      </text>
    </comment>
    <comment ref="W1006" authorId="0" shapeId="0">
      <text>
        <r>
          <rPr>
            <b/>
            <sz val="9"/>
            <color indexed="81"/>
            <rFont val="Tahoma"/>
            <family val="2"/>
          </rPr>
          <t xml:space="preserve">Bulb-type and lumen look-up in Energy Star database
</t>
        </r>
        <r>
          <rPr>
            <sz val="9"/>
            <color indexed="81"/>
            <rFont val="Tahoma"/>
            <family val="2"/>
          </rPr>
          <t xml:space="preserve">
</t>
        </r>
      </text>
    </comment>
    <comment ref="W1007" authorId="0" shapeId="0">
      <text>
        <r>
          <rPr>
            <b/>
            <sz val="9"/>
            <color indexed="81"/>
            <rFont val="Tahoma"/>
            <family val="2"/>
          </rPr>
          <t>Bulb-type and lumen look-up in Energy Star database</t>
        </r>
      </text>
    </comment>
    <comment ref="W1011" authorId="0" shapeId="0">
      <text>
        <r>
          <rPr>
            <b/>
            <sz val="9"/>
            <color indexed="81"/>
            <rFont val="Tahoma"/>
            <family val="2"/>
          </rPr>
          <t xml:space="preserve">Bulb-type and lumen look-up in Energy Star database
</t>
        </r>
        <r>
          <rPr>
            <sz val="9"/>
            <color indexed="81"/>
            <rFont val="Tahoma"/>
            <family val="2"/>
          </rPr>
          <t xml:space="preserve">
</t>
        </r>
      </text>
    </comment>
    <comment ref="W1021" authorId="0" shapeId="0">
      <text>
        <r>
          <rPr>
            <b/>
            <sz val="9"/>
            <color indexed="81"/>
            <rFont val="Tahoma"/>
            <family val="2"/>
          </rPr>
          <t>Program Wattage</t>
        </r>
        <r>
          <rPr>
            <sz val="9"/>
            <color indexed="81"/>
            <rFont val="Tahoma"/>
            <family val="2"/>
          </rPr>
          <t xml:space="preserve">
</t>
        </r>
      </text>
    </comment>
    <comment ref="W1022" authorId="0" shapeId="0">
      <text>
        <r>
          <rPr>
            <b/>
            <sz val="9"/>
            <color indexed="81"/>
            <rFont val="Tahoma"/>
            <family val="2"/>
          </rPr>
          <t>Program Wattage</t>
        </r>
        <r>
          <rPr>
            <sz val="9"/>
            <color indexed="81"/>
            <rFont val="Tahoma"/>
            <family val="2"/>
          </rPr>
          <t xml:space="preserve">
</t>
        </r>
      </text>
    </comment>
    <comment ref="W1023" authorId="0" shapeId="0">
      <text>
        <r>
          <rPr>
            <b/>
            <sz val="9"/>
            <color indexed="81"/>
            <rFont val="Tahoma"/>
            <family val="2"/>
          </rPr>
          <t>Program Wattage</t>
        </r>
        <r>
          <rPr>
            <sz val="9"/>
            <color indexed="81"/>
            <rFont val="Tahoma"/>
            <family val="2"/>
          </rPr>
          <t xml:space="preserve">
</t>
        </r>
      </text>
    </comment>
    <comment ref="W1024" authorId="0" shapeId="0">
      <text>
        <r>
          <rPr>
            <b/>
            <sz val="9"/>
            <color indexed="81"/>
            <rFont val="Tahoma"/>
            <family val="2"/>
          </rPr>
          <t>Program Wattage</t>
        </r>
        <r>
          <rPr>
            <sz val="9"/>
            <color indexed="81"/>
            <rFont val="Tahoma"/>
            <family val="2"/>
          </rPr>
          <t xml:space="preserve">
</t>
        </r>
      </text>
    </comment>
    <comment ref="W1025" authorId="0" shapeId="0">
      <text>
        <r>
          <rPr>
            <b/>
            <sz val="9"/>
            <color indexed="81"/>
            <rFont val="Tahoma"/>
            <family val="2"/>
          </rPr>
          <t>Program Wattage</t>
        </r>
        <r>
          <rPr>
            <sz val="9"/>
            <color indexed="81"/>
            <rFont val="Tahoma"/>
            <family val="2"/>
          </rPr>
          <t xml:space="preserve">
</t>
        </r>
      </text>
    </comment>
    <comment ref="W1026" authorId="0" shapeId="0">
      <text>
        <r>
          <rPr>
            <b/>
            <sz val="9"/>
            <color indexed="81"/>
            <rFont val="Tahoma"/>
            <family val="2"/>
          </rPr>
          <t>Program Wattage</t>
        </r>
        <r>
          <rPr>
            <sz val="9"/>
            <color indexed="81"/>
            <rFont val="Tahoma"/>
            <family val="2"/>
          </rPr>
          <t xml:space="preserve">
</t>
        </r>
      </text>
    </comment>
    <comment ref="W1027" authorId="0" shapeId="0">
      <text>
        <r>
          <rPr>
            <b/>
            <sz val="9"/>
            <color indexed="81"/>
            <rFont val="Tahoma"/>
            <family val="2"/>
          </rPr>
          <t>Bulb-type and lumen look-up in Energy Star database</t>
        </r>
        <r>
          <rPr>
            <sz val="9"/>
            <color indexed="81"/>
            <rFont val="Tahoma"/>
            <family val="2"/>
          </rPr>
          <t xml:space="preserve">
</t>
        </r>
      </text>
    </comment>
    <comment ref="W1028" authorId="0" shapeId="0">
      <text>
        <r>
          <rPr>
            <b/>
            <sz val="9"/>
            <color indexed="81"/>
            <rFont val="Tahoma"/>
            <family val="2"/>
          </rPr>
          <t>Bulb-type and lumen look-up in Energy Star database</t>
        </r>
        <r>
          <rPr>
            <sz val="9"/>
            <color indexed="81"/>
            <rFont val="Tahoma"/>
            <family val="2"/>
          </rPr>
          <t xml:space="preserve">
</t>
        </r>
      </text>
    </comment>
    <comment ref="W1029" authorId="0" shapeId="0">
      <text>
        <r>
          <rPr>
            <b/>
            <sz val="9"/>
            <color indexed="81"/>
            <rFont val="Tahoma"/>
            <family val="2"/>
          </rPr>
          <t>Bulb-type and lumen look-up in Energy Star database</t>
        </r>
        <r>
          <rPr>
            <sz val="9"/>
            <color indexed="81"/>
            <rFont val="Tahoma"/>
            <family val="2"/>
          </rPr>
          <t xml:space="preserve">
</t>
        </r>
      </text>
    </comment>
    <comment ref="W1030" authorId="0" shapeId="0">
      <text>
        <r>
          <rPr>
            <b/>
            <sz val="9"/>
            <color indexed="81"/>
            <rFont val="Tahoma"/>
            <family val="2"/>
          </rPr>
          <t>Bulb-type and lumen look-up in Energy Star database</t>
        </r>
        <r>
          <rPr>
            <sz val="9"/>
            <color indexed="81"/>
            <rFont val="Tahoma"/>
            <family val="2"/>
          </rPr>
          <t xml:space="preserve">
</t>
        </r>
      </text>
    </comment>
    <comment ref="W1031" authorId="0" shapeId="0">
      <text>
        <r>
          <rPr>
            <b/>
            <sz val="9"/>
            <color indexed="81"/>
            <rFont val="Tahoma"/>
            <family val="2"/>
          </rPr>
          <t>Bulb-type and lumen look-up in Energy Star database</t>
        </r>
        <r>
          <rPr>
            <sz val="9"/>
            <color indexed="81"/>
            <rFont val="Tahoma"/>
            <family val="2"/>
          </rPr>
          <t xml:space="preserve">
</t>
        </r>
      </text>
    </comment>
    <comment ref="W1032" authorId="0" shapeId="0">
      <text>
        <r>
          <rPr>
            <b/>
            <sz val="9"/>
            <color indexed="81"/>
            <rFont val="Tahoma"/>
            <family val="2"/>
          </rPr>
          <t>Bulb-type and lumen look-up in Energy Star database</t>
        </r>
        <r>
          <rPr>
            <sz val="9"/>
            <color indexed="81"/>
            <rFont val="Tahoma"/>
            <family val="2"/>
          </rPr>
          <t xml:space="preserve">
</t>
        </r>
      </text>
    </comment>
    <comment ref="W1033" authorId="0" shapeId="0">
      <text>
        <r>
          <rPr>
            <b/>
            <sz val="9"/>
            <color indexed="81"/>
            <rFont val="Tahoma"/>
            <family val="2"/>
          </rPr>
          <t>Bulb-type and lumen look-up in Energy Star database</t>
        </r>
        <r>
          <rPr>
            <sz val="9"/>
            <color indexed="81"/>
            <rFont val="Tahoma"/>
            <family val="2"/>
          </rPr>
          <t xml:space="preserve">
</t>
        </r>
      </text>
    </comment>
    <comment ref="W1034" authorId="0" shapeId="0">
      <text>
        <r>
          <rPr>
            <b/>
            <sz val="9"/>
            <color indexed="81"/>
            <rFont val="Tahoma"/>
            <family val="2"/>
          </rPr>
          <t>Bulb-type and lumen look-up in Energy Star database</t>
        </r>
        <r>
          <rPr>
            <sz val="9"/>
            <color indexed="81"/>
            <rFont val="Tahoma"/>
            <family val="2"/>
          </rPr>
          <t xml:space="preserve">
</t>
        </r>
      </text>
    </comment>
    <comment ref="W1035" authorId="0" shapeId="0">
      <text>
        <r>
          <rPr>
            <b/>
            <sz val="9"/>
            <color indexed="81"/>
            <rFont val="Tahoma"/>
            <family val="2"/>
          </rPr>
          <t>Bulb-type and lumen look-up in Energy Star database</t>
        </r>
        <r>
          <rPr>
            <sz val="9"/>
            <color indexed="81"/>
            <rFont val="Tahoma"/>
            <family val="2"/>
          </rPr>
          <t xml:space="preserve">
</t>
        </r>
      </text>
    </comment>
    <comment ref="W1036" authorId="0" shapeId="0">
      <text>
        <r>
          <rPr>
            <b/>
            <sz val="9"/>
            <color indexed="81"/>
            <rFont val="Tahoma"/>
            <family val="2"/>
          </rPr>
          <t>Bulb-type and lumen look-up in Energy Star database</t>
        </r>
        <r>
          <rPr>
            <sz val="9"/>
            <color indexed="81"/>
            <rFont val="Tahoma"/>
            <family val="2"/>
          </rPr>
          <t xml:space="preserve">
</t>
        </r>
      </text>
    </comment>
    <comment ref="W1037" authorId="0" shapeId="0">
      <text>
        <r>
          <rPr>
            <b/>
            <sz val="9"/>
            <color indexed="81"/>
            <rFont val="Tahoma"/>
            <family val="2"/>
          </rPr>
          <t>Bulb-type and lumen look-up in Energy Star database</t>
        </r>
        <r>
          <rPr>
            <sz val="9"/>
            <color indexed="81"/>
            <rFont val="Tahoma"/>
            <family val="2"/>
          </rPr>
          <t xml:space="preserve">
</t>
        </r>
      </text>
    </comment>
    <comment ref="W1038" authorId="0" shapeId="0">
      <text>
        <r>
          <rPr>
            <b/>
            <sz val="9"/>
            <color indexed="81"/>
            <rFont val="Tahoma"/>
            <family val="2"/>
          </rPr>
          <t>Bulb-type and lumen look-up in Energy Star database</t>
        </r>
        <r>
          <rPr>
            <sz val="9"/>
            <color indexed="81"/>
            <rFont val="Tahoma"/>
            <family val="2"/>
          </rPr>
          <t xml:space="preserve">
</t>
        </r>
      </text>
    </comment>
    <comment ref="W1039" authorId="0" shapeId="0">
      <text>
        <r>
          <rPr>
            <b/>
            <sz val="9"/>
            <color indexed="81"/>
            <rFont val="Tahoma"/>
            <family val="2"/>
          </rPr>
          <t>Bulb-type and lumen look-up in Energy Star database</t>
        </r>
        <r>
          <rPr>
            <sz val="9"/>
            <color indexed="81"/>
            <rFont val="Tahoma"/>
            <family val="2"/>
          </rPr>
          <t xml:space="preserve">
</t>
        </r>
      </text>
    </comment>
    <comment ref="W1040" authorId="0" shapeId="0">
      <text>
        <r>
          <rPr>
            <b/>
            <sz val="9"/>
            <color indexed="81"/>
            <rFont val="Tahoma"/>
            <family val="2"/>
          </rPr>
          <t>Bulb-type and lumen look-up in Energy Star database</t>
        </r>
        <r>
          <rPr>
            <sz val="9"/>
            <color indexed="81"/>
            <rFont val="Tahoma"/>
            <family val="2"/>
          </rPr>
          <t xml:space="preserve">
</t>
        </r>
      </text>
    </comment>
    <comment ref="W1041" authorId="0" shapeId="0">
      <text>
        <r>
          <rPr>
            <b/>
            <sz val="9"/>
            <color indexed="81"/>
            <rFont val="Tahoma"/>
            <family val="2"/>
          </rPr>
          <t xml:space="preserve">Ameren Missouri Home Energy Analysis Program Impact and Process Evaluation: Program Year 2015 </t>
        </r>
        <r>
          <rPr>
            <sz val="9"/>
            <color indexed="81"/>
            <rFont val="Tahoma"/>
            <family val="2"/>
          </rPr>
          <t xml:space="preserve">
</t>
        </r>
      </text>
    </comment>
    <comment ref="X1043" authorId="0" shapeId="0">
      <text>
        <r>
          <rPr>
            <b/>
            <sz val="9"/>
            <color indexed="81"/>
            <rFont val="Tahoma"/>
            <family val="2"/>
          </rPr>
          <t>Weighted HOU from ADM based upon program data</t>
        </r>
        <r>
          <rPr>
            <sz val="9"/>
            <color indexed="81"/>
            <rFont val="Tahoma"/>
            <family val="2"/>
          </rPr>
          <t xml:space="preserve">
</t>
        </r>
      </text>
    </comment>
    <comment ref="W1045" authorId="0" shapeId="0">
      <text>
        <r>
          <rPr>
            <b/>
            <sz val="9"/>
            <color indexed="81"/>
            <rFont val="Tahoma"/>
            <family val="2"/>
          </rPr>
          <t xml:space="preserve">Illinois TRM v5.0, Lighting Reference Tables (Sec. 4.5.1), "Unknown" Building type, screw base lamp operating hours / 365 </t>
        </r>
        <r>
          <rPr>
            <sz val="9"/>
            <color indexed="81"/>
            <rFont val="Tahoma"/>
            <family val="2"/>
          </rPr>
          <t xml:space="preserve">
</t>
        </r>
      </text>
    </comment>
    <comment ref="X1045" authorId="0" shapeId="0">
      <text>
        <r>
          <rPr>
            <b/>
            <sz val="9"/>
            <color indexed="81"/>
            <rFont val="Tahoma"/>
            <family val="2"/>
          </rPr>
          <t>Brueggemann, Jeff R:</t>
        </r>
        <r>
          <rPr>
            <sz val="9"/>
            <color indexed="81"/>
            <rFont val="Tahoma"/>
            <family val="2"/>
          </rPr>
          <t xml:space="preserve">
Weighted HOU from ADM based upon program data</t>
        </r>
      </text>
    </comment>
    <comment ref="W1155" authorId="0" shapeId="0">
      <text>
        <r>
          <rPr>
            <b/>
            <sz val="9"/>
            <color indexed="81"/>
            <rFont val="Tahoma"/>
            <family val="2"/>
          </rPr>
          <t>PY13 RebateSavers Database (average BTU)</t>
        </r>
        <r>
          <rPr>
            <sz val="9"/>
            <color indexed="81"/>
            <rFont val="Tahoma"/>
            <family val="2"/>
          </rPr>
          <t xml:space="preserve">
</t>
        </r>
      </text>
    </comment>
    <comment ref="W1156" authorId="0" shapeId="0">
      <text>
        <r>
          <rPr>
            <b/>
            <sz val="9"/>
            <color indexed="81"/>
            <rFont val="Tahoma"/>
            <family val="2"/>
          </rPr>
          <t>Federal minimum efficiency standard (updated from EER to CEER in March 2017)</t>
        </r>
        <r>
          <rPr>
            <sz val="9"/>
            <color indexed="81"/>
            <rFont val="Tahoma"/>
            <family val="2"/>
          </rPr>
          <t xml:space="preserve">
</t>
        </r>
      </text>
    </comment>
    <comment ref="X1159"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AJ1160" authorId="0" shapeId="0">
      <text>
        <r>
          <rPr>
            <b/>
            <sz val="9"/>
            <color indexed="81"/>
            <rFont val="Tahoma"/>
            <family val="2"/>
          </rPr>
          <t>used EFLH that ADM used for all measures</t>
        </r>
      </text>
    </comment>
  </commentList>
</comments>
</file>

<file path=xl/comments7.xml><?xml version="1.0" encoding="utf-8"?>
<comments xmlns="http://schemas.openxmlformats.org/spreadsheetml/2006/main">
  <authors>
    <author>Brueggemann, Jeff R</author>
  </authors>
  <commentList>
    <comment ref="X174"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L357" authorId="0" shapeId="0">
      <text>
        <r>
          <rPr>
            <sz val="11"/>
            <color indexed="81"/>
            <rFont val="Tahoma"/>
            <family val="2"/>
          </rPr>
          <t>The incremental cost for time of sale, new construction or efficiency kits is $7 or program actual.
For low flow showerheads provided in retrofit or direct install programs, the actual program delivery costs should be utilized, if unknown assume $15.33145.</t>
        </r>
      </text>
    </comment>
    <comment ref="G493" authorId="0" shapeId="0">
      <text>
        <r>
          <rPr>
            <b/>
            <sz val="9"/>
            <color indexed="81"/>
            <rFont val="Tahoma"/>
            <family val="2"/>
          </rPr>
          <t>Moved these two rows down (originally these values were in rows 486/487 this now matches format of same measure in Income Eligible deemed table</t>
        </r>
      </text>
    </comment>
  </commentList>
</comments>
</file>

<file path=xl/sharedStrings.xml><?xml version="1.0" encoding="utf-8"?>
<sst xmlns="http://schemas.openxmlformats.org/spreadsheetml/2006/main" count="11264" uniqueCount="1939">
  <si>
    <t>Ameren Missouri Deemed Savings Table Revision Log</t>
  </si>
  <si>
    <t>Ameren Missouri Deemed Savings Table</t>
  </si>
  <si>
    <t>Date</t>
  </si>
  <si>
    <t>Ameren Missouri TRM</t>
  </si>
  <si>
    <t>Description</t>
  </si>
  <si>
    <t>Volume 1: Overview and User Guide</t>
  </si>
  <si>
    <t>Volume 2:           C&amp;I Measures</t>
  </si>
  <si>
    <t>Volume 3: Residential Measures</t>
  </si>
  <si>
    <t xml:space="preserve">Revision </t>
  </si>
  <si>
    <t>Initial version filed for Commission approval.</t>
  </si>
  <si>
    <t>BUSINESS PRESCRIPTIVE MEASURES</t>
  </si>
  <si>
    <t xml:space="preserve">The values in the cells highlighted in this color are values used in the planning process of the portfolio.  TRM allows delivery program design to use actual values for these cells, or a default value if actuals are not available. </t>
  </si>
  <si>
    <t>Cells highlighted in this color are calculated variables</t>
  </si>
  <si>
    <r>
      <rPr>
        <b/>
        <sz val="26"/>
        <color theme="0" tint="-0.34998626667073579"/>
        <rFont val="Calibri"/>
        <family val="2"/>
        <scheme val="minor"/>
      </rPr>
      <t xml:space="preserve">&lt;------ </t>
    </r>
    <r>
      <rPr>
        <b/>
        <sz val="16"/>
        <color theme="0" tint="-0.34998626667073579"/>
        <rFont val="Calibri"/>
        <family val="2"/>
        <scheme val="minor"/>
      </rPr>
      <t>Use the "Grouping" Features to expand or hide the formulas/input variables</t>
    </r>
  </si>
  <si>
    <t>PROGRAMS:  All</t>
  </si>
  <si>
    <t>Lighting</t>
  </si>
  <si>
    <t>Measure Reference No.</t>
  </si>
  <si>
    <t>Program/ Channel</t>
  </si>
  <si>
    <t>Measure</t>
  </si>
  <si>
    <t>kWh Annual Savings</t>
  </si>
  <si>
    <t>End Use</t>
  </si>
  <si>
    <t>kW Factor</t>
  </si>
  <si>
    <t>kW</t>
  </si>
  <si>
    <t>EUL</t>
  </si>
  <si>
    <t>Inc. Cost</t>
  </si>
  <si>
    <t>Units</t>
  </si>
  <si>
    <t>REVISION DATE</t>
  </si>
  <si>
    <t>-</t>
  </si>
  <si>
    <t>C&amp;I</t>
  </si>
  <si>
    <t>LED &lt;=11 Watt Lamp Replacing Interior Halogen A 28-52 Watt Lamp</t>
  </si>
  <si>
    <t>Lighting BUS</t>
  </si>
  <si>
    <t>per measure</t>
  </si>
  <si>
    <t>LED 7-20 Watt Lamp Replacing Interior Halogen 53-70 Watt Lamp</t>
  </si>
  <si>
    <t>LED &lt;=14 Watt Lamp Replacing Interior Halogen BR/R 45-65 Watt Lamp</t>
  </si>
  <si>
    <t>LED &lt;=13 Watt Lamp Replacing Interior Halogen MR-16 35-50 Watt Lamp</t>
  </si>
  <si>
    <t>LED &lt;=20 Watt Lamp Replacing Interior Halogen PAR 48-90 Watt Lamp</t>
  </si>
  <si>
    <t>LED &lt;=80 Watt Lamp or Fixture Replacing Interior HID 100-175 Watt Lamp or Fixture</t>
  </si>
  <si>
    <t>LED 62 - 130 Watt Lamp or Fixture Replacing Interior HID 176-300 Watt Lamp or Fixture</t>
  </si>
  <si>
    <t>LED 85 - 225 Watt Lamp or Fixture Replacing Interior HID 301-500 Watt Lamp or Fixture</t>
  </si>
  <si>
    <t>LED &lt;=80 Watt Lamp or Fixture Replacing Garage or Exterior &lt;24/7 HID 100-175 Watt Lamp or Fixture</t>
  </si>
  <si>
    <t>Ext Lighting BUS</t>
  </si>
  <si>
    <t>LED 62 - 130 Watt Lamp or Fixture Replacing Garage or Exterior &lt;24/7 HID 176-300 Watt Lamp or Fixture</t>
  </si>
  <si>
    <t>LED 85 - 225 Watt Lamp or Fixture Replacing Garage or Exterior &lt;24/7 HID 301-500 Watt Lamp or Fixture</t>
  </si>
  <si>
    <t>LED &lt;=80 Watt Lamp or Fixture Replacing Garage or Exterior 24/7 HID 100-175 Watt Lamp or Fixture Misc.</t>
  </si>
  <si>
    <t>Miscellaneous BUS</t>
  </si>
  <si>
    <t>LED 62 - 130 Watt Lamp or Fixture Replacing Garage or Exterior 24/7 HID 176-300 Watt Lamp or Fixture Misc.</t>
  </si>
  <si>
    <t xml:space="preserve">LED 85 - 225 Watt Lamp or Fixture Replacing Garage or Exterior 24/7 HID 301-500 Watt Lamp or Fixture Misc. </t>
  </si>
  <si>
    <t>LED or Electroluminescent Replacing Interior Incandescent/CFL Exit Sign</t>
  </si>
  <si>
    <t>LED Replacing Interior T5 Fluorescent</t>
  </si>
  <si>
    <t>LED Replacting Interior T8 Fluorescent</t>
  </si>
  <si>
    <t>LED Replacing Interior T12 Fluorescent</t>
  </si>
  <si>
    <t>LED Specialty Lamp</t>
  </si>
  <si>
    <t>Evaluation Formula</t>
  </si>
  <si>
    <t xml:space="preserve">Measure Category </t>
  </si>
  <si>
    <t>Watts Base</t>
  </si>
  <si>
    <t>Watts EE</t>
  </si>
  <si>
    <t>HOU</t>
  </si>
  <si>
    <t>WHFe</t>
  </si>
  <si>
    <t>ISR</t>
  </si>
  <si>
    <t>Fixture Mounted Occupancy Sensor Controlling &gt;50 and &lt;=200 Watts</t>
  </si>
  <si>
    <t>Fixture Mounted Occupancy Sensor Controlling &gt;=201 and &lt;=500 Watts</t>
  </si>
  <si>
    <t>Single Technology Occupancy Sensor Controlling Lighting Circuit &gt;50 and &lt;=120 Watts</t>
  </si>
  <si>
    <t>Single Technology Occupancy Sensor Controlling Lighting Circuit &gt;120 Watts</t>
  </si>
  <si>
    <t>Dual Technology Occupancy Sensor Controlling Lighting Circuit &gt;150 Watts</t>
  </si>
  <si>
    <t>kWControlled</t>
  </si>
  <si>
    <t>Hours</t>
  </si>
  <si>
    <t>ESF</t>
  </si>
  <si>
    <t>ESF =Energy Savings factor (represents the percentage reduction to the operating Hours from the non-controlled baseline lighting system). Determined on a site-specific basis or use 24% as default value</t>
  </si>
  <si>
    <t>Commercial Solid and Glass Door Refrigerators &amp; Freezers</t>
  </si>
  <si>
    <t>0 &lt; V &lt; 15 - Vertical Closed - Solid Door Refrigerator</t>
  </si>
  <si>
    <t>Refrigeration BUS</t>
  </si>
  <si>
    <t>15 ≤ V &lt; 30 - Vertical Closed - Solid Door Refrigerator</t>
  </si>
  <si>
    <t>30 ≤ V &lt; 50 - Vertical Closed - Solid Door Refrigerator</t>
  </si>
  <si>
    <t>V ≥ 50 - Vertical Closed - Solid Door Refrigerator</t>
  </si>
  <si>
    <t>0 &lt; V &lt; 15 - Vertical Closed - Glass Door Refrigerator</t>
  </si>
  <si>
    <t>15 ≤ V &lt; 30 - Vertical Closed - Glass Door Refrigerator</t>
  </si>
  <si>
    <t>30 ≤ V &lt; 50 - Vertical Closed - Glass Door Refrigerator</t>
  </si>
  <si>
    <t>V ≥ 50 - Vertical Closed - Glass Door Refrigerator</t>
  </si>
  <si>
    <t>Horizontal Closed - Solid or Glass Door Refrigerator  - All Volumes</t>
  </si>
  <si>
    <t>0 &lt; V &lt; 15 - Vertical Closed - Solid Door Freezer</t>
  </si>
  <si>
    <t>15 ≤ V &lt; 30 - Vertical Closed - Solid Door Freezer</t>
  </si>
  <si>
    <t>30 ≤ V &lt; 50 - Vertical Closed - Solid Door Freezer</t>
  </si>
  <si>
    <t>V ≥ 50 - Vertical Closed - Solid Door Freezer</t>
  </si>
  <si>
    <t>0 &lt; V &lt; 15 - Vertical Closed - Glass Door Freezer</t>
  </si>
  <si>
    <t>15 ≤ V &lt; 30 - Vertical Closed - Glass Door Freezer</t>
  </si>
  <si>
    <t>30 ≤ V &lt; 50 - Vertical Closed - Glass Door Freezer</t>
  </si>
  <si>
    <t>V ≥ 50 - Vertical Closed - Glass Door Freezer</t>
  </si>
  <si>
    <t>Horizontal Closed - Solid or Glass Door Freezer  - All Volumes</t>
  </si>
  <si>
    <t>FACTOR</t>
  </si>
  <si>
    <t>Equipment Type</t>
  </si>
  <si>
    <r>
      <t>Volume Range (ft</t>
    </r>
    <r>
      <rPr>
        <vertAlign val="superscript"/>
        <sz val="11"/>
        <rFont val="Calibri"/>
        <family val="2"/>
        <scheme val="minor"/>
      </rPr>
      <t>3</t>
    </r>
    <r>
      <rPr>
        <sz val="11"/>
        <rFont val="Calibri"/>
        <family val="2"/>
        <scheme val="minor"/>
      </rPr>
      <t>)</t>
    </r>
  </si>
  <si>
    <r>
      <t>Volume (ft</t>
    </r>
    <r>
      <rPr>
        <vertAlign val="superscript"/>
        <sz val="11"/>
        <rFont val="Calibri"/>
        <family val="2"/>
        <scheme val="minor"/>
      </rPr>
      <t>3</t>
    </r>
    <r>
      <rPr>
        <sz val="11"/>
        <rFont val="Calibri"/>
        <family val="2"/>
        <scheme val="minor"/>
      </rPr>
      <t>)</t>
    </r>
  </si>
  <si>
    <t>Refrigerator</t>
  </si>
  <si>
    <t>Freezer</t>
  </si>
  <si>
    <t>(A x V) + B</t>
  </si>
  <si>
    <t>(C x V) + D</t>
  </si>
  <si>
    <t>V</t>
  </si>
  <si>
    <t>A</t>
  </si>
  <si>
    <t>B</t>
  </si>
  <si>
    <t>C</t>
  </si>
  <si>
    <t>D</t>
  </si>
  <si>
    <t>kWhBase</t>
  </si>
  <si>
    <t>Solid Door</t>
  </si>
  <si>
    <t>See Below</t>
  </si>
  <si>
    <t>See below</t>
  </si>
  <si>
    <t xml:space="preserve">Glass Door </t>
  </si>
  <si>
    <t>kWhESTAR</t>
  </si>
  <si>
    <t>Vertical Closed - Solid Door</t>
  </si>
  <si>
    <t>0 &lt; V &lt; 15</t>
  </si>
  <si>
    <t>15 ≤ V &lt; 30</t>
  </si>
  <si>
    <t>30 ≤ V &lt; 50</t>
  </si>
  <si>
    <t>V ≥ 50</t>
  </si>
  <si>
    <t>Vertical Closed - Glass Door</t>
  </si>
  <si>
    <t>Horizontal Closed - Solid or Glass Door</t>
  </si>
  <si>
    <t>All Volumes</t>
  </si>
  <si>
    <t>Refrigerators &amp; Freezers Controls</t>
  </si>
  <si>
    <t>kWh Annual Savings (per door)</t>
  </si>
  <si>
    <t>Inc. Cost (per door)</t>
  </si>
  <si>
    <t>Anti-Sweat Heater Controls Refrigerator</t>
  </si>
  <si>
    <t>per door</t>
  </si>
  <si>
    <t>Anti-Sweat Heater Controls Freezer</t>
  </si>
  <si>
    <t>Power Drawn Per Door (kW)</t>
  </si>
  <si>
    <t>DOORS</t>
  </si>
  <si>
    <t>% ON</t>
  </si>
  <si>
    <t>Cooling Bonus Factor (Less Waste Heat to Cool)</t>
  </si>
  <si>
    <t>Non-Controlled Door</t>
  </si>
  <si>
    <t>Heat Pump Water Heaters</t>
  </si>
  <si>
    <t>Heat Pump Water Heater w/ 98% Efficiency 2.9-14.6 kW (10 to 50 MBH)</t>
  </si>
  <si>
    <t>Water Heating BUS</t>
  </si>
  <si>
    <t>Heat Pump Water Heater w/ 98% Efficiency 14.7-29.3 kW (50 to 100 MBH)</t>
  </si>
  <si>
    <t>Heat Pump Water Heater w/ 98% Efficiency 29.4-87.9 kW (100 to 300 MBH)</t>
  </si>
  <si>
    <t>Heat Pump Water Heater w/ 98% Efficiency 88-146.5 kW (300 to 500 MBH)</t>
  </si>
  <si>
    <t>Heat Pump Water Heater w/ 98% Efficiency &gt;146.6 kW (above 500 MBH)</t>
  </si>
  <si>
    <t>EFBASE</t>
  </si>
  <si>
    <t>EFEE</t>
  </si>
  <si>
    <t>HotWaterUse (Gallon)</t>
  </si>
  <si>
    <t>Capacity (gal)</t>
  </si>
  <si>
    <t>γWater</t>
  </si>
  <si>
    <t>Tout</t>
  </si>
  <si>
    <t>TIn</t>
  </si>
  <si>
    <t>kWhCool</t>
  </si>
  <si>
    <t>kWhHeat</t>
  </si>
  <si>
    <t>COPCool</t>
  </si>
  <si>
    <t>COPHeat</t>
  </si>
  <si>
    <t>Location Factor   LF</t>
  </si>
  <si>
    <t>%Cool</t>
  </si>
  <si>
    <t>%ElectricHeat</t>
  </si>
  <si>
    <t>Heat Pump Pool Heater</t>
  </si>
  <si>
    <t>Inc. Cost (per unit)</t>
  </si>
  <si>
    <t>Pool Heater Heat Pump (Uncovered)</t>
  </si>
  <si>
    <t>Pool Heater Heat Pump (Covered)</t>
  </si>
  <si>
    <t>Uncovered Pool</t>
  </si>
  <si>
    <t>Covered Pool</t>
  </si>
  <si>
    <t>QPoolHeating</t>
  </si>
  <si>
    <t>SQFT</t>
  </si>
  <si>
    <t>EffBase</t>
  </si>
  <si>
    <t>EffEE</t>
  </si>
  <si>
    <t>Pool Pump</t>
  </si>
  <si>
    <t>kWh Annual Savings (per HP)</t>
  </si>
  <si>
    <t>Pool Pump w/ Variable Frequency Drive</t>
  </si>
  <si>
    <t>Motors BUS</t>
  </si>
  <si>
    <t>Horsepower</t>
  </si>
  <si>
    <t>Pool Pump Timer</t>
  </si>
  <si>
    <t>TimeSaved (hrs)</t>
  </si>
  <si>
    <t>Size (HP)</t>
  </si>
  <si>
    <t>Steam Cookers</t>
  </si>
  <si>
    <t>3 Pan ENERGY STAR Steam Cooker</t>
  </si>
  <si>
    <t>Cooking BUS</t>
  </si>
  <si>
    <t>4 Pan ENERGY STAR Steam Cooker</t>
  </si>
  <si>
    <t>5 Pan ENERGY STAR Steam Cooker</t>
  </si>
  <si>
    <t>6 Pan ENERGY STAR Steam Cooker</t>
  </si>
  <si>
    <t>∆IdleEnergy</t>
  </si>
  <si>
    <t>∆CookingEnergy</t>
  </si>
  <si>
    <t>Days</t>
  </si>
  <si>
    <t>SteamMode</t>
  </si>
  <si>
    <t>IdleRateBase (W)</t>
  </si>
  <si>
    <t>IdleRateESTAR (W)</t>
  </si>
  <si>
    <t>ProductionBase (lb/hr)</t>
  </si>
  <si>
    <t>ProductionESTAR (lb/hr/pan)</t>
  </si>
  <si>
    <t>Pans</t>
  </si>
  <si>
    <t>EFOOD (Wh/lb)</t>
  </si>
  <si>
    <t>EffESTAR</t>
  </si>
  <si>
    <t>FoodCooked (lbs)</t>
  </si>
  <si>
    <t>Holding Cabinet</t>
  </si>
  <si>
    <t>ENERGY STAR Hot Holding Cabinet (0 &lt; V &lt;13)</t>
  </si>
  <si>
    <t>ENERGY STAR Hot Holding Cabinet (13 ≤ V &lt;28)</t>
  </si>
  <si>
    <t>ENERGY STAR Hot Holding Cabinet (28 ≤ V)</t>
  </si>
  <si>
    <t>IdleRateBase</t>
  </si>
  <si>
    <t>IdleRateESTAR</t>
  </si>
  <si>
    <t>0 &lt; V &lt;13</t>
  </si>
  <si>
    <t>Cost from Ameren MO TRM Jan-1,2018</t>
  </si>
  <si>
    <t>28 ≤ V</t>
  </si>
  <si>
    <t>HVAC</t>
  </si>
  <si>
    <t>Cooling kWh Annual Savings (per Ton)</t>
  </si>
  <si>
    <t>Heating kWh Annual Savings (per ton)</t>
  </si>
  <si>
    <t>Total kWh Annual Savings</t>
  </si>
  <si>
    <t>Learning Thermostat</t>
  </si>
  <si>
    <t>Cooling BUS</t>
  </si>
  <si>
    <t>Heating BUS</t>
  </si>
  <si>
    <t>Eff (EER/SEER)</t>
  </si>
  <si>
    <t>EFLHCool</t>
  </si>
  <si>
    <t>BtuhCool</t>
  </si>
  <si>
    <t>ESFCool</t>
  </si>
  <si>
    <t>EFLHHEAT</t>
  </si>
  <si>
    <t>ηHEAT</t>
  </si>
  <si>
    <t>BtuhHEAT</t>
  </si>
  <si>
    <t>ESFHEAT</t>
  </si>
  <si>
    <t>Inc. Cost (per HP)</t>
  </si>
  <si>
    <t>VFD on Chilled Water Pump 1-75HP</t>
  </si>
  <si>
    <t>per Hp</t>
  </si>
  <si>
    <t>VFD on Hot Water Pump 1-75HP</t>
  </si>
  <si>
    <t>HVAC BUS</t>
  </si>
  <si>
    <t>BHP</t>
  </si>
  <si>
    <t>EEFi</t>
  </si>
  <si>
    <t>VFD on HVAC Fans 1-100HP</t>
  </si>
  <si>
    <t>Control Type Factors</t>
  </si>
  <si>
    <t>No Control or Bypass Damper</t>
  </si>
  <si>
    <t>Discharge Dampers</t>
  </si>
  <si>
    <t>Outlet Damper, BI &amp; Airfoil Fans</t>
  </si>
  <si>
    <t>Inlet Damper Box</t>
  </si>
  <si>
    <t>Inlet Guide Vane, BI &amp; Airfoil Fans</t>
  </si>
  <si>
    <t>Inlet Vane Dampers</t>
  </si>
  <si>
    <t>Outlet Damper, FC Fans</t>
  </si>
  <si>
    <t>Eddy Current Drives</t>
  </si>
  <si>
    <t>Inlet Guide Vane, FC Fans</t>
  </si>
  <si>
    <t>VFD with duct static pressure controls</t>
  </si>
  <si>
    <t>VFD with low/no duct static pressure</t>
  </si>
  <si>
    <t>HP</t>
  </si>
  <si>
    <t>LF</t>
  </si>
  <si>
    <t>ηmotor</t>
  </si>
  <si>
    <t>RHRSBase</t>
  </si>
  <si>
    <t>ControlTypeFactorBase</t>
  </si>
  <si>
    <t>ControlTypeFactorEff</t>
  </si>
  <si>
    <t>IEenergy</t>
  </si>
  <si>
    <t>kWh Annual Savings (per ton)</t>
  </si>
  <si>
    <t>Packaged DX 135 - 240kbtu</t>
  </si>
  <si>
    <t>per ton</t>
  </si>
  <si>
    <t>Packaged DX 240 - 760kbtu</t>
  </si>
  <si>
    <t>Packaged DX 65 -135kbtu</t>
  </si>
  <si>
    <t>Packaged DX &gt;760kbtu</t>
  </si>
  <si>
    <t>Packaged DX &lt;65kbtu</t>
  </si>
  <si>
    <t>&lt;65 kBtu/hr</t>
  </si>
  <si>
    <t>kBtu/hrCool</t>
  </si>
  <si>
    <t>EERBase</t>
  </si>
  <si>
    <t>EERee</t>
  </si>
  <si>
    <t>SEERBase</t>
  </si>
  <si>
    <t>SEERee</t>
  </si>
  <si>
    <t>EFLH</t>
  </si>
  <si>
    <t>Cooling kWh Annual Savings (per ton)</t>
  </si>
  <si>
    <t>Inc. Cost (per ton)</t>
  </si>
  <si>
    <t>GSHP &lt;135kbtu; ≥17EER</t>
  </si>
  <si>
    <t>GSHP &lt;135kbtu; ≥19EER</t>
  </si>
  <si>
    <t>ASHP 65 - 135kbtu</t>
  </si>
  <si>
    <t>ASHP 135 - 240kbtu</t>
  </si>
  <si>
    <t>ASHP &gt;240kbtu</t>
  </si>
  <si>
    <t>ASHP &lt;65kbtu</t>
  </si>
  <si>
    <t>COPbase</t>
  </si>
  <si>
    <t>COPee</t>
  </si>
  <si>
    <t>HSPFBase</t>
  </si>
  <si>
    <t>HSPFee</t>
  </si>
  <si>
    <t>kBtu/hrHeat</t>
  </si>
  <si>
    <t>EFLHHeat</t>
  </si>
  <si>
    <t>Comment</t>
  </si>
  <si>
    <t>COPee values from Trane product catalog</t>
  </si>
  <si>
    <t>HSPFee values from Trane product catalog</t>
  </si>
  <si>
    <t>Air Cooled Chiller</t>
  </si>
  <si>
    <t>TONS</t>
  </si>
  <si>
    <t>IPLVbase (kW/ton)</t>
  </si>
  <si>
    <t>IPLVee (kW/Ton)</t>
  </si>
  <si>
    <t>Appliances</t>
  </si>
  <si>
    <t>Clothes Washer (Electric DHW; Electric Dryer)</t>
  </si>
  <si>
    <t>Clothes Washer (Gas DHW; Electric Dryer)</t>
  </si>
  <si>
    <t>Clothes Washer (Electric DHW; Gas Dryer)</t>
  </si>
  <si>
    <t>Clothes Washer (Gas DHW; Gas Dryer)</t>
  </si>
  <si>
    <t>Capacity (cubic feet)</t>
  </si>
  <si>
    <t>MEFbase</t>
  </si>
  <si>
    <t>MEFeff</t>
  </si>
  <si>
    <t>Ncycles</t>
  </si>
  <si>
    <t>%CWbase</t>
  </si>
  <si>
    <t>%CWeff</t>
  </si>
  <si>
    <t>%DHWbase</t>
  </si>
  <si>
    <t>%DHWeff</t>
  </si>
  <si>
    <t>%Dryerbase</t>
  </si>
  <si>
    <t>%Dryereff</t>
  </si>
  <si>
    <t>%ElectricDHW</t>
  </si>
  <si>
    <t>%ElectricDryer</t>
  </si>
  <si>
    <t>Clothes Dryer Vented Electric, Standard (≥ 4.4 ft3)</t>
  </si>
  <si>
    <t>Clothes Dryer Vented Electric, Compact (120V) (&lt; 4.4 ft3)</t>
  </si>
  <si>
    <t>Clothes Dryer Vented Electric, Compact (240V) (&lt;4.4 ft3)</t>
  </si>
  <si>
    <t>Clothes Dryer Ventless Electric, Compact (240V) (&lt;4.4 ft3)</t>
  </si>
  <si>
    <t>Clothes Dryer Vented Gas</t>
  </si>
  <si>
    <t>Load</t>
  </si>
  <si>
    <t>CEFbase</t>
  </si>
  <si>
    <t>CEFeff</t>
  </si>
  <si>
    <t>%Electric</t>
  </si>
  <si>
    <t>Compressed Air</t>
  </si>
  <si>
    <t>No Loss Condensate Drain (Reciprocating - On/off Control)</t>
  </si>
  <si>
    <t>Air Comp BUS</t>
  </si>
  <si>
    <t>No Loss Condensate Drain (Reciprocating - Load/Unload)</t>
  </si>
  <si>
    <t>No Loss Condensate Drain (Screw - Load/Unload)</t>
  </si>
  <si>
    <t>No Loss Condensate Drain (Screw - Inlet Modulation)</t>
  </si>
  <si>
    <t>No Loss Condensate Drain (Screw - Inlet Modulation w/ Unloading)</t>
  </si>
  <si>
    <t>No Loss Condensate Drain (Screw - Variable Displacement)</t>
  </si>
  <si>
    <t>No Loss Condensate Drain (Screw - VFD)</t>
  </si>
  <si>
    <t>CFMreduced</t>
  </si>
  <si>
    <t>kWcfm</t>
  </si>
  <si>
    <t>Compressed Air Nozzle (Reciprocating - On/off Control)</t>
  </si>
  <si>
    <t>Compressed Air Nozzle (Reciprocating - Load/Unload)</t>
  </si>
  <si>
    <t>Compressed Air Nozzle (Screw - Load/Unload)</t>
  </si>
  <si>
    <t>Compressed Air Nozzle (Screw - Inlet Modulation)</t>
  </si>
  <si>
    <t>Compressed Air Nozzle (Screw - Inlet Modulation w/ Unloading)</t>
  </si>
  <si>
    <t>Compressed Air Nozzle (Screw - Variable Displacement)</t>
  </si>
  <si>
    <t>Compressed Air Nozzle (Screw - VFD)</t>
  </si>
  <si>
    <t>SCFM</t>
  </si>
  <si>
    <t>SCFM%reduced</t>
  </si>
  <si>
    <t>kW/CFM</t>
  </si>
  <si>
    <t>%Use</t>
  </si>
  <si>
    <t>per HP</t>
  </si>
  <si>
    <t>hpcompressor</t>
  </si>
  <si>
    <t>CFb</t>
  </si>
  <si>
    <t>Cfe</t>
  </si>
  <si>
    <t>Combination Oven</t>
  </si>
  <si>
    <t>Combination Oven (Pan Capacity &lt; 15)</t>
  </si>
  <si>
    <t>FoodCookedElec (lbs)</t>
  </si>
  <si>
    <t>EFOODConvElec (Wh/lb)</t>
  </si>
  <si>
    <t>ElecEFFConvBase</t>
  </si>
  <si>
    <t>ElecEFFConvEE</t>
  </si>
  <si>
    <t>%Conv</t>
  </si>
  <si>
    <t>EFOODSteamElec (Wh/lb)</t>
  </si>
  <si>
    <t>ElecEFFSteamBase</t>
  </si>
  <si>
    <t>ElecEFFSteamEE</t>
  </si>
  <si>
    <t>%Steam</t>
  </si>
  <si>
    <t>ElecIDLEConvBase (W)</t>
  </si>
  <si>
    <t>ElecIDLESteamBase (W)</t>
  </si>
  <si>
    <t>Hours (Daily)</t>
  </si>
  <si>
    <t>ElecPCConvBase (lbs/hr)</t>
  </si>
  <si>
    <t>ElecPCSteamBase (lbs/hr)</t>
  </si>
  <si>
    <t>ElecIDLEConvEE</t>
  </si>
  <si>
    <t>P (Pan Capacity)</t>
  </si>
  <si>
    <t>ElecPCSteamEE (lbs/hr)</t>
  </si>
  <si>
    <t>ElecPCConvEE (lbs/hr)</t>
  </si>
  <si>
    <t>ElecIDLESteamEE</t>
  </si>
  <si>
    <t>Fryer</t>
  </si>
  <si>
    <t>Standard Open Deep-Fat Fryer</t>
  </si>
  <si>
    <t>Large Vat Open Deep-Fat Fryer</t>
  </si>
  <si>
    <t>ElecIdleBase (W)</t>
  </si>
  <si>
    <t>ElecIdleESTAR (W)</t>
  </si>
  <si>
    <t>Food Cooked (lbs per day)</t>
  </si>
  <si>
    <t>ElecPCBase (lb/hr)</t>
  </si>
  <si>
    <t>ElecPCESTAR (lb/hr)</t>
  </si>
  <si>
    <t>EFOODElec (Wh/lb)</t>
  </si>
  <si>
    <t>ElecEffBase</t>
  </si>
  <si>
    <t>ElecEffESTAR</t>
  </si>
  <si>
    <t>Convection Oven</t>
  </si>
  <si>
    <t>Convection Oven (Full Size)</t>
  </si>
  <si>
    <t>Convection Oven (Half Size)</t>
  </si>
  <si>
    <t>Griddle</t>
  </si>
  <si>
    <t>ElecIdleBase (W/sqft)</t>
  </si>
  <si>
    <t>ElecRateESTAR (W/sqft)</t>
  </si>
  <si>
    <t>Width (ft)</t>
  </si>
  <si>
    <t>Depth (ft)</t>
  </si>
  <si>
    <t>FoodCooked (lbs/day)</t>
  </si>
  <si>
    <t>Kitchen Demand Ventillation Controls</t>
  </si>
  <si>
    <t>kWSavings</t>
  </si>
  <si>
    <t>HPexhaust</t>
  </si>
  <si>
    <t>Pre-Rinse Spray Valve</t>
  </si>
  <si>
    <t xml:space="preserve">kWh Annual Savings </t>
  </si>
  <si>
    <t>∆Gallons</t>
  </si>
  <si>
    <t>FLObase (gal/min)</t>
  </si>
  <si>
    <t>FLOeff (gal/min)</t>
  </si>
  <si>
    <t>HOURSday</t>
  </si>
  <si>
    <t>DAYSyear</t>
  </si>
  <si>
    <t>Tin</t>
  </si>
  <si>
    <t>EFF_Elec</t>
  </si>
  <si>
    <t>Low Flow Faucet Aerator</t>
  </si>
  <si>
    <t>GPMbase</t>
  </si>
  <si>
    <t>GPMlow</t>
  </si>
  <si>
    <t>Usage (GPY)</t>
  </si>
  <si>
    <t>EPGelectric</t>
  </si>
  <si>
    <t>WaterTempmixed</t>
  </si>
  <si>
    <t>WaterTempsupply</t>
  </si>
  <si>
    <t>REelectric</t>
  </si>
  <si>
    <t>Circulator Pump</t>
  </si>
  <si>
    <t>Small Commercial Programmable Thermostats</t>
  </si>
  <si>
    <t>kWh Annual Savings (per sqft)</t>
  </si>
  <si>
    <t>Sqft</t>
  </si>
  <si>
    <t>EERexist</t>
  </si>
  <si>
    <t>Savings Factor kWh/sqft-yr</t>
  </si>
  <si>
    <t>PF</t>
  </si>
  <si>
    <t>Demand Controlled Ventillation</t>
  </si>
  <si>
    <t>Demand Controlled Ventillation (Gas Heat)</t>
  </si>
  <si>
    <t>Actual</t>
  </si>
  <si>
    <t>per sq. ft.</t>
  </si>
  <si>
    <t>Demand Controlled Ventillation (Electric Heat)</t>
  </si>
  <si>
    <t>Demand Controlled Ventillation (Heat Pump)</t>
  </si>
  <si>
    <t>SQFTcond</t>
  </si>
  <si>
    <t>SFcooling</t>
  </si>
  <si>
    <t>SFheat</t>
  </si>
  <si>
    <t>Advanced RTU Controls</t>
  </si>
  <si>
    <t>Psf</t>
  </si>
  <si>
    <t>SF (kWh/hour/HP)</t>
  </si>
  <si>
    <t>Hoursfan</t>
  </si>
  <si>
    <t>PTAC &amp; PTHP</t>
  </si>
  <si>
    <t>kWh Annual Savings (per ton) first 5 years</t>
  </si>
  <si>
    <t>kWh Annual Savings (per ton) next ten years</t>
  </si>
  <si>
    <t>kW first 5 years</t>
  </si>
  <si>
    <t>PTAC</t>
  </si>
  <si>
    <t>PTHP</t>
  </si>
  <si>
    <t>kBtucool/hr</t>
  </si>
  <si>
    <t>EFLHcool</t>
  </si>
  <si>
    <t>EFLHheat</t>
  </si>
  <si>
    <t>EERbase</t>
  </si>
  <si>
    <t>kBtuheat/hr</t>
  </si>
  <si>
    <t>COPexist</t>
  </si>
  <si>
    <t>Refrigerated Beverage Vending Machine</t>
  </si>
  <si>
    <t>kWh Annual Savings (per cubicft)</t>
  </si>
  <si>
    <t>Refrigerated Beverage Vending Machine (Class A)</t>
  </si>
  <si>
    <t>Refrigerated Beverage Vending Machine (Class B)</t>
  </si>
  <si>
    <t>ECM for Walk-in &amp; Reach-in Coolers/Freezers</t>
  </si>
  <si>
    <t>kWh Annual Savings (per motor)</t>
  </si>
  <si>
    <t>Inc. Cost (per motor)</t>
  </si>
  <si>
    <t>per motor</t>
  </si>
  <si>
    <t>Savings per motor (kWh)</t>
  </si>
  <si>
    <t>motors</t>
  </si>
  <si>
    <t>RESIDENTIAL LIGHTING</t>
  </si>
  <si>
    <t>Lighting Program</t>
  </si>
  <si>
    <t>** CFL baseline is Post 2020, EISA baseline is pre-2020 **</t>
  </si>
  <si>
    <t>End Use - RES</t>
  </si>
  <si>
    <t>kW Factor - RES</t>
  </si>
  <si>
    <t>End Use - BUS</t>
  </si>
  <si>
    <t>kW Factor - BUS</t>
  </si>
  <si>
    <t>kWh RES</t>
  </si>
  <si>
    <t>kWh BUS</t>
  </si>
  <si>
    <t>KW RES</t>
  </si>
  <si>
    <t>KW BUS</t>
  </si>
  <si>
    <t>EUL - RES</t>
  </si>
  <si>
    <t>EUL - BUS**</t>
  </si>
  <si>
    <t>Inc. Cost*</t>
  </si>
  <si>
    <t>LED - 10.5W Downlight E26 (CFL baseline)</t>
  </si>
  <si>
    <t>Lighting RES</t>
  </si>
  <si>
    <t xml:space="preserve">  per bulb</t>
  </si>
  <si>
    <t>LED - 10.5W Downlight E26 (Halogen baseline)</t>
  </si>
  <si>
    <t>LED - 10W (CFL baseline)</t>
  </si>
  <si>
    <t>LED - 10W (Halogen baseline)</t>
  </si>
  <si>
    <t>LED - 12W Dimmable Light Bulb (Replacing CFL)</t>
  </si>
  <si>
    <t>LED - 12W Dimmable Light Bulb (Replacing Specialty Incandescent) LI DI</t>
  </si>
  <si>
    <t>LED - 15W (Halogen baseline)</t>
  </si>
  <si>
    <t>LED - 15W (CFL baseline)</t>
  </si>
  <si>
    <t>LED - 15W Flood Light PAR30 Bulb (CFL baseline)</t>
  </si>
  <si>
    <t>LED - 15W Flood Light PAR30 Bulb (Halogen baseline)</t>
  </si>
  <si>
    <t>LED - 18W Flood Light PAR30 Bulb (CFL baseline)</t>
  </si>
  <si>
    <t>LED - 18W Flood Light PAR38 Bulb (Halogen baseline)</t>
  </si>
  <si>
    <t>LED - 20W (CFL baseline)</t>
  </si>
  <si>
    <t>LED - 20W (Halogen baseline)</t>
  </si>
  <si>
    <t>LED - 4W Candelabra (CFL baseline)</t>
  </si>
  <si>
    <t>LED - 4W Candelabra (Replacing Specialty Incandescent)</t>
  </si>
  <si>
    <t>LED - 8W Globe Light G25 Bulb (Replacing CFL)</t>
  </si>
  <si>
    <t>LED - 8W Globe Light G25 Bulb (Replacing Specialty Incandescent)</t>
  </si>
  <si>
    <t>LED - 10W (Halogen baseline)  - Specialty Connected Light</t>
  </si>
  <si>
    <t>LED - 15W (Halogen baseline)  - Specialty Connected Light</t>
  </si>
  <si>
    <t>LED - 15W Flood Light PAR30 Bulb (Halogen baseline) - Specialty Connected Light</t>
  </si>
  <si>
    <t xml:space="preserve">*The present value cost of multiple Halogen or CFL bulbs over the life of the measure is typically at or below $0.  For modeling purposes, use $.000001 to model these measures within DSMore. </t>
  </si>
  <si>
    <t xml:space="preserve">**EUL-BUS based on MO TRM - 20,000 hours total life; 3,351 annual hours of use for average building type.  </t>
  </si>
  <si>
    <t>Evaluation Formula:</t>
  </si>
  <si>
    <t>file:///F:\DSM\2017%20Evaluation\Final%20Evaluation%20Report\Residential\Cadmus%20Data\Ameren%20MO_Lighting_PY17_Dashboard_Q4_6-29-18.xlsx</t>
  </si>
  <si>
    <t>Factor</t>
  </si>
  <si>
    <t>Term</t>
  </si>
  <si>
    <t>Value</t>
  </si>
  <si>
    <t>Notes</t>
  </si>
  <si>
    <t>  Watts Base</t>
  </si>
  <si>
    <t>Baseline wattage, based on lumens of LED bulb installed.</t>
  </si>
  <si>
    <t>Bulb-type and lumen look-up in Energy Star database</t>
  </si>
  <si>
    <t>WattsBase after EISA 2020 value from TRM matched to closest cell against base wattage</t>
  </si>
  <si>
    <t>Average lumen-equivalent halogen wattage for program bulbs</t>
  </si>
  <si>
    <t>WattsBase after EISA 2020 value from TRM matched to closest cell against Average lumen-equivalent halogen wattage for program bulbs</t>
  </si>
  <si>
    <t>Table in TRM WattsBase after EISA 2020 = WattsBase before EISA 2020 over 2600 Lumens. Lumens are &gt;2600 based off 18W flood EISA compliant baseline of 100W</t>
  </si>
  <si>
    <t>WattsBase after EISA 2020 value from TRM matched against Average lumen-equivalent halogen wattage for program bulbs</t>
  </si>
  <si>
    <t>Based on 4W EE</t>
  </si>
  <si>
    <t>Compared to 43W (nearest) pre-EISA baseline</t>
  </si>
  <si>
    <t>  Watts EE</t>
  </si>
  <si>
    <t>Actual wattage of LED purchased / installed</t>
  </si>
  <si>
    <t>Program Wattage</t>
  </si>
  <si>
    <t>In Service Rate, the percentage of units rebated that are actually in service</t>
  </si>
  <si>
    <t>All</t>
  </si>
  <si>
    <t>Updated UMP Method (based on initial install value from PY17 inventory)</t>
  </si>
  <si>
    <t>Leakage</t>
  </si>
  <si>
    <t>Leakage rate (program bulbs installed outside Ameren Missouri's service area)</t>
  </si>
  <si>
    <t>PY16 Intercept Survey</t>
  </si>
  <si>
    <t>HOU_Res</t>
  </si>
  <si>
    <t>Average hours of use per year for residential homes</t>
  </si>
  <si>
    <t>Res</t>
  </si>
  <si>
    <t>WHF_Res</t>
  </si>
  <si>
    <t xml:space="preserve">Waste Heat Factor for energy to account for electric heating increase from reducing waste heat from efficient lighting (if fossil fuel heating – see calculation of heating penalty in that section). </t>
  </si>
  <si>
    <t>Res  energy</t>
  </si>
  <si>
    <t>PY 14 Eval</t>
  </si>
  <si>
    <t>HOU_NRES</t>
  </si>
  <si>
    <t>Average hours of use per year for non- residential homes</t>
  </si>
  <si>
    <t>NRES</t>
  </si>
  <si>
    <t xml:space="preserve">Illinois TRM v5.0, Lighting Reference Tables (Sec. 4.5.1), "Unknown" Building type, screw base lamp operating hours / 365 
*** Multiplied by 365 so equation doesn’t need hard coded values of 365 </t>
  </si>
  <si>
    <t>WHF_Nres</t>
  </si>
  <si>
    <t>PY16 value equal to PY15</t>
  </si>
  <si>
    <t>%Res</t>
  </si>
  <si>
    <t>Percentage of bulbs sold to residential customers</t>
  </si>
  <si>
    <t>EUL Residential</t>
  </si>
  <si>
    <t>Effective Useful Life</t>
  </si>
  <si>
    <t>EUL Business</t>
  </si>
  <si>
    <t>Incremental Cost</t>
  </si>
  <si>
    <t>RESIDENTIAL EFFICIENT PRODUCTS</t>
  </si>
  <si>
    <t>Heat Pump Hot Water Heater</t>
  </si>
  <si>
    <t>Program/Channel</t>
  </si>
  <si>
    <r>
      <t>kWh</t>
    </r>
    <r>
      <rPr>
        <vertAlign val="subscript"/>
        <sz val="11"/>
        <rFont val="Calibri"/>
        <family val="2"/>
        <scheme val="minor"/>
      </rPr>
      <t>cool</t>
    </r>
  </si>
  <si>
    <r>
      <t>kWh</t>
    </r>
    <r>
      <rPr>
        <vertAlign val="subscript"/>
        <sz val="11"/>
        <rFont val="Calibri"/>
        <family val="2"/>
        <scheme val="minor"/>
      </rPr>
      <t>heat</t>
    </r>
    <r>
      <rPr>
        <sz val="11"/>
        <rFont val="Calibri"/>
        <family val="2"/>
        <scheme val="minor"/>
      </rPr>
      <t xml:space="preserve"> - Electric Resistance</t>
    </r>
  </si>
  <si>
    <r>
      <t>kWh</t>
    </r>
    <r>
      <rPr>
        <vertAlign val="subscript"/>
        <sz val="11"/>
        <rFont val="Calibri"/>
        <family val="2"/>
        <scheme val="minor"/>
      </rPr>
      <t>heat</t>
    </r>
    <r>
      <rPr>
        <sz val="11"/>
        <rFont val="Calibri"/>
        <family val="2"/>
        <scheme val="minor"/>
      </rPr>
      <t xml:space="preserve"> - Heat Pumps</t>
    </r>
  </si>
  <si>
    <t>Water Heating RES</t>
  </si>
  <si>
    <t>Parameter</t>
  </si>
  <si>
    <t>Source</t>
  </si>
  <si>
    <r>
      <t>EF</t>
    </r>
    <r>
      <rPr>
        <vertAlign val="subscript"/>
        <sz val="11"/>
        <rFont val="Calibri"/>
        <family val="2"/>
        <scheme val="minor"/>
      </rPr>
      <t>BASE</t>
    </r>
  </si>
  <si>
    <t>Efficient rating of baseline equipment</t>
  </si>
  <si>
    <t>Federal minimum efficiency standard</t>
  </si>
  <si>
    <t xml:space="preserve">Updated value matches EM&amp;V, originall 0.945.  Further investigation required to determine UEF baseline. </t>
  </si>
  <si>
    <r>
      <t>EF</t>
    </r>
    <r>
      <rPr>
        <vertAlign val="subscript"/>
        <sz val="11"/>
        <rFont val="Calibri"/>
        <family val="2"/>
        <scheme val="minor"/>
      </rPr>
      <t>EE</t>
    </r>
  </si>
  <si>
    <t>Efficient rating of efficient equipment</t>
  </si>
  <si>
    <t>PY16 EfficientProducts Database - Average EF</t>
  </si>
  <si>
    <t>Value matches EM&amp;V</t>
  </si>
  <si>
    <t>GPD</t>
  </si>
  <si>
    <t>Gallons per day</t>
  </si>
  <si>
    <t>Cadmus EM&amp;V 2016 value for gallons per day, 64, divided by people per household.  
Cadmus source for gallons per a day is 'DOE Federal Energy Management Program Energy Cost Calculator'</t>
  </si>
  <si>
    <t xml:space="preserve">Defined at gallons per a day per a person in the Statewide TRM (EM&amp;V defines GPD as gallons per a day per a household). </t>
  </si>
  <si>
    <t>Household</t>
  </si>
  <si>
    <t>Average number of people per household</t>
  </si>
  <si>
    <t>Missouri 2017 Technical Reference Manual, section 3.3.5</t>
  </si>
  <si>
    <t>Not defined by EM&amp;V</t>
  </si>
  <si>
    <t>Days per year</t>
  </si>
  <si>
    <t>Conversion Factor (days/year)</t>
  </si>
  <si>
    <t>Den</t>
  </si>
  <si>
    <t>Specific weight of water</t>
  </si>
  <si>
    <t>Density of water (lb/gallon)</t>
  </si>
  <si>
    <t>HWT</t>
  </si>
  <si>
    <t>TOUT = Tank temperature</t>
  </si>
  <si>
    <t>Illinois TRM v6</t>
  </si>
  <si>
    <t>CWT</t>
  </si>
  <si>
    <t>Incoming water temperature from well or municipal system</t>
  </si>
  <si>
    <t>Using 40" deep soil temp as a proxy at Powell Gardens SCAN site. 12 month average of available data from 3/28/02–10/11/14</t>
  </si>
  <si>
    <r>
      <t>C</t>
    </r>
    <r>
      <rPr>
        <vertAlign val="subscript"/>
        <sz val="11"/>
        <rFont val="Calibri"/>
        <family val="2"/>
        <scheme val="minor"/>
      </rPr>
      <t>P</t>
    </r>
  </si>
  <si>
    <t>Heat capacity of water (1 Btu/lb*°F)</t>
  </si>
  <si>
    <t>Specific Heat of Water  (Btu/lb-oF)</t>
  </si>
  <si>
    <t>Conversion Factor (Btu/kWh)</t>
  </si>
  <si>
    <t>Value matches TRM</t>
  </si>
  <si>
    <t>Location Factor</t>
  </si>
  <si>
    <t>IL TRM unknown location</t>
  </si>
  <si>
    <t>% Reduced Waste Heat Reducing Cool Load</t>
  </si>
  <si>
    <t>Portion of reduced waste heat that results in cooling savings</t>
  </si>
  <si>
    <t>MO 2017 TRM, section 3.3.5</t>
  </si>
  <si>
    <t>Based on 193 days where CDD 65&gt;0, divided by 365.25. CDD days determined with a base temp of 65°F.</t>
  </si>
  <si>
    <t>% Reduced Waste Heat Increasing Heat Load</t>
  </si>
  <si>
    <t>Portion of reduced waste heat that results in increased heating load</t>
  </si>
  <si>
    <t>COPcool</t>
  </si>
  <si>
    <t xml:space="preserve">COP of central air conditioner - Actual, or if unknown, assume 2.8 </t>
  </si>
  <si>
    <t>Starting from standard assumption of SEER 10.5 central AC unit, converted to 9.5 EER using algorithm (-0.02 * SEER2) + (1.12 * SEER) (from Wassmer, M. (2003); A Component-Based Model for Residential Air Conditioner and Heat Pump Energy Calculations. Masters Thesis, University of Colorado at Boulder), converted to COP = EER/3.412 = 2.8COP).</t>
  </si>
  <si>
    <t>COPheat</t>
  </si>
  <si>
    <t>Electric Resistance</t>
  </si>
  <si>
    <t>COP (Effective COP Estimate) (HSPF/3.412)*0.85</t>
  </si>
  <si>
    <t>Heat Pump - Installed before 2006</t>
  </si>
  <si>
    <t>Heat Pump - Installed from 2006-2014</t>
  </si>
  <si>
    <t>Heat Pump - Installed in 2015 and After</t>
  </si>
  <si>
    <t>LM</t>
  </si>
  <si>
    <t>Latent multiplier to account for latent cooling demand</t>
  </si>
  <si>
    <t>Percentage of homes with central cooling</t>
  </si>
  <si>
    <t>Not defined in EM&amp;V</t>
  </si>
  <si>
    <t xml:space="preserve">%ElectricHeat - Electric Resistance Saturation </t>
  </si>
  <si>
    <t xml:space="preserve">Electric Resistance Saturation </t>
  </si>
  <si>
    <t>PY16 Efficient Products Survey Results (customers with HPWH)</t>
  </si>
  <si>
    <t>%ElectricHeat - Heat Pump Saturation</t>
  </si>
  <si>
    <t>Heat Pump Saturation</t>
  </si>
  <si>
    <t>Installation Rate</t>
  </si>
  <si>
    <t xml:space="preserve">PY16 Participant Survey </t>
  </si>
  <si>
    <t>Learning Thermostat / Advanced Thermostat</t>
  </si>
  <si>
    <t>Learning Thermostat - ASHP heating/cooling SF</t>
  </si>
  <si>
    <t>Cooling RES</t>
  </si>
  <si>
    <t>Heating RES</t>
  </si>
  <si>
    <t>Learning Thermostat - electric furnace heating / central AC MF</t>
  </si>
  <si>
    <t>Learning Thermostat - electric furnace heating / central AC SF</t>
  </si>
  <si>
    <t>Learning Thermostat - Gas Heated / central AC **</t>
  </si>
  <si>
    <t>Learning Thermostat - Unknown **</t>
  </si>
  <si>
    <t>**If not claiming gas value is applicable to propane as well</t>
  </si>
  <si>
    <t>Existing Thermostat Type</t>
  </si>
  <si>
    <t>Heating Reduction</t>
  </si>
  <si>
    <t>Frequency</t>
  </si>
  <si>
    <t>Manual</t>
  </si>
  <si>
    <t>Programmable</t>
  </si>
  <si>
    <t>Unkknown (Blended)</t>
  </si>
  <si>
    <t>Smart</t>
  </si>
  <si>
    <t>Comments</t>
  </si>
  <si>
    <t>MO - TRM</t>
  </si>
  <si>
    <t xml:space="preserve">Learning Thermostat - Gas Heated / central AC </t>
  </si>
  <si>
    <t>Learning Thermostat - Unknown</t>
  </si>
  <si>
    <t>HeatingConsumption_Electric</t>
  </si>
  <si>
    <t>Learning Thermostat - Gas Heated / central AC SF</t>
  </si>
  <si>
    <t>HF</t>
  </si>
  <si>
    <t>HeatingReduction</t>
  </si>
  <si>
    <t>Navigant’s IL TRM Workpaper on Impact Analysis from Preliminary Gas savings findings</t>
  </si>
  <si>
    <t>Assumes unknown base line 7.4%, 8.8% for manual T-Stat, 5.6% for program. T-Stat</t>
  </si>
  <si>
    <t>Eff_ISR</t>
  </si>
  <si>
    <t>Default value could change with evaluation</t>
  </si>
  <si>
    <t>∆Therms</t>
  </si>
  <si>
    <t>Calculated</t>
  </si>
  <si>
    <t>Fe</t>
  </si>
  <si>
    <t>Default value no alternative</t>
  </si>
  <si>
    <t>%AC</t>
  </si>
  <si>
    <r>
      <t xml:space="preserve">EFLH </t>
    </r>
    <r>
      <rPr>
        <i/>
        <vertAlign val="subscript"/>
        <sz val="11"/>
        <rFont val="Calibri Light"/>
        <family val="2"/>
        <scheme val="major"/>
      </rPr>
      <t>cool</t>
    </r>
  </si>
  <si>
    <t>St Louis</t>
  </si>
  <si>
    <t>CapacityCool</t>
  </si>
  <si>
    <t>SF</t>
  </si>
  <si>
    <t>Default if capacity is unknown</t>
  </si>
  <si>
    <t>MF</t>
  </si>
  <si>
    <t xml:space="preserve">MO - TRM </t>
  </si>
  <si>
    <t>none</t>
  </si>
  <si>
    <t>SEER</t>
  </si>
  <si>
    <t>Default if efficiency is unknown</t>
  </si>
  <si>
    <t>CoolingReduction</t>
  </si>
  <si>
    <t>%FossilHeat</t>
  </si>
  <si>
    <t>tracking database</t>
  </si>
  <si>
    <t>HeatingConsumption_Gas</t>
  </si>
  <si>
    <t>St. Louis</t>
  </si>
  <si>
    <t>ENERGY STAR Pool Pump and motor w auto controls - multi speed</t>
  </si>
  <si>
    <t xml:space="preserve"> kW</t>
  </si>
  <si>
    <t>Pool Spa RES</t>
  </si>
  <si>
    <t>ENERGY STAR VFDs on Residential Swimming Pool Pumps</t>
  </si>
  <si>
    <t>Multi-Speed Value</t>
  </si>
  <si>
    <t>VFD Value</t>
  </si>
  <si>
    <t>Days per Year of Operation</t>
  </si>
  <si>
    <t xml:space="preserve">ES Pool Pump Calculator downloaded on   (version last updated 12-13) and adjusted for dual speed in Missouri </t>
  </si>
  <si>
    <t>Runtime in hours/day using single speed (ss) pump</t>
  </si>
  <si>
    <t>Gallons per minute in low speed (ls) using dual speed (ds) pump</t>
  </si>
  <si>
    <t>Gallons per minute in high speed (ls) using dual speed (ds) pump</t>
  </si>
  <si>
    <t>Efss</t>
  </si>
  <si>
    <t>Efls</t>
  </si>
  <si>
    <t>Energy factor (gallons/watt-hr) in low speed (ls) using dual speed (ds) pump</t>
  </si>
  <si>
    <t>Efhs</t>
  </si>
  <si>
    <t>Advanced Power Strips Tier 2  /  Advanced Control Stategies</t>
  </si>
  <si>
    <t>Advanced Tier 2 Power Strips  -  A</t>
  </si>
  <si>
    <t>Miscellaneous RES</t>
  </si>
  <si>
    <t>Advanced Tier 2 Power Strips -  B</t>
  </si>
  <si>
    <t>Advanced Tier 2 Power Strips -  C</t>
  </si>
  <si>
    <t>Advanced Tier 2 Power Strips -  D</t>
  </si>
  <si>
    <t>Advanced Tier 2 Power Strips -  E</t>
  </si>
  <si>
    <t>Advanced Tier 2 Power Strips -  F</t>
  </si>
  <si>
    <t>Advanced Tier 2 Power Strips -  G</t>
  </si>
  <si>
    <t>Advanced Tier 2 Power Strips -  H</t>
  </si>
  <si>
    <t>Advanced Tier 2 Power Strips -  Average</t>
  </si>
  <si>
    <t>*The actual full installation cost of the Tier 2 AV APS (including equipment and labor) should be used.</t>
  </si>
  <si>
    <t>* No update -  Measure not in PY 2017</t>
  </si>
  <si>
    <t>Product Class</t>
  </si>
  <si>
    <t>ERP</t>
  </si>
  <si>
    <t>Baseline Energy AV</t>
  </si>
  <si>
    <t>Comments:</t>
  </si>
  <si>
    <t>E</t>
  </si>
  <si>
    <t>F</t>
  </si>
  <si>
    <t>G</t>
  </si>
  <si>
    <t>H</t>
  </si>
  <si>
    <t>ENERGY STAR Air Purifier</t>
  </si>
  <si>
    <t>ENERGY STAR Air Purifier/Cleaner</t>
  </si>
  <si>
    <r>
      <t>Eff</t>
    </r>
    <r>
      <rPr>
        <vertAlign val="subscript"/>
        <sz val="11"/>
        <rFont val="Calibri"/>
        <family val="2"/>
        <scheme val="minor"/>
      </rPr>
      <t>ES</t>
    </r>
    <r>
      <rPr>
        <sz val="11"/>
        <rFont val="Calibri"/>
        <family val="2"/>
        <scheme val="minor"/>
      </rPr>
      <t xml:space="preserve"> </t>
    </r>
  </si>
  <si>
    <t>CADR/Watt for ENERGY STAR (ES) unit</t>
  </si>
  <si>
    <r>
      <t>Eff</t>
    </r>
    <r>
      <rPr>
        <vertAlign val="subscript"/>
        <sz val="11"/>
        <rFont val="Calibri"/>
        <family val="2"/>
        <scheme val="minor"/>
      </rPr>
      <t>BL</t>
    </r>
  </si>
  <si>
    <t xml:space="preserve"> CADR/Watt for baseline (BL) unit</t>
  </si>
  <si>
    <t>ENERGY STAR Appliance Calculator as of January 2016</t>
  </si>
  <si>
    <r>
      <t>SB</t>
    </r>
    <r>
      <rPr>
        <vertAlign val="subscript"/>
        <sz val="11"/>
        <rFont val="Calibri"/>
        <family val="2"/>
        <scheme val="minor"/>
      </rPr>
      <t xml:space="preserve">ES </t>
    </r>
  </si>
  <si>
    <t>Standby for ENERGY STAR</t>
  </si>
  <si>
    <r>
      <t>SB</t>
    </r>
    <r>
      <rPr>
        <vertAlign val="subscript"/>
        <sz val="11"/>
        <rFont val="Calibri"/>
        <family val="2"/>
        <scheme val="minor"/>
      </rPr>
      <t>BL</t>
    </r>
    <r>
      <rPr>
        <sz val="11"/>
        <rFont val="Calibri"/>
        <family val="2"/>
        <scheme val="minor"/>
      </rPr>
      <t xml:space="preserve"> </t>
    </r>
  </si>
  <si>
    <t xml:space="preserve">Standby for baseline  </t>
  </si>
  <si>
    <t>CADR</t>
  </si>
  <si>
    <t xml:space="preserve"> Clean air delivery rate (CFM) for dust </t>
  </si>
  <si>
    <r>
      <t>Hr</t>
    </r>
    <r>
      <rPr>
        <vertAlign val="subscript"/>
        <sz val="11"/>
        <rFont val="Calibri"/>
        <family val="2"/>
        <scheme val="minor"/>
      </rPr>
      <t>oper</t>
    </r>
  </si>
  <si>
    <t xml:space="preserve"> Hours Per Day of Operation</t>
  </si>
  <si>
    <t>Days per Year</t>
  </si>
  <si>
    <t>ENERGY STAR Dehumidifier</t>
  </si>
  <si>
    <t>ENERGY STAR Annual kWh Limit</t>
  </si>
  <si>
    <t>Maximum allowed annual kWh in order to meet ENERGY STAR standards</t>
  </si>
  <si>
    <t>≤25 pints/day</t>
  </si>
  <si>
    <t>1.35 ≥ L/kWh</t>
  </si>
  <si>
    <t>Federal Standard Annual kWh Limit</t>
  </si>
  <si>
    <t>&gt; 25 to ≤35 pints/day</t>
  </si>
  <si>
    <t>&gt; 35 to ≤45 pints/day</t>
  </si>
  <si>
    <t>1.5 ≥ L/kWh</t>
  </si>
  <si>
    <t>&gt; 45 to ≤ 54 pints/day</t>
  </si>
  <si>
    <t>1.6 ≥ L/kWh</t>
  </si>
  <si>
    <t>&gt; 54 to ≤ 75 pints/day</t>
  </si>
  <si>
    <t>1.7 ≥ L/kWh</t>
  </si>
  <si>
    <t>&gt; 75 to ≤ 185 pints/day</t>
  </si>
  <si>
    <t>2.5 ≥ L/kWh</t>
  </si>
  <si>
    <t>Maximum allowed annual kWh in order to meet Federal standards</t>
  </si>
  <si>
    <t>2 ≥ L/kWh</t>
  </si>
  <si>
    <t>2.8 ≥ L/kWh</t>
  </si>
  <si>
    <t>Weighted Average Savings</t>
  </si>
  <si>
    <t xml:space="preserve">kWh difference between Federal and ENERGY STAR limits, weighted by the number of units in each prodcut class on the ENERGY STAR certified list. </t>
  </si>
  <si>
    <t>Energy Star Room AC</t>
  </si>
  <si>
    <t>ENERGY STAR Room AC (kWh w inst rate)</t>
  </si>
  <si>
    <t>ENERGY STAR Room AC (kWh w/o inst rate)</t>
  </si>
  <si>
    <t>Efficient Products Source</t>
  </si>
  <si>
    <t>Value Efficient Products</t>
  </si>
  <si>
    <t>SF Value</t>
  </si>
  <si>
    <t>MFLI Value</t>
  </si>
  <si>
    <t>Btu/hr</t>
  </si>
  <si>
    <t>PY13 RebateSavers Database (average BTU)</t>
  </si>
  <si>
    <t>NONE</t>
  </si>
  <si>
    <r>
      <t>EER</t>
    </r>
    <r>
      <rPr>
        <vertAlign val="subscript"/>
        <sz val="11"/>
        <rFont val="Calibri"/>
        <family val="2"/>
        <scheme val="minor"/>
      </rPr>
      <t>BASE</t>
    </r>
  </si>
  <si>
    <t>Federal minimum efficiency standard (updated from EER to CEER in March 2017) based on size of rebated unit</t>
  </si>
  <si>
    <r>
      <t>EER</t>
    </r>
    <r>
      <rPr>
        <vertAlign val="subscript"/>
        <sz val="11"/>
        <color theme="1"/>
        <rFont val="Calibri"/>
        <family val="2"/>
        <scheme val="minor"/>
      </rPr>
      <t>BASE</t>
    </r>
  </si>
  <si>
    <t>N/A</t>
  </si>
  <si>
    <r>
      <t>EER</t>
    </r>
    <r>
      <rPr>
        <vertAlign val="subscript"/>
        <sz val="11"/>
        <rFont val="Calibri"/>
        <family val="2"/>
        <scheme val="minor"/>
      </rPr>
      <t>EFF</t>
    </r>
  </si>
  <si>
    <t>PY16 Efficient Products Database (average CEER)</t>
  </si>
  <si>
    <r>
      <t>EER</t>
    </r>
    <r>
      <rPr>
        <vertAlign val="subscript"/>
        <sz val="11"/>
        <color theme="1"/>
        <rFont val="Calibri"/>
        <family val="2"/>
        <scheme val="minor"/>
      </rPr>
      <t>EFF</t>
    </r>
  </si>
  <si>
    <r>
      <t>EER</t>
    </r>
    <r>
      <rPr>
        <vertAlign val="subscript"/>
        <sz val="11"/>
        <rFont val="Calibri"/>
        <family val="2"/>
        <scheme val="minor"/>
      </rPr>
      <t>existing</t>
    </r>
  </si>
  <si>
    <r>
      <t>EFLH</t>
    </r>
    <r>
      <rPr>
        <vertAlign val="subscript"/>
        <sz val="11"/>
        <rFont val="Calibri"/>
        <family val="2"/>
        <scheme val="minor"/>
      </rPr>
      <t xml:space="preserve">COOL </t>
    </r>
    <r>
      <rPr>
        <sz val="11"/>
        <rFont val="Calibri"/>
        <family val="2"/>
        <scheme val="minor"/>
      </rPr>
      <t>- Secondary unit</t>
    </r>
  </si>
  <si>
    <t>Ameren Missouri Efficient Products PY 2016 Evaluation</t>
  </si>
  <si>
    <r>
      <t>EFLH</t>
    </r>
    <r>
      <rPr>
        <vertAlign val="subscript"/>
        <sz val="11"/>
        <color theme="1"/>
        <rFont val="Calibri"/>
        <family val="2"/>
        <scheme val="minor"/>
      </rPr>
      <t xml:space="preserve">COOL </t>
    </r>
    <r>
      <rPr>
        <sz val="11"/>
        <color theme="1"/>
        <rFont val="Calibri"/>
        <family val="2"/>
        <scheme val="minor"/>
      </rPr>
      <t>- Secondary unit</t>
    </r>
  </si>
  <si>
    <r>
      <t>EFLH</t>
    </r>
    <r>
      <rPr>
        <vertAlign val="subscript"/>
        <sz val="11"/>
        <rFont val="Calibri"/>
        <family val="2"/>
        <scheme val="minor"/>
      </rPr>
      <t xml:space="preserve">COOL </t>
    </r>
    <r>
      <rPr>
        <sz val="11"/>
        <rFont val="Calibri"/>
        <family val="2"/>
        <scheme val="minor"/>
      </rPr>
      <t>- Primary unit</t>
    </r>
  </si>
  <si>
    <t>PY13 CoolSavers data</t>
  </si>
  <si>
    <r>
      <t>EFLH</t>
    </r>
    <r>
      <rPr>
        <vertAlign val="subscript"/>
        <sz val="11"/>
        <color theme="1"/>
        <rFont val="Calibri"/>
        <family val="2"/>
        <scheme val="minor"/>
      </rPr>
      <t xml:space="preserve">COOL </t>
    </r>
    <r>
      <rPr>
        <sz val="11"/>
        <color theme="1"/>
        <rFont val="Calibri"/>
        <family val="2"/>
        <scheme val="minor"/>
      </rPr>
      <t>- Primary unit</t>
    </r>
  </si>
  <si>
    <t>Conversion factor (Wh to kWh)</t>
  </si>
  <si>
    <t>n/a</t>
  </si>
  <si>
    <t>RESIDENTIAL ENERGY EFFICIENCY KITS</t>
  </si>
  <si>
    <t>Dirty Filter Alarm</t>
  </si>
  <si>
    <t>Heating kWh</t>
  </si>
  <si>
    <t>Cooling kWh</t>
  </si>
  <si>
    <t>School</t>
  </si>
  <si>
    <t>Dirty Filter Alarm_SF</t>
  </si>
  <si>
    <t>HVAC RES</t>
  </si>
  <si>
    <t>Dirty Filter Alarm_MF</t>
  </si>
  <si>
    <t>%Heating</t>
  </si>
  <si>
    <t>Dirty Filter Alarm_SF:School Kits</t>
  </si>
  <si>
    <t>Dirty Filter Alarm_MF: Kits</t>
  </si>
  <si>
    <r>
      <t>EFLH</t>
    </r>
    <r>
      <rPr>
        <i/>
        <vertAlign val="subscript"/>
        <sz val="11"/>
        <rFont val="Calibri Light"/>
        <family val="2"/>
        <scheme val="major"/>
      </rPr>
      <t>heat</t>
    </r>
  </si>
  <si>
    <t>EI</t>
  </si>
  <si>
    <t xml:space="preserve">Public Utilities Commission. State of Pennsylvania Technical Reference Manual. pp 73. 2016. Available online: http://www.puc.pa.gov/pcdocs/1370278.docx </t>
  </si>
  <si>
    <t>Utility Adjustment</t>
  </si>
  <si>
    <r>
      <t>EFLH</t>
    </r>
    <r>
      <rPr>
        <i/>
        <vertAlign val="subscript"/>
        <sz val="11"/>
        <rFont val="Calibri Light"/>
        <family val="2"/>
        <scheme val="major"/>
      </rPr>
      <t>cool</t>
    </r>
  </si>
  <si>
    <t xml:space="preserve">EUL </t>
  </si>
  <si>
    <t>Incremental Cost ($)</t>
  </si>
  <si>
    <t>P</t>
  </si>
  <si>
    <t>Persistence rate of reinstalling alarm after filter change</t>
  </si>
  <si>
    <t>None</t>
  </si>
  <si>
    <t xml:space="preserve">LEDs (per bulb) </t>
  </si>
  <si>
    <t>*Costs from IL TRM.  5.5.8</t>
  </si>
  <si>
    <t>Measure Category</t>
  </si>
  <si>
    <t>School Value</t>
  </si>
  <si>
    <t>School Source</t>
  </si>
  <si>
    <t>Multifamily Value</t>
  </si>
  <si>
    <t>Multifamily Source</t>
  </si>
  <si>
    <r>
      <t>Watts</t>
    </r>
    <r>
      <rPr>
        <vertAlign val="subscript"/>
        <sz val="11"/>
        <color theme="1"/>
        <rFont val="Calibri"/>
        <family val="2"/>
        <scheme val="minor"/>
      </rPr>
      <t>Base</t>
    </r>
  </si>
  <si>
    <t>Baseline Wattage</t>
  </si>
  <si>
    <t>The lumen-equivalent Incandescent wattage for LEDs</t>
  </si>
  <si>
    <t>The lumen-equivalent CFL wattage for LEDs</t>
  </si>
  <si>
    <r>
      <t>Watts</t>
    </r>
    <r>
      <rPr>
        <vertAlign val="subscript"/>
        <sz val="11"/>
        <color theme="1"/>
        <rFont val="Calibri"/>
        <family val="2"/>
        <scheme val="minor"/>
      </rPr>
      <t>EE</t>
    </r>
  </si>
  <si>
    <t>Wattage of new LED installed</t>
  </si>
  <si>
    <t>9-watt ENERGY STAR LEDs with 800 lumen output.</t>
  </si>
  <si>
    <r>
      <t>Hours</t>
    </r>
    <r>
      <rPr>
        <vertAlign val="subscript"/>
        <sz val="11"/>
        <color theme="1"/>
        <rFont val="Calibri"/>
        <family val="2"/>
        <scheme val="minor"/>
      </rPr>
      <t>RES</t>
    </r>
  </si>
  <si>
    <t>The average hours of use per day</t>
  </si>
  <si>
    <t>2017 Ameren MO Lighting study</t>
  </si>
  <si>
    <t>Conversion Factor (day/yr)</t>
  </si>
  <si>
    <t>Conversion Factor (Wh/kWh)</t>
  </si>
  <si>
    <t>WHF</t>
  </si>
  <si>
    <t>WHF to account for interactive effects</t>
  </si>
  <si>
    <t>Electric Saturation</t>
  </si>
  <si>
    <t>% Homes with Electric Lighting</t>
  </si>
  <si>
    <t>Electric only measure</t>
  </si>
  <si>
    <t xml:space="preserve">Electric Only Measure </t>
  </si>
  <si>
    <t>Utility Adjustment (1-Leakage)</t>
  </si>
  <si>
    <t>% Homes in Service Territory</t>
  </si>
  <si>
    <t>Kit Faucet Aerators (Kitchen)</t>
  </si>
  <si>
    <t>EPG_electric</t>
  </si>
  <si>
    <t>Kit Faucet Aerator (Kitchen)</t>
  </si>
  <si>
    <t>%Electric DHW</t>
  </si>
  <si>
    <t>% Homes with Electric Water Heating</t>
  </si>
  <si>
    <t>GPM_base</t>
  </si>
  <si>
    <t>Rated flowrate of the baseline faucet</t>
  </si>
  <si>
    <t>Federal rated maximum flow rate for faucets (10CFR430.32 (p) (DOE 1998).</t>
  </si>
  <si>
    <t>L_base</t>
  </si>
  <si>
    <t>The average length of baseline faucet use per day (min/day/person)</t>
  </si>
  <si>
    <t xml:space="preserve">Cadmus and Opinion Dynamics Evaluation Team. Showerhead and Faucet Aerator Meter Study. Memorandum prepared for Michigan Evaluation Working Group. pp 10. 2013. </t>
  </si>
  <si>
    <t>PY11 MFIQ Metering Study</t>
  </si>
  <si>
    <t>GPM_low</t>
  </si>
  <si>
    <t>Rated flowrate of the low flow faucet</t>
  </si>
  <si>
    <t>L_low</t>
  </si>
  <si>
    <t>The average length of low flow faucet use per day (min/day/person)</t>
  </si>
  <si>
    <t>The number of people using faucet aerators (people/household)</t>
  </si>
  <si>
    <t>PY17 Energy Efficiency Kits Property Manager Survey results (I1-I2)</t>
  </si>
  <si>
    <t>DF</t>
  </si>
  <si>
    <t xml:space="preserve">Drain Factor </t>
  </si>
  <si>
    <t>Illinois Statewide Technical Reference Manual for Energy Efficiency Version 5.0. pp. 175. 2016. Available online: http://ilsagfiles.org/SAG_files/Technical_Reference_Manual/Version_5/Final/IL-TRM_Version_5.0_dated_February-11-2016_Final_Compiled_Volumes_1-4.pdf</t>
  </si>
  <si>
    <t>FPH</t>
  </si>
  <si>
    <t>The number of used faucets per home</t>
  </si>
  <si>
    <t>The water density (lb/gal)</t>
  </si>
  <si>
    <t>Density (lb/gal)</t>
  </si>
  <si>
    <t>The specific heat of water (Btu/lb-oF)</t>
  </si>
  <si>
    <t>Specific Heat of Water (Btu/lb-°F)</t>
  </si>
  <si>
    <t>WaterTemp</t>
  </si>
  <si>
    <t>The average water temperature out of the faucet (oF)</t>
  </si>
  <si>
    <t>Illinois Statewide Technical Reference Manual for Energy Efficiency Version 5.0. pp. 178. 2016. Available online: http://ilsagfiles.org/SAG_files/Technical_Reference_Manual/Version_5/Final/IL-TRM_Version_5.0_dated_February-11-2016_Final_Compiled_Volumes_1-4.pdf</t>
  </si>
  <si>
    <t>SupplyTemp</t>
  </si>
  <si>
    <t>The average inlet water temperature (oF)</t>
  </si>
  <si>
    <t>Ameren Missouri 2012 Technical Resource Manual. Appendix A. pp. 43. Available online: https://www.efis.psc.mo.gov/mpsc/commoncomponents/viewdocument.asp?DocId=935658483</t>
  </si>
  <si>
    <t>RE_electric</t>
  </si>
  <si>
    <t>The water heater’s recovery efficiency</t>
  </si>
  <si>
    <t>National Renewable Energy Laboratory, Building America Research. Recovery efficiency for electric hot water heater. Benchmark definition, pp. 12. 2009. Available online: http://www.nrel.gov/docs/fy10osti/47246.pdf</t>
  </si>
  <si>
    <t>The conversion rate from Btu to kWh (Btu/kWh)</t>
  </si>
  <si>
    <t>Kit Faucet Aerators (Bathroom)</t>
  </si>
  <si>
    <t>Kit Faucet Aerator (Bathroom)</t>
  </si>
  <si>
    <t>Cadmus and Opinion Dynamics Evaluation Team. Showerhead and Faucet Aerator Meter Study. Memorandum prepared for Michigan Evaluation Working Group. 2013. pp. 10.</t>
  </si>
  <si>
    <t xml:space="preserve">Low Flow Showerheads </t>
  </si>
  <si>
    <t>Low Flow Showerheads</t>
  </si>
  <si>
    <t>Rated flowrate of the baseline showerhead</t>
  </si>
  <si>
    <t>Illinois Statewide Technical Reference Manual for Energy Efficiency Version 5.0. pp. 184. 2016. Available Online: http://ilsagfiles.org/SAG_files/Technical_Reference
_Manual/Version_5/Final/IL-TRM_Version_5.0_dated_February-11-2016_Final_Compiled_Volumes_1-4.pdf</t>
  </si>
  <si>
    <t>The average shower length  with baseline showerhead(min/shower)</t>
  </si>
  <si>
    <t>Cadmus and Opinion Dynamics Evaluation Team. Showerhead and Faucet Aerator Meter Study. Memorandum prepared for Michigan Evaluation Working Group. pp 10. 2013. </t>
  </si>
  <si>
    <t>Rated flowrate of the low flow showerhead</t>
  </si>
  <si>
    <t>The average shower length with low flow showerhead (min/shower)</t>
  </si>
  <si>
    <t>The number of people taking showers (ppl/household)</t>
  </si>
  <si>
    <t>SPDC</t>
  </si>
  <si>
    <t>The number of showers per day, per person (shower/day-ppl)</t>
  </si>
  <si>
    <t>Cadmus and Opinion Dynamics Evaluation Team. Showerhead and Faucet Aerator Meter Study. Memorandum prepared for Michigan Evaluation Working Group. pp 11. 2013. </t>
  </si>
  <si>
    <t>The number of days per year (day/yr.)</t>
  </si>
  <si>
    <t>SPH</t>
  </si>
  <si>
    <t>The number of showerheads used per home</t>
  </si>
  <si>
    <t>ShowerTemp</t>
  </si>
  <si>
    <t>The average water temperature at the showerhead (oF)</t>
  </si>
  <si>
    <t>Illinois Statewide Technical Reference Manual for Energy Efficiency Version 5.0. 2016. pp 103. Available Online: http://ilsagfiles.org/SAG_files/Technical_Reference_Manual/Version_5/Final/IL-TRM_Version_5.0_dated_February-11-2016_Final_Compiled_Volumes_1-4.pdf</t>
  </si>
  <si>
    <t>Pipe Insulation</t>
  </si>
  <si>
    <t>per foot</t>
  </si>
  <si>
    <r>
      <t>C</t>
    </r>
    <r>
      <rPr>
        <vertAlign val="subscript"/>
        <sz val="11"/>
        <color theme="1"/>
        <rFont val="Calibri"/>
        <family val="2"/>
        <scheme val="minor"/>
      </rPr>
      <t>Base</t>
    </r>
  </si>
  <si>
    <t>Circumference (feet) of uninsulated pipe with 0.75 inch diameter</t>
  </si>
  <si>
    <t>Updated for .75 inch Pipe</t>
  </si>
  <si>
    <r>
      <t>R</t>
    </r>
    <r>
      <rPr>
        <vertAlign val="subscript"/>
        <sz val="11"/>
        <color theme="1"/>
        <rFont val="Calibri"/>
        <family val="2"/>
        <scheme val="minor"/>
      </rPr>
      <t>Base</t>
    </r>
  </si>
  <si>
    <t>Division of Energy. State of Missouri Technical Reference Manual. pp 71. 2017. energy.mo.gov/about/trm</t>
  </si>
  <si>
    <r>
      <t>C</t>
    </r>
    <r>
      <rPr>
        <vertAlign val="subscript"/>
        <sz val="11"/>
        <color theme="1"/>
        <rFont val="Calibri"/>
        <family val="2"/>
        <scheme val="minor"/>
      </rPr>
      <t>EE</t>
    </r>
  </si>
  <si>
    <t>Circumference (ft) of insulated pipe = diameter (in) * π/12</t>
  </si>
  <si>
    <t>Division of Energy. State of Missouri Technical Reference Manual. pp 71. 2017. energy.mo.gov/about/trm (assuming R-4 wrap)</t>
  </si>
  <si>
    <t xml:space="preserve">Circumference increases due to installation of pipe insulation is not accounted for in Community Saves EM&amp;V.  The statewide TRM does account for this.  Franklin Energy recommends factoring the circumference increase into calculations.  Calations in this workbook do factor in the circumference increase. </t>
  </si>
  <si>
    <r>
      <t>R</t>
    </r>
    <r>
      <rPr>
        <vertAlign val="subscript"/>
        <sz val="11"/>
        <color theme="1"/>
        <rFont val="Calibri"/>
        <family val="2"/>
        <scheme val="minor"/>
      </rPr>
      <t>EE</t>
    </r>
  </si>
  <si>
    <t>Thermal resistance coefficient (hr-°F-ft2)/Btu) of insulated pipe</t>
  </si>
  <si>
    <t>Based on EM&amp;V, Franklin Energy assumed insulation provided in kits has an Ree value of 5.  Statewide defaul Ree is 5.</t>
  </si>
  <si>
    <t>L</t>
  </si>
  <si>
    <t>Length of pipe from water heating source covered by Pipe Insulation (ft)</t>
  </si>
  <si>
    <t>Per installed foot</t>
  </si>
  <si>
    <r>
      <t>D</t>
    </r>
    <r>
      <rPr>
        <sz val="11"/>
        <color theme="1"/>
        <rFont val="Calibri"/>
        <family val="2"/>
        <scheme val="minor"/>
      </rPr>
      <t>T</t>
    </r>
  </si>
  <si>
    <t>Average temperature difference between supplied hot water and outside air temperatures (°F)</t>
  </si>
  <si>
    <t>Revised to match EM&amp;V</t>
  </si>
  <si>
    <t>Hours per year</t>
  </si>
  <si>
    <r>
      <t>ȠDHW</t>
    </r>
    <r>
      <rPr>
        <vertAlign val="subscript"/>
        <sz val="11"/>
        <color theme="1"/>
        <rFont val="Calibri"/>
        <family val="2"/>
        <scheme val="minor"/>
      </rPr>
      <t>Elec</t>
    </r>
  </si>
  <si>
    <t>Recovery Efficiency of electric hot water heater</t>
  </si>
  <si>
    <t>Conversion factor from Btu to kWh</t>
  </si>
  <si>
    <t>*Electric Saturation</t>
  </si>
  <si>
    <t>Pipe diameter</t>
  </si>
  <si>
    <t>Diameter of uninsulated pipe, weighted average of  1/2" and 3/4"</t>
  </si>
  <si>
    <t>Pipe Wrap</t>
  </si>
  <si>
    <t>Pipe wrap width</t>
  </si>
  <si>
    <t>Pipe wrap width/thickness</t>
  </si>
  <si>
    <t>Advanced Power Strips Tier 1  / Load Sensing</t>
  </si>
  <si>
    <t>Advanced Tier 1 Power Strips -TOS/NC/DI - Home Office</t>
  </si>
  <si>
    <t>Advanced Tier 1 Power Strips -Kits - Home Office</t>
  </si>
  <si>
    <t>Advanced Tier 1 Power Strips -TOS/NC/DI - Home Entertainment</t>
  </si>
  <si>
    <t>Advanced Tier 1 Power Strips -Kits - Home Entertainment</t>
  </si>
  <si>
    <t>Advanced Tier 1 Power Strips -TOS/NC/DI - Unknown Location</t>
  </si>
  <si>
    <t>Advanced Tier 1 Power Strips -Kits - Unknown Location</t>
  </si>
  <si>
    <t>Office</t>
  </si>
  <si>
    <t>Entertainment</t>
  </si>
  <si>
    <t>Location Unknown</t>
  </si>
  <si>
    <t>TOS / NC / DI</t>
  </si>
  <si>
    <t>KITS</t>
  </si>
  <si>
    <t>KWh</t>
  </si>
  <si>
    <t>kWh Installation by Location</t>
  </si>
  <si>
    <t>Weighting Entertainment</t>
  </si>
  <si>
    <t>% Entertainment</t>
  </si>
  <si>
    <t>Weighting Office</t>
  </si>
  <si>
    <t>% OFFICE</t>
  </si>
  <si>
    <t>in service rate</t>
  </si>
  <si>
    <t>RESIDENTIAL HVAC</t>
  </si>
  <si>
    <t>ECM/ Blower Motor</t>
  </si>
  <si>
    <t>Auto kWh</t>
  </si>
  <si>
    <t>Continous kWh</t>
  </si>
  <si>
    <t>ECM Auto Fan ROF-SF</t>
  </si>
  <si>
    <t>ECM Auto Fan ROF-MF</t>
  </si>
  <si>
    <t>ECM Auto Fan ER 1 - SF</t>
  </si>
  <si>
    <t>ECM Auto Fan ER2 - SF</t>
  </si>
  <si>
    <t>ECM Auto Fan ER 1 - MF</t>
  </si>
  <si>
    <t>ECM Auto Fan ER2 - MF</t>
  </si>
  <si>
    <t>ECM Continuous Fan ROF- SF</t>
  </si>
  <si>
    <t>ECM Continuous Fan ROF- MF</t>
  </si>
  <si>
    <t>ECM Continuous Fan ER 1 - SF</t>
  </si>
  <si>
    <t>ECM Continuous Fan ER2 - SF</t>
  </si>
  <si>
    <t>ECM Continuous Fan ER 1 - MF</t>
  </si>
  <si>
    <t>ECM Continuous Fan ER2 - MF</t>
  </si>
  <si>
    <t>% with New ASHP</t>
  </si>
  <si>
    <t>% of furnaces with new ASHP</t>
  </si>
  <si>
    <t>16% of furnaces used w/ASHP</t>
  </si>
  <si>
    <r>
      <t xml:space="preserve">EFLH </t>
    </r>
    <r>
      <rPr>
        <i/>
        <vertAlign val="subscript"/>
        <sz val="11"/>
        <rFont val="Calibri"/>
        <family val="2"/>
        <scheme val="minor"/>
      </rPr>
      <t>heating</t>
    </r>
  </si>
  <si>
    <t>Effective full load heating hours (in St. Louis)</t>
  </si>
  <si>
    <r>
      <t xml:space="preserve">WI_EFLH </t>
    </r>
    <r>
      <rPr>
        <i/>
        <vertAlign val="subscript"/>
        <sz val="11"/>
        <rFont val="Calibri"/>
        <family val="2"/>
        <scheme val="minor"/>
      </rPr>
      <t>heating</t>
    </r>
  </si>
  <si>
    <t>Wisconsin effective full load heating hours</t>
  </si>
  <si>
    <t>% with New Central Cooling</t>
  </si>
  <si>
    <t>% of furnaces with new central cooling</t>
  </si>
  <si>
    <r>
      <t xml:space="preserve">EFLH </t>
    </r>
    <r>
      <rPr>
        <i/>
        <vertAlign val="subscript"/>
        <sz val="11"/>
        <rFont val="Calibri"/>
        <family val="2"/>
        <scheme val="minor"/>
      </rPr>
      <t>cooling</t>
    </r>
  </si>
  <si>
    <t>Effective full load cooling hours (in St. Louis)</t>
  </si>
  <si>
    <r>
      <t xml:space="preserve">WI_EFLH </t>
    </r>
    <r>
      <rPr>
        <i/>
        <vertAlign val="subscript"/>
        <sz val="11"/>
        <rFont val="Calibri"/>
        <family val="2"/>
        <scheme val="minor"/>
      </rPr>
      <t>cooling</t>
    </r>
  </si>
  <si>
    <t>Wisconsin effective full load cooling hours</t>
  </si>
  <si>
    <t>65% MF value is not applicable in this case, because it should be based upon pressure drop in the system and many of the components will have the same pressure drop, filters, coils, grills, duct length, etc.</t>
  </si>
  <si>
    <t>End Useful Life</t>
  </si>
  <si>
    <t>ROF Efficiency Level Cost per Unit</t>
  </si>
  <si>
    <t>ER Efficiency Level Cost per Unit</t>
  </si>
  <si>
    <t>SEER 14</t>
  </si>
  <si>
    <t>Full Cost of Installation</t>
  </si>
  <si>
    <t>ER install cost</t>
  </si>
  <si>
    <t>ROF install cost</t>
  </si>
  <si>
    <t>https://energy.mo.gov/sites/energy/files/evaluation-of-retrofit-variable-speed-furnace-fan-motors.pdf</t>
  </si>
  <si>
    <t>Inflation Rate</t>
  </si>
  <si>
    <t>Discount Rate</t>
  </si>
  <si>
    <t>#Years</t>
  </si>
  <si>
    <t>Central Air Conditioners</t>
  </si>
  <si>
    <t>Units (tons/measure)</t>
  </si>
  <si>
    <t>CAC - SEER 14 ER1: SF</t>
  </si>
  <si>
    <t>CAC - SEER 14 ER2: SF</t>
  </si>
  <si>
    <t>Cooling RES ER2</t>
  </si>
  <si>
    <t>CAC - SEER 14 ROF: SF</t>
  </si>
  <si>
    <t>CAC - SEER 14 ER1: MF</t>
  </si>
  <si>
    <t>CAC - SEER 14 ER2: MF</t>
  </si>
  <si>
    <t>CAC - SEER 14 ROF: MF</t>
  </si>
  <si>
    <t>CAC - SEER 15 ER1: SF</t>
  </si>
  <si>
    <t>CAC - SEER 15 ER2: SF</t>
  </si>
  <si>
    <t>CAC - SEER 15 ROF: SF</t>
  </si>
  <si>
    <t>CAC - SEER 15 ER1: MF</t>
  </si>
  <si>
    <t>CAC - SEER 15 ER2: MF</t>
  </si>
  <si>
    <t>CAC - SEER 15 ROF: MF</t>
  </si>
  <si>
    <t>CAC - SEER 16 ER1: SF</t>
  </si>
  <si>
    <t>CAC - SEER 16 ER2: SF</t>
  </si>
  <si>
    <t>CAC - SEER 16 ROF: SF</t>
  </si>
  <si>
    <t>CAC - SEER 16 ER1: MF</t>
  </si>
  <si>
    <t>CAC - SEER 16 ER2: MF</t>
  </si>
  <si>
    <t>CAC - SEER 16 ROF: MF</t>
  </si>
  <si>
    <t>CAC - SEER 17+ ER1: SF</t>
  </si>
  <si>
    <t>CAC - SEER 17+ ER2: SF</t>
  </si>
  <si>
    <t>CAC - SEER 17+ ROF: SF</t>
  </si>
  <si>
    <t>CAC - SEER 17+ ER1: MF</t>
  </si>
  <si>
    <t>CAC - SEER 17+ ER2: MF</t>
  </si>
  <si>
    <t>CAC - SEER 17+ ROF: MF</t>
  </si>
  <si>
    <t xml:space="preserve">ER1 represents 1st 6 years of Early Replacement. </t>
  </si>
  <si>
    <t>ER2 represents the last 12 years of Early Replacement.</t>
  </si>
  <si>
    <t>Efficiency Level Cost per Ton</t>
  </si>
  <si>
    <t xml:space="preserve">Ton(s) </t>
  </si>
  <si>
    <t xml:space="preserve">ROF </t>
  </si>
  <si>
    <t xml:space="preserve">ER </t>
  </si>
  <si>
    <t>FLHcool</t>
  </si>
  <si>
    <t>Full load cooling hours</t>
  </si>
  <si>
    <t>IL TRM 6.0</t>
  </si>
  <si>
    <t>SEER 15</t>
  </si>
  <si>
    <t>SEER 16</t>
  </si>
  <si>
    <t>SEER 17</t>
  </si>
  <si>
    <t>Based on RS Means 2018 data.</t>
  </si>
  <si>
    <t>SEER 18</t>
  </si>
  <si>
    <t>SEER 19</t>
  </si>
  <si>
    <t>MO TRM Value (not present in IL V6.0)</t>
  </si>
  <si>
    <t>SEER 20</t>
  </si>
  <si>
    <t>SEER 21</t>
  </si>
  <si>
    <t>Average</t>
  </si>
  <si>
    <t>Ameren Missouri 2017 IRP</t>
  </si>
  <si>
    <t>1/3 of 18 year EUL</t>
  </si>
  <si>
    <t>*ER cost = Full Retrofit Cost (ROF) - 6 Year Discounted ER cost</t>
  </si>
  <si>
    <t>Btu/hr / Capacity</t>
  </si>
  <si>
    <t>Size of new equipment in Btu/hr (note 1 ton = 12,000Btu/hr)</t>
  </si>
  <si>
    <t>Duplicate 16 SEER Size</t>
  </si>
  <si>
    <t>SEERbase</t>
  </si>
  <si>
    <t>Seasonal Energy Efficiency Ratio of baseline unit (kBtu/kWh)</t>
  </si>
  <si>
    <t>MO TRM</t>
  </si>
  <si>
    <t>Seasonal Energy Efficiency Ratio of ENERGY STAR unit (kBtu/kWh)</t>
  </si>
  <si>
    <t>From Name SEER</t>
  </si>
  <si>
    <t>SEERexist</t>
  </si>
  <si>
    <t>Seasonal Energy Efficiency Ratio of existing unit (kBtu/kWh)</t>
  </si>
  <si>
    <t>From Evaluation</t>
  </si>
  <si>
    <t>HF of 65% used to convert residential to multifamily</t>
  </si>
  <si>
    <t>*Incremental cost to be adjusted based on cost testing used</t>
  </si>
  <si>
    <t>Ductless AC - ER1 SF</t>
  </si>
  <si>
    <t>Ductless AC - ER2 SF</t>
  </si>
  <si>
    <t>Ductless AC - ROF SF</t>
  </si>
  <si>
    <t>Ductless ASHP - ROF SF NC</t>
  </si>
  <si>
    <t>Ductless ASHP - ROF SF</t>
  </si>
  <si>
    <t>Ductless ASHP Replace Electric Resistance ER1 SF</t>
  </si>
  <si>
    <t>Ductless ASHP Replace Electric Resistance ER2 SF</t>
  </si>
  <si>
    <t>Heating RES ER2</t>
  </si>
  <si>
    <t>Ductless ASHP Replace Electric Resistance ROF</t>
  </si>
  <si>
    <t>Ductless ASHP ER1 SF</t>
  </si>
  <si>
    <t>Ductless ASHP ER2 SF</t>
  </si>
  <si>
    <t>Ductless AC - ER1 MF</t>
  </si>
  <si>
    <t>Ductless AC - ER2 MF</t>
  </si>
  <si>
    <t>Ductless AC - ROF MF</t>
  </si>
  <si>
    <t>Ductless ASHP - ROF MF NC</t>
  </si>
  <si>
    <t>Ductless ASHP - ROF MF</t>
  </si>
  <si>
    <t>Ductless ASHP Replace Electric Resistance ER1 MF</t>
  </si>
  <si>
    <t>Ductless ASHP Replace Electric Resistance ER2 MF</t>
  </si>
  <si>
    <t>Ductless ASHP Replace Electric Resistance ROF MF</t>
  </si>
  <si>
    <t>Ductless ASHP ER1 MF</t>
  </si>
  <si>
    <t>Ductless ASHP ER2 MF</t>
  </si>
  <si>
    <t>HF of 65% from thermostat measure used to convert from "residential" to Multifamily. Page 79 of TRM volume 3 without any more relevant information.</t>
  </si>
  <si>
    <t>ER2 represents the last 12 years of Early Replacement, or all years of Replace on Failure.</t>
  </si>
  <si>
    <t>Capacityheat</t>
  </si>
  <si>
    <t>Heating capacity of the ductless heat pump unit in Btu/hr</t>
  </si>
  <si>
    <t>no heating</t>
  </si>
  <si>
    <t>Match Similar Unit</t>
  </si>
  <si>
    <t>Per Evaluation</t>
  </si>
  <si>
    <t>Equivalent Full Load Hours for heating</t>
  </si>
  <si>
    <t>HSPFbase</t>
  </si>
  <si>
    <t>HSPF rating of baseline equipment (kbtu/kwh)</t>
  </si>
  <si>
    <t>Per TRM</t>
  </si>
  <si>
    <t>HSPFexist</t>
  </si>
  <si>
    <t>HSPF rating of existing equipment (kbtu/kwh)</t>
  </si>
  <si>
    <t>HSPF rating of new equipment (kbtu/kwh)</t>
  </si>
  <si>
    <t>Capacitycool</t>
  </si>
  <si>
    <t>Cooling capacity of the ductless heat pump unit in Btu/hr</t>
  </si>
  <si>
    <t>Equivalent Full Load Hours for cooling</t>
  </si>
  <si>
    <t>SEER rating of baseline equipment (kbtu/kwh)</t>
  </si>
  <si>
    <t>SEER rating of existing equipment (kbtu/kwh)</t>
  </si>
  <si>
    <t>SEER rating of new equipment (kbtu/kwh)</t>
  </si>
  <si>
    <t>Dual Fuel Heat Pumps</t>
  </si>
  <si>
    <t xml:space="preserve">DFHP - SEER 19 MF heat pump base </t>
  </si>
  <si>
    <t>Cooling Res</t>
  </si>
  <si>
    <t>DFHP - SEER 19 MF heat pump base</t>
  </si>
  <si>
    <t>Heating Res</t>
  </si>
  <si>
    <t>DFHP - SEER 20 MF heat pump base</t>
  </si>
  <si>
    <t>DFHP - SEER 21 MF heat pump base</t>
  </si>
  <si>
    <t>Cost determined with RS Means 2018 data.</t>
  </si>
  <si>
    <t>Capacity Heating</t>
  </si>
  <si>
    <t>Heating Capacity of Air Source Heat Pump (Btu/hr)</t>
  </si>
  <si>
    <t>EFLH_heat</t>
  </si>
  <si>
    <t>Equivalent full load hours of heating</t>
  </si>
  <si>
    <t>HSPF_base / exist</t>
  </si>
  <si>
    <t>Heating System Performance Factor of baseline / existing heating system (kBtu/kWh)</t>
  </si>
  <si>
    <t>HSPF_ee</t>
  </si>
  <si>
    <t>Heating System Performance Factor of efficient Duel Fuel Heat Pump
   (kBtu/kWh)</t>
  </si>
  <si>
    <t>Assumed similar to 18+</t>
  </si>
  <si>
    <t>Capacity_cooling</t>
  </si>
  <si>
    <t>Cooling Capacity of Duel Fuel Heat Pump (Btu/hr)</t>
  </si>
  <si>
    <t>EFLH_cooling</t>
  </si>
  <si>
    <t>Equivalent full load hours of air conditioning</t>
  </si>
  <si>
    <t>SEER_base / exist</t>
  </si>
  <si>
    <t>Seasonal Energy Efficiency Ratio of baseline / existing cooling system (kBtu/kWh)</t>
  </si>
  <si>
    <t>SEER_ee</t>
  </si>
  <si>
    <t>Seasonal Energy Efficiency Ratio of efficient Duel Fuel Heat Pump (kBtu/kWh)</t>
  </si>
  <si>
    <t>From Measure Description</t>
  </si>
  <si>
    <t>HF of 65% from thermostat measure used to convert from "residential" to Multifamily. Page 79 of MO TRM volume 3.</t>
  </si>
  <si>
    <t>Ground Source Heat Pumps</t>
  </si>
  <si>
    <t>GSHP - EER 23 - replace electric furnace / CAC - Cooling</t>
  </si>
  <si>
    <t>GSHP - EER 23 - replace electric furnace / CAC - Heating</t>
  </si>
  <si>
    <t>GSHP - EER 23 - replace electric furnace / CAC ER1- Cooling</t>
  </si>
  <si>
    <t>GSHP - EER 23 - replace electric furnace / CAC ER1 - Heating</t>
  </si>
  <si>
    <t>GSHP - EER 23 - replace electric furnace / CAC ER2- Cooling</t>
  </si>
  <si>
    <t>Cooling Res ER2</t>
  </si>
  <si>
    <t>GSHP - EER 23 - replace electric furnace / CAC ER2 - Heating</t>
  </si>
  <si>
    <t>GSHP EER 23 ER1 - Cooling</t>
  </si>
  <si>
    <t>GSHP EER 23 ER1 - Heatiing</t>
  </si>
  <si>
    <t>GSHP EER 23 ER2 - Cooling</t>
  </si>
  <si>
    <t>GSHP EER 23 ER2 - Heating</t>
  </si>
  <si>
    <t>GSHP EER 23 Replace at Fail GSHP</t>
  </si>
  <si>
    <t>Heating Capacity of Heat Pump (Btu/hr)</t>
  </si>
  <si>
    <t>Heating System Performance Factor of efficient Heat Pump
   (kBtu/kWh)</t>
  </si>
  <si>
    <t>Cooling Capacity of Heat Pump (Btu/hr)</t>
  </si>
  <si>
    <t>EFLHcooling</t>
  </si>
  <si>
    <t>SEERbase / exist</t>
  </si>
  <si>
    <t>Seasonal Energy Efficiency Ratio of efficient Heat Pump (kBtu/kWh)</t>
  </si>
  <si>
    <t>Air Source Heat Pumps</t>
  </si>
  <si>
    <t>ASHP - SEER 15 ER Elec Resist Furnace: HVAC ER1</t>
  </si>
  <si>
    <t>ASHP - SEER 15 ER Elec Resist Furnace: HVAC ER2</t>
  </si>
  <si>
    <t>Heating Res ER2</t>
  </si>
  <si>
    <t>ASHP - SEER 15 ER with ASHP: HVAC ER1</t>
  </si>
  <si>
    <t>ASHP - SEER 15 ER with ASHP: HVAC ER2</t>
  </si>
  <si>
    <t>ASHP-  SEER 15 Replace at Fail Elec Resist Furnace: HVAC</t>
  </si>
  <si>
    <t>ASHP - SEER 15 Replace at Fail with ASHP: HVAC</t>
  </si>
  <si>
    <t>ASHP - SEER 16 - replace electric furnace / CAC - early replacement SF ER1</t>
  </si>
  <si>
    <t>ASHP - SEER 16 - replace electric furnace / CAC - early replacement SF ER2</t>
  </si>
  <si>
    <t>ASHP SEER 16 replace ASHP - early replacement SF ER1</t>
  </si>
  <si>
    <t>ASHP SEER 16 replace ASHP - early replacement SF ER2</t>
  </si>
  <si>
    <t>ASHP - SEER 16 - replace electric furnace / CAC SF</t>
  </si>
  <si>
    <t>ASHP SEER 16 replace ASHP - replace on fail SF</t>
  </si>
  <si>
    <t>ASHP SEER 15 MF ER Replace ASHP: HVAC ER2</t>
  </si>
  <si>
    <t>ASHP SEER 15 MF ER Replace Elec Resist Furnace: HVAC ER1</t>
  </si>
  <si>
    <t>ASHP SEER 15 MF ER Replace Elec Resist Furnace: HVAC ER2</t>
  </si>
  <si>
    <t>ASHP SEER 15 MF Replace at Fail Elec Resist Furnace: HVAC</t>
  </si>
  <si>
    <t>ASHP SEER 16 MF ER Replace ASHP: HVAC ER1</t>
  </si>
  <si>
    <t>ASHP SEER 16 MF ER Replace ASHP: HVAC ER2</t>
  </si>
  <si>
    <t>ASHP - SEER 16 - replace on fail MF</t>
  </si>
  <si>
    <t>ASHP - SEER 16 - replace electric furnace / CAC MF</t>
  </si>
  <si>
    <t>ASHP - SEER 16 - replace electric furnace / CAC - early replacement MF ER1</t>
  </si>
  <si>
    <t>ASHP - SEER 16 - replace electric furnace / CAC - early replacement MF ER2</t>
  </si>
  <si>
    <t>ASHP SEER 15 MF Replace at Fail ASHP: HVAC</t>
  </si>
  <si>
    <t>ASHP - SEER 17 - replace electric furnace / CAC SF</t>
  </si>
  <si>
    <t>ASHP - SEER 17 - replace electric furnace / CAC MF</t>
  </si>
  <si>
    <t>ASHP - SEER 18 - replace electric furnace / CAC SF</t>
  </si>
  <si>
    <t>ASHP - SEER 18 - replace electric furnace / CAC MF</t>
  </si>
  <si>
    <t>ASHP - SEER 19 - replace electric furnace / CAC SF</t>
  </si>
  <si>
    <t>ASHP - SEER 19 - replace electric furnace / CAC MF</t>
  </si>
  <si>
    <t>ASHP - SEER 20 - replace electric furnace / CAC - early replacement SF ER1</t>
  </si>
  <si>
    <t>ASHP - SEER 20 - replace electric furnace / CAC - early replacement SF ER2</t>
  </si>
  <si>
    <t>ASHP - SEER 20 - replace electric furnace / CAC SF</t>
  </si>
  <si>
    <t>ASHP - SEER 20 - replace electric furnace / CAC MF</t>
  </si>
  <si>
    <t>ASHP - SEER 21 - replace electric furnace / CAC - early replacement SF ER1</t>
  </si>
  <si>
    <t>ASHP - SEER 21 - replace electric furnace / CAC - early replacement SF ER2</t>
  </si>
  <si>
    <t>ASHP - SEER 21 - replace electric furnace / CAC - early replacement MF ER1</t>
  </si>
  <si>
    <t>ASHP - SEER 21 - replace electric furnace / CAC - early replacement MF ER2</t>
  </si>
  <si>
    <t>ASHP - SEER 21 - replace electric furnace / CAC SF</t>
  </si>
  <si>
    <t>ASHP-  SEER 21+ Replace at Fail Elec Resist Furnace: HVAC</t>
  </si>
  <si>
    <t>ASHP SEER 17 replace ASHP - early replacement SF ER1</t>
  </si>
  <si>
    <t>ASHP SEER 17 replace ASHP - early replacement SF ER2</t>
  </si>
  <si>
    <t>ASHP SEER 17 replace ASHP - replace on fail SF</t>
  </si>
  <si>
    <t>ASHP SEER 18 replace ASHP - early replacement SF ER1</t>
  </si>
  <si>
    <t>ASHP SEER 18 replace ASHP - early replacement SF ER2</t>
  </si>
  <si>
    <t>ASHP SEER 18 replace ASHP - replace on fail SF</t>
  </si>
  <si>
    <t>ASHP - SEER 18 - replace on fail SF</t>
  </si>
  <si>
    <t>ASHP SEER 19 replace ASHP - early replacement SF ER1</t>
  </si>
  <si>
    <t>ASHP SEER 19 replace ASHP - early replacement SF ER2</t>
  </si>
  <si>
    <t>ASHP SEER 19 replace ASHP - replace on fail SF</t>
  </si>
  <si>
    <t>ASHP - SEER 17 - replace electric furnace / CAC - early replacement SF ER1</t>
  </si>
  <si>
    <t>ASHP - SEER 17 - replace electric furnace / CAC - early replacement SF ER2</t>
  </si>
  <si>
    <t>ASHP - SEER 17 - replace electric furnace / CAC - early replacement MF ER1</t>
  </si>
  <si>
    <t>ASHP - SEER 17 - replace electric furnace / CAC - early replacement MF ER2</t>
  </si>
  <si>
    <t>ASHP SEER 17 replace ASHP - early replacement MF ER1</t>
  </si>
  <si>
    <t>ASHP SEER 17 replace ASHP - early replacement MF ER2</t>
  </si>
  <si>
    <t>ASHP - SEER 18 - replace electric furnace / CAC - early replacement SF ER1</t>
  </si>
  <si>
    <t>ASHP - SEER 18 - replace electric furnace / CAC - early replacement SF ER2</t>
  </si>
  <si>
    <t>ASHP - SEER 18 - replace electric furnace / CAC - early replacement MF ER1</t>
  </si>
  <si>
    <t>ASHP - SEER 18 - replace electric furnace / CAC - early replacement MF ER2</t>
  </si>
  <si>
    <t>ASHP SEER 18 replace ASHP - early replacement MF ER1</t>
  </si>
  <si>
    <t>ASHP SEER 18 replace ASHP - early replacement MF ER2</t>
  </si>
  <si>
    <t>ASHP - SEER 19 - replace electric furnace / CAC - early replacement SF ER1</t>
  </si>
  <si>
    <t>ASHP - SEER 19 - replace electric furnace / CAC - early replacement SF ER2</t>
  </si>
  <si>
    <t>ASHP - SEER 19 - replace electric furnace / CAC - early replacement MF ER1</t>
  </si>
  <si>
    <t>ASHP - SEER 19 - replace electric furnace / CAC - early replacement MF ER2</t>
  </si>
  <si>
    <t>ASHP SEER 19 replace ASHP - early replacement MF ER1</t>
  </si>
  <si>
    <t>ASHP SEER 19 replace ASHP - early replacement MF ER2</t>
  </si>
  <si>
    <t>ASHP SEER 20 replace ASHP - early replacement SF ER1</t>
  </si>
  <si>
    <t>ASHP SEER 20 replace ASHP - early replacement SF ER2</t>
  </si>
  <si>
    <t>ASHP SEER 20 replace ASHP - replace on fail SF</t>
  </si>
  <si>
    <t>ASHP - SEER 20 - replace electric furnace / CAC - early replacement MF ER1</t>
  </si>
  <si>
    <t>ASHP - SEER 20 - replace electric furnace / CAC - early replacement MF ER2</t>
  </si>
  <si>
    <t>ASHP SEER 20 replace ASHP - early replacement MF ER1</t>
  </si>
  <si>
    <t>ASHP SEER 20 replace ASHP - early replacement MF ER2</t>
  </si>
  <si>
    <t>ASHP SEER 21 replace ASHP - early replacement SF ER1</t>
  </si>
  <si>
    <t>ASHP SEER 21 replace ASHP - early replacement SF ER2</t>
  </si>
  <si>
    <t>ASHP SEER 21 replace ASHP - replace on fail SF</t>
  </si>
  <si>
    <t>ASHP - SEER 21 - replace electric furnace / CAC MF</t>
  </si>
  <si>
    <t>ASHP SEER 21 replace ASHP - early replacement MF ER1</t>
  </si>
  <si>
    <t>ASHP SEER 21 replace ASHP - early replacement MF ER2</t>
  </si>
  <si>
    <t>ASHP - SEER 17 - replace on fail MF</t>
  </si>
  <si>
    <t>ASHP - SEER 18 - replace on fail MF</t>
  </si>
  <si>
    <t>ASHP - SEER 19 - replace on fail MF</t>
  </si>
  <si>
    <t>ASHP - SEER 20 - replace on fail MF</t>
  </si>
  <si>
    <t>ASHP - SEER 21 - replace on fail MF</t>
  </si>
  <si>
    <t>ER</t>
  </si>
  <si>
    <t>ROF</t>
  </si>
  <si>
    <t>919b</t>
  </si>
  <si>
    <t>IL TRM V6.0</t>
  </si>
  <si>
    <t>RS Means 2018 data</t>
  </si>
  <si>
    <t>920b</t>
  </si>
  <si>
    <t>RS Means 2018 Data</t>
  </si>
  <si>
    <t>923b</t>
  </si>
  <si>
    <t xml:space="preserve"> SEER 20 value used</t>
  </si>
  <si>
    <t>924b</t>
  </si>
  <si>
    <t>Incremental Cost of Installation for base unit</t>
  </si>
  <si>
    <t>Install cost</t>
  </si>
  <si>
    <t>1239b</t>
  </si>
  <si>
    <t>Ameren MO 2017 IRP</t>
  </si>
  <si>
    <t>1266b</t>
  </si>
  <si>
    <t>1/3 of 18 EUL</t>
  </si>
  <si>
    <t>1240b</t>
  </si>
  <si>
    <t>1269b</t>
  </si>
  <si>
    <t>A901</t>
  </si>
  <si>
    <t>Based on similar Measure</t>
  </si>
  <si>
    <t>A1201</t>
  </si>
  <si>
    <t>A902</t>
  </si>
  <si>
    <t>A1203</t>
  </si>
  <si>
    <t>A904</t>
  </si>
  <si>
    <t>A1205</t>
  </si>
  <si>
    <t>A905</t>
  </si>
  <si>
    <t>A905b</t>
  </si>
  <si>
    <t>A914</t>
  </si>
  <si>
    <t>A1207</t>
  </si>
  <si>
    <t>A906</t>
  </si>
  <si>
    <t>A906b</t>
  </si>
  <si>
    <t>A1209</t>
  </si>
  <si>
    <t>A1209b</t>
  </si>
  <si>
    <t>A907</t>
  </si>
  <si>
    <t>A908</t>
  </si>
  <si>
    <t>A908b</t>
  </si>
  <si>
    <t>A909</t>
  </si>
  <si>
    <t>A910</t>
  </si>
  <si>
    <t>A910b</t>
  </si>
  <si>
    <t>A911</t>
  </si>
  <si>
    <t>A903</t>
  </si>
  <si>
    <t>A912</t>
  </si>
  <si>
    <t>A912b</t>
  </si>
  <si>
    <t>A913</t>
  </si>
  <si>
    <t>A1202</t>
  </si>
  <si>
    <t>A1204</t>
  </si>
  <si>
    <t>A1206</t>
  </si>
  <si>
    <t>A1208</t>
  </si>
  <si>
    <t>MF2</t>
  </si>
  <si>
    <t>Heating System Performance Factor of efficient Air Source Heat Pump
   (kBtu/kWh)</t>
  </si>
  <si>
    <t>Seasonal Energy Efficiency Ratio of efficient Air Source Heat Pump (kBtu/kWh)</t>
  </si>
  <si>
    <t>Based on measure name</t>
  </si>
  <si>
    <t>AC Tune-up</t>
  </si>
  <si>
    <r>
      <t>EFLH</t>
    </r>
    <r>
      <rPr>
        <vertAlign val="subscript"/>
        <sz val="11"/>
        <color theme="1"/>
        <rFont val="Calibri"/>
        <family val="2"/>
        <scheme val="minor"/>
      </rPr>
      <t>cool</t>
    </r>
  </si>
  <si>
    <t>Matches MO TRM.  Measure not found in Cadmus Heating and Cooling EM&amp;V</t>
  </si>
  <si>
    <r>
      <t>Capacity</t>
    </r>
    <r>
      <rPr>
        <vertAlign val="subscript"/>
        <sz val="11"/>
        <color theme="1"/>
        <rFont val="Calibri"/>
        <family val="2"/>
        <scheme val="minor"/>
      </rPr>
      <t>cool</t>
    </r>
  </si>
  <si>
    <t>Cooling Capacity of Air Source Heat Pump (Btu/hr)</t>
  </si>
  <si>
    <t>Value not provided in TRM.  Average value from 'Air Source Heat Pump' measures provides consistancy in assumptions.</t>
  </si>
  <si>
    <t>Seasonal Energy Efficiency Ratio of existing cooling system before tuning (kBtu/kWh)</t>
  </si>
  <si>
    <t>Assuming:  EER = (-0.02 * SEER2) + (1.12 * SEER), 
this SEER value is based on test-in efficiency of 10.5 EER, as listed in “Ameren Missouri Heating and Cooling Program Impact and Process Evaluation: Program Year 2015.”</t>
  </si>
  <si>
    <r>
      <t>SEER</t>
    </r>
    <r>
      <rPr>
        <vertAlign val="subscript"/>
        <sz val="11"/>
        <color theme="1"/>
        <rFont val="Calibri"/>
        <family val="2"/>
        <scheme val="minor"/>
      </rPr>
      <t>test-out</t>
    </r>
  </si>
  <si>
    <t>Seasonal Energy Efficiency Ratio of existing cooling system after tuning (kBtu/kWh)</t>
  </si>
  <si>
    <t>General Tune-Up</t>
  </si>
  <si>
    <t>Refrigerant Charge Adjustment</t>
  </si>
  <si>
    <t>Indoor Coil Cleaning</t>
  </si>
  <si>
    <t>Outdoor Coil Cleaning</t>
  </si>
  <si>
    <t>Convert from Btu to kBtu</t>
  </si>
  <si>
    <t>Conversion Factor (Btu/kBtu)</t>
  </si>
  <si>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</si>
  <si>
    <r>
      <t>EFLH</t>
    </r>
    <r>
      <rPr>
        <vertAlign val="subscript"/>
        <sz val="11"/>
        <color theme="1"/>
        <rFont val="Calibri"/>
        <family val="2"/>
        <scheme val="minor"/>
      </rPr>
      <t>heat</t>
    </r>
  </si>
  <si>
    <r>
      <t>Capacity</t>
    </r>
    <r>
      <rPr>
        <vertAlign val="subscript"/>
        <sz val="11"/>
        <color theme="1"/>
        <rFont val="Calibri"/>
        <family val="2"/>
        <scheme val="minor"/>
      </rPr>
      <t>heat</t>
    </r>
  </si>
  <si>
    <t>Heating Seasonal Performance Factor before tuning (kBtu/kWh)</t>
  </si>
  <si>
    <t>Based on evaluation results outlined in “Ameren Missouri Heating and Cooling Program Impact and Process Evaluation: Program Year 2015.”</t>
  </si>
  <si>
    <r>
      <t>HSPF</t>
    </r>
    <r>
      <rPr>
        <vertAlign val="subscript"/>
        <sz val="11"/>
        <color theme="1"/>
        <rFont val="Calibri"/>
        <family val="2"/>
        <scheme val="minor"/>
      </rPr>
      <t>test-out</t>
    </r>
  </si>
  <si>
    <t>Heating System Performance Factor of existing Air Source Heat Pump after tuning (kBtu/kWh)</t>
  </si>
  <si>
    <t>MO TRM:  "Assumes the efficiency improvement is the same in heating mode as was realized in cooling mode. Based on the improvement reported in “Ameren Missouri Heating and Cooling Program Impact and Process Evaluation: Program Year 2015"</t>
  </si>
  <si>
    <t>RESIDENTIAL INCOME ELIGIBLE</t>
  </si>
  <si>
    <t>AC General Tune-Up (no charge or coil clean) SF</t>
  </si>
  <si>
    <t>AC General Tune-Up (no charge or coil clean) MF</t>
  </si>
  <si>
    <t>AC Tune-up / Refrigerant charge SF</t>
  </si>
  <si>
    <t>AC Tune-up / Refrigerant charge MF</t>
  </si>
  <si>
    <t>AC Tune-up / Indoor Coil (Evaporator) Cleaning SF</t>
  </si>
  <si>
    <t>AC Tune-up /Indoor Coil (Evaporator) Cleaning MF</t>
  </si>
  <si>
    <t>AC Tune-up /Outdoor Coil (Condenser) Cleaning SF</t>
  </si>
  <si>
    <t>AC Tune-up /Outdoor Coil (Condenser) Cleaning MF</t>
  </si>
  <si>
    <t xml:space="preserve">Equation: </t>
  </si>
  <si>
    <t>ENERGY STAR air-source heat pump calculator1</t>
  </si>
  <si>
    <t>Average capacity of measure list in 'Central Air Conditioners' measures in 'HVAC' program.  Values come from evaluation</t>
  </si>
  <si>
    <t>SEERtest-in</t>
  </si>
  <si>
    <t>Matches 2015 Heating and Cooling evaluation</t>
  </si>
  <si>
    <t>Air Sealing</t>
  </si>
  <si>
    <t>Units (sq. ft)</t>
  </si>
  <si>
    <t>MFLI</t>
  </si>
  <si>
    <t>Air Sealing (Infiltration reduction) - 30% MF LI DI electric furnace base</t>
  </si>
  <si>
    <t>Building Shell RES</t>
  </si>
  <si>
    <t>Air Sealing (Infiltration reduction) - 30% MF LI DI heat pump base</t>
  </si>
  <si>
    <t>SFLI</t>
  </si>
  <si>
    <t>Air Sealing (Infiltration reduction) - 30% SF LI DI electric furnace base</t>
  </si>
  <si>
    <t>Air Sealing (Infiltration reduction) - 30% SF LI DI heat pump base</t>
  </si>
  <si>
    <t>MH Adjusted Air Sealing (Infiltration reduction) - 30% SF LI DI electric furnace base</t>
  </si>
  <si>
    <t>Air Sealing (Infiltration reduction) - 30% MH LI DI electric furnace/baseboard base</t>
  </si>
  <si>
    <t>Sq. Ft.</t>
  </si>
  <si>
    <t>Average size house insulation - EMV</t>
  </si>
  <si>
    <t>Assumes 65% HF</t>
  </si>
  <si>
    <t>Assumes 15'x72'</t>
  </si>
  <si>
    <t>Ceiling Insulation</t>
  </si>
  <si>
    <t>Units - area of ceiling/attic (ft2)</t>
  </si>
  <si>
    <t>Ceiling Insulation R11-R49 MF LI DI electric furnace base</t>
  </si>
  <si>
    <t>Ceiling Insulation R11-R49 MF LI DI heat pump base</t>
  </si>
  <si>
    <t>Ceiling Insulation R11-R49 MF LI DI gas heat electric cool base</t>
  </si>
  <si>
    <t>Ceiling Insulation R11-R49 SF LI DI electric furnace base</t>
  </si>
  <si>
    <t>Ceiling Insulation R11-R49 SF LI DI heat pump base</t>
  </si>
  <si>
    <t>Ceiling Insulation R11-R49 SF LI DI gas heat electric cool base</t>
  </si>
  <si>
    <t>Ceiling Insulation R5-R30 MF LI DI electric furnace base</t>
  </si>
  <si>
    <t>Ceiling Insulation R5-R30 MF LI DI heat pump base</t>
  </si>
  <si>
    <t>Ceiling Insulation R5-R30 MF LI DI gas heat electric cool base</t>
  </si>
  <si>
    <t>Ceiling Insulation R5-R30 SF LI DI electric furnace base</t>
  </si>
  <si>
    <t>Ceiling Insulation R5-R30 SF LI DI heat pump base</t>
  </si>
  <si>
    <t>Ceiling Insulation R5-R30 SF LI DI gas heat electric cool base</t>
  </si>
  <si>
    <t>Ceiling Insulation R5-R38 MF LI DI electric furnace base</t>
  </si>
  <si>
    <t>Ceiling Insulation R5-R38 MF LI DI heat pump base</t>
  </si>
  <si>
    <t>Ceiling Insulation R5-R38 MF LI DI gas heat electric cool base</t>
  </si>
  <si>
    <t>Ceiling Insulation R5-R38 SF LI DI electric furnace base</t>
  </si>
  <si>
    <t>Ceiling Insulation R5-R38 SF LI DI heat pump base</t>
  </si>
  <si>
    <t>Ceiling Insulation R5-R38 SF LI DI gas heat electric cool base</t>
  </si>
  <si>
    <t>Ceiling Insulation R5-R49 MF LI DI electric furnace base</t>
  </si>
  <si>
    <t>Ceiling Insulation R5-R49 MF LI DI heat pump base</t>
  </si>
  <si>
    <t>Ceiling Insulation R5-R49 MF LI DI gas heat electric cool base</t>
  </si>
  <si>
    <t>Ceiling Insulation R5-R49 SF LI DI electric furnace base</t>
  </si>
  <si>
    <t>Ceiling Insulation R5-R49 SF LI DI heat pump base</t>
  </si>
  <si>
    <t>Ceiling Insulation R5-R49 SF LI DI gas heat electric cool base</t>
  </si>
  <si>
    <t>Ceiling Insulation R5-R60 MF LI DI electric furnace base</t>
  </si>
  <si>
    <t>Ceiling Insulation R5-R60 MF LI DI heat pump base</t>
  </si>
  <si>
    <t>Ceiling Insulation R5-R60 MF LI DI gas heat electric cool base</t>
  </si>
  <si>
    <t>Ceiling Insulation R5-R60 SF LI DI electric furnace base</t>
  </si>
  <si>
    <t>Ceiling Insulation R5-R60 SF LI DI heat pump base</t>
  </si>
  <si>
    <t>Ceiling Insulation R5-R60 SF LI DI gas heat electric cool base</t>
  </si>
  <si>
    <t>Assumes R5 of Assembly is not inlcuded in R value</t>
  </si>
  <si>
    <t>PY5 Evaluation</t>
  </si>
  <si>
    <t>Assumed same as R5-R30</t>
  </si>
  <si>
    <t>MO -TRM</t>
  </si>
  <si>
    <t>HDD</t>
  </si>
  <si>
    <t>HDD65</t>
  </si>
  <si>
    <t>ƞheat</t>
  </si>
  <si>
    <t>Program. Tstat value</t>
  </si>
  <si>
    <t>CDD</t>
  </si>
  <si>
    <t>CDD65</t>
  </si>
  <si>
    <t>DUA</t>
  </si>
  <si>
    <t>%cool</t>
  </si>
  <si>
    <t>Joint Program</t>
  </si>
  <si>
    <t>Adv. Tstat value</t>
  </si>
  <si>
    <t>ƞcool</t>
  </si>
  <si>
    <t>PY15 Evaluation</t>
  </si>
  <si>
    <t>Floor Insulation</t>
  </si>
  <si>
    <t>Units - area of floor (ft2)</t>
  </si>
  <si>
    <t>Floor Insulation R25 Mobile Home electric furnace/baseboard and electric cooling</t>
  </si>
  <si>
    <t>Floor Insulation R25 MH electric furnace/baseboard and electric cooling</t>
  </si>
  <si>
    <t>per Mobile Home</t>
  </si>
  <si>
    <t>72' x 15'</t>
  </si>
  <si>
    <t>HDD50</t>
  </si>
  <si>
    <t>CDD75</t>
  </si>
  <si>
    <t>PY5 Evaluaiton - Insulation</t>
  </si>
  <si>
    <t>Dirty Filter Alarm_MFLI</t>
  </si>
  <si>
    <t>MO - Evaluation</t>
  </si>
  <si>
    <r>
      <t>EFLH</t>
    </r>
    <r>
      <rPr>
        <i/>
        <vertAlign val="subscript"/>
        <sz val="11"/>
        <rFont val="Calibri"/>
        <family val="2"/>
        <scheme val="minor"/>
      </rPr>
      <t>heat</t>
    </r>
  </si>
  <si>
    <r>
      <t>EFLH</t>
    </r>
    <r>
      <rPr>
        <i/>
        <vertAlign val="subscript"/>
        <sz val="11"/>
        <color theme="1"/>
        <rFont val="Calibri"/>
        <family val="2"/>
        <scheme val="minor"/>
      </rPr>
      <t>heat</t>
    </r>
  </si>
  <si>
    <t>Assumed DI and 100%</t>
  </si>
  <si>
    <t>MO-Evaluation</t>
  </si>
  <si>
    <r>
      <t>EFLH</t>
    </r>
    <r>
      <rPr>
        <i/>
        <vertAlign val="subscript"/>
        <sz val="11"/>
        <rFont val="Calibri"/>
        <family val="2"/>
        <scheme val="minor"/>
      </rPr>
      <t>cool</t>
    </r>
  </si>
  <si>
    <r>
      <t>EFLH</t>
    </r>
    <r>
      <rPr>
        <i/>
        <vertAlign val="subscript"/>
        <sz val="11"/>
        <color theme="1"/>
        <rFont val="Calibri"/>
        <family val="2"/>
        <scheme val="minor"/>
      </rPr>
      <t>cool</t>
    </r>
  </si>
  <si>
    <t>Duct Insulation</t>
  </si>
  <si>
    <t>kWh
Annual Savings</t>
  </si>
  <si>
    <t>ΔkWhCooling</t>
  </si>
  <si>
    <t>ΔkWhHeating</t>
  </si>
  <si>
    <t>Δtherms</t>
  </si>
  <si>
    <t>Duct Insulation - Electric Heating</t>
  </si>
  <si>
    <t>Mobile Home Adjusted Duct Insulation - Electric Heating </t>
  </si>
  <si>
    <t>Duct Insulation - Gas Heating</t>
  </si>
  <si>
    <t xml:space="preserve">*MEMD estimates $100/sq ft of conditioned floor area.  Area is assumed based on Air Sealing measure (1387). </t>
  </si>
  <si>
    <t>Gas Heating:</t>
  </si>
  <si>
    <t>Electric Heating:</t>
  </si>
  <si>
    <t>Duct heat loss coefficient with existing insulation ((hr-⁰F-ft2)/Btu)</t>
  </si>
  <si>
    <t>Case Studies of Duct Retrofits and Guidelines for Attic and Crawl Space Duct Sealing', Oak Ridge National Laboratory, November 2011, pg. 11</t>
  </si>
  <si>
    <t>Duct heat loss coefficient with new insulation (hr-⁰F-ft2)/Btu)</t>
  </si>
  <si>
    <t>Case Studies of Duct Retrofits and Guidelines for Attic and Crawl Space Duct Sealing', Oak Ridge National Laboratory, November 2011, pg. 12</t>
  </si>
  <si>
    <t>Area</t>
  </si>
  <si>
    <t>Area of the duct surface exposed to the unconditioned space that has been insulated (ft2)</t>
  </si>
  <si>
    <t xml:space="preserve">Area - Single Family </t>
  </si>
  <si>
    <t xml:space="preserve">Length * Width, assuming 12"x30" duct and Length = Square root of average house size reported in 'Home Energy Analysis' 2015 EM&amp;V. </t>
  </si>
  <si>
    <t>Area - Mobile Home</t>
  </si>
  <si>
    <t>Length * Width, assuming 12"x30" duct and Length = Square root of average mobile home size based on engineering judgement. </t>
  </si>
  <si>
    <t xml:space="preserve">Equivalent Full Load Cooling Hours </t>
  </si>
  <si>
    <t>Matches MO TRM.  Measure not found in Community Savers EM&amp;V</t>
  </si>
  <si>
    <t>Average temperature difference (⁰F) during cooling season between outdoor air temperature and assumed 60⁰F  duct supply air temperature</t>
  </si>
  <si>
    <t>National Solar Radiation Data Base -- 1991- 2005 Update: Typical Meteorological Year 3 http://rredc.nrel.gov/solar/old_data/nsrdb/1991-2005/tmy3/by_state_and_city.html . Heating Season defined as September 17th through April 13th, cooling season defined as May 20 through August 15th. For cooling season, temperatures from 8AM to 8PM were used to establish average temperatures as this is when cooling systems are expected to be loaded.</t>
  </si>
  <si>
    <t xml:space="preserve">Efficiency in SEER of air conditioning equipment </t>
  </si>
  <si>
    <t xml:space="preserve">MO TRM, assumes equipment age is older than 2006.  </t>
  </si>
  <si>
    <t>Matches MO TRM, assuming age is 2006 or later.  Measure not found in Community Savers EM&amp;V</t>
  </si>
  <si>
    <t>Based on Full Load Hour assumptions (for St Louis and Kansas City) taken from the ENERGY STAR calculator (http://www.energystar.gov/ia/business/bulk_purchasing/bpsavings_calc/Calc_CAC.xls). The other climate region values are calculated using the Climate Normals Heating Degree Day ratios (at 60F set point).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</si>
  <si>
    <t>Average temperature difference (⁰F) during heating season between outdoor air temperature and assumed 115⁰F  duct supply temperature</t>
  </si>
  <si>
    <t>Matches Community Saves EM&amp;V</t>
  </si>
  <si>
    <t>COP</t>
  </si>
  <si>
    <t xml:space="preserve">Electric Heating efficiency in COP of heating equipment </t>
  </si>
  <si>
    <t>MO TRM, assumes vast majority of electric heating equipment are not heat pumps.</t>
  </si>
  <si>
    <t>Furnace Fan energy consumption as a percentage of annual fuel consumption</t>
  </si>
  <si>
    <t xml:space="preserve">Fe is not one of the AHRI certified ratings provided for residential furnaces, but can be reasonably estimated from a calculation based on the certified values for fuel energy (Ef in MMBtu/yr) and Eae (kWh/yr).  An average of a 300 record sample (non-random) out of 1495 was 3.14%.  This is, appropriately, ~50% greater than the ENERGY STAR version 3 criteria for 2% Fe. </t>
  </si>
  <si>
    <t>Converts therms to kWh</t>
  </si>
  <si>
    <t>Conversion Factor (therms/kWh)</t>
  </si>
  <si>
    <t>Conversion factor from Btu to therms</t>
  </si>
  <si>
    <t>Conversion Factor (btu/therm)</t>
  </si>
  <si>
    <t xml:space="preserve">This variable is not defined in the MO TRM but it is required for the algorithm that's provided.  </t>
  </si>
  <si>
    <t xml:space="preserve">Gas Heat - Efficiency in COP of heating equipment </t>
  </si>
  <si>
    <t>% Homes with Electric Cooling</t>
  </si>
  <si>
    <t>Assumption based on program design</t>
  </si>
  <si>
    <t>Assumed for Income Eligible</t>
  </si>
  <si>
    <t xml:space="preserve"> In-service rate</t>
  </si>
  <si>
    <t>PY7 Site Visits</t>
  </si>
  <si>
    <t>Duct Repair (Duct Sealing and Repair - Methodology 3)</t>
  </si>
  <si>
    <t>Units - DuctLength (ft.)</t>
  </si>
  <si>
    <t>Duct Repair (Sealing) - Electric Heating</t>
  </si>
  <si>
    <t>Duct Repair (Sealing) - Electric Heating - MH Adjusted</t>
  </si>
  <si>
    <t>(Method 3)</t>
  </si>
  <si>
    <t>CoolingSavingsPerUnit</t>
  </si>
  <si>
    <t>Annual cooling savings per linear foot of duct (kWh/ft)</t>
  </si>
  <si>
    <t>Square root of average house size reported in 'Home Energy Analysis' 2015 EM&amp;V.</t>
  </si>
  <si>
    <t>HeatingSavingsPerUnit</t>
  </si>
  <si>
    <t>Annual heating savings per linear foot of duct (kWh/ft)</t>
  </si>
  <si>
    <t>SF - Electric Heating</t>
  </si>
  <si>
    <t>MF - Electric Heating</t>
  </si>
  <si>
    <t>MH - Electric Heating</t>
  </si>
  <si>
    <t>SF - Gas Heating</t>
  </si>
  <si>
    <t>MF - Gas Heating</t>
  </si>
  <si>
    <t>ECM Auto Fan EUL Replacement -SF</t>
  </si>
  <si>
    <t>ECM Auto Fan Early Replacement ER 1 (Full Cost) - SF</t>
  </si>
  <si>
    <t>ECM Auto Fan Early Replacement ER2 (Remaining Life) - SF</t>
  </si>
  <si>
    <t>ECM Continous Fan EUL Replacement - SF</t>
  </si>
  <si>
    <t>ECM Continous Fan Early Replacement ER 1 (Full Cost) - SF</t>
  </si>
  <si>
    <t>ECM Continous Fan Early Replacement ER2 (Remaining Life) - SF</t>
  </si>
  <si>
    <t>ECM Auto Fan EUL Replacement - MF</t>
  </si>
  <si>
    <t>ECM Auto Fan Early Replacement ER 1 (Full Cost) - MF</t>
  </si>
  <si>
    <t>ECM Auto Fan Early Replacement ER2 (Remaining Life) - MF</t>
  </si>
  <si>
    <t>ECM Continous Fan EUL Replacement - MF</t>
  </si>
  <si>
    <t>ECM Continous Fan Early Replacement ER 1 (Full Cost) - MF</t>
  </si>
  <si>
    <t>ECM Continous Fan Early Replacement ER2 (Remaining Life) - MF</t>
  </si>
  <si>
    <t>ECM Fan EUL Replacement -SF</t>
  </si>
  <si>
    <t>ECM Fan Early Replacement ER 1 (Full Cost) - SF</t>
  </si>
  <si>
    <t>ECM Fan Early Replacement ER 2 (Remaining Life) - SF</t>
  </si>
  <si>
    <t>ECM Fan EUL Replacement - MF</t>
  </si>
  <si>
    <t>ECM Fan Early Replacement ER 1 (Full Cost) - MF</t>
  </si>
  <si>
    <t>ECM Fan Early Replacement ER 2 (Remaining Life) - MF</t>
  </si>
  <si>
    <t>AFUE</t>
  </si>
  <si>
    <t>ECM Auto Fan Early Replacement ER 2 (Remaining Life) - SF</t>
  </si>
  <si>
    <t>ECM Auto Fan Early Replacement ER 2 (Remaining Life) - MF</t>
  </si>
  <si>
    <t>Heat Pump (HP) Tune-up</t>
  </si>
  <si>
    <t>General HP tune-up (no charge or coil clean)</t>
  </si>
  <si>
    <t>HP tune-up / Refrigerant charge SF</t>
  </si>
  <si>
    <t>HP tune-up / Refrigerant charge MF</t>
  </si>
  <si>
    <t>HP tune-up / Indoor Coil (Evaporator) Cleaning SF</t>
  </si>
  <si>
    <t>HP tune-up / Indoor Coil (Evaporator) Cleaning MF</t>
  </si>
  <si>
    <t>HP tune-up / Outdoor Coil (Condenser) Cleaning SF</t>
  </si>
  <si>
    <t>HP tune-up / Outdoor Coil (Condenser) Cleaning MF</t>
  </si>
  <si>
    <t>EUL Sourced from DEER Database Technology and Measure Cost Data. Per MO TRM</t>
  </si>
  <si>
    <r>
      <t>EFLH</t>
    </r>
    <r>
      <rPr>
        <vertAlign val="subscript"/>
        <sz val="11"/>
        <rFont val="Calibri"/>
        <family val="2"/>
        <scheme val="minor"/>
      </rPr>
      <t>cool</t>
    </r>
  </si>
  <si>
    <r>
      <t>Capacity</t>
    </r>
    <r>
      <rPr>
        <vertAlign val="subscript"/>
        <sz val="11"/>
        <rFont val="Calibri"/>
        <family val="2"/>
        <scheme val="minor"/>
      </rPr>
      <t>cool</t>
    </r>
  </si>
  <si>
    <t>Average capacity of 'Air Source Heat Pumps' measures in 'HVAC' program.  Values come from evaluation</t>
  </si>
  <si>
    <r>
      <t>SEER</t>
    </r>
    <r>
      <rPr>
        <vertAlign val="subscript"/>
        <sz val="11"/>
        <rFont val="Calibri"/>
        <family val="2"/>
        <scheme val="minor"/>
      </rPr>
      <t>test-out</t>
    </r>
  </si>
  <si>
    <r>
      <t>EFLH</t>
    </r>
    <r>
      <rPr>
        <vertAlign val="subscript"/>
        <sz val="11"/>
        <rFont val="Calibri"/>
        <family val="2"/>
        <scheme val="minor"/>
      </rPr>
      <t>heat</t>
    </r>
  </si>
  <si>
    <r>
      <t>Capacity</t>
    </r>
    <r>
      <rPr>
        <vertAlign val="subscript"/>
        <sz val="11"/>
        <rFont val="Calibri"/>
        <family val="2"/>
        <scheme val="minor"/>
      </rPr>
      <t>heat</t>
    </r>
  </si>
  <si>
    <r>
      <t>HSPF</t>
    </r>
    <r>
      <rPr>
        <vertAlign val="subscript"/>
        <sz val="11"/>
        <rFont val="Calibri"/>
        <family val="2"/>
        <scheme val="minor"/>
      </rPr>
      <t>test-in</t>
    </r>
  </si>
  <si>
    <r>
      <t>HSPF</t>
    </r>
    <r>
      <rPr>
        <vertAlign val="subscript"/>
        <sz val="11"/>
        <rFont val="Calibri"/>
        <family val="2"/>
        <scheme val="minor"/>
      </rPr>
      <t>test-out</t>
    </r>
  </si>
  <si>
    <t>Low Flow Faucet Aerators</t>
  </si>
  <si>
    <t>Water heating RES</t>
  </si>
  <si>
    <t>MFLI DI</t>
  </si>
  <si>
    <t>SFLI DI</t>
  </si>
  <si>
    <t>Parameters</t>
  </si>
  <si>
    <t>Matches Community Savers EM&amp;V</t>
  </si>
  <si>
    <t>The average length of faucet use per day (min/day)</t>
  </si>
  <si>
    <t>Cadmus PY3 metering study. Cited in Ameren Missouri Low Income and Process Evaluation: program Year 2015. p.23</t>
  </si>
  <si>
    <t xml:space="preserve">PY2016 Program Data, per Community Saves 2016 EM&amp;V report. </t>
  </si>
  <si>
    <t>The number of people in the home (ppl/household)</t>
  </si>
  <si>
    <t>PY6 program data (not reported in PY2016).  Ameren Missouri Low Income and Process Evaluation: program Year 2015. p.23</t>
  </si>
  <si>
    <t>Not accounted for in EM&amp;V</t>
  </si>
  <si>
    <t>The number of days per year (day/yr)</t>
  </si>
  <si>
    <t>The number of faucets installed per home</t>
  </si>
  <si>
    <t>Revised to match Community Savers EM&amp;V</t>
  </si>
  <si>
    <t>The specific water heat (Btu/lb degrees F)</t>
  </si>
  <si>
    <t>The average water temperature out of the faucet (°F)</t>
  </si>
  <si>
    <t>Vermont Technical Reference Manual, 2009</t>
  </si>
  <si>
    <t>The average inlet water temperature (°F)</t>
  </si>
  <si>
    <t>Recovery efficiency of the electric hot water heater</t>
  </si>
  <si>
    <t>Cadmus PY3 site visits.  Cited in Ameren Missouri Low Income and Process Evaluation: program Year 2015. p.20</t>
  </si>
  <si>
    <t>Non-DI</t>
  </si>
  <si>
    <t>PY7 site visits</t>
  </si>
  <si>
    <t>DI</t>
  </si>
  <si>
    <t>Low Flow Showerhead MFLI</t>
  </si>
  <si>
    <t>Low Flow Showerhead MFLI DI</t>
  </si>
  <si>
    <t>Low Flow Showerhead SFLI DI</t>
  </si>
  <si>
    <t>The average shower length (min/shower)</t>
  </si>
  <si>
    <t>DeOreo, William, P. Mayer, L. Martien, M. Hayden, A. Funk, M. Kramer-Duffield, and R. Davis (2011). “California SingleFamily
Water Use Efficiency Study.” </t>
  </si>
  <si>
    <t xml:space="preserve">DeOreo, William, P. Mayer, L. Martien, M. Hayden, A. Funk, M. Kramer-Duffield, and R. Davis (2011). “California SingleFamily
Water Use Efficiency Study.” </t>
  </si>
  <si>
    <t>Missouri TRM</t>
  </si>
  <si>
    <t>TRM used because EM&amp;V does not provide values for SF and MF households.</t>
  </si>
  <si>
    <t>The number of showers taken per person, per day</t>
  </si>
  <si>
    <t>New formula, same values. Matches Community Savers EM&amp;V</t>
  </si>
  <si>
    <t xml:space="preserve"> The number of days per year (day/yr)</t>
  </si>
  <si>
    <t>The number of showerheads installed per home</t>
  </si>
  <si>
    <t xml:space="preserve"> The specific water heat (BTU/lb-°F)</t>
  </si>
  <si>
    <t>The average water temperature at the showerhead (°F)</t>
  </si>
  <si>
    <t>Pipe Insulation MFLI</t>
  </si>
  <si>
    <t>Pipe Insulation MFLI DI</t>
  </si>
  <si>
    <t>Pipe Insulation SFLI DI</t>
  </si>
  <si>
    <t>Circumference (feet) of uninsulated pipe (.75" diameter)</t>
  </si>
  <si>
    <t>Revised for .75 inch Pipe</t>
  </si>
  <si>
    <t>Thermal resistance coefficient (hr-°F-ft2)/Btu) of uninsulated pipe</t>
  </si>
  <si>
    <t>PY7 program data</t>
  </si>
  <si>
    <t>Length of pipe from water heating source covered by pipe wrap (ft)</t>
  </si>
  <si>
    <t>DT</t>
  </si>
  <si>
    <r>
      <t>ȠDHW</t>
    </r>
    <r>
      <rPr>
        <vertAlign val="subscript"/>
        <sz val="11"/>
        <rFont val="Calibri Light"/>
        <family val="2"/>
      </rPr>
      <t>Elec</t>
    </r>
  </si>
  <si>
    <t>Cited in Ameren Missouri Low Income and Process Evaluation: program Year 2015. p.24</t>
  </si>
  <si>
    <t>Pipe Diameter</t>
  </si>
  <si>
    <t>Effective Useful Life (All)</t>
  </si>
  <si>
    <t>Incremental Cost - Non-DI</t>
  </si>
  <si>
    <t>Incremental Cost - Direct Install (DI)</t>
  </si>
  <si>
    <t>Programmable Thermostat</t>
  </si>
  <si>
    <t>Setback thermostat - full setback - ASHP heating/cooling MF</t>
  </si>
  <si>
    <t>Setback thermostat - full setback - ASHP heating/cooling SF</t>
  </si>
  <si>
    <t>Setback thermostat - full setback - elec furnace heating / central AC MF</t>
  </si>
  <si>
    <t>Setback thermostat - full setback - elec furnace heating / central AC SF</t>
  </si>
  <si>
    <t>Setback thermostat - full setback - gas heating / central AC MF</t>
  </si>
  <si>
    <t>Setback thermostat for SF - full setback - gas heating / central AC </t>
  </si>
  <si>
    <t>Setback thermostat - full setback - Unknown MF</t>
  </si>
  <si>
    <t>Setback thermostat for SF - full setback - Unknown</t>
  </si>
  <si>
    <r>
      <t>Sbdegrees</t>
    </r>
    <r>
      <rPr>
        <i/>
        <vertAlign val="subscript"/>
        <sz val="11"/>
        <rFont val="Calibri"/>
        <family val="2"/>
        <scheme val="minor"/>
      </rPr>
      <t>_cooling</t>
    </r>
  </si>
  <si>
    <r>
      <t>SF</t>
    </r>
    <r>
      <rPr>
        <i/>
        <vertAlign val="subscript"/>
        <sz val="11"/>
        <rFont val="Calibri"/>
        <family val="2"/>
        <scheme val="minor"/>
      </rPr>
      <t>_cooling</t>
    </r>
  </si>
  <si>
    <r>
      <t>EF</t>
    </r>
    <r>
      <rPr>
        <i/>
        <vertAlign val="subscript"/>
        <sz val="11"/>
        <rFont val="Calibri"/>
        <family val="2"/>
        <scheme val="minor"/>
      </rPr>
      <t>_cooling</t>
    </r>
  </si>
  <si>
    <t>CapacityHeating_electric</t>
  </si>
  <si>
    <t>HSPF</t>
  </si>
  <si>
    <t>IL-TRM (Based on minimum federal standards between 1992 and 2006) - PY2017 EM&amp;V</t>
  </si>
  <si>
    <r>
      <t>Sbdegrees</t>
    </r>
    <r>
      <rPr>
        <i/>
        <vertAlign val="subscript"/>
        <sz val="11"/>
        <rFont val="Calibri"/>
        <family val="2"/>
        <scheme val="minor"/>
      </rPr>
      <t>_heating</t>
    </r>
  </si>
  <si>
    <r>
      <t>SF</t>
    </r>
    <r>
      <rPr>
        <i/>
        <vertAlign val="subscript"/>
        <sz val="11"/>
        <rFont val="Calibri"/>
        <family val="2"/>
        <scheme val="minor"/>
      </rPr>
      <t>_heating</t>
    </r>
  </si>
  <si>
    <t>ENERGY STAR Calculator</t>
  </si>
  <si>
    <r>
      <t>EF</t>
    </r>
    <r>
      <rPr>
        <i/>
        <vertAlign val="subscript"/>
        <sz val="11"/>
        <rFont val="Calibri"/>
        <family val="2"/>
        <scheme val="minor"/>
      </rPr>
      <t>_heating</t>
    </r>
  </si>
  <si>
    <t>Thermostatic Restrictor Shower Valve</t>
  </si>
  <si>
    <t>Shower Start 1.5 gpm electric water heater SFLI DI</t>
  </si>
  <si>
    <t>Shower Start 1.5 gpm electric water heater MFLI DI</t>
  </si>
  <si>
    <t>Assumed for DI</t>
  </si>
  <si>
    <t xml:space="preserve">Assumes this measure is installed in tandem with DI low flow showerheads.  </t>
  </si>
  <si>
    <t>Average of the following sources: ShowerStart LLC survey; “Identifying, Quantifying and Reducing Behavioral Waste in the Shower: Exploring the Savings Potential of ShowerStart”, City of San Diego Water Department survey; “Water Conservation Program: ShowerStart Pilot Project White Paper”, and PG&amp;E Work Paper PGECODHW113</t>
  </si>
  <si>
    <t xml:space="preserve">Matches IL TRM.  Not addresed in MO TRM or Cadmus EM&amp;V.  </t>
  </si>
  <si>
    <t xml:space="preserve"> </t>
  </si>
  <si>
    <r>
      <t>RE</t>
    </r>
    <r>
      <rPr>
        <vertAlign val="subscript"/>
        <sz val="11"/>
        <rFont val="Calibri"/>
        <family val="2"/>
        <scheme val="minor"/>
      </rPr>
      <t>electric</t>
    </r>
  </si>
  <si>
    <t>Matches MO TRM</t>
  </si>
  <si>
    <t>PY7 Tenant surveys</t>
  </si>
  <si>
    <t>Water Heater Wrap</t>
  </si>
  <si>
    <t>Water Heater Wrap SFLI</t>
  </si>
  <si>
    <t>Surface area (ft2) of storage tank prior to adding tank wrap</t>
  </si>
  <si>
    <t>Average of surface area assumptions from the June 2016 Pennsylvania TRM, for 30, 40, 50, and 80 gallon tanks. Area values were calculated from average dimensions of several commercially available units, with radius values measured to the center of the insulation.  Area includes tank sides and top to account for typical wrap coverage.</t>
  </si>
  <si>
    <t xml:space="preserve">Matches MO TRM.  </t>
  </si>
  <si>
    <t>Thermal resistance coefficient (hr-°F-ft2)/Btu) of uninsulated tank</t>
  </si>
  <si>
    <t xml:space="preserve">Matches MO TRM. </t>
  </si>
  <si>
    <t>Surface area (ft2) of storage tank after addition of tank wrap</t>
  </si>
  <si>
    <t>Matches MO TRM.  Not addressed in Cadmus EM&amp;V</t>
  </si>
  <si>
    <t>Thermal resistance coefficient (hr-°F-ft2)/Btu) of insulated tank</t>
  </si>
  <si>
    <t>Matches MO TRM.</t>
  </si>
  <si>
    <t>Common Area Faucet Aerators</t>
  </si>
  <si>
    <t>Common Area Low Flow Bathroom Faucet Aerator</t>
  </si>
  <si>
    <t>In Unit Value</t>
  </si>
  <si>
    <t>In Unit Source</t>
  </si>
  <si>
    <t>Matches Energy Efficiency Kits EM&amp;V. Value not provided in Community Savers EM&amp;V.</t>
  </si>
  <si>
    <t>Usage</t>
  </si>
  <si>
    <t>Estimated usage of mixed water (mixture of hot water from water heater line and cold water line) per faucet (gallons per year)</t>
  </si>
  <si>
    <t>MO TRM value for Hotels.  Value for Multifamily is not proviced, and Hotels is most similar to this building type.  Not addressed in Cadmus EM&amp;V.</t>
  </si>
  <si>
    <t>Missouri 2017 TRM, Section 2.6.2</t>
  </si>
  <si>
    <t>Matches MO TRM.  Not addressed in Cadmus EM&amp;V.</t>
  </si>
  <si>
    <t xml:space="preserve">Common Area Low Flow Showerheads </t>
  </si>
  <si>
    <t>Common Area Low Flow Showerhead</t>
  </si>
  <si>
    <t xml:space="preserve">Matches Community Savers EM&amp;V and IL TRM for commercial fixtures.  Commercial values are relevant for common areas.  Not covered in MO TRM. </t>
  </si>
  <si>
    <t xml:space="preserve">Measure not covered in Cadmus EM&amp;V or MO TRM.  IL TRM applied. </t>
  </si>
  <si>
    <t>NSPD</t>
  </si>
  <si>
    <t>Estimated number of showers taken per day for one showerhead</t>
  </si>
  <si>
    <t>Conservative assumption</t>
  </si>
  <si>
    <t xml:space="preserve">Value not provided in IL TRM.  Common area showerheads are not addressed in Cadmus EM&amp;V or the MO TRM.  Assumed a conservative value of 1 shower per day per showerhead. </t>
  </si>
  <si>
    <t>Matches Community Savers EM&amp;V.</t>
  </si>
  <si>
    <t>LED - 10.5W Downlight E26 (EISA baseline) LI DI</t>
  </si>
  <si>
    <t>LED - 10W (Halogen baseline) LIDI</t>
  </si>
  <si>
    <t>LED - 12W (Halogen baseline) LI DI</t>
  </si>
  <si>
    <t>LED - 15W (Halogen baseline) LIDI</t>
  </si>
  <si>
    <t>LED - 15W Flood Light PAR30 Bulb (Halogen baseline) LI DI</t>
  </si>
  <si>
    <t>LED - 18W Flood Light PAR38 Bulb (Halogen baseline) LI DI</t>
  </si>
  <si>
    <t>LED - 20W (Halogen baseline) LIDI</t>
  </si>
  <si>
    <t>LED - 4W Candelabra (Replacing Specialty Incandescent) LI DI</t>
  </si>
  <si>
    <t>LED - 4W Candelabra (CFL baseline) LIDI</t>
  </si>
  <si>
    <t>LED - 8W Globe Light G25 Bulb (Replacing Specialty Incandescent) LI DI</t>
  </si>
  <si>
    <t>LED - 8W Globe Light G25 Bulb (Replacing CFL) LIDI</t>
  </si>
  <si>
    <t>LED - 10W (CFL baseline) LIDI</t>
  </si>
  <si>
    <t>LED - 10.5W Downlight E26 (CFL baseline) LIDI</t>
  </si>
  <si>
    <t>LED - 12W Dimmable Light Bulb (Replacing CFL) LIDI</t>
  </si>
  <si>
    <t>LED - 12W (Replacing CFL) LIDI</t>
  </si>
  <si>
    <t>LED - 15W (CFL baseline) LIDI</t>
  </si>
  <si>
    <t>LED - 15W Flood Light PAR30 Bulb (CFL baseline) LIDI</t>
  </si>
  <si>
    <t>LED - 18W Flood Light PAR30 Bulb (CFL baseline) LIDI</t>
  </si>
  <si>
    <t>LED - 20W (CFL baseline) LIDI</t>
  </si>
  <si>
    <t>Watts Base EISA</t>
  </si>
  <si>
    <t>Watts Base Specialty</t>
  </si>
  <si>
    <t>Watts Base CFL</t>
  </si>
  <si>
    <t>Watts EE EISA</t>
  </si>
  <si>
    <t>Watts EE Specialty</t>
  </si>
  <si>
    <t>Watts EE CFL</t>
  </si>
  <si>
    <t>KW Factor_RES</t>
  </si>
  <si>
    <t>Ameren EE Plan PY16-PY18, Appendix E</t>
  </si>
  <si>
    <t>KW Factor _ BUS</t>
  </si>
  <si>
    <t>Hours24/7</t>
  </si>
  <si>
    <t>24/7 hours</t>
  </si>
  <si>
    <t>24*365</t>
  </si>
  <si>
    <t>Hours12/7</t>
  </si>
  <si>
    <t>12/7 hours</t>
  </si>
  <si>
    <t>12*365</t>
  </si>
  <si>
    <t>Effective Useful Life - Residential</t>
  </si>
  <si>
    <t>Effective Useful Life - Business</t>
  </si>
  <si>
    <t>Advanced Tier 1 Power Strips / TOS/NC/DI - Home Office</t>
  </si>
  <si>
    <t>Advanced Tier 1 Power Strips / Kits - Home Office</t>
  </si>
  <si>
    <t>Advanced Tier 1 Power Strips / TOS/NC/DI - Home Entertainment</t>
  </si>
  <si>
    <t>Advanced Tier 1 Power Strips / Kits - Home Entertainment</t>
  </si>
  <si>
    <t>Advanced Tier 1 Power Strips / TOS/NC/DI - Unknown Location</t>
  </si>
  <si>
    <t>Advanced Tier 1 Power  / Kits - Unknown Location</t>
  </si>
  <si>
    <t>Advanced Tier 2 Power Strips / Average</t>
  </si>
  <si>
    <t>in service/installation rate</t>
  </si>
  <si>
    <t>Inc. Cost Tier 1 Power Strip</t>
  </si>
  <si>
    <t>Inc. Cost Tier 2 Power Strip</t>
  </si>
  <si>
    <t xml:space="preserve">Class B and G are the 2 classes of power strip currently in the market, therefore the savings of class B and G were averaged for savings estimate (See efficient products deemed table) </t>
  </si>
  <si>
    <t>Refrigerator - early replacement ER1</t>
  </si>
  <si>
    <t>Refrigeration RES</t>
  </si>
  <si>
    <t>Refrigerator - early replacement ER2</t>
  </si>
  <si>
    <t>Refrigeration RES ER2</t>
  </si>
  <si>
    <t>Existing kWh Consumption</t>
  </si>
  <si>
    <t>Baseline Refrigerator Usage</t>
  </si>
  <si>
    <t>Efficient kWh Consumption</t>
  </si>
  <si>
    <t>Age</t>
  </si>
  <si>
    <t>Bottom Freezer</t>
  </si>
  <si>
    <t>Side by Side</t>
  </si>
  <si>
    <t>Top Freezer</t>
  </si>
  <si>
    <t>% Savings</t>
  </si>
  <si>
    <t>Savings factor for ENERGY STAR and CEE Tier 1 refrigerators</t>
  </si>
  <si>
    <t>16 cubic ft.</t>
  </si>
  <si>
    <t>14 cubic ft.</t>
  </si>
  <si>
    <t>15 cubic ft.</t>
  </si>
  <si>
    <t>17 cubic ft.</t>
  </si>
  <si>
    <t>18 cubic ft.</t>
  </si>
  <si>
    <t xml:space="preserve">Average kWh for refrigerators installed from 2011-2015 </t>
  </si>
  <si>
    <t>2011-2015</t>
  </si>
  <si>
    <t>Average kWh for refrigerators installed from 2001(after july)-2010</t>
  </si>
  <si>
    <t>2001(after July)-2010</t>
  </si>
  <si>
    <t>Average kWh for refrigerators installed from 1993-2001(before june)</t>
  </si>
  <si>
    <t>1993-2001(before June)</t>
  </si>
  <si>
    <t>Average kWh for refrigerators installed from 1990-1992</t>
  </si>
  <si>
    <t>1990-1992</t>
  </si>
  <si>
    <t>Average kWh for refrigerators installed from 1980-1989</t>
  </si>
  <si>
    <t>1980-1989</t>
  </si>
  <si>
    <t>Average kWh for refrigerators installed from before 1980</t>
  </si>
  <si>
    <t>before 1980</t>
  </si>
  <si>
    <t xml:space="preserve">Number of Unitsfrom 2011-2015 </t>
  </si>
  <si>
    <t>Number of Unitsfrom 2001(after july)-2010</t>
  </si>
  <si>
    <t>Number of Unitsfrom 1993-2001(before june)</t>
  </si>
  <si>
    <t>Number of Unitsfrom 1990-1992</t>
  </si>
  <si>
    <t>Number of Unitsfrom 1980-1989</t>
  </si>
  <si>
    <t>Number of Unitsfrom before 1980</t>
  </si>
  <si>
    <t>AC - Energy Star Room - Thru-Wall_MF: Low Income</t>
  </si>
  <si>
    <t>AC - Energy Star Room - Thru-Wall_SF: Low Income</t>
  </si>
  <si>
    <t>AC - Energy Star Room_MF: Low Income</t>
  </si>
  <si>
    <t>AC - Energy Star Room_SF: Low Income</t>
  </si>
  <si>
    <t>SFLI Source</t>
  </si>
  <si>
    <t>Value SFLI</t>
  </si>
  <si>
    <t>MF Source</t>
  </si>
  <si>
    <t>Value MFLI</t>
  </si>
  <si>
    <t>Federal minimum efficiency standard (updated from EER to CEER in March 2017)</t>
  </si>
  <si>
    <t>Ameren MO TRM</t>
  </si>
  <si>
    <t>ENERGY STAR air-source heat pump calculator</t>
  </si>
  <si>
    <t>RESIDENTIAL HOME ENERGY REPORT</t>
  </si>
  <si>
    <t>Home Energy Report</t>
  </si>
  <si>
    <t xml:space="preserve">Home Energy Report </t>
  </si>
  <si>
    <t>per report</t>
  </si>
  <si>
    <t>RESIDENTIAL MULTI-FAMILY MARKET RATE</t>
  </si>
  <si>
    <t>Entire Document Is Confidential and Submitted for Purposes of Potential Settlement.</t>
  </si>
  <si>
    <t>MFMR</t>
  </si>
  <si>
    <t>General Tune-Up (no charge or coil clean) / MFMR</t>
  </si>
  <si>
    <t>AC Tune-up / refrigerant charge / MFMR</t>
  </si>
  <si>
    <t>Indoor Coil (Evaporator) Cleaning / MFMR</t>
  </si>
  <si>
    <t>Outdoor Coil (Condenser) Cleaning / MFMR</t>
  </si>
  <si>
    <t>SF capacity for same measure *0.65, per Ameren guidance.</t>
  </si>
  <si>
    <t>Indoor Coil (Evaporator) Cleaning SF</t>
  </si>
  <si>
    <t>Outdoor Coil (Condenser) Cleaning SF</t>
  </si>
  <si>
    <t>Ceiling Insulation R11-R49 MFMR electric furnace base</t>
  </si>
  <si>
    <t>Ceiling Insulation R11-R49 MFMR gas heat and electric cool base</t>
  </si>
  <si>
    <t>Ceiling Insulation R5-R30 MFMR electric furnace base</t>
  </si>
  <si>
    <t>Ceiling Insulation R5-R30 MFMR gas heat and electric cool base</t>
  </si>
  <si>
    <t>Ceiling Insulation R5-R38 MFMR electric furnace base</t>
  </si>
  <si>
    <t>Ceiling Insulation R5-R38 MFMR gas heat and electric cool base</t>
  </si>
  <si>
    <t>Ceiling Insulation R5-R49 MFMR electric furnace base</t>
  </si>
  <si>
    <t>Ceiling Insulation R5-R49 MFMR gas heat and electric cool base</t>
  </si>
  <si>
    <t>Ceiling Insulation R5-R60 MFMR electric furnace base</t>
  </si>
  <si>
    <t>Ceiling Insulation R5-R60 MFMR gas heat and electric cool base</t>
  </si>
  <si>
    <t>Ceiling Insulation R11-R49 MF electric furnace base</t>
  </si>
  <si>
    <t>Ceiling Insulation R11-R49 MF gas heat and electric cool base</t>
  </si>
  <si>
    <t>Ceiling Insulation R5-R30 MF electric furnace base</t>
  </si>
  <si>
    <t>Ceiling Insulation R5-R30 MF gas heat and electric cool base</t>
  </si>
  <si>
    <t>Ceiling Insulation R5-R38 MF electric furnace base</t>
  </si>
  <si>
    <t>Ceiling Insulation R5-R38 MF gas heat and electric cool base</t>
  </si>
  <si>
    <t>Ceiling Insulation R5-R49 MF electric furnace base</t>
  </si>
  <si>
    <t>Ceiling Insulation R5-R49 MF gas heat and electric cool base</t>
  </si>
  <si>
    <t>Ceiling Insulation R5-R60 MF electric furnace base</t>
  </si>
  <si>
    <t>Ceiling Insulation R5-R60 MF gas heat and electric cool base</t>
  </si>
  <si>
    <t>Assumed same as R5-R49</t>
  </si>
  <si>
    <t>Assumed same as R5-R50</t>
  </si>
  <si>
    <t>Dirty Filter Alarm_MFMR</t>
  </si>
  <si>
    <t>Assumed all have Ameren as electric Utility provider.</t>
  </si>
  <si>
    <t>Assumed filter changes by customer require reinstallation</t>
  </si>
  <si>
    <t>EUL*</t>
  </si>
  <si>
    <t>ECM Auto Fan Early Replacement ER1 (Full Cost) - MFMR</t>
  </si>
  <si>
    <t>ECM Auto Fan Early Replacement ER2 (Remaining Life) - MFMR</t>
  </si>
  <si>
    <t>HVAC RES ER2</t>
  </si>
  <si>
    <t>*EUL rounded down from 20 to 18 total years to make values divisable by 3</t>
  </si>
  <si>
    <t>ECM Auto Fan Early Replacement ER1 (Full Cost) - MF</t>
  </si>
  <si>
    <t>LED - 12W Dimmable Light Bulb (Replacing Specialty Incandescent)</t>
  </si>
  <si>
    <t>LED - 12W (Halogen baseline)</t>
  </si>
  <si>
    <t>LED - 12W (Replacing CFL)</t>
  </si>
  <si>
    <t>LED Nightlights</t>
  </si>
  <si>
    <t xml:space="preserve">Statewide Formula: </t>
  </si>
  <si>
    <t xml:space="preserve"> Watts Base CFL</t>
  </si>
  <si>
    <t>Watts Base Nightlights</t>
  </si>
  <si>
    <t>Deemed savings - 22 kWh</t>
  </si>
  <si>
    <t xml:space="preserve"> Watts EE CFL</t>
  </si>
  <si>
    <t xml:space="preserve"> Watts EE Nightlights</t>
  </si>
  <si>
    <t xml:space="preserve">ADM 2017 Community Savers EM&amp;V </t>
  </si>
  <si>
    <t>Faucet Aerators (Kitchen)</t>
  </si>
  <si>
    <t>Faucet Aerators (Kitchen) MFMR</t>
  </si>
  <si>
    <t>Assumed for MF Market.</t>
  </si>
  <si>
    <t>Matches EE Kits EM&amp;V.</t>
  </si>
  <si>
    <t xml:space="preserve">PY14 Community Savers Program Data </t>
  </si>
  <si>
    <t>PY13 Program Data</t>
  </si>
  <si>
    <t xml:space="preserve">PY15 Evaluation </t>
  </si>
  <si>
    <t>Faucet Aerators (Bathroom)</t>
  </si>
  <si>
    <t>Faucet Aerators (Bathroom) MFMR</t>
  </si>
  <si>
    <t>Low Flow Showerhead</t>
  </si>
  <si>
    <t>Low Flow Showerhead MFMR</t>
  </si>
  <si>
    <t>Illinois Statewide Technical Reference Manual for Energy Efficiency Version 5.0. pp. 184. 2016. Available Online: http://ilsagfiles.org/SAG_files/Technical_Reference_x000D_
_Manual/Version_5/Final/IL-TRM_Version_5.0_dated_February-11-2016_Final_Compiled_Volumes_1-4.pdf</t>
  </si>
  <si>
    <t>Matches Community Savers EM&amp;V</t>
  </si>
  <si>
    <t xml:space="preserve">DeOreo, William, P. Mayer, L. Martien, M. Hayden, A. Funk, M. Kramer-Duffield, and R. Davis (2011). “California SingleFamily_x000D_
Water Use Efficiency Study.” </t>
  </si>
  <si>
    <t>Retrieving data. Wait a few seconds and try to cut or copy again.</t>
  </si>
  <si>
    <t>Direct Install</t>
  </si>
  <si>
    <t>Time of Sale</t>
  </si>
  <si>
    <t>*Cost determined through online search - retail price of Embertec and TrickleStar prices</t>
  </si>
  <si>
    <t>High Efficienty Pool Pump</t>
  </si>
  <si>
    <r>
      <t>kWh</t>
    </r>
    <r>
      <rPr>
        <vertAlign val="subscript"/>
        <sz val="11"/>
        <rFont val="Calibri"/>
        <family val="2"/>
        <scheme val="minor"/>
      </rPr>
      <t>ss</t>
    </r>
    <r>
      <rPr>
        <sz val="11"/>
        <rFont val="Calibri"/>
        <family val="2"/>
        <scheme val="minor"/>
      </rPr>
      <t>/Day</t>
    </r>
  </si>
  <si>
    <r>
      <t>kWh</t>
    </r>
    <r>
      <rPr>
        <vertAlign val="subscript"/>
        <sz val="11"/>
        <rFont val="Calibri"/>
        <family val="2"/>
        <scheme val="minor"/>
      </rPr>
      <t>hs</t>
    </r>
    <r>
      <rPr>
        <sz val="11"/>
        <rFont val="Calibri"/>
        <family val="2"/>
        <scheme val="minor"/>
      </rPr>
      <t>/Day</t>
    </r>
  </si>
  <si>
    <r>
      <t>kWh</t>
    </r>
    <r>
      <rPr>
        <vertAlign val="subscript"/>
        <sz val="11"/>
        <rFont val="Calibri"/>
        <family val="2"/>
        <scheme val="minor"/>
      </rPr>
      <t>ls</t>
    </r>
    <r>
      <rPr>
        <sz val="11"/>
        <rFont val="Calibri"/>
        <family val="2"/>
        <scheme val="minor"/>
      </rPr>
      <t>/Day</t>
    </r>
  </si>
  <si>
    <t>Variable Speed Pool Pump</t>
  </si>
  <si>
    <t>Days per year of operation</t>
  </si>
  <si>
    <t>PY16 EM&amp;V</t>
  </si>
  <si>
    <t>Gallons per minute using single speed (ss) pump</t>
  </si>
  <si>
    <t>Runtime in hours/day in high speed (hs) using multi-speed pump</t>
  </si>
  <si>
    <t>Gallons per a minute in high speed (hs) using multi-speed pump</t>
  </si>
  <si>
    <t>Runtime in hours/day in low speed (ls) using multi-speed pump</t>
  </si>
  <si>
    <t>Gallons per a minute in low speed (ls) using multi-speed pump</t>
  </si>
  <si>
    <t>The conversion rate from minutes to hours (min/hr)</t>
  </si>
  <si>
    <t>Energy factor (gallons/watt-hr) using single speed (ss) pump</t>
  </si>
  <si>
    <t>Energy factor (gallons/watt-hr)  in high speed (hs) using multi-speed pump</t>
  </si>
  <si>
    <t>Energy factor (gallons/watt-hr)  in low speed (ls) using multi-speed pump</t>
  </si>
  <si>
    <t>Refrigerator - early replacement ER1 (full cost)   -  MFMR</t>
  </si>
  <si>
    <t xml:space="preserve">Refrigerator - early replacement ER2 (remaining life) - MFMR </t>
  </si>
  <si>
    <t>Reference Table, kWh Use</t>
  </si>
  <si>
    <t>PY16EM&amp;V - Community Savers</t>
  </si>
  <si>
    <t>RESIDENTIAL APPLIANCE RECYCLING</t>
  </si>
  <si>
    <t>Refrigerator Recycling</t>
  </si>
  <si>
    <t>Refrigerator recycling (pre-1990)</t>
  </si>
  <si>
    <t>Refrigerator recycling (post-1990</t>
  </si>
  <si>
    <t>UEC</t>
  </si>
  <si>
    <t>Unit Energy Consumption</t>
  </si>
  <si>
    <t>Cadmus evaluation of Ameren Missouri refrigerator recycling program year 2015</t>
  </si>
  <si>
    <t>Part Use Factor</t>
  </si>
  <si>
    <t>Freezer recycling</t>
  </si>
  <si>
    <t>Freezer RES</t>
  </si>
  <si>
    <t>Room AC</t>
  </si>
  <si>
    <t>Room AC recycling - Primary</t>
  </si>
  <si>
    <t>Room AC recycling - Secondary</t>
  </si>
  <si>
    <t>*Cost  based on full cost of Room AC equipment ($349) and ratio of refridgerator recycling cost ($140) to full refridgerator cost ($742 + $11) .  Full cost of Room AC is based on an internet search. </t>
  </si>
  <si>
    <t>Hours Primary</t>
  </si>
  <si>
    <t>Full Load Hours of room air conditioning primary unit</t>
  </si>
  <si>
    <t>Hours Secondary</t>
  </si>
  <si>
    <t>Full Load Hours of room air conditioning Secondary unit</t>
  </si>
  <si>
    <t>BtuH</t>
  </si>
  <si>
    <t>Size of unit</t>
  </si>
  <si>
    <t>Efficiency of recycled unit</t>
  </si>
  <si>
    <t>% replaced</t>
  </si>
  <si>
    <t>Percentage of units dropped off that are replaced</t>
  </si>
  <si>
    <t>Efficiency of baseline unit</t>
  </si>
  <si>
    <t>Dehumidifier Recycling</t>
  </si>
  <si>
    <t>*EUL assumed to be 33% higher than Room AC EUL, based on TRM values for full equipment life (12 for dehumidifier and 9 for Room AC)</t>
  </si>
  <si>
    <t>**Cost assumed based on full cost of Dehumidifier equipment ($230) and ratio of refridgerator recycling cost ($140) to full refridgerator cost ($742 + $11) .  Full cost of Dehumidifier is based on an internet search. </t>
  </si>
  <si>
    <t>RESIDENTIAL DEMAND RESPONSE</t>
  </si>
  <si>
    <t>Demand Response</t>
  </si>
  <si>
    <t>Gross kWh Annual Savings</t>
  </si>
  <si>
    <t>kW (Annual)*</t>
  </si>
  <si>
    <t>DR</t>
  </si>
  <si>
    <t>Demand Response Advanced Thermostat</t>
  </si>
  <si>
    <t>per thermostat</t>
  </si>
  <si>
    <t xml:space="preserve">* Demand savings are calculated for demand response events, therefore no demand savings are calculated based on the energy savings for this measure. </t>
  </si>
  <si>
    <t>RESIDENTIAL</t>
  </si>
  <si>
    <t>Appliances RES</t>
  </si>
  <si>
    <t>Clothes Dryer RES</t>
  </si>
  <si>
    <t>Clothes Washer RES</t>
  </si>
  <si>
    <t>Color TV RES</t>
  </si>
  <si>
    <t>Cooking RES</t>
  </si>
  <si>
    <t>Dishwasher RES</t>
  </si>
  <si>
    <t>Freezer RES ER2</t>
  </si>
  <si>
    <t>BUSINESS</t>
  </si>
  <si>
    <t>Building Shell BUS</t>
  </si>
  <si>
    <t>Process BUS</t>
  </si>
  <si>
    <t>Updated RES/BUS "Deemed Tables" with PY2017 Evaluation results per Stipulation and Agreement (File No. EO-2018-0211). This included updates to Volume 3 of the TRM.</t>
  </si>
  <si>
    <t>MFMR / MFLI</t>
  </si>
  <si>
    <t>SF / SFLI</t>
  </si>
  <si>
    <t>ASHP SEER 15 MFMR / MFLI ER Replace ASHP: HVAC ER1</t>
  </si>
  <si>
    <t>MFMR / MFLIMR / MFMR / MFLILI</t>
  </si>
  <si>
    <t>Based on 157 days where HDD 60&gt;0, divided by 365.25. HDD days determined from Climate Normals data with a base temp of 60°F.</t>
  </si>
  <si>
    <t>Infiltration Factor Calculation Methodology by Bruce Harley, Senior Manager, Applied Building Science, CLEAResult 11/18/2015 (Ameren Missouri Efficient Products Evaluation PY2017)</t>
  </si>
  <si>
    <t>Ameren Missouri Efficient Products Evaluation PY2017</t>
  </si>
  <si>
    <t>Ameren Missouri PY17 EfficientProducts Database</t>
  </si>
  <si>
    <t>Ameren Missouri EE Kits EM&amp;V PY2017</t>
  </si>
  <si>
    <t>Ameren Missouri HVAC PY16 Metering Study</t>
  </si>
  <si>
    <t>Ameren Missouri EE Kits PY17 Program Data</t>
  </si>
  <si>
    <t>Ameren Missouri EE Kits School Survey Results PY2017</t>
  </si>
  <si>
    <t>Ameren Missouri HVAC PY2013 Metering Study</t>
  </si>
  <si>
    <t>The lumen-equivalent halogen wattage for LEDs - Ameren Missouri EE KITS PY2017</t>
  </si>
  <si>
    <t xml:space="preserve">Ameren Missouir  EE Kits PY17 School Survey </t>
  </si>
  <si>
    <t>Ameren Missouir  EE MF Kits Evaluation PY2017</t>
  </si>
  <si>
    <t>Ameren Missouir  EE School Kits Evaluation PY2017 - UMP</t>
  </si>
  <si>
    <t xml:space="preserve">Ameren Missouiri PY17 EE Kits School Survey </t>
  </si>
  <si>
    <t>Ameren Missouri  EE Kits PY17 Program Data</t>
  </si>
  <si>
    <t>Ameren Missouri  EE Kits PY17 Property Manager Survey results (I1-I2)</t>
  </si>
  <si>
    <t>Ameren Missouri  EE Kits PY17 Property Manager Application data</t>
  </si>
  <si>
    <t>Ameren Missouri HVAC EM&amp;V PY2017</t>
  </si>
  <si>
    <t>Ameren Missouri HVAC EM&amp;V PY2017 workpapers</t>
  </si>
  <si>
    <t>Ameren Missouri Community Savers Evaluation PY2017</t>
  </si>
  <si>
    <t>EER</t>
  </si>
  <si>
    <t>ROF 14 SEER AC</t>
  </si>
  <si>
    <t>SEER 8.33</t>
  </si>
  <si>
    <t>same as HSPF</t>
  </si>
  <si>
    <t>Matches Ameren Missouri HVAC EM&amp;V PY2017</t>
  </si>
  <si>
    <t>Ameren Missouri HVAC EM&amp;V PY2017 - 2016 -2017 AMR Data &amp; HP</t>
  </si>
  <si>
    <t>SF capacity for same measure *0.65</t>
  </si>
  <si>
    <t>Matches Ameren Missouri  EE Kits for Non DI PY2017</t>
  </si>
  <si>
    <t>Ameren Missouri Community Savers Evaluation PY2017 Site Visit Data and Ride Along Data (ADM only provided the delta GPM, not the base and efficient values)</t>
  </si>
  <si>
    <t>Ameren Missouri Community Savers Evaluation PY2017 Tenant Surveys and Site Visits</t>
  </si>
  <si>
    <t>Ameren Missouri Community Savers Evaluation PY2017 Site Visits</t>
  </si>
  <si>
    <t>ENERGY STAR air-source heat pump calc. Ameren Missouri Community Savers Evaluation PY2017</t>
  </si>
  <si>
    <t>ENERGY STAR air-source heat pump calc. Ameren Missouri Community Savers Evaluation PY2018</t>
  </si>
  <si>
    <t>ENERGY STAR air-source heat pump calc. Ameren Missouri Community Savers Evaluation PY2019</t>
  </si>
  <si>
    <t>ENERGY STAR air-source heat pump calc. Ameren Missouri Community Savers Evaluation PY2020</t>
  </si>
  <si>
    <t>ENERGY STAR air-source heat pump calc. Ameren Missouri Community Savers Evaluation PY2021</t>
  </si>
  <si>
    <t>ENERGY STAR air-source heat pump calc. Ameren Missouri Community Savers Evaluation PY2022</t>
  </si>
  <si>
    <t>ENERGY STAR air-source heat pump calc. Ameren Missouri Community Savers Evaluation PY2023</t>
  </si>
  <si>
    <t>ENERGY STAR air-source heat pump calc. Ameren Missouri Community Savers Evaluation PY2024</t>
  </si>
  <si>
    <t>Ameren Missouri Community Savers Evaluation PY2017  Program Data</t>
  </si>
  <si>
    <t>IL-TRM (Based on minimum federal standards between 1992 and 2006) Ameren Missouri Community Savers Evaluation PY2017</t>
  </si>
  <si>
    <t>Ameren Missouri Community Savers Evaluation PY2017 Site Visit Thermostat SB Data</t>
  </si>
  <si>
    <t>ENERGY STAR Calculator - Ameren Missouri Community Savers Evaluation PY2017</t>
  </si>
  <si>
    <t>Ameren Missouri Community Savers Evaluation PY2017 Program Data</t>
  </si>
  <si>
    <t xml:space="preserve"> ENERGY STAR air-source heat pump calculator- Ameren Missouri Community Savers Evaluation PY2017</t>
  </si>
  <si>
    <t>IL-TRM (Based on minimum federal standards between 1992 and 2006) - Ameren Missouri Community Savers Evaluation PY2017</t>
  </si>
  <si>
    <t>Ameren Missouri Community Savers Evaluation PY2017 - Program Data</t>
  </si>
  <si>
    <t xml:space="preserve">Ameren Missouri Community Savers Evaluation PY16 Participant Survey </t>
  </si>
  <si>
    <r>
      <t>Determined through linerar interpolation, using MO TRM value for overall tune-up improvement (HSPF=6.9) and partial improvement values used for General, Refrigerant Charge, and Coil Clean improvements (SEER</t>
    </r>
    <r>
      <rPr>
        <vertAlign val="subscript"/>
        <sz val="11"/>
        <rFont val="Calibri"/>
        <family val="2"/>
        <scheme val="minor"/>
      </rPr>
      <t>test-out</t>
    </r>
    <r>
      <rPr>
        <sz val="11"/>
        <rFont val="Calibri"/>
        <family val="2"/>
        <scheme val="minor"/>
      </rPr>
      <t xml:space="preserve"> values above).  Using 6.9 for all Tune-Up measures would result in double counting of heating savings.  </t>
    </r>
  </si>
  <si>
    <t>Ameren Missouri Lighting Evaluation PY2017</t>
  </si>
  <si>
    <t>Ameren Missouri Community Savers Evaluation PY2017 workpapers</t>
  </si>
  <si>
    <t>Program Wattage - Ameren Missouri Community Savers Evaluation PY2017 workpapers</t>
  </si>
  <si>
    <t>Deemed Savings</t>
  </si>
  <si>
    <t xml:space="preserve">2018 MEMD Master Database, measure code N-RE-AP-010111-E-XX-XX-XX-XX-01.   http://www.michigan.gov/mpsc/0,4639,7-159-52495_55129---,00.html </t>
  </si>
  <si>
    <t>Efficient Products</t>
  </si>
  <si>
    <t>TOS/NC/DI - Home Office</t>
  </si>
  <si>
    <t>Kits - Home Office</t>
  </si>
  <si>
    <t>TOS/NC/DI - Home Entertainment</t>
  </si>
  <si>
    <t>Kits - Home Entertainment</t>
  </si>
  <si>
    <t>TOS/NC/DI - Unknown Location</t>
  </si>
  <si>
    <t>Kits - Unknown Location</t>
  </si>
  <si>
    <t>SFLI / MFLI</t>
  </si>
  <si>
    <t>Appliance Recycling</t>
  </si>
  <si>
    <t xml:space="preserve">Ameren Missouiri PY17 EE Kits Evaluation </t>
  </si>
  <si>
    <t>Ameren Missouiri PY17 EE Kits Evaluation  (depicted only the delta value .85)</t>
  </si>
  <si>
    <t>MatchesAmeren Missouri HVAC EM&amp;V PY2017</t>
  </si>
  <si>
    <t>MatchesAmeren Missouri HVAC EM&amp;V PY2018</t>
  </si>
  <si>
    <t>MatchesAmeren Missouri HVAC EM&amp;V PY2019</t>
  </si>
  <si>
    <t>MatchesAmeren Missouri HVAC EM&amp;V PY2020</t>
  </si>
  <si>
    <t>MatchesAmeren Missouri HVAC EM&amp;V PY2021</t>
  </si>
  <si>
    <t>MatchesAmeren Missouri HVAC EM&amp;V PY2022</t>
  </si>
  <si>
    <t>MatchesAmeren Missouri HVAC EM&amp;V PY2023</t>
  </si>
  <si>
    <t>MatchesAmeren Missouri HVAC EM&amp;V PY2024</t>
  </si>
  <si>
    <t>MatchesAmeren Missouri HVAC EM&amp;V PY2025</t>
  </si>
  <si>
    <t>MatchesAmeren Missouri HVAC EM&amp;V PY2026</t>
  </si>
  <si>
    <t>MatchesAmeren Missouri HVAC EM&amp;V PY2027</t>
  </si>
  <si>
    <t>MatchesAmeren Missouri HVAC EM&amp;V PY2028</t>
  </si>
  <si>
    <t xml:space="preserve">Rated flowrate </t>
  </si>
  <si>
    <t>Ameren Missouri Community Savers Evaluation PY2017 workpapers- Weighted Avg. HOU provided separately by ADM</t>
  </si>
  <si>
    <t>Added this line item - needs a separate base for ER1 vs ER2</t>
  </si>
  <si>
    <t>EERbase / exist</t>
  </si>
  <si>
    <t xml:space="preserve">Changed to EER rather than SEER in calc </t>
  </si>
  <si>
    <r>
      <rPr>
        <b/>
        <sz val="26"/>
        <rFont val="Calibri"/>
        <family val="2"/>
        <scheme val="minor"/>
      </rPr>
      <t xml:space="preserve">&lt;------ </t>
    </r>
    <r>
      <rPr>
        <b/>
        <sz val="16"/>
        <rFont val="Calibri"/>
        <family val="2"/>
        <scheme val="minor"/>
      </rPr>
      <t>Use the "Grouping" Features to expand or hide the formulas/input variables</t>
    </r>
  </si>
  <si>
    <r>
      <t xml:space="preserve">13 </t>
    </r>
    <r>
      <rPr>
        <sz val="11"/>
        <rFont val="Calibri"/>
        <family val="2"/>
      </rPr>
      <t>≤ V &lt;28</t>
    </r>
  </si>
  <si>
    <r>
      <rPr>
        <b/>
        <sz val="10"/>
        <rFont val="Calibri"/>
        <family val="2"/>
      </rPr>
      <t>≥</t>
    </r>
    <r>
      <rPr>
        <b/>
        <sz val="10"/>
        <rFont val="Calibri"/>
        <family val="2"/>
        <scheme val="minor"/>
      </rPr>
      <t>65 kBtu/hr</t>
    </r>
  </si>
  <si>
    <r>
      <t xml:space="preserve">VSD Air Compressor </t>
    </r>
    <r>
      <rPr>
        <sz val="11"/>
        <rFont val="Calibri"/>
        <family val="2"/>
      </rPr>
      <t>≤ 40 HP</t>
    </r>
  </si>
  <si>
    <r>
      <t xml:space="preserve">Combination Oven (Pan Capacity </t>
    </r>
    <r>
      <rPr>
        <sz val="11"/>
        <rFont val="Calibri"/>
        <family val="2"/>
      </rPr>
      <t>≥</t>
    </r>
    <r>
      <rPr>
        <sz val="9.9"/>
        <rFont val="Calibri"/>
        <family val="2"/>
      </rPr>
      <t xml:space="preserve"> 15</t>
    </r>
    <r>
      <rPr>
        <sz val="11"/>
        <rFont val="Calibri"/>
        <family val="2"/>
        <scheme val="minor"/>
      </rPr>
      <t>)</t>
    </r>
  </si>
  <si>
    <t xml:space="preserve">                                                                                                                                              </t>
  </si>
  <si>
    <r>
      <t>Days</t>
    </r>
    <r>
      <rPr>
        <vertAlign val="subscript"/>
        <sz val="11"/>
        <rFont val="Calibri"/>
        <family val="2"/>
        <scheme val="minor"/>
      </rPr>
      <t>oper</t>
    </r>
  </si>
  <si>
    <r>
      <t>RT</t>
    </r>
    <r>
      <rPr>
        <vertAlign val="subscript"/>
        <sz val="11"/>
        <rFont val="Calibri"/>
        <family val="2"/>
        <scheme val="minor"/>
      </rPr>
      <t>ss</t>
    </r>
  </si>
  <si>
    <r>
      <t>RT</t>
    </r>
    <r>
      <rPr>
        <vertAlign val="subscript"/>
        <sz val="11"/>
        <rFont val="Calibri"/>
        <family val="2"/>
        <scheme val="minor"/>
      </rPr>
      <t>ls</t>
    </r>
  </si>
  <si>
    <t>Runtime in hours/day in low speed (ls) using dual speed (ds) pump</t>
  </si>
  <si>
    <r>
      <t>RT</t>
    </r>
    <r>
      <rPr>
        <vertAlign val="subscript"/>
        <sz val="11"/>
        <rFont val="Calibri"/>
        <family val="2"/>
        <scheme val="minor"/>
      </rPr>
      <t>hs</t>
    </r>
  </si>
  <si>
    <t>Runtime in hours/day in high speed (hs) using dual speed (ds) pump</t>
  </si>
  <si>
    <r>
      <t>GPM</t>
    </r>
    <r>
      <rPr>
        <vertAlign val="subscript"/>
        <sz val="11"/>
        <rFont val="Calibri"/>
        <family val="2"/>
        <scheme val="minor"/>
      </rPr>
      <t>ss</t>
    </r>
  </si>
  <si>
    <r>
      <t>GPM</t>
    </r>
    <r>
      <rPr>
        <vertAlign val="subscript"/>
        <sz val="11"/>
        <rFont val="Calibri"/>
        <family val="2"/>
        <scheme val="minor"/>
      </rPr>
      <t>ls</t>
    </r>
  </si>
  <si>
    <r>
      <t>GPM</t>
    </r>
    <r>
      <rPr>
        <vertAlign val="subscript"/>
        <sz val="11"/>
        <rFont val="Calibri"/>
        <family val="2"/>
        <scheme val="minor"/>
      </rPr>
      <t>hs</t>
    </r>
  </si>
  <si>
    <t>Energy factor (gallons/watt-hr) in high speed (hs) using dual speed (ds) pump</t>
  </si>
  <si>
    <t>kWh Value</t>
  </si>
  <si>
    <r>
      <t>Watts</t>
    </r>
    <r>
      <rPr>
        <vertAlign val="subscript"/>
        <sz val="11"/>
        <rFont val="Calibri"/>
        <family val="2"/>
        <scheme val="minor"/>
      </rPr>
      <t>Base</t>
    </r>
  </si>
  <si>
    <r>
      <t>Watts</t>
    </r>
    <r>
      <rPr>
        <vertAlign val="subscript"/>
        <sz val="11"/>
        <rFont val="Calibri"/>
        <family val="2"/>
        <scheme val="minor"/>
      </rPr>
      <t>EE</t>
    </r>
  </si>
  <si>
    <r>
      <t>Hours</t>
    </r>
    <r>
      <rPr>
        <vertAlign val="subscript"/>
        <sz val="11"/>
        <rFont val="Calibri"/>
        <family val="2"/>
        <scheme val="minor"/>
      </rPr>
      <t>RES</t>
    </r>
  </si>
  <si>
    <r>
      <t>C</t>
    </r>
    <r>
      <rPr>
        <vertAlign val="subscript"/>
        <sz val="11"/>
        <rFont val="Calibri"/>
        <family val="2"/>
        <scheme val="minor"/>
      </rPr>
      <t>Base</t>
    </r>
  </si>
  <si>
    <r>
      <t>R</t>
    </r>
    <r>
      <rPr>
        <vertAlign val="subscript"/>
        <sz val="11"/>
        <rFont val="Calibri"/>
        <family val="2"/>
        <scheme val="minor"/>
      </rPr>
      <t>Base</t>
    </r>
  </si>
  <si>
    <r>
      <t>Thermal resistance coefficient (hr-°F-ft</t>
    </r>
    <r>
      <rPr>
        <vertAlign val="superscript"/>
        <sz val="11"/>
        <rFont val="Calibri"/>
        <family val="2"/>
        <scheme val="minor"/>
      </rPr>
      <t>2</t>
    </r>
    <r>
      <rPr>
        <sz val="11"/>
        <rFont val="Calibri"/>
        <family val="2"/>
        <scheme val="minor"/>
      </rPr>
      <t>)/Btu) of uninsulated pipe</t>
    </r>
  </si>
  <si>
    <r>
      <t>C</t>
    </r>
    <r>
      <rPr>
        <vertAlign val="subscript"/>
        <sz val="11"/>
        <rFont val="Calibri"/>
        <family val="2"/>
        <scheme val="minor"/>
      </rPr>
      <t>EE</t>
    </r>
  </si>
  <si>
    <r>
      <t>R</t>
    </r>
    <r>
      <rPr>
        <vertAlign val="subscript"/>
        <sz val="11"/>
        <rFont val="Calibri"/>
        <family val="2"/>
        <scheme val="minor"/>
      </rPr>
      <t>EE</t>
    </r>
  </si>
  <si>
    <r>
      <t>ȠDHW</t>
    </r>
    <r>
      <rPr>
        <vertAlign val="subscript"/>
        <sz val="11"/>
        <rFont val="Calibri"/>
        <family val="2"/>
        <scheme val="minor"/>
      </rPr>
      <t>Elec</t>
    </r>
  </si>
  <si>
    <t>Ductless Heat Pumps and A/C</t>
  </si>
  <si>
    <r>
      <t>Default</t>
    </r>
    <r>
      <rPr>
        <i/>
        <vertAlign val="subscript"/>
        <sz val="11"/>
        <rFont val="Calibri"/>
        <family val="2"/>
        <scheme val="minor"/>
      </rPr>
      <t>heat</t>
    </r>
  </si>
  <si>
    <r>
      <t>Default</t>
    </r>
    <r>
      <rPr>
        <i/>
        <vertAlign val="subscript"/>
        <sz val="11"/>
        <rFont val="Calibri"/>
        <family val="2"/>
        <scheme val="minor"/>
      </rPr>
      <t>cool</t>
    </r>
  </si>
  <si>
    <r>
      <t>R</t>
    </r>
    <r>
      <rPr>
        <i/>
        <vertAlign val="subscript"/>
        <sz val="11"/>
        <rFont val="Calibri"/>
        <family val="2"/>
        <scheme val="minor"/>
      </rPr>
      <t>old</t>
    </r>
  </si>
  <si>
    <r>
      <t>R</t>
    </r>
    <r>
      <rPr>
        <i/>
        <vertAlign val="subscript"/>
        <sz val="11"/>
        <rFont val="Calibri"/>
        <family val="2"/>
        <scheme val="minor"/>
      </rPr>
      <t>Attic</t>
    </r>
  </si>
  <si>
    <r>
      <t>A</t>
    </r>
    <r>
      <rPr>
        <i/>
        <vertAlign val="subscript"/>
        <sz val="11"/>
        <rFont val="Calibri"/>
        <family val="2"/>
        <scheme val="minor"/>
      </rPr>
      <t>Attic</t>
    </r>
  </si>
  <si>
    <r>
      <t>Framing Factor</t>
    </r>
    <r>
      <rPr>
        <i/>
        <vertAlign val="subscript"/>
        <sz val="11"/>
        <rFont val="Calibri"/>
        <family val="2"/>
        <scheme val="minor"/>
      </rPr>
      <t>Attic</t>
    </r>
  </si>
  <si>
    <r>
      <t>Adj</t>
    </r>
    <r>
      <rPr>
        <i/>
        <vertAlign val="subscript"/>
        <sz val="11"/>
        <rFont val="Calibri"/>
        <family val="2"/>
        <scheme val="minor"/>
      </rPr>
      <t>Attic</t>
    </r>
  </si>
  <si>
    <r>
      <t>R</t>
    </r>
    <r>
      <rPr>
        <i/>
        <vertAlign val="subscript"/>
        <sz val="11"/>
        <rFont val="Calibri"/>
        <family val="2"/>
        <scheme val="minor"/>
      </rPr>
      <t>added</t>
    </r>
  </si>
  <si>
    <r>
      <t>A</t>
    </r>
    <r>
      <rPr>
        <i/>
        <vertAlign val="subscript"/>
        <sz val="11"/>
        <rFont val="Calibri"/>
        <family val="2"/>
        <scheme val="minor"/>
      </rPr>
      <t>Floor</t>
    </r>
  </si>
  <si>
    <r>
      <t>Framing Factor</t>
    </r>
    <r>
      <rPr>
        <i/>
        <vertAlign val="subscript"/>
        <sz val="11"/>
        <rFont val="Calibri"/>
        <family val="2"/>
        <scheme val="minor"/>
      </rPr>
      <t>Floor</t>
    </r>
  </si>
  <si>
    <r>
      <t>Adj</t>
    </r>
    <r>
      <rPr>
        <i/>
        <vertAlign val="subscript"/>
        <sz val="11"/>
        <rFont val="Calibri"/>
        <family val="2"/>
        <scheme val="minor"/>
      </rPr>
      <t>Floor</t>
    </r>
  </si>
  <si>
    <r>
      <t>R</t>
    </r>
    <r>
      <rPr>
        <vertAlign val="subscript"/>
        <sz val="10"/>
        <rFont val="Calibri"/>
        <family val="2"/>
        <scheme val="minor"/>
      </rPr>
      <t>existing</t>
    </r>
  </si>
  <si>
    <r>
      <t>R</t>
    </r>
    <r>
      <rPr>
        <vertAlign val="subscript"/>
        <sz val="10"/>
        <rFont val="Calibri"/>
        <family val="2"/>
        <scheme val="minor"/>
      </rPr>
      <t>new</t>
    </r>
  </si>
  <si>
    <r>
      <t>ΔT</t>
    </r>
    <r>
      <rPr>
        <vertAlign val="subscript"/>
        <sz val="10"/>
        <rFont val="Calibri"/>
        <family val="2"/>
        <scheme val="minor"/>
      </rPr>
      <t>AVG, cooling</t>
    </r>
  </si>
  <si>
    <r>
      <t>ΔT</t>
    </r>
    <r>
      <rPr>
        <vertAlign val="subscript"/>
        <sz val="10"/>
        <rFont val="Calibri"/>
        <family val="2"/>
        <scheme val="minor"/>
      </rPr>
      <t>AVG, heating</t>
    </r>
  </si>
  <si>
    <r>
      <t>F</t>
    </r>
    <r>
      <rPr>
        <vertAlign val="subscript"/>
        <sz val="11"/>
        <rFont val="Calibri"/>
        <family val="2"/>
        <scheme val="minor"/>
      </rPr>
      <t>e</t>
    </r>
  </si>
  <si>
    <r>
      <t>Eff</t>
    </r>
    <r>
      <rPr>
        <vertAlign val="subscript"/>
        <sz val="11"/>
        <rFont val="Calibri"/>
        <family val="2"/>
        <scheme val="minor"/>
      </rPr>
      <t>heat</t>
    </r>
  </si>
  <si>
    <r>
      <t>Duct</t>
    </r>
    <r>
      <rPr>
        <vertAlign val="subscript"/>
        <sz val="11"/>
        <rFont val="Calibri"/>
        <family val="2"/>
        <scheme val="minor"/>
      </rPr>
      <t>Length</t>
    </r>
  </si>
  <si>
    <r>
      <t xml:space="preserve">Low Flow </t>
    </r>
    <r>
      <rPr>
        <strike/>
        <sz val="11"/>
        <rFont val="Calibri Light"/>
        <family val="2"/>
      </rPr>
      <t>Bathroom</t>
    </r>
    <r>
      <rPr>
        <sz val="11"/>
        <rFont val="Calibri Light"/>
        <family val="2"/>
      </rPr>
      <t xml:space="preserve"> Faucet Aerator MFLI</t>
    </r>
  </si>
  <si>
    <r>
      <t xml:space="preserve">Low Flow </t>
    </r>
    <r>
      <rPr>
        <strike/>
        <sz val="11"/>
        <rFont val="Calibri Light"/>
        <family val="2"/>
      </rPr>
      <t>Bathroom</t>
    </r>
    <r>
      <rPr>
        <sz val="11"/>
        <rFont val="Calibri Light"/>
        <family val="2"/>
      </rPr>
      <t xml:space="preserve"> Faucet Aerator MFLI DI</t>
    </r>
  </si>
  <si>
    <r>
      <t>Low Flow</t>
    </r>
    <r>
      <rPr>
        <strike/>
        <sz val="11"/>
        <rFont val="Calibri Light"/>
        <family val="2"/>
      </rPr>
      <t xml:space="preserve"> Bathroom</t>
    </r>
    <r>
      <rPr>
        <sz val="11"/>
        <rFont val="Calibri Light"/>
        <family val="2"/>
      </rPr>
      <t xml:space="preserve"> Faucet Aerator SFLI DI</t>
    </r>
  </si>
  <si>
    <r>
      <t>C</t>
    </r>
    <r>
      <rPr>
        <vertAlign val="subscript"/>
        <sz val="11"/>
        <rFont val="Calibri Light"/>
        <family val="2"/>
      </rPr>
      <t>Base</t>
    </r>
  </si>
  <si>
    <r>
      <t>R</t>
    </r>
    <r>
      <rPr>
        <vertAlign val="subscript"/>
        <sz val="11"/>
        <rFont val="Calibri Light"/>
        <family val="2"/>
      </rPr>
      <t>Base</t>
    </r>
  </si>
  <si>
    <r>
      <t>C</t>
    </r>
    <r>
      <rPr>
        <vertAlign val="subscript"/>
        <sz val="11"/>
        <rFont val="Calibri Light"/>
        <family val="2"/>
      </rPr>
      <t>EE</t>
    </r>
  </si>
  <si>
    <r>
      <t>R</t>
    </r>
    <r>
      <rPr>
        <vertAlign val="subscript"/>
        <sz val="11"/>
        <rFont val="Calibri Light"/>
        <family val="2"/>
      </rPr>
      <t>EE</t>
    </r>
  </si>
  <si>
    <r>
      <t>GPM</t>
    </r>
    <r>
      <rPr>
        <vertAlign val="subscript"/>
        <sz val="11"/>
        <rFont val="Calibri"/>
        <family val="2"/>
        <scheme val="minor"/>
      </rPr>
      <t>base</t>
    </r>
  </si>
  <si>
    <r>
      <t>L</t>
    </r>
    <r>
      <rPr>
        <vertAlign val="subscript"/>
        <sz val="11"/>
        <rFont val="Calibri"/>
        <family val="2"/>
        <scheme val="minor"/>
      </rPr>
      <t>base</t>
    </r>
  </si>
  <si>
    <r>
      <t>A</t>
    </r>
    <r>
      <rPr>
        <vertAlign val="subscript"/>
        <sz val="11"/>
        <rFont val="Calibri Light"/>
        <family val="2"/>
      </rPr>
      <t>Base</t>
    </r>
  </si>
  <si>
    <r>
      <t>A</t>
    </r>
    <r>
      <rPr>
        <vertAlign val="subscript"/>
        <sz val="11"/>
        <rFont val="Calibri Light"/>
        <family val="2"/>
      </rPr>
      <t>EE</t>
    </r>
  </si>
  <si>
    <r>
      <t>Average of surface area assumptions from the June 2016 Pennsylvania TRM, for 30, 40, 50, and 80 gallon tanks. A</t>
    </r>
    <r>
      <rPr>
        <vertAlign val="subscript"/>
        <sz val="11"/>
        <rFont val="Calibri"/>
        <family val="2"/>
        <scheme val="minor"/>
      </rPr>
      <t>EE</t>
    </r>
    <r>
      <rPr>
        <sz val="11"/>
        <rFont val="Calibri"/>
        <family val="2"/>
        <scheme val="minor"/>
      </rPr>
      <t xml:space="preserve"> was calculated by assuming that the water heater wrap is a 2” thick fiberglass material. </t>
    </r>
  </si>
  <si>
    <r>
      <t>GPM</t>
    </r>
    <r>
      <rPr>
        <vertAlign val="subscript"/>
        <sz val="11"/>
        <rFont val="Calibri"/>
        <family val="2"/>
        <scheme val="minor"/>
      </rPr>
      <t>low</t>
    </r>
  </si>
  <si>
    <r>
      <t>L</t>
    </r>
    <r>
      <rPr>
        <vertAlign val="subscript"/>
        <sz val="11"/>
        <rFont val="Calibri"/>
        <family val="2"/>
        <scheme val="minor"/>
      </rPr>
      <t>low</t>
    </r>
  </si>
  <si>
    <r>
      <t>kWh</t>
    </r>
    <r>
      <rPr>
        <vertAlign val="subscript"/>
        <sz val="11"/>
        <rFont val="Calibri"/>
        <family val="2"/>
        <scheme val="minor"/>
      </rPr>
      <t>Base</t>
    </r>
  </si>
  <si>
    <r>
      <t>kWh</t>
    </r>
    <r>
      <rPr>
        <vertAlign val="subscript"/>
        <sz val="11"/>
        <rFont val="Calibri"/>
        <family val="2"/>
        <scheme val="minor"/>
      </rPr>
      <t>new</t>
    </r>
  </si>
  <si>
    <r>
      <t>kWh</t>
    </r>
    <r>
      <rPr>
        <vertAlign val="subscript"/>
        <sz val="11"/>
        <rFont val="Calibri"/>
        <family val="2"/>
        <scheme val="minor"/>
      </rPr>
      <t>2011-2015</t>
    </r>
  </si>
  <si>
    <r>
      <t>kWh</t>
    </r>
    <r>
      <rPr>
        <vertAlign val="subscript"/>
        <sz val="11"/>
        <rFont val="Calibri"/>
        <family val="2"/>
        <scheme val="minor"/>
      </rPr>
      <t>2001(after July)-2010</t>
    </r>
  </si>
  <si>
    <r>
      <t>kWh</t>
    </r>
    <r>
      <rPr>
        <vertAlign val="subscript"/>
        <sz val="11"/>
        <rFont val="Calibri"/>
        <family val="2"/>
        <scheme val="minor"/>
      </rPr>
      <t>1993-2001(before June)</t>
    </r>
  </si>
  <si>
    <r>
      <t>kWh</t>
    </r>
    <r>
      <rPr>
        <vertAlign val="subscript"/>
        <sz val="11"/>
        <rFont val="Calibri"/>
        <family val="2"/>
        <scheme val="minor"/>
      </rPr>
      <t>1990-1992</t>
    </r>
  </si>
  <si>
    <r>
      <t>kWh</t>
    </r>
    <r>
      <rPr>
        <vertAlign val="subscript"/>
        <sz val="11"/>
        <rFont val="Calibri"/>
        <family val="2"/>
        <scheme val="minor"/>
      </rPr>
      <t>1980-1989</t>
    </r>
  </si>
  <si>
    <r>
      <t>kWh</t>
    </r>
    <r>
      <rPr>
        <vertAlign val="subscript"/>
        <sz val="11"/>
        <rFont val="Calibri"/>
        <family val="2"/>
        <scheme val="minor"/>
      </rPr>
      <t>before 1980</t>
    </r>
  </si>
  <si>
    <r>
      <t>Number of Units</t>
    </r>
    <r>
      <rPr>
        <vertAlign val="subscript"/>
        <sz val="11"/>
        <rFont val="Calibri"/>
        <family val="2"/>
        <scheme val="minor"/>
      </rPr>
      <t>2011-2015</t>
    </r>
  </si>
  <si>
    <r>
      <t>Number of Units</t>
    </r>
    <r>
      <rPr>
        <vertAlign val="subscript"/>
        <sz val="11"/>
        <rFont val="Calibri"/>
        <family val="2"/>
        <scheme val="minor"/>
      </rPr>
      <t>2001(after July)-2010</t>
    </r>
  </si>
  <si>
    <r>
      <t>Number of Units</t>
    </r>
    <r>
      <rPr>
        <vertAlign val="subscript"/>
        <sz val="11"/>
        <rFont val="Calibri"/>
        <family val="2"/>
        <scheme val="minor"/>
      </rPr>
      <t>1993-2001(before June)</t>
    </r>
  </si>
  <si>
    <r>
      <t>Number of Units</t>
    </r>
    <r>
      <rPr>
        <vertAlign val="subscript"/>
        <sz val="11"/>
        <rFont val="Calibri"/>
        <family val="2"/>
        <scheme val="minor"/>
      </rPr>
      <t>1990-1992</t>
    </r>
  </si>
  <si>
    <r>
      <t>Number of Units</t>
    </r>
    <r>
      <rPr>
        <vertAlign val="subscript"/>
        <sz val="11"/>
        <rFont val="Calibri"/>
        <family val="2"/>
        <scheme val="minor"/>
      </rPr>
      <t>1980-1989</t>
    </r>
  </si>
  <si>
    <r>
      <t>Number of Units</t>
    </r>
    <r>
      <rPr>
        <vertAlign val="subscript"/>
        <sz val="11"/>
        <rFont val="Calibri"/>
        <family val="2"/>
        <scheme val="minor"/>
      </rPr>
      <t>before 1980</t>
    </r>
  </si>
  <si>
    <r>
      <t>SEER</t>
    </r>
    <r>
      <rPr>
        <vertAlign val="subscript"/>
        <sz val="11"/>
        <rFont val="Calibri"/>
        <family val="2"/>
        <scheme val="minor"/>
      </rPr>
      <t>test-in</t>
    </r>
  </si>
  <si>
    <r>
      <t xml:space="preserve">EFLH </t>
    </r>
    <r>
      <rPr>
        <i/>
        <vertAlign val="subscript"/>
        <sz val="11"/>
        <rFont val="Calibri Light"/>
        <family val="2"/>
        <scheme val="major"/>
      </rPr>
      <t>heating</t>
    </r>
  </si>
  <si>
    <r>
      <t xml:space="preserve">WI_EFLH </t>
    </r>
    <r>
      <rPr>
        <i/>
        <vertAlign val="subscript"/>
        <sz val="11"/>
        <rFont val="Calibri Light"/>
        <family val="2"/>
        <scheme val="major"/>
      </rPr>
      <t>heating</t>
    </r>
  </si>
  <si>
    <r>
      <t xml:space="preserve">EFLH </t>
    </r>
    <r>
      <rPr>
        <i/>
        <vertAlign val="subscript"/>
        <sz val="11"/>
        <rFont val="Calibri Light"/>
        <family val="2"/>
        <scheme val="major"/>
      </rPr>
      <t>cooling</t>
    </r>
  </si>
  <si>
    <r>
      <t xml:space="preserve">WI_EFLH </t>
    </r>
    <r>
      <rPr>
        <i/>
        <vertAlign val="subscript"/>
        <sz val="11"/>
        <rFont val="Calibri Light"/>
        <family val="2"/>
        <scheme val="major"/>
      </rPr>
      <t>cooling</t>
    </r>
  </si>
  <si>
    <r>
      <t>EF</t>
    </r>
    <r>
      <rPr>
        <vertAlign val="subscript"/>
        <sz val="11"/>
        <rFont val="Calibri"/>
        <family val="2"/>
        <scheme val="minor"/>
      </rPr>
      <t>ss</t>
    </r>
  </si>
  <si>
    <r>
      <t>EF</t>
    </r>
    <r>
      <rPr>
        <vertAlign val="subscript"/>
        <sz val="11"/>
        <rFont val="Calibri"/>
        <family val="2"/>
        <scheme val="minor"/>
      </rPr>
      <t>hs</t>
    </r>
  </si>
  <si>
    <r>
      <t>EF</t>
    </r>
    <r>
      <rPr>
        <vertAlign val="subscript"/>
        <sz val="11"/>
        <rFont val="Calibri"/>
        <family val="2"/>
        <scheme val="minor"/>
      </rPr>
      <t>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</si>
</sst>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1">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409]mmmm\ d\,\ yyyy;@"/>
    <numFmt numFmtId="165" formatCode="0.0"/>
    <numFmt numFmtId="166" formatCode="0.0000000000"/>
    <numFmt numFmtId="167" formatCode="[$-409]mmmm\-yy;@"/>
    <numFmt numFmtId="168" formatCode="_(* #,##0_);_(* \(#,##0\);_(* &quot;-&quot;??_);_(@_)"/>
    <numFmt numFmtId="169" formatCode="#,##0.0_);\(#,##0.0\)"/>
    <numFmt numFmtId="170" formatCode="0.0000"/>
    <numFmt numFmtId="171" formatCode="&quot;$&quot;#,##0.00"/>
    <numFmt numFmtId="172" formatCode="0.000000"/>
    <numFmt numFmtId="173" formatCode="0.0%"/>
    <numFmt numFmtId="174" formatCode="_(&quot;$&quot;* #,##0_);_(&quot;$&quot;* \(#,##0\);_(&quot;$&quot;* &quot;-&quot;??_);_(@_)"/>
    <numFmt numFmtId="175" formatCode="0.00_);\(0.00\)"/>
    <numFmt numFmtId="176" formatCode="0_);\(0\)"/>
    <numFmt numFmtId="177" formatCode="0.0_);\(0.0\)"/>
    <numFmt numFmtId="178" formatCode="0.000_);\(0.000\)"/>
    <numFmt numFmtId="179" formatCode="#,##0.0"/>
    <numFmt numFmtId="180" formatCode="0.000"/>
    <numFmt numFmtId="181" formatCode="#,##0.000"/>
    <numFmt numFmtId="182" formatCode="#,##0.0000_);\(#,##0.0000\)"/>
    <numFmt numFmtId="183" formatCode="0.00000"/>
    <numFmt numFmtId="184" formatCode="#,##0.0000000000_);\(#,##0.0000000000\)"/>
    <numFmt numFmtId="185" formatCode="#,##0.0000000_);\(#,##0.0000000\)"/>
    <numFmt numFmtId="186" formatCode="_(&quot;$&quot;* #,##0.0000000_);_(&quot;$&quot;* \(#,##0.0000000\);_(&quot;$&quot;* &quot;-&quot;??_);_(@_)"/>
    <numFmt numFmtId="187" formatCode="#,##0.000_);\(#,##0.000\)"/>
    <numFmt numFmtId="188" formatCode="0.000%"/>
    <numFmt numFmtId="189" formatCode="_(* #,##0.000_);_(* \(#,##0.000\);_(* &quot;-&quot;??_);_(@_)"/>
    <numFmt numFmtId="190" formatCode="0.00000000"/>
    <numFmt numFmtId="191" formatCode="_(* #,##0.0000000_);_(* \(#,##0.0000000\);_(* &quot;-&quot;??_);_(@_)"/>
    <numFmt numFmtId="192" formatCode="_(* #,##0.0_);_(* \(#,##0.0\);_(* &quot;-&quot;??_);_(@_)"/>
    <numFmt numFmtId="193" formatCode="[$$-409]#,##0.00_);\([$$-409]#,##0.00\)"/>
    <numFmt numFmtId="194" formatCode="#,##0.00000000000_);\(#,##0.00000000000\)"/>
    <numFmt numFmtId="195" formatCode="#,##0.000000_);\(#,##0.000000\)"/>
    <numFmt numFmtId="196" formatCode="#,##0.000000000_);\(#,##0.000000000\)"/>
    <numFmt numFmtId="197" formatCode="_([$$-409]* #,##0.00_);_([$$-409]* \(#,##0.00\);_([$$-409]* &quot;-&quot;??_);_(@_)"/>
    <numFmt numFmtId="198" formatCode="0.000000000000"/>
  </numFmts>
  <fonts count="107" x14ac:knownFonts="1">
    <font>
      <sz val="11"/>
      <color theme="1"/>
      <name val="Calibri"/>
      <family val="2"/>
      <scheme val="minor"/>
    </font>
    <font>
      <sz val="11"/>
      <color theme="1"/>
      <name val="Calibri"/>
      <family val="2"/>
      <scheme val="minor"/>
    </font>
    <font>
      <sz val="11"/>
      <color rgb="FF9C0006"/>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36"/>
      <color theme="1"/>
      <name val="Calibri"/>
      <family val="2"/>
      <scheme val="minor"/>
    </font>
    <font>
      <sz val="28"/>
      <color theme="1"/>
      <name val="Calibri"/>
      <family val="2"/>
      <scheme val="minor"/>
    </font>
    <font>
      <b/>
      <sz val="14"/>
      <color theme="1"/>
      <name val="Times New Roman"/>
      <family val="1"/>
    </font>
    <font>
      <sz val="10"/>
      <color theme="1"/>
      <name val="Times New Roman"/>
      <family val="1"/>
    </font>
    <font>
      <sz val="10"/>
      <color theme="1"/>
      <name val="Calibri"/>
      <family val="2"/>
      <scheme val="minor"/>
    </font>
    <font>
      <b/>
      <sz val="10"/>
      <color theme="0"/>
      <name val="Calibri"/>
      <family val="2"/>
      <scheme val="minor"/>
    </font>
    <font>
      <b/>
      <sz val="16"/>
      <color theme="1"/>
      <name val="Calibri"/>
      <family val="2"/>
      <scheme val="minor"/>
    </font>
    <font>
      <b/>
      <sz val="14"/>
      <color theme="0"/>
      <name val="Calibri"/>
      <family val="2"/>
      <scheme val="minor"/>
    </font>
    <font>
      <sz val="10"/>
      <color theme="0"/>
      <name val="Calibri"/>
      <family val="2"/>
      <scheme val="minor"/>
    </font>
    <font>
      <b/>
      <sz val="12"/>
      <color theme="0" tint="-0.34998626667073579"/>
      <name val="Calibri"/>
      <family val="2"/>
      <scheme val="minor"/>
    </font>
    <font>
      <b/>
      <sz val="26"/>
      <color theme="0" tint="-0.34998626667073579"/>
      <name val="Calibri"/>
      <family val="2"/>
      <scheme val="minor"/>
    </font>
    <font>
      <b/>
      <sz val="16"/>
      <color theme="0" tint="-0.34998626667073579"/>
      <name val="Calibri"/>
      <family val="2"/>
      <scheme val="minor"/>
    </font>
    <font>
      <b/>
      <sz val="10"/>
      <color rgb="FF0070C0"/>
      <name val="Calibri"/>
      <family val="2"/>
      <scheme val="minor"/>
    </font>
    <font>
      <b/>
      <sz val="10"/>
      <color rgb="FF00B050"/>
      <name val="Calibri"/>
      <family val="2"/>
      <scheme val="minor"/>
    </font>
    <font>
      <b/>
      <sz val="10"/>
      <color rgb="FFFF0000"/>
      <name val="Calibri"/>
      <family val="2"/>
      <scheme val="minor"/>
    </font>
    <font>
      <b/>
      <sz val="10"/>
      <color theme="1"/>
      <name val="Calibri"/>
      <family val="2"/>
      <scheme val="minor"/>
    </font>
    <font>
      <sz val="11"/>
      <name val="Calibri"/>
      <family val="2"/>
      <scheme val="minor"/>
    </font>
    <font>
      <sz val="10"/>
      <color rgb="FFFF0000"/>
      <name val="Calibri"/>
      <family val="2"/>
      <scheme val="minor"/>
    </font>
    <font>
      <sz val="10"/>
      <color rgb="FF000000"/>
      <name val="Calibri"/>
      <family val="2"/>
    </font>
    <font>
      <sz val="11"/>
      <color rgb="FF000000"/>
      <name val="Calibri"/>
      <family val="2"/>
    </font>
    <font>
      <sz val="11"/>
      <color rgb="FFFF0000"/>
      <name val="Calibri Light"/>
      <family val="2"/>
    </font>
    <font>
      <sz val="11"/>
      <color rgb="FF00B050"/>
      <name val="Calibri"/>
      <family val="2"/>
      <scheme val="minor"/>
    </font>
    <font>
      <vertAlign val="superscript"/>
      <sz val="11"/>
      <name val="Calibri"/>
      <family val="2"/>
      <scheme val="minor"/>
    </font>
    <font>
      <sz val="11"/>
      <name val="Calibri"/>
      <family val="2"/>
    </font>
    <font>
      <sz val="9"/>
      <color indexed="81"/>
      <name val="Tahoma"/>
      <family val="2"/>
    </font>
    <font>
      <b/>
      <sz val="9"/>
      <color indexed="81"/>
      <name val="Tahoma"/>
      <family val="2"/>
    </font>
    <font>
      <b/>
      <sz val="12"/>
      <color theme="0"/>
      <name val="Calibri"/>
      <family val="2"/>
      <scheme val="minor"/>
    </font>
    <font>
      <sz val="12"/>
      <color theme="1"/>
      <name val="Calibri"/>
      <family val="2"/>
      <scheme val="minor"/>
    </font>
    <font>
      <sz val="12"/>
      <color theme="0" tint="-0.34998626667073579"/>
      <name val="Calibri"/>
      <family val="2"/>
      <scheme val="minor"/>
    </font>
    <font>
      <sz val="10"/>
      <name val="Arial"/>
      <family val="2"/>
    </font>
    <font>
      <sz val="11"/>
      <name val="Arial"/>
      <family val="2"/>
    </font>
    <font>
      <sz val="11"/>
      <color theme="1"/>
      <name val="Calibri Light"/>
      <family val="2"/>
    </font>
    <font>
      <sz val="10"/>
      <name val="Calibri"/>
      <family val="2"/>
      <scheme val="minor"/>
    </font>
    <font>
      <sz val="11"/>
      <color rgb="FF9C5700"/>
      <name val="Calibri"/>
      <family val="2"/>
      <scheme val="minor"/>
    </font>
    <font>
      <sz val="11"/>
      <color rgb="FFFF0000"/>
      <name val="Calibri"/>
      <family val="2"/>
    </font>
    <font>
      <sz val="11"/>
      <name val="Calibri Light"/>
      <family val="2"/>
    </font>
    <font>
      <i/>
      <sz val="11"/>
      <name val="Calibri Light"/>
      <family val="2"/>
      <scheme val="major"/>
    </font>
    <font>
      <vertAlign val="subscript"/>
      <sz val="11"/>
      <name val="Calibri"/>
      <family val="2"/>
      <scheme val="minor"/>
    </font>
    <font>
      <b/>
      <sz val="11"/>
      <color rgb="FFFF0000"/>
      <name val="Calibri"/>
      <family val="2"/>
      <scheme val="minor"/>
    </font>
    <font>
      <strike/>
      <sz val="11"/>
      <name val="Calibri"/>
      <family val="2"/>
      <scheme val="minor"/>
    </font>
    <font>
      <strike/>
      <sz val="11"/>
      <color rgb="FFFF0000"/>
      <name val="Calibri"/>
      <family val="2"/>
      <scheme val="minor"/>
    </font>
    <font>
      <strike/>
      <sz val="11"/>
      <color theme="1"/>
      <name val="Calibri"/>
      <family val="2"/>
      <scheme val="minor"/>
    </font>
    <font>
      <b/>
      <sz val="10"/>
      <name val="Calibri"/>
      <family val="2"/>
      <scheme val="minor"/>
    </font>
    <font>
      <i/>
      <sz val="11"/>
      <color theme="1"/>
      <name val="Calibri Light"/>
      <family val="2"/>
      <scheme val="major"/>
    </font>
    <font>
      <i/>
      <vertAlign val="subscript"/>
      <sz val="11"/>
      <name val="Calibri Light"/>
      <family val="2"/>
      <scheme val="major"/>
    </font>
    <font>
      <vertAlign val="subscript"/>
      <sz val="11"/>
      <color theme="1"/>
      <name val="Calibri"/>
      <family val="2"/>
      <scheme val="minor"/>
    </font>
    <font>
      <sz val="11"/>
      <color theme="1"/>
      <name val="Calibri Light"/>
      <family val="2"/>
      <scheme val="major"/>
    </font>
    <font>
      <sz val="11"/>
      <color theme="1"/>
      <name val="Times New Roman"/>
      <family val="1"/>
    </font>
    <font>
      <sz val="11"/>
      <color rgb="FF000000"/>
      <name val="Times New Roman"/>
      <family val="1"/>
    </font>
    <font>
      <sz val="11"/>
      <name val="Times New Roman"/>
      <family val="1"/>
    </font>
    <font>
      <i/>
      <sz val="11"/>
      <color theme="1"/>
      <name val="Calibri"/>
      <family val="2"/>
      <scheme val="minor"/>
    </font>
    <font>
      <b/>
      <sz val="11"/>
      <name val="Calibri"/>
      <family val="2"/>
      <scheme val="minor"/>
    </font>
    <font>
      <b/>
      <sz val="20"/>
      <name val="Calibri"/>
      <family val="2"/>
      <scheme val="minor"/>
    </font>
    <font>
      <b/>
      <sz val="18"/>
      <name val="Calibri"/>
      <family val="2"/>
      <scheme val="minor"/>
    </font>
    <font>
      <sz val="20"/>
      <color rgb="FFFF0000"/>
      <name val="Calibri"/>
      <family val="2"/>
      <scheme val="minor"/>
    </font>
    <font>
      <sz val="20"/>
      <color theme="1"/>
      <name val="Calibri"/>
      <family val="2"/>
      <scheme val="minor"/>
    </font>
    <font>
      <sz val="22"/>
      <color rgb="FFFF0000"/>
      <name val="Calibri"/>
      <family val="2"/>
      <scheme val="minor"/>
    </font>
    <font>
      <i/>
      <sz val="11"/>
      <name val="Calibri"/>
      <family val="2"/>
      <scheme val="minor"/>
    </font>
    <font>
      <i/>
      <vertAlign val="subscript"/>
      <sz val="11"/>
      <name val="Calibri"/>
      <family val="2"/>
      <scheme val="minor"/>
    </font>
    <font>
      <u/>
      <sz val="11"/>
      <color theme="10"/>
      <name val="Calibri"/>
      <family val="2"/>
      <scheme val="minor"/>
    </font>
    <font>
      <sz val="11"/>
      <color indexed="8"/>
      <name val="Calibri"/>
      <family val="2"/>
      <scheme val="minor"/>
    </font>
    <font>
      <sz val="11"/>
      <color rgb="FF000000"/>
      <name val="Calibri"/>
      <family val="2"/>
      <scheme val="minor"/>
    </font>
    <font>
      <b/>
      <sz val="12"/>
      <color indexed="81"/>
      <name val="Tahoma"/>
      <family val="2"/>
    </font>
    <font>
      <sz val="12"/>
      <color indexed="81"/>
      <name val="Tahoma"/>
      <family val="2"/>
    </font>
    <font>
      <sz val="11"/>
      <color indexed="81"/>
      <name val="Tahoma"/>
      <family val="2"/>
    </font>
    <font>
      <b/>
      <sz val="14"/>
      <color indexed="81"/>
      <name val="Tahoma"/>
      <family val="2"/>
    </font>
    <font>
      <sz val="14"/>
      <color indexed="81"/>
      <name val="Tahoma"/>
      <family val="2"/>
    </font>
    <font>
      <b/>
      <sz val="16"/>
      <color indexed="81"/>
      <name val="Tahoma"/>
      <family val="2"/>
    </font>
    <font>
      <sz val="20"/>
      <color indexed="81"/>
      <name val="Tahoma"/>
      <family val="2"/>
    </font>
    <font>
      <i/>
      <vertAlign val="subscript"/>
      <sz val="11"/>
      <color theme="1"/>
      <name val="Calibri"/>
      <family val="2"/>
      <scheme val="minor"/>
    </font>
    <font>
      <i/>
      <sz val="11"/>
      <color rgb="FFFF0000"/>
      <name val="Calibri"/>
      <family val="2"/>
      <scheme val="minor"/>
    </font>
    <font>
      <sz val="11"/>
      <color rgb="FF00B050"/>
      <name val="Calibri Light"/>
      <family val="2"/>
    </font>
    <font>
      <sz val="11"/>
      <color rgb="FF000000"/>
      <name val="Calibri Light"/>
      <family val="2"/>
    </font>
    <font>
      <vertAlign val="subscript"/>
      <sz val="11"/>
      <name val="Calibri Light"/>
      <family val="2"/>
    </font>
    <font>
      <sz val="11"/>
      <color rgb="FF0070C0"/>
      <name val="Calibri"/>
      <family val="2"/>
      <scheme val="minor"/>
    </font>
    <font>
      <sz val="10"/>
      <color indexed="81"/>
      <name val="Tahoma"/>
      <family val="2"/>
    </font>
    <font>
      <sz val="9"/>
      <color theme="1"/>
      <name val="Times New Roman"/>
      <family val="1"/>
    </font>
    <font>
      <sz val="10"/>
      <name val="Times New Roman"/>
      <family val="1"/>
    </font>
    <font>
      <b/>
      <sz val="16"/>
      <name val="Calibri"/>
      <family val="2"/>
      <scheme val="minor"/>
    </font>
    <font>
      <sz val="16"/>
      <name val="Calibri"/>
      <family val="2"/>
      <scheme val="minor"/>
    </font>
    <font>
      <b/>
      <sz val="12"/>
      <name val="Calibri"/>
      <family val="2"/>
      <scheme val="minor"/>
    </font>
    <font>
      <b/>
      <sz val="26"/>
      <name val="Calibri"/>
      <family val="2"/>
      <scheme val="minor"/>
    </font>
    <font>
      <b/>
      <u/>
      <sz val="11"/>
      <name val="Calibri"/>
      <family val="2"/>
      <scheme val="minor"/>
    </font>
    <font>
      <b/>
      <sz val="10"/>
      <name val="Calibri"/>
      <family val="2"/>
    </font>
    <font>
      <sz val="9.9"/>
      <name val="Calibri"/>
      <family val="2"/>
    </font>
    <font>
      <sz val="12"/>
      <name val="Calibri"/>
      <family val="2"/>
      <scheme val="minor"/>
    </font>
    <font>
      <u/>
      <sz val="11"/>
      <name val="Calibri"/>
      <family val="2"/>
      <scheme val="minor"/>
    </font>
    <font>
      <sz val="9"/>
      <name val="Calibri"/>
      <family val="2"/>
      <scheme val="minor"/>
    </font>
    <font>
      <sz val="18"/>
      <name val="Calibri"/>
      <family val="2"/>
      <scheme val="minor"/>
    </font>
    <font>
      <sz val="20"/>
      <name val="Calibri"/>
      <family val="2"/>
      <scheme val="minor"/>
    </font>
    <font>
      <sz val="22"/>
      <name val="Calibri"/>
      <family val="2"/>
      <scheme val="minor"/>
    </font>
    <font>
      <b/>
      <sz val="11"/>
      <name val="Calibri Light"/>
      <family val="2"/>
    </font>
    <font>
      <strike/>
      <sz val="10"/>
      <name val="Calibri"/>
      <family val="2"/>
      <scheme val="minor"/>
    </font>
    <font>
      <vertAlign val="subscript"/>
      <sz val="10"/>
      <name val="Calibri"/>
      <family val="2"/>
      <scheme val="minor"/>
    </font>
    <font>
      <strike/>
      <sz val="11"/>
      <name val="Calibri Light"/>
      <family val="2"/>
    </font>
    <font>
      <b/>
      <u/>
      <sz val="11"/>
      <name val="Calibri Light"/>
      <family val="2"/>
    </font>
    <font>
      <i/>
      <strike/>
      <sz val="11"/>
      <name val="Calibri"/>
      <family val="2"/>
      <scheme val="minor"/>
    </font>
    <font>
      <b/>
      <sz val="14"/>
      <name val="Calibri"/>
      <family val="2"/>
      <scheme val="minor"/>
    </font>
    <font>
      <sz val="11"/>
      <name val="Calibri Light"/>
      <family val="2"/>
      <scheme val="major"/>
    </font>
  </fonts>
  <fills count="21">
    <fill>
      <patternFill patternType="none"/>
    </fill>
    <fill>
      <patternFill patternType="gray125"/>
    </fill>
    <fill>
      <patternFill patternType="solid">
        <fgColor rgb="FFFFC7CE"/>
      </patternFill>
    </fill>
    <fill>
      <patternFill patternType="solid">
        <fgColor rgb="FFFFEB9C"/>
      </patternFill>
    </fill>
    <fill>
      <patternFill patternType="solid">
        <fgColor rgb="FFFFCC99"/>
      </patternFill>
    </fill>
    <fill>
      <patternFill patternType="solid">
        <fgColor theme="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A9D08E"/>
        <bgColor indexed="64"/>
      </patternFill>
    </fill>
    <fill>
      <patternFill patternType="solid">
        <fgColor rgb="FF9BC2E6"/>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FFFFFF"/>
        <bgColor indexed="64"/>
      </patternFill>
    </fill>
    <fill>
      <patternFill patternType="solid">
        <fgColor theme="9" tint="0.39997558519241921"/>
        <bgColor indexed="64"/>
      </patternFill>
    </fill>
    <fill>
      <patternFill patternType="solid">
        <fgColor rgb="FF00FF00"/>
        <bgColor indexed="64"/>
      </patternFill>
    </fill>
    <fill>
      <patternFill patternType="solid">
        <fgColor theme="5" tint="0.59999389629810485"/>
        <bgColor indexed="64"/>
      </patternFill>
    </fill>
    <fill>
      <patternFill patternType="solid">
        <fgColor rgb="FFFFFF00"/>
        <bgColor indexed="64"/>
      </patternFill>
    </fill>
  </fills>
  <borders count="69">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auto="1"/>
      </left>
      <right style="thin">
        <color auto="1"/>
      </right>
      <top/>
      <bottom style="medium">
        <color indexed="64"/>
      </bottom>
      <diagonal/>
    </border>
    <border>
      <left/>
      <right/>
      <top style="thin">
        <color theme="0"/>
      </top>
      <bottom style="thin">
        <color theme="0"/>
      </bottom>
      <diagonal/>
    </border>
    <border>
      <left style="thin">
        <color theme="0"/>
      </left>
      <right style="thin">
        <color theme="0"/>
      </right>
      <top/>
      <bottom/>
      <diagonal/>
    </border>
    <border>
      <left/>
      <right/>
      <top/>
      <bottom style="thin">
        <color theme="0"/>
      </bottom>
      <diagonal/>
    </border>
    <border>
      <left/>
      <right/>
      <top style="thin">
        <color theme="0"/>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rgb="FFBFBFBF"/>
      </left>
      <right style="medium">
        <color rgb="FFBFBFBF"/>
      </right>
      <top/>
      <bottom style="medium">
        <color rgb="FFBFBFBF"/>
      </bottom>
      <diagonal/>
    </border>
    <border>
      <left style="medium">
        <color rgb="FFBFBFBF"/>
      </left>
      <right style="medium">
        <color rgb="FFBFBFBF"/>
      </right>
      <top style="medium">
        <color rgb="FFBFBFBF"/>
      </top>
      <bottom style="medium">
        <color rgb="FFBFBFBF"/>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medium">
        <color auto="1"/>
      </right>
      <top/>
      <bottom style="thin">
        <color indexed="64"/>
      </bottom>
      <diagonal/>
    </border>
    <border>
      <left/>
      <right style="medium">
        <color auto="1"/>
      </right>
      <top style="thin">
        <color auto="1"/>
      </top>
      <bottom style="thin">
        <color auto="1"/>
      </bottom>
      <diagonal/>
    </border>
    <border>
      <left style="thin">
        <color indexed="64"/>
      </left>
      <right style="thin">
        <color indexed="64"/>
      </right>
      <top style="medium">
        <color indexed="64"/>
      </top>
      <bottom/>
      <diagonal/>
    </border>
    <border>
      <left/>
      <right style="medium">
        <color auto="1"/>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diagonal/>
    </border>
    <border>
      <left/>
      <right style="thin">
        <color theme="0"/>
      </right>
      <top/>
      <bottom/>
      <diagonal/>
    </border>
  </borders>
  <cellStyleXfs count="1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4" borderId="1" applyNumberFormat="0" applyAlignment="0" applyProtection="0"/>
    <xf numFmtId="0" fontId="12" fillId="0" borderId="0"/>
    <xf numFmtId="0" fontId="1" fillId="0" borderId="0"/>
    <xf numFmtId="9" fontId="26" fillId="0" borderId="0">
      <alignment horizontal="right" vertical="center" wrapText="1" readingOrder="1"/>
    </xf>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7" fillId="0" borderId="0"/>
    <xf numFmtId="0" fontId="1" fillId="0" borderId="0"/>
    <xf numFmtId="0" fontId="41" fillId="3" borderId="0" applyNumberFormat="0" applyBorder="0" applyAlignment="0" applyProtection="0"/>
    <xf numFmtId="0" fontId="39" fillId="0" borderId="0"/>
    <xf numFmtId="0" fontId="67" fillId="0" borderId="0" applyNumberFormat="0" applyFill="0" applyBorder="0" applyAlignment="0" applyProtection="0"/>
  </cellStyleXfs>
  <cellXfs count="2424">
    <xf numFmtId="0" fontId="0" fillId="0" borderId="0" xfId="0"/>
    <xf numFmtId="0" fontId="0" fillId="0" borderId="0" xfId="0" applyAlignment="1">
      <alignment horizontal="center" wrapText="1"/>
    </xf>
    <xf numFmtId="0" fontId="10" fillId="6" borderId="8"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15" xfId="0" applyFont="1" applyFill="1" applyBorder="1" applyAlignment="1">
      <alignment horizontal="center" vertical="center" wrapText="1"/>
    </xf>
    <xf numFmtId="165" fontId="11" fillId="0" borderId="3" xfId="0" applyNumberFormat="1" applyFont="1" applyBorder="1" applyAlignment="1">
      <alignment horizontal="center" vertical="center" wrapText="1"/>
    </xf>
    <xf numFmtId="14" fontId="11" fillId="0" borderId="4" xfId="0" applyNumberFormat="1" applyFont="1" applyBorder="1" applyAlignment="1">
      <alignment horizontal="center" vertical="center" wrapText="1"/>
    </xf>
    <xf numFmtId="165" fontId="11" fillId="0" borderId="4" xfId="0" applyNumberFormat="1" applyFont="1" applyBorder="1" applyAlignment="1">
      <alignment horizontal="center" vertical="center" wrapText="1"/>
    </xf>
    <xf numFmtId="0" fontId="11" fillId="0" borderId="5" xfId="0" applyFont="1" applyBorder="1" applyAlignment="1">
      <alignment horizontal="left" vertical="center" wrapText="1"/>
    </xf>
    <xf numFmtId="165" fontId="11" fillId="0" borderId="8" xfId="0" applyNumberFormat="1" applyFont="1" applyBorder="1" applyAlignment="1">
      <alignment horizontal="center" vertical="center" wrapText="1"/>
    </xf>
    <xf numFmtId="14" fontId="11" fillId="0" borderId="9" xfId="0" applyNumberFormat="1" applyFont="1" applyBorder="1" applyAlignment="1">
      <alignment horizontal="justify" vertical="center" wrapText="1"/>
    </xf>
    <xf numFmtId="165" fontId="11" fillId="0" borderId="9" xfId="0" applyNumberFormat="1" applyFont="1" applyBorder="1" applyAlignment="1">
      <alignment horizontal="center" vertical="center" wrapText="1"/>
    </xf>
    <xf numFmtId="0" fontId="11" fillId="0" borderId="10" xfId="0" applyFont="1" applyBorder="1" applyAlignment="1">
      <alignment horizontal="left" vertical="center" wrapText="1"/>
    </xf>
    <xf numFmtId="165" fontId="11" fillId="0" borderId="13" xfId="0" applyNumberFormat="1" applyFont="1" applyBorder="1" applyAlignment="1">
      <alignment horizontal="center" vertical="center" wrapText="1"/>
    </xf>
    <xf numFmtId="14" fontId="11" fillId="0" borderId="14" xfId="0" applyNumberFormat="1" applyFont="1" applyBorder="1" applyAlignment="1">
      <alignment horizontal="justify" vertical="center" wrapText="1"/>
    </xf>
    <xf numFmtId="165" fontId="11" fillId="0" borderId="14" xfId="0" applyNumberFormat="1" applyFont="1" applyBorder="1" applyAlignment="1">
      <alignment horizontal="center" vertical="center" wrapText="1"/>
    </xf>
    <xf numFmtId="0" fontId="11" fillId="0" borderId="15" xfId="0" applyFont="1" applyBorder="1" applyAlignment="1">
      <alignment horizontal="left" vertical="center" wrapText="1"/>
    </xf>
    <xf numFmtId="0" fontId="13" fillId="7" borderId="0" xfId="6" applyFont="1" applyFill="1"/>
    <xf numFmtId="0" fontId="12" fillId="0" borderId="0" xfId="6"/>
    <xf numFmtId="0" fontId="13" fillId="0" borderId="0" xfId="6" applyFont="1" applyFill="1"/>
    <xf numFmtId="0" fontId="12" fillId="0" borderId="0" xfId="6" applyFill="1"/>
    <xf numFmtId="0" fontId="14" fillId="0" borderId="0" xfId="6" applyFont="1"/>
    <xf numFmtId="0" fontId="6" fillId="0" borderId="0" xfId="6" applyFont="1" applyFill="1" applyBorder="1" applyAlignment="1">
      <alignment horizontal="center" vertical="center" wrapText="1"/>
    </xf>
    <xf numFmtId="0" fontId="15" fillId="10" borderId="0" xfId="6" applyFont="1" applyFill="1"/>
    <xf numFmtId="0" fontId="16" fillId="10" borderId="0" xfId="6" applyFont="1" applyFill="1"/>
    <xf numFmtId="0" fontId="12" fillId="10" borderId="0" xfId="6" applyFill="1"/>
    <xf numFmtId="0" fontId="14" fillId="0" borderId="0" xfId="6" applyFont="1" applyAlignment="1">
      <alignment horizontal="center"/>
    </xf>
    <xf numFmtId="0" fontId="20" fillId="5" borderId="9" xfId="6" applyFont="1" applyFill="1" applyBorder="1" applyAlignment="1">
      <alignment wrapText="1"/>
    </xf>
    <xf numFmtId="0" fontId="21" fillId="5" borderId="9" xfId="6" applyFont="1" applyFill="1" applyBorder="1" applyAlignment="1">
      <alignment wrapText="1"/>
    </xf>
    <xf numFmtId="0" fontId="22" fillId="5" borderId="9" xfId="6" applyFont="1" applyFill="1" applyBorder="1" applyAlignment="1">
      <alignment wrapText="1"/>
    </xf>
    <xf numFmtId="0" fontId="23" fillId="5" borderId="9" xfId="6" applyFont="1" applyFill="1" applyBorder="1" applyAlignment="1">
      <alignment wrapText="1"/>
    </xf>
    <xf numFmtId="0" fontId="1" fillId="5" borderId="0" xfId="7" applyFont="1" applyFill="1"/>
    <xf numFmtId="0" fontId="1" fillId="5" borderId="0" xfId="7" applyFill="1"/>
    <xf numFmtId="0" fontId="1" fillId="0" borderId="0" xfId="7"/>
    <xf numFmtId="0" fontId="1" fillId="0" borderId="0" xfId="7" applyFont="1"/>
    <xf numFmtId="0" fontId="24" fillId="0" borderId="0" xfId="6" applyFont="1" applyFill="1" applyBorder="1"/>
    <xf numFmtId="0" fontId="24" fillId="11" borderId="16" xfId="0" applyFont="1" applyFill="1" applyBorder="1" applyAlignment="1">
      <alignment horizontal="left"/>
    </xf>
    <xf numFmtId="0" fontId="24" fillId="11" borderId="17" xfId="0" applyFont="1" applyFill="1" applyBorder="1" applyAlignment="1">
      <alignment horizontal="left"/>
    </xf>
    <xf numFmtId="0" fontId="24" fillId="11" borderId="18" xfId="0" applyFont="1" applyFill="1" applyBorder="1" applyAlignment="1">
      <alignment horizontal="left"/>
    </xf>
    <xf numFmtId="0" fontId="12" fillId="0" borderId="0" xfId="7" applyFont="1" applyFill="1" applyBorder="1"/>
    <xf numFmtId="0" fontId="24" fillId="12" borderId="9" xfId="7" applyFont="1" applyFill="1" applyBorder="1" applyAlignment="1">
      <alignment horizontal="center" vertical="center" wrapText="1"/>
    </xf>
    <xf numFmtId="0" fontId="24" fillId="12" borderId="9" xfId="6" applyFont="1" applyFill="1" applyBorder="1" applyAlignment="1">
      <alignment horizontal="center" vertical="center" wrapText="1"/>
    </xf>
    <xf numFmtId="166" fontId="24" fillId="12" borderId="9" xfId="6" applyNumberFormat="1" applyFont="1" applyFill="1" applyBorder="1" applyAlignment="1">
      <alignment horizontal="center" vertical="center" wrapText="1"/>
    </xf>
    <xf numFmtId="0" fontId="24" fillId="12" borderId="19" xfId="7" applyFont="1" applyFill="1" applyBorder="1" applyAlignment="1">
      <alignment horizontal="center" vertical="center" wrapText="1"/>
    </xf>
    <xf numFmtId="0" fontId="6" fillId="13" borderId="0" xfId="0" applyFont="1" applyFill="1"/>
    <xf numFmtId="167" fontId="6" fillId="13" borderId="0" xfId="0" applyNumberFormat="1" applyFont="1" applyFill="1"/>
    <xf numFmtId="169" fontId="1" fillId="0" borderId="9" xfId="6" applyNumberFormat="1" applyFont="1" applyFill="1" applyBorder="1" applyAlignment="1">
      <alignment horizontal="center"/>
    </xf>
    <xf numFmtId="169" fontId="24" fillId="14" borderId="9" xfId="6" applyNumberFormat="1" applyFont="1" applyFill="1" applyBorder="1" applyAlignment="1">
      <alignment horizontal="center"/>
    </xf>
    <xf numFmtId="0" fontId="24" fillId="5" borderId="9" xfId="0" applyFont="1" applyFill="1" applyBorder="1" applyAlignment="1">
      <alignment horizontal="center" vertical="center" wrapText="1"/>
    </xf>
    <xf numFmtId="2" fontId="0" fillId="0" borderId="9" xfId="0" applyNumberFormat="1" applyFont="1" applyBorder="1"/>
    <xf numFmtId="2" fontId="5" fillId="0" borderId="9" xfId="0" applyNumberFormat="1" applyFont="1" applyBorder="1"/>
    <xf numFmtId="0" fontId="0" fillId="0" borderId="9" xfId="0" applyFont="1" applyBorder="1"/>
    <xf numFmtId="0" fontId="0" fillId="0" borderId="0" xfId="0" applyFont="1"/>
    <xf numFmtId="169" fontId="24" fillId="5" borderId="9" xfId="6" applyNumberFormat="1" applyFont="1" applyFill="1" applyBorder="1" applyAlignment="1">
      <alignment horizontal="center"/>
    </xf>
    <xf numFmtId="171" fontId="1" fillId="5" borderId="9" xfId="6" applyNumberFormat="1" applyFont="1" applyFill="1" applyBorder="1" applyAlignment="1">
      <alignment horizontal="center" vertical="center" wrapText="1"/>
    </xf>
    <xf numFmtId="2" fontId="24" fillId="0" borderId="9" xfId="0" applyNumberFormat="1" applyFont="1" applyBorder="1"/>
    <xf numFmtId="0" fontId="12" fillId="5" borderId="0" xfId="6" applyFill="1"/>
    <xf numFmtId="0" fontId="12" fillId="0" borderId="0" xfId="7" applyFont="1"/>
    <xf numFmtId="0" fontId="0" fillId="13" borderId="0" xfId="0" applyFill="1"/>
    <xf numFmtId="0" fontId="24" fillId="13" borderId="9" xfId="0" applyFont="1" applyFill="1" applyBorder="1" applyAlignment="1">
      <alignment horizontal="center" vertical="center" wrapText="1"/>
    </xf>
    <xf numFmtId="166" fontId="24" fillId="13" borderId="9" xfId="0" applyNumberFormat="1" applyFont="1" applyFill="1" applyBorder="1" applyAlignment="1">
      <alignment horizontal="center" vertical="center" wrapText="1"/>
    </xf>
    <xf numFmtId="168" fontId="24" fillId="5" borderId="9" xfId="0" applyNumberFormat="1" applyFont="1" applyFill="1" applyBorder="1" applyAlignment="1">
      <alignment horizontal="center" vertical="center" wrapText="1"/>
    </xf>
    <xf numFmtId="2" fontId="0" fillId="0" borderId="9" xfId="0" applyNumberFormat="1" applyFont="1" applyBorder="1" applyAlignment="1">
      <alignment horizontal="center"/>
    </xf>
    <xf numFmtId="2" fontId="5" fillId="0" borderId="9" xfId="0" applyNumberFormat="1" applyFont="1" applyBorder="1" applyAlignment="1">
      <alignment horizontal="center"/>
    </xf>
    <xf numFmtId="0" fontId="0" fillId="0" borderId="9" xfId="0" applyFont="1" applyBorder="1" applyAlignment="1">
      <alignment horizontal="center"/>
    </xf>
    <xf numFmtId="0" fontId="12" fillId="0" borderId="0" xfId="7" applyFont="1" applyAlignment="1">
      <alignment horizontal="center"/>
    </xf>
    <xf numFmtId="37" fontId="0" fillId="0" borderId="9" xfId="1" applyNumberFormat="1" applyFont="1" applyBorder="1" applyAlignment="1">
      <alignment horizontal="center"/>
    </xf>
    <xf numFmtId="37" fontId="5" fillId="0" borderId="9" xfId="1" applyNumberFormat="1" applyFont="1" applyBorder="1" applyAlignment="1">
      <alignment horizontal="center"/>
    </xf>
    <xf numFmtId="169" fontId="24" fillId="0" borderId="9" xfId="6" applyNumberFormat="1" applyFont="1" applyFill="1" applyBorder="1" applyAlignment="1">
      <alignment horizontal="center"/>
    </xf>
    <xf numFmtId="165" fontId="5" fillId="0" borderId="9" xfId="0" applyNumberFormat="1" applyFont="1" applyBorder="1" applyAlignment="1">
      <alignment horizontal="center"/>
    </xf>
    <xf numFmtId="2" fontId="24" fillId="8" borderId="9" xfId="0" applyNumberFormat="1" applyFont="1" applyFill="1" applyBorder="1" applyAlignment="1">
      <alignment horizontal="center"/>
    </xf>
    <xf numFmtId="37" fontId="24" fillId="8" borderId="9" xfId="1" applyNumberFormat="1" applyFont="1" applyFill="1" applyBorder="1" applyAlignment="1">
      <alignment horizontal="center"/>
    </xf>
    <xf numFmtId="2" fontId="24" fillId="5" borderId="9" xfId="0" applyNumberFormat="1" applyFont="1" applyFill="1" applyBorder="1" applyAlignment="1">
      <alignment horizontal="center"/>
    </xf>
    <xf numFmtId="37" fontId="24" fillId="5" borderId="9" xfId="1" applyNumberFormat="1" applyFont="1" applyFill="1" applyBorder="1" applyAlignment="1">
      <alignment horizontal="center"/>
    </xf>
    <xf numFmtId="165" fontId="24" fillId="5" borderId="9" xfId="0" applyNumberFormat="1" applyFont="1" applyFill="1" applyBorder="1" applyAlignment="1">
      <alignment horizontal="center"/>
    </xf>
    <xf numFmtId="37" fontId="28" fillId="0" borderId="9" xfId="1" applyNumberFormat="1" applyFont="1" applyBorder="1" applyAlignment="1">
      <alignment horizontal="center" vertical="center" wrapText="1"/>
    </xf>
    <xf numFmtId="0" fontId="12" fillId="0" borderId="0" xfId="6" applyAlignment="1">
      <alignment horizontal="center"/>
    </xf>
    <xf numFmtId="2" fontId="24" fillId="0" borderId="9" xfId="0" applyNumberFormat="1" applyFont="1" applyBorder="1" applyAlignment="1">
      <alignment horizontal="center"/>
    </xf>
    <xf numFmtId="165" fontId="24" fillId="0" borderId="9" xfId="0" applyNumberFormat="1" applyFont="1" applyBorder="1" applyAlignment="1">
      <alignment horizontal="center"/>
    </xf>
    <xf numFmtId="37" fontId="24" fillId="0" borderId="9" xfId="1" applyNumberFormat="1" applyFont="1" applyBorder="1" applyAlignment="1">
      <alignment horizontal="center"/>
    </xf>
    <xf numFmtId="171" fontId="0" fillId="8" borderId="9" xfId="6" applyNumberFormat="1" applyFont="1" applyFill="1" applyBorder="1" applyAlignment="1">
      <alignment horizontal="center"/>
    </xf>
    <xf numFmtId="2" fontId="29" fillId="0" borderId="9" xfId="0" applyNumberFormat="1" applyFont="1" applyBorder="1"/>
    <xf numFmtId="2" fontId="5" fillId="5" borderId="9" xfId="0" applyNumberFormat="1" applyFont="1" applyFill="1" applyBorder="1"/>
    <xf numFmtId="2" fontId="24" fillId="5" borderId="9" xfId="0" applyNumberFormat="1" applyFont="1" applyFill="1" applyBorder="1"/>
    <xf numFmtId="168" fontId="28" fillId="0" borderId="9" xfId="1" applyNumberFormat="1" applyFont="1" applyBorder="1" applyAlignment="1">
      <alignment horizontal="right" vertical="center" wrapText="1"/>
    </xf>
    <xf numFmtId="165" fontId="1" fillId="0" borderId="20" xfId="7" applyNumberFormat="1" applyFill="1" applyBorder="1" applyAlignment="1">
      <alignment horizontal="center"/>
    </xf>
    <xf numFmtId="165" fontId="1" fillId="0" borderId="9" xfId="6" applyNumberFormat="1" applyFont="1" applyFill="1" applyBorder="1" applyAlignment="1">
      <alignment horizontal="center"/>
    </xf>
    <xf numFmtId="0" fontId="24" fillId="12" borderId="19" xfId="6" applyFont="1" applyFill="1" applyBorder="1" applyAlignment="1">
      <alignment horizontal="center" vertical="center" wrapText="1"/>
    </xf>
    <xf numFmtId="0" fontId="24" fillId="12" borderId="24" xfId="6" applyFont="1" applyFill="1" applyBorder="1" applyAlignment="1">
      <alignment horizontal="center" vertical="center" wrapText="1"/>
    </xf>
    <xf numFmtId="0" fontId="24" fillId="12" borderId="27" xfId="6" applyFont="1" applyFill="1" applyBorder="1" applyAlignment="1">
      <alignment horizontal="center" vertical="center" wrapText="1"/>
    </xf>
    <xf numFmtId="0" fontId="24" fillId="12" borderId="22" xfId="6" applyFont="1" applyFill="1" applyBorder="1" applyAlignment="1">
      <alignment vertical="center" wrapText="1"/>
    </xf>
    <xf numFmtId="0" fontId="24" fillId="12" borderId="22" xfId="6" applyFont="1" applyFill="1" applyBorder="1" applyAlignment="1">
      <alignment horizontal="center" vertical="center" wrapText="1"/>
    </xf>
    <xf numFmtId="7" fontId="1" fillId="5" borderId="9" xfId="10" applyNumberFormat="1" applyFont="1" applyFill="1" applyBorder="1" applyAlignment="1">
      <alignment horizontal="center"/>
    </xf>
    <xf numFmtId="2" fontId="1" fillId="5" borderId="9" xfId="10" applyNumberFormat="1" applyFont="1" applyFill="1" applyBorder="1" applyAlignment="1">
      <alignment horizontal="center"/>
    </xf>
    <xf numFmtId="0" fontId="24" fillId="12" borderId="9" xfId="6" applyFont="1" applyFill="1" applyBorder="1" applyAlignment="1">
      <alignment vertical="center" wrapText="1"/>
    </xf>
    <xf numFmtId="0" fontId="31" fillId="12" borderId="19" xfId="6" applyFont="1" applyFill="1" applyBorder="1" applyAlignment="1">
      <alignment horizontal="center" vertical="center" wrapText="1"/>
    </xf>
    <xf numFmtId="0" fontId="0" fillId="0" borderId="0" xfId="7" applyFont="1"/>
    <xf numFmtId="1" fontId="24" fillId="12" borderId="19" xfId="6" applyNumberFormat="1" applyFont="1" applyFill="1" applyBorder="1" applyAlignment="1">
      <alignment horizontal="center" vertical="center" wrapText="1"/>
    </xf>
    <xf numFmtId="0" fontId="12" fillId="0" borderId="0" xfId="7" applyFont="1" applyFill="1" applyBorder="1" applyAlignment="1"/>
    <xf numFmtId="165" fontId="24" fillId="0" borderId="9" xfId="6" applyNumberFormat="1" applyFont="1" applyFill="1" applyBorder="1" applyAlignment="1">
      <alignment horizontal="center" vertical="center"/>
    </xf>
    <xf numFmtId="180" fontId="24" fillId="0" borderId="9" xfId="6" applyNumberFormat="1" applyFont="1" applyFill="1" applyBorder="1" applyAlignment="1">
      <alignment horizontal="center" vertical="center"/>
    </xf>
    <xf numFmtId="9" fontId="24" fillId="0" borderId="9" xfId="3" applyFont="1" applyFill="1" applyBorder="1" applyAlignment="1">
      <alignment horizontal="center" vertical="center"/>
    </xf>
    <xf numFmtId="1" fontId="24" fillId="8" borderId="9" xfId="3" applyNumberFormat="1" applyFont="1" applyFill="1" applyBorder="1" applyAlignment="1">
      <alignment horizontal="center" vertical="center"/>
    </xf>
    <xf numFmtId="1" fontId="0" fillId="5" borderId="0" xfId="11" applyNumberFormat="1" applyFont="1" applyFill="1" applyBorder="1" applyAlignment="1">
      <alignment horizontal="center" vertical="center"/>
    </xf>
    <xf numFmtId="2" fontId="0" fillId="5" borderId="0" xfId="11" applyNumberFormat="1" applyFont="1" applyFill="1" applyBorder="1" applyAlignment="1">
      <alignment horizontal="center" vertical="center"/>
    </xf>
    <xf numFmtId="9" fontId="0" fillId="0" borderId="9" xfId="3" applyFont="1" applyFill="1" applyBorder="1" applyAlignment="1">
      <alignment horizontal="center"/>
    </xf>
    <xf numFmtId="0" fontId="1" fillId="0" borderId="0" xfId="7" applyFill="1"/>
    <xf numFmtId="0" fontId="24" fillId="11" borderId="16" xfId="0" applyFont="1" applyFill="1" applyBorder="1" applyAlignment="1">
      <alignment horizontal="left"/>
    </xf>
    <xf numFmtId="0" fontId="24" fillId="11" borderId="17" xfId="0" applyFont="1" applyFill="1" applyBorder="1" applyAlignment="1">
      <alignment horizontal="left"/>
    </xf>
    <xf numFmtId="0" fontId="0" fillId="0" borderId="0" xfId="0" applyAlignment="1">
      <alignment horizontal="center"/>
    </xf>
    <xf numFmtId="0" fontId="24" fillId="12" borderId="9" xfId="0" applyFont="1" applyFill="1" applyBorder="1" applyAlignment="1">
      <alignment horizontal="center" vertical="center" wrapText="1"/>
    </xf>
    <xf numFmtId="0" fontId="24" fillId="0" borderId="9" xfId="0" applyFont="1" applyBorder="1" applyAlignment="1">
      <alignment horizontal="center"/>
    </xf>
    <xf numFmtId="0" fontId="5" fillId="0" borderId="9" xfId="0" applyFont="1" applyBorder="1" applyAlignment="1">
      <alignment horizontal="center" vertical="center" wrapText="1"/>
    </xf>
    <xf numFmtId="0" fontId="0" fillId="5" borderId="9" xfId="0" applyFont="1" applyFill="1" applyBorder="1" applyAlignment="1">
      <alignment horizontal="left" vertical="center" wrapText="1"/>
    </xf>
    <xf numFmtId="165" fontId="0" fillId="5" borderId="9" xfId="0" applyNumberFormat="1" applyFont="1" applyFill="1" applyBorder="1" applyAlignment="1">
      <alignment horizontal="center" vertical="center" wrapText="1"/>
    </xf>
    <xf numFmtId="0" fontId="38" fillId="0" borderId="9" xfId="12" applyFont="1" applyFill="1" applyBorder="1" applyAlignment="1">
      <alignment horizontal="center"/>
    </xf>
    <xf numFmtId="184" fontId="0" fillId="5" borderId="9" xfId="1" applyNumberFormat="1" applyFont="1" applyFill="1" applyBorder="1" applyAlignment="1">
      <alignment horizontal="center"/>
    </xf>
    <xf numFmtId="165" fontId="38" fillId="0" borderId="9" xfId="12" applyNumberFormat="1" applyFont="1" applyFill="1" applyBorder="1" applyAlignment="1">
      <alignment horizontal="center"/>
    </xf>
    <xf numFmtId="165" fontId="24" fillId="0" borderId="9" xfId="0" applyNumberFormat="1" applyFont="1" applyBorder="1" applyAlignment="1">
      <alignment horizontal="center" vertical="center" wrapText="1"/>
    </xf>
    <xf numFmtId="165" fontId="24" fillId="0" borderId="9" xfId="0" applyNumberFormat="1" applyFont="1" applyFill="1" applyBorder="1" applyAlignment="1">
      <alignment horizontal="center" vertical="center" wrapText="1"/>
    </xf>
    <xf numFmtId="0" fontId="24" fillId="0" borderId="0" xfId="0" applyFont="1" applyBorder="1" applyAlignment="1">
      <alignment horizontal="center"/>
    </xf>
    <xf numFmtId="0" fontId="24" fillId="0" borderId="0" xfId="0" applyFont="1" applyBorder="1" applyAlignment="1">
      <alignment horizontal="center" vertical="center" wrapText="1"/>
    </xf>
    <xf numFmtId="0" fontId="40" fillId="0" borderId="28" xfId="0" applyFont="1" applyBorder="1" applyAlignment="1">
      <alignment horizontal="left"/>
    </xf>
    <xf numFmtId="0" fontId="0" fillId="0" borderId="0" xfId="0" applyAlignment="1">
      <alignment horizontal="left"/>
    </xf>
    <xf numFmtId="2" fontId="0" fillId="0" borderId="0" xfId="0" applyNumberFormat="1"/>
    <xf numFmtId="0" fontId="40" fillId="0" borderId="0" xfId="0" applyFont="1"/>
    <xf numFmtId="0" fontId="24" fillId="0" borderId="0" xfId="0" applyFont="1"/>
    <xf numFmtId="0" fontId="24" fillId="12" borderId="9" xfId="6" applyFont="1" applyFill="1" applyBorder="1" applyAlignment="1">
      <alignment horizontal="center" vertical="center" wrapText="1"/>
    </xf>
    <xf numFmtId="2" fontId="0" fillId="5" borderId="9" xfId="0" applyNumberFormat="1" applyFill="1" applyBorder="1"/>
    <xf numFmtId="2" fontId="0" fillId="0" borderId="9" xfId="0" applyNumberFormat="1" applyBorder="1"/>
    <xf numFmtId="2" fontId="0" fillId="0" borderId="9" xfId="0" applyNumberFormat="1" applyFill="1" applyBorder="1"/>
    <xf numFmtId="165" fontId="5" fillId="0" borderId="0" xfId="0" applyNumberFormat="1" applyFont="1"/>
    <xf numFmtId="2" fontId="24" fillId="0" borderId="9" xfId="0" applyNumberFormat="1" applyFont="1" applyFill="1" applyBorder="1"/>
    <xf numFmtId="2" fontId="24" fillId="5" borderId="9" xfId="14" applyNumberFormat="1" applyFont="1" applyFill="1" applyBorder="1"/>
    <xf numFmtId="2" fontId="24" fillId="0" borderId="9" xfId="14" applyNumberFormat="1" applyFont="1" applyFill="1" applyBorder="1"/>
    <xf numFmtId="168" fontId="24" fillId="0" borderId="9" xfId="6" applyNumberFormat="1" applyFont="1" applyBorder="1" applyAlignment="1">
      <alignment horizontal="left" vertical="top" wrapText="1"/>
    </xf>
    <xf numFmtId="2" fontId="5" fillId="5" borderId="9" xfId="14" applyNumberFormat="1" applyFont="1" applyFill="1" applyBorder="1"/>
    <xf numFmtId="168" fontId="24" fillId="5" borderId="9" xfId="6" applyNumberFormat="1" applyFont="1" applyFill="1" applyBorder="1" applyAlignment="1">
      <alignment horizontal="left" vertical="center" wrapText="1"/>
    </xf>
    <xf numFmtId="168" fontId="1" fillId="0" borderId="16" xfId="6" applyNumberFormat="1" applyFont="1" applyBorder="1" applyAlignment="1">
      <alignment horizontal="center" vertical="center"/>
    </xf>
    <xf numFmtId="10" fontId="31" fillId="5" borderId="9" xfId="8" applyNumberFormat="1" applyFont="1" applyFill="1" applyBorder="1" applyAlignment="1">
      <alignment horizontal="center" vertical="center" wrapText="1"/>
    </xf>
    <xf numFmtId="10" fontId="27" fillId="0" borderId="9" xfId="8" applyNumberFormat="1" applyFont="1" applyFill="1" applyBorder="1" applyAlignment="1">
      <alignment horizontal="center" vertical="center" wrapText="1"/>
    </xf>
    <xf numFmtId="10" fontId="42" fillId="0" borderId="9" xfId="8" applyNumberFormat="1" applyFont="1" applyFill="1" applyBorder="1" applyAlignment="1">
      <alignment horizontal="center" vertical="center" wrapText="1"/>
    </xf>
    <xf numFmtId="10" fontId="31" fillId="0" borderId="9" xfId="8" applyNumberFormat="1" applyFont="1" applyFill="1" applyBorder="1" applyAlignment="1">
      <alignment horizontal="center" vertical="center" wrapText="1"/>
    </xf>
    <xf numFmtId="39" fontId="0" fillId="5" borderId="9" xfId="6" applyNumberFormat="1" applyFont="1" applyFill="1" applyBorder="1" applyAlignment="1">
      <alignment horizontal="center"/>
    </xf>
    <xf numFmtId="39" fontId="0" fillId="0" borderId="9" xfId="6" applyNumberFormat="1" applyFont="1" applyFill="1" applyBorder="1" applyAlignment="1">
      <alignment horizontal="center"/>
    </xf>
    <xf numFmtId="39" fontId="24" fillId="5" borderId="9" xfId="6" applyNumberFormat="1" applyFont="1" applyFill="1" applyBorder="1" applyAlignment="1">
      <alignment horizontal="center"/>
    </xf>
    <xf numFmtId="39" fontId="5" fillId="0" borderId="9" xfId="6" applyNumberFormat="1" applyFont="1" applyFill="1" applyBorder="1" applyAlignment="1">
      <alignment horizontal="center"/>
    </xf>
    <xf numFmtId="39" fontId="1" fillId="0" borderId="9" xfId="6" applyNumberFormat="1" applyFont="1" applyFill="1" applyBorder="1" applyAlignment="1">
      <alignment horizontal="center"/>
    </xf>
    <xf numFmtId="168" fontId="24" fillId="0" borderId="16" xfId="6" applyNumberFormat="1" applyFont="1" applyBorder="1" applyAlignment="1">
      <alignment horizontal="center" vertical="center"/>
    </xf>
    <xf numFmtId="0" fontId="24" fillId="0" borderId="9" xfId="0" applyFont="1" applyBorder="1" applyAlignment="1">
      <alignment vertical="center"/>
    </xf>
    <xf numFmtId="168" fontId="24" fillId="0" borderId="18" xfId="6" applyNumberFormat="1" applyFont="1" applyBorder="1" applyAlignment="1">
      <alignment horizontal="center" vertical="center" wrapText="1"/>
    </xf>
    <xf numFmtId="9" fontId="31" fillId="5" borderId="9" xfId="8" applyFont="1" applyFill="1" applyBorder="1" applyAlignment="1">
      <alignment horizontal="center" vertical="center" wrapText="1"/>
    </xf>
    <xf numFmtId="9" fontId="31" fillId="0" borderId="9" xfId="8" applyFont="1" applyFill="1" applyBorder="1" applyAlignment="1">
      <alignment horizontal="center" vertical="center" wrapText="1"/>
    </xf>
    <xf numFmtId="9" fontId="42" fillId="0" borderId="9" xfId="8" applyFont="1" applyFill="1" applyBorder="1" applyAlignment="1">
      <alignment horizontal="center" vertical="center" wrapText="1"/>
    </xf>
    <xf numFmtId="0" fontId="43" fillId="5" borderId="9" xfId="15" applyFont="1" applyFill="1" applyBorder="1" applyAlignment="1">
      <alignment horizontal="left"/>
    </xf>
    <xf numFmtId="168" fontId="24" fillId="5" borderId="18" xfId="6" applyNumberFormat="1" applyFont="1" applyFill="1" applyBorder="1" applyAlignment="1">
      <alignment horizontal="center" vertical="center" wrapText="1"/>
    </xf>
    <xf numFmtId="165" fontId="24" fillId="5" borderId="9" xfId="0" applyNumberFormat="1" applyFont="1" applyFill="1" applyBorder="1" applyAlignment="1">
      <alignment horizontal="center" vertical="center" wrapText="1"/>
    </xf>
    <xf numFmtId="0" fontId="5" fillId="0" borderId="0" xfId="0" applyFont="1"/>
    <xf numFmtId="0" fontId="44" fillId="5" borderId="9" xfId="15" applyFont="1" applyFill="1" applyBorder="1" applyAlignment="1">
      <alignment horizontal="left" vertical="center"/>
    </xf>
    <xf numFmtId="186" fontId="43" fillId="5" borderId="9" xfId="2" applyNumberFormat="1" applyFont="1" applyFill="1" applyBorder="1"/>
    <xf numFmtId="0" fontId="34" fillId="7" borderId="0" xfId="6" applyFont="1" applyFill="1" applyAlignment="1">
      <alignment vertical="center"/>
    </xf>
    <xf numFmtId="0" fontId="24" fillId="0" borderId="0" xfId="0" applyFont="1" applyFill="1" applyBorder="1"/>
    <xf numFmtId="0" fontId="5" fillId="0" borderId="0" xfId="7" applyFont="1"/>
    <xf numFmtId="0" fontId="5" fillId="0" borderId="9" xfId="0" applyFont="1" applyFill="1" applyBorder="1" applyAlignment="1">
      <alignment horizontal="left" vertical="center" wrapText="1"/>
    </xf>
    <xf numFmtId="0" fontId="24" fillId="5" borderId="9" xfId="7" applyFont="1" applyFill="1" applyBorder="1" applyAlignment="1">
      <alignment horizontal="left"/>
    </xf>
    <xf numFmtId="165" fontId="24" fillId="5" borderId="9" xfId="7" applyNumberFormat="1" applyFont="1" applyFill="1" applyBorder="1" applyAlignment="1">
      <alignment horizontal="center"/>
    </xf>
    <xf numFmtId="184" fontId="24" fillId="5" borderId="9" xfId="1" applyNumberFormat="1" applyFont="1" applyFill="1" applyBorder="1" applyAlignment="1">
      <alignment horizontal="center"/>
    </xf>
    <xf numFmtId="2" fontId="24" fillId="5" borderId="9" xfId="7" applyNumberFormat="1" applyFont="1" applyFill="1" applyBorder="1" applyAlignment="1">
      <alignment horizontal="center"/>
    </xf>
    <xf numFmtId="170" fontId="24" fillId="5" borderId="9" xfId="7" applyNumberFormat="1" applyFont="1" applyFill="1" applyBorder="1" applyAlignment="1">
      <alignment horizontal="center"/>
    </xf>
    <xf numFmtId="7" fontId="43" fillId="5" borderId="9" xfId="2" applyNumberFormat="1" applyFont="1" applyFill="1" applyBorder="1"/>
    <xf numFmtId="0" fontId="40" fillId="5" borderId="9" xfId="7" applyFont="1" applyFill="1" applyBorder="1" applyAlignment="1">
      <alignment horizontal="center"/>
    </xf>
    <xf numFmtId="0" fontId="24" fillId="0" borderId="0" xfId="7" applyFont="1"/>
    <xf numFmtId="0" fontId="0" fillId="0" borderId="9" xfId="0" applyBorder="1"/>
    <xf numFmtId="187" fontId="0" fillId="5" borderId="9" xfId="1" applyNumberFormat="1" applyFont="1" applyFill="1" applyBorder="1" applyAlignment="1">
      <alignment horizontal="center"/>
    </xf>
    <xf numFmtId="187" fontId="1" fillId="0" borderId="0" xfId="7" applyNumberFormat="1"/>
    <xf numFmtId="0" fontId="1" fillId="0" borderId="0" xfId="13"/>
    <xf numFmtId="0" fontId="1" fillId="5" borderId="0" xfId="13" applyFont="1" applyFill="1" applyAlignment="1">
      <alignment horizontal="left"/>
    </xf>
    <xf numFmtId="0" fontId="1" fillId="0" borderId="0" xfId="13" applyFont="1"/>
    <xf numFmtId="0" fontId="1" fillId="0" borderId="0" xfId="0" applyFont="1"/>
    <xf numFmtId="0" fontId="24" fillId="12" borderId="9" xfId="0" applyFont="1" applyFill="1" applyBorder="1" applyAlignment="1">
      <alignment horizontal="left" vertical="center" wrapText="1"/>
    </xf>
    <xf numFmtId="0" fontId="24" fillId="12" borderId="9" xfId="0" applyFont="1" applyFill="1" applyBorder="1" applyAlignment="1">
      <alignment horizontal="center" vertical="center" wrapText="1"/>
    </xf>
    <xf numFmtId="165" fontId="24" fillId="5" borderId="9" xfId="13" applyNumberFormat="1" applyFont="1" applyFill="1" applyBorder="1" applyAlignment="1">
      <alignment horizontal="left" vertical="center" wrapText="1"/>
    </xf>
    <xf numFmtId="165" fontId="24" fillId="5" borderId="9" xfId="13" applyNumberFormat="1" applyFont="1" applyFill="1" applyBorder="1" applyAlignment="1">
      <alignment vertical="center" wrapText="1"/>
    </xf>
    <xf numFmtId="0" fontId="5" fillId="0" borderId="0" xfId="7" applyFont="1" applyFill="1"/>
    <xf numFmtId="165" fontId="0" fillId="5" borderId="9" xfId="13" applyNumberFormat="1" applyFont="1" applyFill="1" applyBorder="1" applyAlignment="1">
      <alignment horizontal="left" vertical="center" wrapText="1"/>
    </xf>
    <xf numFmtId="180" fontId="24" fillId="5" borderId="9" xfId="13" applyNumberFormat="1" applyFont="1" applyFill="1" applyBorder="1" applyAlignment="1">
      <alignment horizontal="center" vertical="center" wrapText="1"/>
    </xf>
    <xf numFmtId="180" fontId="5" fillId="0" borderId="9" xfId="13" applyNumberFormat="1" applyFont="1" applyFill="1" applyBorder="1" applyAlignment="1">
      <alignment horizontal="center" vertical="center" wrapText="1"/>
    </xf>
    <xf numFmtId="180" fontId="24" fillId="0" borderId="9" xfId="13" applyNumberFormat="1" applyFont="1" applyFill="1" applyBorder="1" applyAlignment="1">
      <alignment horizontal="center" vertical="center" wrapText="1"/>
    </xf>
    <xf numFmtId="2" fontId="1" fillId="5" borderId="9" xfId="13" applyNumberFormat="1" applyFont="1" applyFill="1" applyBorder="1" applyAlignment="1">
      <alignment horizontal="center" vertical="center" wrapText="1"/>
    </xf>
    <xf numFmtId="2" fontId="5" fillId="0" borderId="9" xfId="13" applyNumberFormat="1" applyFont="1" applyFill="1" applyBorder="1" applyAlignment="1">
      <alignment horizontal="center" vertical="center" wrapText="1"/>
    </xf>
    <xf numFmtId="2" fontId="1" fillId="0" borderId="9" xfId="13" applyNumberFormat="1" applyFont="1" applyFill="1" applyBorder="1" applyAlignment="1">
      <alignment horizontal="center" vertical="center" wrapText="1"/>
    </xf>
    <xf numFmtId="2" fontId="24" fillId="5" borderId="9" xfId="13" applyNumberFormat="1" applyFont="1" applyFill="1" applyBorder="1" applyAlignment="1">
      <alignment horizontal="center" vertical="center" wrapText="1"/>
    </xf>
    <xf numFmtId="2" fontId="24" fillId="0" borderId="9" xfId="13" applyNumberFormat="1" applyFont="1" applyFill="1" applyBorder="1" applyAlignment="1">
      <alignment horizontal="center" vertical="center" wrapText="1"/>
    </xf>
    <xf numFmtId="2" fontId="24" fillId="5" borderId="9" xfId="13" applyNumberFormat="1" applyFont="1" applyFill="1" applyBorder="1" applyAlignment="1">
      <alignment horizontal="left" vertical="center" wrapText="1"/>
    </xf>
    <xf numFmtId="165" fontId="1" fillId="5" borderId="9" xfId="13" applyNumberFormat="1" applyFont="1" applyFill="1" applyBorder="1" applyAlignment="1">
      <alignment horizontal="center" vertical="center" wrapText="1"/>
    </xf>
    <xf numFmtId="165" fontId="24" fillId="0" borderId="9" xfId="13" applyNumberFormat="1" applyFont="1" applyFill="1" applyBorder="1" applyAlignment="1">
      <alignment horizontal="center" vertical="center" wrapText="1"/>
    </xf>
    <xf numFmtId="165" fontId="1" fillId="0" borderId="9" xfId="13" applyNumberFormat="1" applyFont="1" applyFill="1" applyBorder="1" applyAlignment="1">
      <alignment horizontal="center" vertical="center" wrapText="1"/>
    </xf>
    <xf numFmtId="0" fontId="1" fillId="0" borderId="0" xfId="7" applyFill="1" applyAlignment="1">
      <alignment horizontal="center"/>
    </xf>
    <xf numFmtId="165" fontId="24" fillId="5" borderId="9" xfId="13" applyNumberFormat="1" applyFont="1" applyFill="1" applyBorder="1" applyAlignment="1">
      <alignment horizontal="center" vertical="center" wrapText="1"/>
    </xf>
    <xf numFmtId="165" fontId="5" fillId="0" borderId="9" xfId="13" applyNumberFormat="1" applyFont="1" applyFill="1" applyBorder="1" applyAlignment="1">
      <alignment horizontal="center" vertical="center" wrapText="1"/>
    </xf>
    <xf numFmtId="165" fontId="0" fillId="5" borderId="9" xfId="13" applyNumberFormat="1" applyFont="1" applyFill="1" applyBorder="1" applyAlignment="1">
      <alignment horizontal="center" vertical="center" wrapText="1"/>
    </xf>
    <xf numFmtId="1" fontId="24" fillId="5" borderId="9" xfId="13" applyNumberFormat="1" applyFont="1" applyFill="1" applyBorder="1" applyAlignment="1">
      <alignment horizontal="center" vertical="center" wrapText="1"/>
    </xf>
    <xf numFmtId="1" fontId="1" fillId="5" borderId="9" xfId="13" applyNumberFormat="1" applyFont="1" applyFill="1" applyBorder="1" applyAlignment="1">
      <alignment horizontal="center" vertical="center" wrapText="1"/>
    </xf>
    <xf numFmtId="1" fontId="1" fillId="0" borderId="9" xfId="13" applyNumberFormat="1" applyFont="1" applyFill="1" applyBorder="1" applyAlignment="1">
      <alignment horizontal="center" vertical="center" wrapText="1"/>
    </xf>
    <xf numFmtId="0" fontId="24" fillId="5" borderId="9" xfId="13" applyFont="1" applyFill="1" applyBorder="1" applyAlignment="1">
      <alignment horizontal="left"/>
    </xf>
    <xf numFmtId="0" fontId="24" fillId="5" borderId="9" xfId="13" applyFont="1" applyFill="1" applyBorder="1" applyAlignment="1">
      <alignment horizontal="center"/>
    </xf>
    <xf numFmtId="0" fontId="12" fillId="5" borderId="9" xfId="13" applyFont="1" applyFill="1" applyBorder="1" applyAlignment="1">
      <alignment horizontal="center"/>
    </xf>
    <xf numFmtId="0" fontId="25" fillId="0" borderId="9" xfId="13" applyFont="1" applyFill="1" applyBorder="1" applyAlignment="1">
      <alignment horizontal="center"/>
    </xf>
    <xf numFmtId="0" fontId="12" fillId="5" borderId="9" xfId="13" applyFont="1" applyFill="1" applyBorder="1" applyAlignment="1">
      <alignment horizontal="center" wrapText="1"/>
    </xf>
    <xf numFmtId="0" fontId="12" fillId="0" borderId="9" xfId="13" applyFont="1" applyFill="1" applyBorder="1" applyAlignment="1">
      <alignment horizontal="center"/>
    </xf>
    <xf numFmtId="0" fontId="24" fillId="5" borderId="9" xfId="13" applyFont="1" applyFill="1" applyBorder="1" applyAlignment="1">
      <alignment horizontal="left" wrapText="1"/>
    </xf>
    <xf numFmtId="9" fontId="1" fillId="5" borderId="9" xfId="13" applyNumberFormat="1" applyFill="1" applyBorder="1" applyAlignment="1">
      <alignment horizontal="center"/>
    </xf>
    <xf numFmtId="9" fontId="5" fillId="5" borderId="9" xfId="13" applyNumberFormat="1" applyFont="1" applyFill="1" applyBorder="1" applyAlignment="1">
      <alignment horizontal="center"/>
    </xf>
    <xf numFmtId="9" fontId="1" fillId="0" borderId="9" xfId="13" applyNumberFormat="1" applyFill="1" applyBorder="1" applyAlignment="1">
      <alignment horizontal="center"/>
    </xf>
    <xf numFmtId="0" fontId="24" fillId="5" borderId="9" xfId="13" applyFont="1" applyFill="1" applyBorder="1" applyAlignment="1">
      <alignment horizontal="left" vertical="center" wrapText="1"/>
    </xf>
    <xf numFmtId="0" fontId="24" fillId="5" borderId="9" xfId="13" applyFont="1" applyFill="1" applyBorder="1" applyAlignment="1">
      <alignment horizontal="left" vertical="center"/>
    </xf>
    <xf numFmtId="0" fontId="24" fillId="5" borderId="9" xfId="13" applyFont="1" applyFill="1" applyBorder="1" applyAlignment="1">
      <alignment horizontal="center" vertical="center"/>
    </xf>
    <xf numFmtId="2" fontId="24" fillId="5" borderId="9" xfId="13" applyNumberFormat="1" applyFont="1" applyFill="1" applyBorder="1" applyAlignment="1">
      <alignment horizontal="center"/>
    </xf>
    <xf numFmtId="2" fontId="12" fillId="5" borderId="9" xfId="13" applyNumberFormat="1" applyFont="1" applyFill="1" applyBorder="1" applyAlignment="1">
      <alignment horizontal="center"/>
    </xf>
    <xf numFmtId="2" fontId="40" fillId="5" borderId="9" xfId="13" applyNumberFormat="1" applyFont="1" applyFill="1" applyBorder="1" applyAlignment="1">
      <alignment horizontal="center"/>
    </xf>
    <xf numFmtId="2" fontId="12" fillId="0" borderId="9" xfId="13" applyNumberFormat="1" applyFont="1" applyFill="1" applyBorder="1" applyAlignment="1">
      <alignment horizontal="center"/>
    </xf>
    <xf numFmtId="0" fontId="24" fillId="5" borderId="14" xfId="13" applyFont="1" applyFill="1" applyBorder="1" applyAlignment="1">
      <alignment horizontal="left" vertical="center" wrapText="1"/>
    </xf>
    <xf numFmtId="2" fontId="24" fillId="5" borderId="14" xfId="13" applyNumberFormat="1" applyFont="1" applyFill="1" applyBorder="1" applyAlignment="1">
      <alignment horizontal="center"/>
    </xf>
    <xf numFmtId="0" fontId="24" fillId="5" borderId="27" xfId="13" applyFont="1" applyFill="1" applyBorder="1" applyAlignment="1">
      <alignment horizontal="left"/>
    </xf>
    <xf numFmtId="165" fontId="24" fillId="5" borderId="27" xfId="13" applyNumberFormat="1" applyFont="1" applyFill="1" applyBorder="1" applyAlignment="1">
      <alignment horizontal="left" vertical="center" wrapText="1"/>
    </xf>
    <xf numFmtId="2" fontId="25" fillId="0" borderId="9" xfId="13" applyNumberFormat="1" applyFont="1" applyFill="1" applyBorder="1" applyAlignment="1">
      <alignment horizontal="center"/>
    </xf>
    <xf numFmtId="9" fontId="24" fillId="5" borderId="9" xfId="13" applyNumberFormat="1" applyFont="1" applyFill="1" applyBorder="1" applyAlignment="1">
      <alignment horizontal="center"/>
    </xf>
    <xf numFmtId="9" fontId="12" fillId="5" borderId="9" xfId="13" applyNumberFormat="1" applyFont="1" applyFill="1" applyBorder="1" applyAlignment="1">
      <alignment horizontal="center"/>
    </xf>
    <xf numFmtId="9" fontId="12" fillId="0" borderId="9" xfId="13" applyNumberFormat="1" applyFont="1" applyFill="1" applyBorder="1" applyAlignment="1">
      <alignment horizontal="center"/>
    </xf>
    <xf numFmtId="9" fontId="47" fillId="5" borderId="9" xfId="13" applyNumberFormat="1" applyFont="1" applyFill="1" applyBorder="1" applyAlignment="1">
      <alignment horizontal="center"/>
    </xf>
    <xf numFmtId="165" fontId="47" fillId="5" borderId="9" xfId="13" applyNumberFormat="1" applyFont="1" applyFill="1" applyBorder="1" applyAlignment="1">
      <alignment horizontal="left" vertical="center" wrapText="1"/>
    </xf>
    <xf numFmtId="165" fontId="47" fillId="5" borderId="9" xfId="13" applyNumberFormat="1" applyFont="1" applyFill="1" applyBorder="1" applyAlignment="1">
      <alignment vertical="center" wrapText="1"/>
    </xf>
    <xf numFmtId="165" fontId="48" fillId="5" borderId="9" xfId="13" applyNumberFormat="1" applyFont="1" applyFill="1" applyBorder="1" applyAlignment="1">
      <alignment horizontal="left" vertical="center" wrapText="1"/>
    </xf>
    <xf numFmtId="9" fontId="7" fillId="5" borderId="9" xfId="13" applyNumberFormat="1" applyFont="1" applyFill="1" applyBorder="1" applyAlignment="1">
      <alignment horizontal="left"/>
    </xf>
    <xf numFmtId="9" fontId="16" fillId="5" borderId="9" xfId="13" applyNumberFormat="1" applyFont="1" applyFill="1" applyBorder="1" applyAlignment="1">
      <alignment horizontal="center"/>
    </xf>
    <xf numFmtId="180" fontId="1" fillId="5" borderId="9" xfId="13" applyNumberFormat="1" applyFont="1" applyFill="1" applyBorder="1" applyAlignment="1">
      <alignment horizontal="center" vertical="center" wrapText="1"/>
    </xf>
    <xf numFmtId="180" fontId="1" fillId="0" borderId="9" xfId="13" applyNumberFormat="1" applyFont="1" applyFill="1" applyBorder="1" applyAlignment="1">
      <alignment horizontal="center" vertical="center" wrapText="1"/>
    </xf>
    <xf numFmtId="180" fontId="47" fillId="5" borderId="9" xfId="13" applyNumberFormat="1" applyFont="1" applyFill="1" applyBorder="1" applyAlignment="1">
      <alignment horizontal="center" vertical="center" wrapText="1"/>
    </xf>
    <xf numFmtId="180" fontId="49" fillId="5" borderId="9" xfId="13" applyNumberFormat="1" applyFont="1" applyFill="1" applyBorder="1" applyAlignment="1">
      <alignment horizontal="center" vertical="center" wrapText="1"/>
    </xf>
    <xf numFmtId="9" fontId="24" fillId="5" borderId="9" xfId="3" applyFont="1" applyFill="1" applyBorder="1" applyAlignment="1">
      <alignment horizontal="center" vertical="center" wrapText="1"/>
    </xf>
    <xf numFmtId="9" fontId="1" fillId="5" borderId="9" xfId="3" applyFont="1" applyFill="1" applyBorder="1" applyAlignment="1">
      <alignment horizontal="center" vertical="center" wrapText="1"/>
    </xf>
    <xf numFmtId="9" fontId="1" fillId="0" borderId="9" xfId="3" applyFont="1" applyFill="1" applyBorder="1" applyAlignment="1">
      <alignment horizontal="center" vertical="center" wrapText="1"/>
    </xf>
    <xf numFmtId="165" fontId="1" fillId="5" borderId="9" xfId="7" applyNumberFormat="1" applyFont="1" applyFill="1" applyBorder="1" applyAlignment="1">
      <alignment horizontal="center"/>
    </xf>
    <xf numFmtId="7" fontId="39" fillId="5" borderId="9" xfId="2" applyNumberFormat="1" applyFont="1" applyFill="1" applyBorder="1"/>
    <xf numFmtId="0" fontId="50" fillId="0" borderId="0" xfId="7" applyFont="1" applyFill="1" applyBorder="1" applyAlignment="1">
      <alignment horizontal="center" vertical="center" wrapText="1"/>
    </xf>
    <xf numFmtId="0" fontId="39" fillId="0" borderId="0" xfId="15"/>
    <xf numFmtId="0" fontId="0" fillId="0" borderId="0" xfId="0" applyFill="1"/>
    <xf numFmtId="0" fontId="24" fillId="0" borderId="0" xfId="0" applyFont="1" applyFill="1"/>
    <xf numFmtId="0" fontId="43" fillId="0" borderId="0" xfId="15" applyFont="1" applyFill="1"/>
    <xf numFmtId="179" fontId="39" fillId="0" borderId="9" xfId="15" applyNumberFormat="1" applyBorder="1" applyAlignment="1">
      <alignment horizontal="center"/>
    </xf>
    <xf numFmtId="9" fontId="0" fillId="0" borderId="9" xfId="3" applyFont="1" applyBorder="1"/>
    <xf numFmtId="9" fontId="24" fillId="0" borderId="0" xfId="3" applyFont="1" applyFill="1" applyBorder="1"/>
    <xf numFmtId="9" fontId="24" fillId="0" borderId="0" xfId="0" applyNumberFormat="1" applyFont="1" applyFill="1" applyBorder="1"/>
    <xf numFmtId="0" fontId="39" fillId="0" borderId="0" xfId="15" applyAlignment="1">
      <alignment horizontal="left"/>
    </xf>
    <xf numFmtId="0" fontId="1" fillId="0" borderId="0" xfId="13" applyFill="1"/>
    <xf numFmtId="0" fontId="5" fillId="0" borderId="0" xfId="13" applyFont="1" applyFill="1"/>
    <xf numFmtId="9" fontId="43" fillId="0" borderId="0" xfId="3" applyFont="1" applyFill="1"/>
    <xf numFmtId="0" fontId="43" fillId="0" borderId="0" xfId="15" applyFont="1" applyFill="1" applyAlignment="1">
      <alignment wrapText="1"/>
    </xf>
    <xf numFmtId="9" fontId="43" fillId="0" borderId="0" xfId="3" applyFont="1" applyFill="1" applyAlignment="1">
      <alignment wrapText="1"/>
    </xf>
    <xf numFmtId="0" fontId="1" fillId="0" borderId="0" xfId="13" applyFill="1" applyAlignment="1">
      <alignment wrapText="1"/>
    </xf>
    <xf numFmtId="187" fontId="1" fillId="0" borderId="0" xfId="7" applyNumberFormat="1" applyAlignment="1">
      <alignment wrapText="1"/>
    </xf>
    <xf numFmtId="0" fontId="43" fillId="0" borderId="9" xfId="15" applyFont="1" applyFill="1" applyBorder="1" applyAlignment="1">
      <alignment vertical="top" wrapText="1"/>
    </xf>
    <xf numFmtId="10" fontId="43" fillId="0" borderId="9" xfId="15" applyNumberFormat="1" applyFont="1" applyFill="1" applyBorder="1" applyAlignment="1">
      <alignment vertical="top" wrapText="1"/>
    </xf>
    <xf numFmtId="9" fontId="43" fillId="0" borderId="9" xfId="3" applyFont="1" applyFill="1" applyBorder="1" applyAlignment="1">
      <alignment horizontal="center"/>
    </xf>
    <xf numFmtId="0" fontId="43" fillId="0" borderId="9" xfId="15" applyFont="1" applyFill="1" applyBorder="1"/>
    <xf numFmtId="9" fontId="39" fillId="0" borderId="9" xfId="3" applyFont="1" applyBorder="1" applyAlignment="1">
      <alignment horizontal="center"/>
    </xf>
    <xf numFmtId="0" fontId="24" fillId="0" borderId="9" xfId="0" applyFont="1" applyFill="1" applyBorder="1" applyAlignment="1">
      <alignment horizontal="left"/>
    </xf>
    <xf numFmtId="9" fontId="28" fillId="5" borderId="9" xfId="3" applyFont="1" applyFill="1" applyBorder="1" applyAlignment="1">
      <alignment horizontal="center"/>
    </xf>
    <xf numFmtId="1" fontId="39" fillId="0" borderId="9" xfId="3" applyNumberFormat="1" applyFont="1" applyBorder="1" applyAlignment="1">
      <alignment horizontal="center"/>
    </xf>
    <xf numFmtId="1" fontId="28" fillId="5" borderId="9" xfId="3" applyNumberFormat="1" applyFont="1" applyFill="1" applyBorder="1" applyAlignment="1">
      <alignment horizontal="center"/>
    </xf>
    <xf numFmtId="180" fontId="39" fillId="0" borderId="9" xfId="3" applyNumberFormat="1" applyFont="1" applyBorder="1" applyAlignment="1">
      <alignment horizontal="center"/>
    </xf>
    <xf numFmtId="1" fontId="39" fillId="5" borderId="9" xfId="3" applyNumberFormat="1" applyFont="1" applyFill="1" applyBorder="1" applyAlignment="1">
      <alignment horizontal="center"/>
    </xf>
    <xf numFmtId="1" fontId="43" fillId="0" borderId="9" xfId="3" applyNumberFormat="1" applyFont="1" applyFill="1" applyBorder="1" applyAlignment="1">
      <alignment horizontal="center"/>
    </xf>
    <xf numFmtId="3" fontId="5" fillId="5" borderId="9" xfId="0" applyNumberFormat="1" applyFont="1" applyFill="1" applyBorder="1" applyAlignment="1">
      <alignment horizontal="center"/>
    </xf>
    <xf numFmtId="173" fontId="5" fillId="0" borderId="9" xfId="3" applyNumberFormat="1" applyFont="1" applyFill="1" applyBorder="1" applyAlignment="1">
      <alignment horizontal="center"/>
    </xf>
    <xf numFmtId="0" fontId="44" fillId="0" borderId="19" xfId="15" applyFont="1" applyFill="1" applyBorder="1" applyAlignment="1">
      <alignment horizontal="left" vertical="center"/>
    </xf>
    <xf numFmtId="173" fontId="43" fillId="0" borderId="9" xfId="3" applyNumberFormat="1" applyFont="1" applyFill="1" applyBorder="1" applyAlignment="1">
      <alignment horizontal="center"/>
    </xf>
    <xf numFmtId="0" fontId="51" fillId="0" borderId="19" xfId="15" applyFont="1" applyBorder="1" applyAlignment="1">
      <alignment horizontal="left" vertical="center"/>
    </xf>
    <xf numFmtId="173" fontId="39" fillId="0" borderId="9" xfId="3" applyNumberFormat="1" applyFont="1" applyBorder="1" applyAlignment="1">
      <alignment horizontal="center"/>
    </xf>
    <xf numFmtId="188" fontId="5" fillId="0" borderId="9" xfId="3" applyNumberFormat="1" applyFont="1" applyFill="1" applyBorder="1" applyAlignment="1">
      <alignment horizontal="center"/>
    </xf>
    <xf numFmtId="9" fontId="39" fillId="5" borderId="9" xfId="3" applyFont="1" applyFill="1" applyBorder="1" applyAlignment="1">
      <alignment horizontal="center"/>
    </xf>
    <xf numFmtId="39" fontId="39" fillId="0" borderId="9" xfId="1" applyNumberFormat="1" applyFont="1" applyBorder="1" applyAlignment="1">
      <alignment horizontal="center"/>
    </xf>
    <xf numFmtId="0" fontId="43" fillId="0" borderId="9" xfId="15" applyFont="1" applyFill="1" applyBorder="1" applyAlignment="1">
      <alignment horizontal="left" wrapText="1"/>
    </xf>
    <xf numFmtId="10" fontId="43" fillId="0" borderId="9" xfId="3" applyNumberFormat="1" applyFont="1" applyFill="1" applyBorder="1" applyAlignment="1">
      <alignment horizontal="center"/>
    </xf>
    <xf numFmtId="0" fontId="51" fillId="0" borderId="9" xfId="15" applyFont="1" applyBorder="1" applyAlignment="1">
      <alignment horizontal="left" vertical="center"/>
    </xf>
    <xf numFmtId="10" fontId="39" fillId="0" borderId="9" xfId="3" applyNumberFormat="1" applyFont="1" applyBorder="1" applyAlignment="1">
      <alignment horizontal="center"/>
    </xf>
    <xf numFmtId="37" fontId="43" fillId="0" borderId="9" xfId="1" applyNumberFormat="1" applyFont="1" applyFill="1" applyBorder="1" applyAlignment="1">
      <alignment horizontal="center"/>
    </xf>
    <xf numFmtId="37" fontId="39" fillId="0" borderId="9" xfId="1" applyNumberFormat="1" applyFont="1" applyBorder="1" applyAlignment="1">
      <alignment horizontal="center"/>
    </xf>
    <xf numFmtId="0" fontId="44" fillId="0" borderId="9" xfId="15" applyFont="1" applyFill="1" applyBorder="1" applyAlignment="1">
      <alignment horizontal="left"/>
    </xf>
    <xf numFmtId="0" fontId="51" fillId="0" borderId="9" xfId="15" applyFont="1" applyBorder="1" applyAlignment="1">
      <alignment horizontal="left"/>
    </xf>
    <xf numFmtId="37" fontId="28" fillId="0" borderId="9" xfId="1" applyNumberFormat="1" applyFont="1" applyBorder="1" applyAlignment="1">
      <alignment horizontal="center"/>
    </xf>
    <xf numFmtId="187" fontId="43" fillId="0" borderId="9" xfId="1" applyNumberFormat="1" applyFont="1" applyFill="1" applyBorder="1" applyAlignment="1">
      <alignment horizontal="center"/>
    </xf>
    <xf numFmtId="9" fontId="28" fillId="0" borderId="9" xfId="3" applyFont="1" applyBorder="1" applyAlignment="1">
      <alignment horizontal="center"/>
    </xf>
    <xf numFmtId="1" fontId="28" fillId="0" borderId="9" xfId="3" applyNumberFormat="1" applyFont="1" applyBorder="1" applyAlignment="1">
      <alignment horizontal="center"/>
    </xf>
    <xf numFmtId="165" fontId="44" fillId="0" borderId="9" xfId="15" applyNumberFormat="1" applyFont="1" applyFill="1" applyBorder="1" applyAlignment="1">
      <alignment horizontal="left" vertical="center"/>
    </xf>
    <xf numFmtId="165" fontId="51" fillId="0" borderId="9" xfId="15" applyNumberFormat="1" applyFont="1" applyBorder="1" applyAlignment="1">
      <alignment horizontal="left" vertical="center"/>
    </xf>
    <xf numFmtId="1" fontId="43" fillId="0" borderId="9" xfId="3" applyNumberFormat="1" applyFont="1" applyBorder="1" applyAlignment="1">
      <alignment horizontal="center"/>
    </xf>
    <xf numFmtId="171" fontId="24" fillId="0" borderId="9" xfId="7" applyNumberFormat="1" applyFont="1" applyFill="1" applyBorder="1" applyAlignment="1">
      <alignment horizontal="center"/>
    </xf>
    <xf numFmtId="0" fontId="0" fillId="5" borderId="9" xfId="0" applyFont="1" applyFill="1" applyBorder="1" applyAlignment="1">
      <alignment horizontal="center" vertical="center" wrapText="1"/>
    </xf>
    <xf numFmtId="0" fontId="1" fillId="0" borderId="9" xfId="7" applyBorder="1"/>
    <xf numFmtId="165" fontId="1" fillId="0" borderId="9" xfId="7" applyNumberFormat="1" applyFont="1" applyFill="1" applyBorder="1" applyAlignment="1">
      <alignment horizontal="left" vertical="center" wrapText="1"/>
    </xf>
    <xf numFmtId="0" fontId="24" fillId="0" borderId="0" xfId="0" applyFont="1" applyFill="1" applyBorder="1" applyAlignment="1">
      <alignment horizontal="center" vertical="center" wrapText="1"/>
    </xf>
    <xf numFmtId="165" fontId="0" fillId="0" borderId="9" xfId="7" applyNumberFormat="1" applyFont="1" applyFill="1" applyBorder="1" applyAlignment="1">
      <alignment horizontal="left" vertical="center" wrapText="1"/>
    </xf>
    <xf numFmtId="165" fontId="1" fillId="0" borderId="9" xfId="7" applyNumberFormat="1" applyFont="1" applyFill="1" applyBorder="1" applyAlignment="1">
      <alignment horizontal="center" vertical="center" wrapText="1"/>
    </xf>
    <xf numFmtId="0" fontId="1" fillId="0" borderId="0" xfId="7" applyFill="1" applyBorder="1"/>
    <xf numFmtId="171" fontId="1" fillId="5" borderId="9" xfId="7" applyNumberFormat="1" applyFont="1" applyFill="1" applyBorder="1" applyAlignment="1">
      <alignment horizontal="center"/>
    </xf>
    <xf numFmtId="0" fontId="0" fillId="0" borderId="9" xfId="0" applyFont="1" applyBorder="1" applyAlignment="1">
      <alignment horizontal="center" vertical="center" wrapText="1"/>
    </xf>
    <xf numFmtId="0" fontId="37" fillId="0" borderId="9" xfId="12" applyFont="1" applyFill="1" applyBorder="1" applyAlignment="1">
      <alignment horizontal="center"/>
    </xf>
    <xf numFmtId="165" fontId="0" fillId="0" borderId="9" xfId="0" applyNumberFormat="1" applyFont="1" applyBorder="1" applyAlignment="1">
      <alignment horizontal="center" vertical="center" wrapText="1"/>
    </xf>
    <xf numFmtId="0" fontId="24" fillId="0" borderId="0" xfId="7" applyFont="1" applyFill="1"/>
    <xf numFmtId="0" fontId="1" fillId="0" borderId="9" xfId="7" applyFill="1" applyBorder="1"/>
    <xf numFmtId="0" fontId="0" fillId="0" borderId="0" xfId="0" applyAlignment="1">
      <alignment vertical="center"/>
    </xf>
    <xf numFmtId="0" fontId="37" fillId="0" borderId="9" xfId="12" applyFont="1" applyFill="1" applyBorder="1" applyAlignment="1">
      <alignment horizontal="center" vertical="center"/>
    </xf>
    <xf numFmtId="0" fontId="0" fillId="5" borderId="9" xfId="0" applyFill="1" applyBorder="1" applyAlignment="1">
      <alignment horizontal="center" vertical="center" wrapText="1"/>
    </xf>
    <xf numFmtId="0" fontId="24" fillId="0" borderId="0" xfId="7" applyFont="1" applyFill="1" applyAlignment="1">
      <alignment vertical="center"/>
    </xf>
    <xf numFmtId="0" fontId="1" fillId="0" borderId="0" xfId="7" applyFill="1" applyAlignment="1">
      <alignment vertical="center"/>
    </xf>
    <xf numFmtId="0" fontId="1" fillId="0" borderId="9" xfId="7" applyFill="1" applyBorder="1" applyAlignment="1">
      <alignment vertical="center"/>
    </xf>
    <xf numFmtId="0" fontId="24" fillId="5" borderId="9" xfId="0" applyFont="1" applyFill="1" applyBorder="1" applyAlignment="1">
      <alignment horizontal="left" vertical="center" wrapText="1"/>
    </xf>
    <xf numFmtId="0" fontId="24" fillId="13" borderId="19" xfId="0" applyFont="1" applyFill="1" applyBorder="1" applyAlignment="1">
      <alignment horizontal="center" vertical="center" wrapText="1"/>
    </xf>
    <xf numFmtId="0" fontId="0" fillId="0" borderId="9" xfId="7" applyFont="1" applyBorder="1" applyAlignment="1">
      <alignment horizontal="left"/>
    </xf>
    <xf numFmtId="9" fontId="1" fillId="0" borderId="9" xfId="3" applyBorder="1" applyAlignment="1">
      <alignment horizontal="left"/>
    </xf>
    <xf numFmtId="0" fontId="1" fillId="0" borderId="9" xfId="7" applyBorder="1" applyAlignment="1">
      <alignment horizontal="center"/>
    </xf>
    <xf numFmtId="165" fontId="54" fillId="0" borderId="9" xfId="15" applyNumberFormat="1" applyFont="1" applyBorder="1" applyAlignment="1">
      <alignment horizontal="left" vertical="center"/>
    </xf>
    <xf numFmtId="165" fontId="54" fillId="13" borderId="9" xfId="15" applyNumberFormat="1" applyFont="1" applyFill="1" applyBorder="1" applyAlignment="1">
      <alignment horizontal="left" vertical="center"/>
    </xf>
    <xf numFmtId="9" fontId="1" fillId="13" borderId="0" xfId="3" applyFill="1" applyBorder="1" applyAlignment="1">
      <alignment horizontal="left"/>
    </xf>
    <xf numFmtId="0" fontId="1" fillId="13" borderId="0" xfId="7" applyFill="1" applyBorder="1"/>
    <xf numFmtId="0" fontId="1" fillId="0" borderId="0" xfId="7" applyBorder="1" applyAlignment="1">
      <alignment horizontal="center"/>
    </xf>
    <xf numFmtId="179" fontId="1" fillId="0" borderId="9" xfId="1" applyNumberFormat="1" applyBorder="1" applyAlignment="1">
      <alignment horizontal="left"/>
    </xf>
    <xf numFmtId="171" fontId="1" fillId="0" borderId="9" xfId="13" applyNumberFormat="1" applyFont="1" applyFill="1" applyBorder="1" applyAlignment="1">
      <alignment horizontal="center"/>
    </xf>
    <xf numFmtId="171" fontId="1" fillId="0" borderId="9" xfId="2" applyNumberFormat="1" applyBorder="1" applyAlignment="1">
      <alignment horizontal="left"/>
    </xf>
    <xf numFmtId="0" fontId="24" fillId="0" borderId="0" xfId="0" applyFont="1" applyFill="1" applyBorder="1" applyAlignment="1"/>
    <xf numFmtId="0" fontId="1" fillId="0" borderId="0" xfId="7" applyAlignment="1"/>
    <xf numFmtId="0" fontId="24" fillId="12" borderId="9" xfId="0" applyFont="1" applyFill="1" applyBorder="1" applyAlignment="1">
      <alignment horizontal="center" vertical="center"/>
    </xf>
    <xf numFmtId="0" fontId="0" fillId="5" borderId="9" xfId="0" applyFont="1" applyFill="1" applyBorder="1" applyAlignment="1">
      <alignment horizontal="center" vertical="center"/>
    </xf>
    <xf numFmtId="171" fontId="1" fillId="5" borderId="9" xfId="13" applyNumberFormat="1" applyFont="1" applyFill="1" applyBorder="1" applyAlignment="1">
      <alignment horizontal="center" vertical="center"/>
    </xf>
    <xf numFmtId="180" fontId="24" fillId="5" borderId="0" xfId="7" applyNumberFormat="1" applyFont="1" applyFill="1" applyAlignment="1">
      <alignment horizontal="center" vertical="center"/>
    </xf>
    <xf numFmtId="0" fontId="1" fillId="0" borderId="0" xfId="13" applyAlignment="1"/>
    <xf numFmtId="0" fontId="1" fillId="0" borderId="0" xfId="13" applyFill="1" applyAlignment="1">
      <alignment horizontal="center"/>
    </xf>
    <xf numFmtId="0" fontId="12" fillId="0" borderId="0" xfId="7" applyFont="1" applyAlignment="1"/>
    <xf numFmtId="0" fontId="24" fillId="12" borderId="9" xfId="0" applyFont="1" applyFill="1" applyBorder="1" applyAlignment="1">
      <alignment horizontal="left" vertical="center"/>
    </xf>
    <xf numFmtId="167" fontId="6" fillId="13" borderId="0" xfId="0" applyNumberFormat="1" applyFont="1" applyFill="1" applyAlignment="1">
      <alignment horizontal="center"/>
    </xf>
    <xf numFmtId="0" fontId="1" fillId="0" borderId="0" xfId="7" applyFill="1" applyAlignment="1"/>
    <xf numFmtId="165" fontId="24" fillId="0" borderId="9" xfId="7" applyNumberFormat="1" applyFont="1" applyFill="1" applyBorder="1" applyAlignment="1">
      <alignment horizontal="center" vertical="center"/>
    </xf>
    <xf numFmtId="165" fontId="5" fillId="0" borderId="9" xfId="7" applyNumberFormat="1" applyFont="1" applyFill="1" applyBorder="1" applyAlignment="1">
      <alignment horizontal="center" vertical="center"/>
    </xf>
    <xf numFmtId="165" fontId="24" fillId="0" borderId="9" xfId="7" applyNumberFormat="1" applyFont="1" applyFill="1" applyBorder="1" applyAlignment="1">
      <alignment horizontal="left" vertical="center" wrapText="1"/>
    </xf>
    <xf numFmtId="165" fontId="1" fillId="0" borderId="9" xfId="7" applyNumberFormat="1" applyFont="1" applyFill="1" applyBorder="1" applyAlignment="1">
      <alignment horizontal="center" vertical="center"/>
    </xf>
    <xf numFmtId="180" fontId="24" fillId="0" borderId="9" xfId="7" applyNumberFormat="1" applyFont="1" applyFill="1" applyBorder="1" applyAlignment="1">
      <alignment horizontal="center" vertical="center"/>
    </xf>
    <xf numFmtId="180" fontId="5" fillId="0" borderId="9" xfId="7" applyNumberFormat="1" applyFont="1" applyFill="1" applyBorder="1" applyAlignment="1">
      <alignment horizontal="center" vertical="center"/>
    </xf>
    <xf numFmtId="9" fontId="1" fillId="0" borderId="9" xfId="3" applyFont="1" applyFill="1" applyBorder="1" applyAlignment="1">
      <alignment horizontal="center" vertical="center"/>
    </xf>
    <xf numFmtId="171" fontId="24" fillId="0" borderId="9" xfId="13" applyNumberFormat="1" applyFont="1" applyFill="1" applyBorder="1" applyAlignment="1">
      <alignment horizontal="center" vertical="center"/>
    </xf>
    <xf numFmtId="0" fontId="24" fillId="0" borderId="9" xfId="0" applyFont="1" applyBorder="1" applyAlignment="1">
      <alignment horizontal="center" vertical="center"/>
    </xf>
    <xf numFmtId="0" fontId="0" fillId="0" borderId="9" xfId="0" applyFont="1" applyBorder="1" applyAlignment="1">
      <alignment horizontal="left" vertical="center" wrapText="1"/>
    </xf>
    <xf numFmtId="0" fontId="0" fillId="0" borderId="9" xfId="0" applyFont="1" applyFill="1" applyBorder="1" applyAlignment="1">
      <alignment horizontal="center" vertical="center"/>
    </xf>
    <xf numFmtId="0" fontId="1" fillId="0" borderId="9" xfId="7" applyFill="1" applyBorder="1" applyAlignment="1">
      <alignment horizontal="center" vertical="center"/>
    </xf>
    <xf numFmtId="0" fontId="24" fillId="12" borderId="19" xfId="0" applyFont="1" applyFill="1" applyBorder="1" applyAlignment="1">
      <alignment horizontal="left" vertical="center" wrapText="1"/>
    </xf>
    <xf numFmtId="0" fontId="24" fillId="12" borderId="19" xfId="0" applyFont="1" applyFill="1" applyBorder="1" applyAlignment="1">
      <alignment horizontal="left" vertical="center"/>
    </xf>
    <xf numFmtId="0" fontId="24" fillId="12" borderId="19" xfId="0" applyFont="1" applyFill="1" applyBorder="1" applyAlignment="1">
      <alignment horizontal="center" vertical="center"/>
    </xf>
    <xf numFmtId="0" fontId="55" fillId="0" borderId="4" xfId="0" applyFont="1" applyBorder="1" applyAlignment="1">
      <alignment horizontal="center" vertical="center" wrapText="1"/>
    </xf>
    <xf numFmtId="0" fontId="55" fillId="0" borderId="9" xfId="0" applyFont="1" applyBorder="1" applyAlignment="1">
      <alignment horizontal="center" vertical="center" wrapText="1"/>
    </xf>
    <xf numFmtId="3" fontId="55" fillId="0" borderId="9" xfId="0" applyNumberFormat="1" applyFont="1" applyBorder="1" applyAlignment="1">
      <alignment horizontal="center" vertical="center" wrapText="1"/>
    </xf>
    <xf numFmtId="3" fontId="55" fillId="0" borderId="19" xfId="0" applyNumberFormat="1" applyFont="1" applyBorder="1" applyAlignment="1">
      <alignment horizontal="center" vertical="center" wrapText="1"/>
    </xf>
    <xf numFmtId="0" fontId="56" fillId="0" borderId="4" xfId="0" applyFont="1" applyBorder="1" applyAlignment="1">
      <alignment horizontal="center" vertical="center" wrapText="1"/>
    </xf>
    <xf numFmtId="0" fontId="56" fillId="0" borderId="9" xfId="0" applyFont="1" applyBorder="1" applyAlignment="1">
      <alignment horizontal="center" vertical="center" wrapText="1"/>
    </xf>
    <xf numFmtId="3" fontId="56" fillId="0" borderId="9" xfId="0" applyNumberFormat="1" applyFont="1" applyBorder="1" applyAlignment="1">
      <alignment horizontal="center" vertical="center" wrapText="1"/>
    </xf>
    <xf numFmtId="3" fontId="56" fillId="0" borderId="14" xfId="0" applyNumberFormat="1" applyFont="1" applyBorder="1" applyAlignment="1">
      <alignment horizontal="center" vertical="center" wrapText="1"/>
    </xf>
    <xf numFmtId="0" fontId="55" fillId="0" borderId="27" xfId="0" applyFont="1" applyBorder="1" applyAlignment="1">
      <alignment horizontal="left" vertical="center" wrapText="1"/>
    </xf>
    <xf numFmtId="0" fontId="55" fillId="0" borderId="27" xfId="0" applyFont="1" applyBorder="1" applyAlignment="1">
      <alignment horizontal="center" vertical="center" wrapText="1"/>
    </xf>
    <xf numFmtId="0" fontId="1" fillId="0" borderId="0" xfId="7" applyFont="1" applyFill="1"/>
    <xf numFmtId="179" fontId="43" fillId="0" borderId="9" xfId="15" applyNumberFormat="1" applyFont="1" applyFill="1" applyBorder="1" applyAlignment="1">
      <alignment horizontal="center"/>
    </xf>
    <xf numFmtId="0" fontId="1" fillId="0" borderId="9" xfId="7" applyFont="1" applyFill="1" applyBorder="1"/>
    <xf numFmtId="2" fontId="1" fillId="0" borderId="9" xfId="7" applyNumberFormat="1" applyFont="1" applyFill="1" applyBorder="1" applyAlignment="1">
      <alignment horizontal="center"/>
    </xf>
    <xf numFmtId="165" fontId="24" fillId="0" borderId="9" xfId="7" applyNumberFormat="1" applyFont="1" applyFill="1" applyBorder="1" applyAlignment="1">
      <alignment horizontal="center"/>
    </xf>
    <xf numFmtId="0" fontId="24" fillId="5" borderId="9" xfId="0" applyNumberFormat="1" applyFont="1" applyFill="1" applyBorder="1" applyAlignment="1">
      <alignment horizontal="center"/>
    </xf>
    <xf numFmtId="165" fontId="43" fillId="0" borderId="9" xfId="15" applyNumberFormat="1" applyFont="1" applyBorder="1" applyAlignment="1">
      <alignment horizontal="center"/>
    </xf>
    <xf numFmtId="165" fontId="5" fillId="0" borderId="9" xfId="7" applyNumberFormat="1" applyFont="1" applyFill="1" applyBorder="1" applyAlignment="1">
      <alignment horizontal="left" vertical="center" wrapText="1"/>
    </xf>
    <xf numFmtId="0" fontId="24" fillId="0" borderId="9" xfId="7" applyFont="1" applyFill="1" applyBorder="1"/>
    <xf numFmtId="2" fontId="24" fillId="0" borderId="9" xfId="7" applyNumberFormat="1" applyFont="1" applyFill="1" applyBorder="1" applyAlignment="1">
      <alignment horizontal="center" vertical="center" wrapText="1"/>
    </xf>
    <xf numFmtId="165" fontId="29" fillId="0" borderId="9" xfId="7" applyNumberFormat="1" applyFont="1" applyFill="1" applyBorder="1" applyAlignment="1">
      <alignment horizontal="left" vertical="center" wrapText="1"/>
    </xf>
    <xf numFmtId="165" fontId="24" fillId="0" borderId="9" xfId="7" applyNumberFormat="1" applyFont="1" applyFill="1" applyBorder="1" applyAlignment="1">
      <alignment horizontal="center" vertical="center" wrapText="1"/>
    </xf>
    <xf numFmtId="165" fontId="1" fillId="5" borderId="9" xfId="7" applyNumberFormat="1" applyFont="1" applyFill="1" applyBorder="1" applyAlignment="1">
      <alignment horizontal="left" vertical="center" wrapText="1"/>
    </xf>
    <xf numFmtId="165" fontId="24" fillId="5" borderId="9" xfId="7" applyNumberFormat="1" applyFont="1" applyFill="1" applyBorder="1" applyAlignment="1">
      <alignment horizontal="left" vertical="center" wrapText="1"/>
    </xf>
    <xf numFmtId="165" fontId="5" fillId="5" borderId="9" xfId="7" applyNumberFormat="1" applyFont="1" applyFill="1" applyBorder="1" applyAlignment="1">
      <alignment horizontal="left" vertical="center" wrapText="1"/>
    </xf>
    <xf numFmtId="9" fontId="24" fillId="0" borderId="9" xfId="3" applyFont="1" applyFill="1" applyBorder="1" applyAlignment="1">
      <alignment horizontal="center" vertical="center" wrapText="1"/>
    </xf>
    <xf numFmtId="165" fontId="1" fillId="0" borderId="14" xfId="7" applyNumberFormat="1" applyFont="1" applyFill="1" applyBorder="1" applyAlignment="1">
      <alignment horizontal="left" vertical="center" wrapText="1"/>
    </xf>
    <xf numFmtId="9" fontId="1" fillId="0" borderId="14" xfId="3" applyFont="1" applyFill="1" applyBorder="1" applyAlignment="1">
      <alignment horizontal="left" vertical="center" wrapText="1"/>
    </xf>
    <xf numFmtId="0" fontId="1" fillId="0" borderId="14" xfId="7" applyFill="1" applyBorder="1"/>
    <xf numFmtId="9" fontId="5" fillId="0" borderId="9" xfId="3" applyFont="1" applyFill="1" applyBorder="1" applyAlignment="1">
      <alignment horizontal="left" vertical="center" wrapText="1"/>
    </xf>
    <xf numFmtId="0" fontId="24" fillId="0" borderId="9" xfId="7" applyFont="1" applyFill="1" applyBorder="1" applyAlignment="1"/>
    <xf numFmtId="165" fontId="1" fillId="0" borderId="27" xfId="7" applyNumberFormat="1" applyFont="1" applyFill="1" applyBorder="1" applyAlignment="1">
      <alignment horizontal="left" vertical="center" wrapText="1"/>
    </xf>
    <xf numFmtId="165" fontId="1" fillId="0" borderId="27" xfId="7" applyNumberFormat="1" applyFont="1" applyFill="1" applyBorder="1" applyAlignment="1">
      <alignment horizontal="center" vertical="center"/>
    </xf>
    <xf numFmtId="39" fontId="0" fillId="0" borderId="9" xfId="1" applyNumberFormat="1" applyFont="1" applyBorder="1" applyAlignment="1">
      <alignment horizontal="center"/>
    </xf>
    <xf numFmtId="0" fontId="0" fillId="5" borderId="0" xfId="0" applyFill="1"/>
    <xf numFmtId="187" fontId="24" fillId="5" borderId="9" xfId="0" applyNumberFormat="1" applyFont="1" applyFill="1" applyBorder="1" applyAlignment="1">
      <alignment horizontal="center" vertical="center" wrapText="1"/>
    </xf>
    <xf numFmtId="0" fontId="39" fillId="5" borderId="0" xfId="15" applyFill="1"/>
    <xf numFmtId="167" fontId="0" fillId="0" borderId="0" xfId="0" applyNumberFormat="1"/>
    <xf numFmtId="188" fontId="28" fillId="0" borderId="9" xfId="3" applyNumberFormat="1" applyFont="1" applyBorder="1" applyAlignment="1">
      <alignment horizontal="center"/>
    </xf>
    <xf numFmtId="9" fontId="43" fillId="0" borderId="9" xfId="3" applyFont="1" applyBorder="1" applyAlignment="1">
      <alignment horizontal="center"/>
    </xf>
    <xf numFmtId="2" fontId="43" fillId="0" borderId="9" xfId="3" applyNumberFormat="1" applyFont="1" applyFill="1" applyBorder="1" applyAlignment="1">
      <alignment horizontal="center"/>
    </xf>
    <xf numFmtId="0" fontId="43" fillId="0" borderId="9" xfId="15" applyFont="1" applyFill="1" applyBorder="1" applyAlignment="1">
      <alignment horizontal="center" wrapText="1"/>
    </xf>
    <xf numFmtId="2" fontId="43" fillId="0" borderId="9" xfId="3" applyNumberFormat="1" applyFont="1" applyBorder="1" applyAlignment="1">
      <alignment horizontal="center"/>
    </xf>
    <xf numFmtId="9" fontId="43" fillId="5" borderId="9" xfId="3" applyFont="1" applyFill="1" applyBorder="1" applyAlignment="1">
      <alignment horizontal="center"/>
    </xf>
    <xf numFmtId="188" fontId="28" fillId="5" borderId="9" xfId="3" applyNumberFormat="1" applyFont="1" applyFill="1" applyBorder="1" applyAlignment="1">
      <alignment horizontal="center"/>
    </xf>
    <xf numFmtId="165" fontId="24" fillId="5" borderId="9" xfId="15" applyNumberFormat="1" applyFont="1" applyFill="1" applyBorder="1" applyAlignment="1">
      <alignment horizontal="center"/>
    </xf>
    <xf numFmtId="0" fontId="44" fillId="0" borderId="9" xfId="15" applyFont="1" applyFill="1" applyBorder="1" applyAlignment="1">
      <alignment horizontal="left" vertical="center"/>
    </xf>
    <xf numFmtId="7" fontId="24" fillId="5" borderId="9" xfId="2" applyNumberFormat="1" applyFont="1" applyFill="1" applyBorder="1" applyAlignment="1">
      <alignment horizontal="center"/>
    </xf>
    <xf numFmtId="44" fontId="24" fillId="5" borderId="9" xfId="2" applyFont="1" applyFill="1" applyBorder="1" applyAlignment="1">
      <alignment horizontal="center"/>
    </xf>
    <xf numFmtId="7" fontId="43" fillId="0" borderId="9" xfId="2" applyNumberFormat="1" applyFont="1" applyFill="1" applyBorder="1" applyAlignment="1">
      <alignment horizontal="center"/>
    </xf>
    <xf numFmtId="7" fontId="43" fillId="5" borderId="9" xfId="2" applyNumberFormat="1" applyFont="1" applyFill="1" applyBorder="1" applyAlignment="1">
      <alignment horizontal="center"/>
    </xf>
    <xf numFmtId="44" fontId="43" fillId="5" borderId="9" xfId="2" applyFont="1" applyFill="1" applyBorder="1" applyAlignment="1">
      <alignment horizontal="center"/>
    </xf>
    <xf numFmtId="0" fontId="0" fillId="0" borderId="0" xfId="0" applyFont="1" applyAlignment="1"/>
    <xf numFmtId="0" fontId="24" fillId="0" borderId="9" xfId="0" applyFont="1" applyFill="1" applyBorder="1" applyAlignment="1">
      <alignment horizontal="center"/>
    </xf>
    <xf numFmtId="0" fontId="0" fillId="0" borderId="9" xfId="0" applyFont="1" applyBorder="1" applyAlignment="1">
      <alignment horizontal="left" vertical="center"/>
    </xf>
    <xf numFmtId="165" fontId="24" fillId="5" borderId="9" xfId="0" applyNumberFormat="1" applyFont="1" applyFill="1" applyBorder="1" applyAlignment="1">
      <alignment horizontal="center" vertical="center"/>
    </xf>
    <xf numFmtId="0" fontId="24" fillId="0" borderId="9" xfId="0" applyFont="1" applyFill="1" applyBorder="1" applyAlignment="1">
      <alignment horizontal="center" vertical="center"/>
    </xf>
    <xf numFmtId="184" fontId="24" fillId="0" borderId="9" xfId="1" applyNumberFormat="1" applyFont="1" applyFill="1" applyBorder="1" applyAlignment="1">
      <alignment horizontal="center"/>
    </xf>
    <xf numFmtId="180" fontId="24" fillId="0" borderId="9" xfId="0" applyNumberFormat="1" applyFont="1" applyFill="1" applyBorder="1" applyAlignment="1">
      <alignment horizontal="center" vertical="center"/>
    </xf>
    <xf numFmtId="0" fontId="24" fillId="0" borderId="9" xfId="15" applyFont="1" applyFill="1" applyBorder="1" applyAlignment="1">
      <alignment horizontal="center"/>
    </xf>
    <xf numFmtId="0" fontId="43" fillId="0" borderId="0" xfId="15" applyFont="1" applyAlignment="1"/>
    <xf numFmtId="0" fontId="0" fillId="0" borderId="0" xfId="0" applyAlignment="1">
      <alignment wrapText="1"/>
    </xf>
    <xf numFmtId="0" fontId="24" fillId="5" borderId="0" xfId="0" applyFont="1" applyFill="1" applyBorder="1" applyAlignment="1">
      <alignment horizontal="center" vertical="center"/>
    </xf>
    <xf numFmtId="0" fontId="0" fillId="0" borderId="9" xfId="0" applyFont="1" applyFill="1" applyBorder="1" applyAlignment="1">
      <alignment horizontal="left" vertical="center"/>
    </xf>
    <xf numFmtId="39" fontId="24" fillId="0" borderId="9" xfId="0" applyNumberFormat="1" applyFont="1" applyBorder="1" applyAlignment="1">
      <alignment horizontal="center" vertical="center"/>
    </xf>
    <xf numFmtId="39" fontId="0" fillId="0" borderId="9" xfId="0" applyNumberFormat="1" applyFont="1" applyBorder="1" applyAlignment="1">
      <alignment horizontal="center" vertical="center"/>
    </xf>
    <xf numFmtId="39" fontId="5" fillId="0" borderId="9" xfId="0" applyNumberFormat="1" applyFont="1" applyBorder="1" applyAlignment="1">
      <alignment horizontal="center" vertical="center"/>
    </xf>
    <xf numFmtId="0" fontId="0" fillId="0" borderId="9" xfId="0" applyFont="1" applyFill="1" applyBorder="1" applyAlignment="1">
      <alignment horizontal="left" vertical="center" wrapText="1"/>
    </xf>
    <xf numFmtId="165" fontId="0" fillId="0" borderId="9" xfId="0" applyNumberFormat="1" applyFont="1" applyBorder="1" applyAlignment="1">
      <alignment horizontal="center" vertical="center"/>
    </xf>
    <xf numFmtId="39" fontId="24" fillId="5" borderId="9" xfId="0" applyNumberFormat="1" applyFont="1" applyFill="1" applyBorder="1" applyAlignment="1">
      <alignment horizontal="center" vertical="center"/>
    </xf>
    <xf numFmtId="170" fontId="0" fillId="0" borderId="9" xfId="0" applyNumberFormat="1" applyFont="1" applyBorder="1" applyAlignment="1">
      <alignment horizontal="center" vertical="center"/>
    </xf>
    <xf numFmtId="0" fontId="0" fillId="0" borderId="9" xfId="0" applyFont="1" applyBorder="1" applyAlignment="1">
      <alignment horizontal="center" vertical="center"/>
    </xf>
    <xf numFmtId="3" fontId="0" fillId="0" borderId="9" xfId="0" applyNumberFormat="1" applyFont="1" applyBorder="1" applyAlignment="1">
      <alignment horizontal="center" vertical="center"/>
    </xf>
    <xf numFmtId="3" fontId="0" fillId="0" borderId="9" xfId="0" applyNumberFormat="1" applyFont="1" applyBorder="1" applyAlignment="1">
      <alignment horizontal="left" vertical="center"/>
    </xf>
    <xf numFmtId="0" fontId="5" fillId="0" borderId="9" xfId="0" applyFont="1" applyFill="1" applyBorder="1" applyAlignment="1">
      <alignment horizontal="center" vertical="center"/>
    </xf>
    <xf numFmtId="9" fontId="0" fillId="0" borderId="9" xfId="0" applyNumberFormat="1" applyFont="1" applyFill="1" applyBorder="1" applyAlignment="1">
      <alignment horizontal="center" vertical="center"/>
    </xf>
    <xf numFmtId="0" fontId="24" fillId="0" borderId="9" xfId="0" applyFont="1" applyFill="1" applyBorder="1" applyAlignment="1">
      <alignment horizontal="left" vertical="center"/>
    </xf>
    <xf numFmtId="9" fontId="5" fillId="0" borderId="9" xfId="0" applyNumberFormat="1" applyFont="1" applyFill="1" applyBorder="1" applyAlignment="1">
      <alignment horizontal="center" vertical="center"/>
    </xf>
    <xf numFmtId="9" fontId="5" fillId="0" borderId="9" xfId="3" applyFont="1" applyFill="1" applyBorder="1" applyAlignment="1">
      <alignment horizontal="center"/>
    </xf>
    <xf numFmtId="9" fontId="0" fillId="0" borderId="9" xfId="3" applyFont="1" applyBorder="1" applyAlignment="1">
      <alignment horizontal="center"/>
    </xf>
    <xf numFmtId="0" fontId="5" fillId="0" borderId="0" xfId="0" applyFont="1" applyAlignment="1">
      <alignment wrapText="1"/>
    </xf>
    <xf numFmtId="0" fontId="0" fillId="0" borderId="9" xfId="0" applyBorder="1" applyAlignment="1">
      <alignment horizontal="center"/>
    </xf>
    <xf numFmtId="165" fontId="0" fillId="0" borderId="9" xfId="0" applyNumberFormat="1" applyFont="1" applyFill="1" applyBorder="1" applyAlignment="1">
      <alignment horizontal="center" vertical="center" wrapText="1"/>
    </xf>
    <xf numFmtId="0" fontId="0" fillId="0" borderId="9" xfId="0" applyFont="1" applyFill="1" applyBorder="1" applyAlignment="1">
      <alignment horizontal="center" vertical="center" wrapText="1"/>
    </xf>
    <xf numFmtId="171" fontId="24" fillId="0" borderId="9" xfId="0" applyNumberFormat="1" applyFont="1" applyBorder="1" applyAlignment="1">
      <alignment horizontal="center" vertical="center" wrapText="1"/>
    </xf>
    <xf numFmtId="169" fontId="24" fillId="5" borderId="21" xfId="1" applyNumberFormat="1" applyFont="1" applyFill="1" applyBorder="1" applyAlignment="1" applyProtection="1">
      <alignment horizontal="right"/>
    </xf>
    <xf numFmtId="0" fontId="6" fillId="0" borderId="0" xfId="0" applyFont="1"/>
    <xf numFmtId="0" fontId="24" fillId="12" borderId="18" xfId="0" applyFont="1" applyFill="1" applyBorder="1" applyAlignment="1">
      <alignment horizontal="center" vertical="center" wrapText="1"/>
    </xf>
    <xf numFmtId="0" fontId="24" fillId="5" borderId="0" xfId="0" applyFont="1" applyFill="1" applyBorder="1" applyAlignment="1">
      <alignment horizontal="center" vertical="center" wrapText="1"/>
    </xf>
    <xf numFmtId="9" fontId="5" fillId="5" borderId="9" xfId="0" applyNumberFormat="1" applyFont="1" applyFill="1" applyBorder="1" applyAlignment="1">
      <alignment horizontal="center" vertical="center" wrapText="1"/>
    </xf>
    <xf numFmtId="9" fontId="0" fillId="5" borderId="9" xfId="0" applyNumberFormat="1"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9" fontId="0" fillId="0" borderId="9" xfId="0" applyNumberFormat="1" applyFont="1" applyFill="1" applyBorder="1" applyAlignment="1">
      <alignment horizontal="center" vertical="center" wrapText="1"/>
    </xf>
    <xf numFmtId="180" fontId="5" fillId="5" borderId="9" xfId="0" applyNumberFormat="1" applyFont="1" applyFill="1" applyBorder="1" applyAlignment="1">
      <alignment horizontal="center" vertical="center"/>
    </xf>
    <xf numFmtId="180" fontId="0" fillId="0" borderId="9" xfId="0" applyNumberFormat="1" applyFont="1" applyFill="1" applyBorder="1" applyAlignment="1">
      <alignment horizontal="center" vertical="center"/>
    </xf>
    <xf numFmtId="0" fontId="24" fillId="0" borderId="9" xfId="0" applyFont="1" applyFill="1" applyBorder="1" applyAlignment="1">
      <alignment horizontal="center" vertical="center" wrapText="1"/>
    </xf>
    <xf numFmtId="170" fontId="0" fillId="5" borderId="9" xfId="0" applyNumberFormat="1" applyFont="1" applyFill="1" applyBorder="1" applyAlignment="1">
      <alignment horizontal="center" vertical="center"/>
    </xf>
    <xf numFmtId="170" fontId="24" fillId="0" borderId="9" xfId="0" applyNumberFormat="1" applyFont="1" applyFill="1" applyBorder="1" applyAlignment="1">
      <alignment horizontal="center" vertical="center"/>
    </xf>
    <xf numFmtId="170" fontId="0" fillId="0" borderId="9" xfId="0" applyNumberFormat="1" applyFont="1" applyFill="1" applyBorder="1" applyAlignment="1">
      <alignment horizontal="center" vertical="center"/>
    </xf>
    <xf numFmtId="4" fontId="0" fillId="0" borderId="9" xfId="0" applyNumberFormat="1" applyFont="1" applyFill="1" applyBorder="1" applyAlignment="1">
      <alignment horizontal="center" vertical="center" wrapText="1"/>
    </xf>
    <xf numFmtId="3" fontId="0" fillId="5" borderId="9" xfId="0" applyNumberFormat="1" applyFont="1" applyFill="1" applyBorder="1" applyAlignment="1">
      <alignment horizontal="center" vertical="center" wrapText="1"/>
    </xf>
    <xf numFmtId="3" fontId="24" fillId="0" borderId="9" xfId="0" applyNumberFormat="1" applyFont="1" applyFill="1" applyBorder="1" applyAlignment="1">
      <alignment horizontal="center" vertical="center" wrapText="1"/>
    </xf>
    <xf numFmtId="3" fontId="0" fillId="0" borderId="9" xfId="0" applyNumberFormat="1" applyFont="1" applyBorder="1" applyAlignment="1">
      <alignment horizontal="center" vertical="center" wrapText="1"/>
    </xf>
    <xf numFmtId="188" fontId="5" fillId="5" borderId="9" xfId="0" applyNumberFormat="1" applyFont="1" applyFill="1" applyBorder="1" applyAlignment="1">
      <alignment horizontal="center" vertical="center" wrapText="1"/>
    </xf>
    <xf numFmtId="188" fontId="24" fillId="0" borderId="9" xfId="0" applyNumberFormat="1" applyFont="1" applyFill="1" applyBorder="1" applyAlignment="1">
      <alignment horizontal="center" vertical="center" wrapText="1"/>
    </xf>
    <xf numFmtId="10" fontId="0" fillId="0" borderId="9" xfId="0" applyNumberFormat="1" applyFont="1" applyFill="1" applyBorder="1" applyAlignment="1">
      <alignment horizontal="center" vertical="center" wrapText="1"/>
    </xf>
    <xf numFmtId="188" fontId="0" fillId="0" borderId="9" xfId="0" applyNumberFormat="1" applyFont="1" applyFill="1" applyBorder="1" applyAlignment="1">
      <alignment horizontal="center" vertical="center" wrapText="1"/>
    </xf>
    <xf numFmtId="188" fontId="0" fillId="5" borderId="9" xfId="0" applyNumberFormat="1" applyFont="1" applyFill="1" applyBorder="1" applyAlignment="1">
      <alignment horizontal="center" vertical="center" wrapText="1"/>
    </xf>
    <xf numFmtId="0" fontId="24" fillId="0" borderId="0" xfId="0" applyFont="1" applyFill="1" applyAlignment="1">
      <alignment horizontal="left"/>
    </xf>
    <xf numFmtId="0" fontId="24" fillId="5" borderId="0" xfId="0" applyFont="1" applyFill="1" applyBorder="1"/>
    <xf numFmtId="171" fontId="24" fillId="0" borderId="9" xfId="0" applyNumberFormat="1" applyFont="1" applyFill="1" applyBorder="1" applyAlignment="1">
      <alignment horizontal="center" vertical="center" wrapText="1"/>
    </xf>
    <xf numFmtId="39" fontId="24" fillId="5" borderId="0" xfId="1" applyNumberFormat="1" applyFont="1" applyFill="1" applyBorder="1" applyAlignment="1" applyProtection="1">
      <alignment horizontal="right"/>
    </xf>
    <xf numFmtId="10" fontId="5" fillId="5" borderId="9" xfId="0" applyNumberFormat="1" applyFont="1" applyFill="1" applyBorder="1" applyAlignment="1">
      <alignment horizontal="center" vertical="center" wrapText="1"/>
    </xf>
    <xf numFmtId="180" fontId="24" fillId="0" borderId="9" xfId="0" applyNumberFormat="1" applyFont="1" applyFill="1" applyBorder="1" applyAlignment="1">
      <alignment horizontal="center" vertical="center" wrapText="1"/>
    </xf>
    <xf numFmtId="170" fontId="5" fillId="5" borderId="9" xfId="0" applyNumberFormat="1" applyFont="1" applyFill="1" applyBorder="1" applyAlignment="1">
      <alignment horizontal="center" vertical="center"/>
    </xf>
    <xf numFmtId="3" fontId="0" fillId="0" borderId="9" xfId="0" applyNumberFormat="1" applyFont="1" applyFill="1" applyBorder="1" applyAlignment="1">
      <alignment horizontal="center" vertical="center" wrapText="1"/>
    </xf>
    <xf numFmtId="169" fontId="24" fillId="5" borderId="0" xfId="1" applyNumberFormat="1" applyFont="1" applyFill="1" applyBorder="1" applyAlignment="1" applyProtection="1">
      <alignment horizontal="right"/>
    </xf>
    <xf numFmtId="0" fontId="24" fillId="5" borderId="0" xfId="0" applyFont="1" applyFill="1" applyBorder="1" applyAlignment="1">
      <alignment wrapText="1"/>
    </xf>
    <xf numFmtId="165" fontId="0" fillId="0" borderId="9" xfId="13" applyNumberFormat="1" applyFont="1" applyFill="1" applyBorder="1" applyAlignment="1">
      <alignment horizontal="left" vertical="center" wrapText="1"/>
    </xf>
    <xf numFmtId="9" fontId="24" fillId="5" borderId="0" xfId="0" applyNumberFormat="1" applyFont="1" applyFill="1" applyBorder="1" applyAlignment="1">
      <alignment horizontal="center" vertical="center" wrapText="1"/>
    </xf>
    <xf numFmtId="9" fontId="24" fillId="5" borderId="9" xfId="0" applyNumberFormat="1" applyFont="1" applyFill="1" applyBorder="1" applyAlignment="1">
      <alignment horizontal="center" vertical="center" wrapText="1"/>
    </xf>
    <xf numFmtId="0" fontId="0" fillId="0" borderId="9" xfId="0" applyBorder="1" applyAlignment="1">
      <alignment horizontal="center" wrapText="1"/>
    </xf>
    <xf numFmtId="0" fontId="24" fillId="0" borderId="9" xfId="0" applyFont="1" applyBorder="1" applyAlignment="1">
      <alignment wrapText="1"/>
    </xf>
    <xf numFmtId="180" fontId="5" fillId="0" borderId="9" xfId="0" applyNumberFormat="1" applyFont="1" applyBorder="1" applyAlignment="1">
      <alignment horizontal="center" wrapText="1"/>
    </xf>
    <xf numFmtId="165" fontId="24" fillId="5" borderId="0" xfId="0" applyNumberFormat="1" applyFont="1" applyFill="1" applyBorder="1" applyAlignment="1">
      <alignment horizontal="center" vertical="center" wrapText="1"/>
    </xf>
    <xf numFmtId="3" fontId="24" fillId="5" borderId="0" xfId="0" applyNumberFormat="1" applyFont="1" applyFill="1" applyBorder="1" applyAlignment="1">
      <alignment horizontal="center" vertical="center" wrapText="1"/>
    </xf>
    <xf numFmtId="188" fontId="5" fillId="0" borderId="9" xfId="3" applyNumberFormat="1" applyFont="1" applyBorder="1" applyAlignment="1">
      <alignment horizontal="center" wrapText="1"/>
    </xf>
    <xf numFmtId="0" fontId="0" fillId="0" borderId="0" xfId="0" applyBorder="1"/>
    <xf numFmtId="0" fontId="24" fillId="0" borderId="0" xfId="0" applyFont="1" applyAlignment="1"/>
    <xf numFmtId="0" fontId="59" fillId="13" borderId="0" xfId="0" applyFont="1" applyFill="1"/>
    <xf numFmtId="167" fontId="59" fillId="13" borderId="0" xfId="0" applyNumberFormat="1" applyFont="1" applyFill="1"/>
    <xf numFmtId="0" fontId="24" fillId="13" borderId="0" xfId="0" applyFont="1" applyFill="1"/>
    <xf numFmtId="0" fontId="0" fillId="5" borderId="9" xfId="0" applyFont="1" applyFill="1" applyBorder="1" applyAlignment="1">
      <alignment horizontal="left" vertical="center"/>
    </xf>
    <xf numFmtId="180" fontId="0" fillId="5" borderId="9" xfId="0" applyNumberFormat="1" applyFill="1" applyBorder="1" applyAlignment="1">
      <alignment horizontal="center"/>
    </xf>
    <xf numFmtId="180" fontId="24" fillId="5" borderId="9" xfId="0" applyNumberFormat="1" applyFont="1" applyFill="1" applyBorder="1" applyAlignment="1">
      <alignment horizontal="center"/>
    </xf>
    <xf numFmtId="2" fontId="0" fillId="5" borderId="9" xfId="0" applyNumberFormat="1" applyFill="1" applyBorder="1" applyAlignment="1">
      <alignment horizontal="center"/>
    </xf>
    <xf numFmtId="2" fontId="60" fillId="5" borderId="9" xfId="0" applyNumberFormat="1" applyFont="1" applyFill="1" applyBorder="1" applyAlignment="1">
      <alignment horizontal="center"/>
    </xf>
    <xf numFmtId="2" fontId="24" fillId="0" borderId="9" xfId="0" applyNumberFormat="1" applyFont="1" applyFill="1" applyBorder="1" applyAlignment="1">
      <alignment horizontal="center" vertical="center" wrapText="1"/>
    </xf>
    <xf numFmtId="2" fontId="24" fillId="5" borderId="9" xfId="0" applyNumberFormat="1" applyFont="1" applyFill="1" applyBorder="1" applyAlignment="1">
      <alignment horizontal="center" vertical="center" wrapText="1"/>
    </xf>
    <xf numFmtId="179" fontId="24" fillId="0" borderId="9" xfId="0" applyNumberFormat="1" applyFont="1" applyFill="1" applyBorder="1" applyAlignment="1">
      <alignment horizontal="center" vertical="center" wrapText="1"/>
    </xf>
    <xf numFmtId="3" fontId="0" fillId="5" borderId="9" xfId="0" applyNumberFormat="1" applyFont="1" applyFill="1" applyBorder="1" applyAlignment="1">
      <alignment horizontal="left" vertical="center"/>
    </xf>
    <xf numFmtId="179" fontId="24" fillId="5" borderId="9" xfId="0" applyNumberFormat="1" applyFont="1" applyFill="1" applyBorder="1" applyAlignment="1">
      <alignment horizontal="center" vertical="center" wrapText="1"/>
    </xf>
    <xf numFmtId="0" fontId="24" fillId="0" borderId="0" xfId="0" applyFont="1" applyFill="1" applyAlignment="1">
      <alignment wrapText="1"/>
    </xf>
    <xf numFmtId="4" fontId="24" fillId="0" borderId="9" xfId="0" applyNumberFormat="1" applyFont="1" applyFill="1" applyBorder="1" applyAlignment="1">
      <alignment horizontal="center" vertical="center" wrapText="1"/>
    </xf>
    <xf numFmtId="4" fontId="24" fillId="5" borderId="9" xfId="0" applyNumberFormat="1" applyFont="1" applyFill="1" applyBorder="1" applyAlignment="1">
      <alignment horizontal="center" vertical="center" wrapText="1"/>
    </xf>
    <xf numFmtId="3" fontId="24" fillId="5" borderId="9" xfId="0" applyNumberFormat="1" applyFont="1" applyFill="1" applyBorder="1" applyAlignment="1">
      <alignment horizontal="center" vertical="center" wrapText="1"/>
    </xf>
    <xf numFmtId="188" fontId="24" fillId="5" borderId="9" xfId="0" applyNumberFormat="1" applyFont="1" applyFill="1" applyBorder="1" applyAlignment="1">
      <alignment horizontal="center" vertical="center" wrapText="1"/>
    </xf>
    <xf numFmtId="9" fontId="61" fillId="5" borderId="9" xfId="0" applyNumberFormat="1" applyFont="1" applyFill="1" applyBorder="1" applyAlignment="1">
      <alignment horizontal="center" vertical="center" wrapText="1"/>
    </xf>
    <xf numFmtId="10" fontId="24" fillId="5" borderId="9" xfId="0" applyNumberFormat="1" applyFont="1" applyFill="1" applyBorder="1" applyAlignment="1">
      <alignment horizontal="center" vertical="center" wrapText="1"/>
    </xf>
    <xf numFmtId="173" fontId="24" fillId="5" borderId="9" xfId="0" applyNumberFormat="1" applyFont="1" applyFill="1" applyBorder="1" applyAlignment="1">
      <alignment horizontal="center" vertical="center" wrapText="1"/>
    </xf>
    <xf numFmtId="39" fontId="24" fillId="0" borderId="9" xfId="1" applyNumberFormat="1" applyFont="1" applyFill="1" applyBorder="1" applyAlignment="1">
      <alignment horizontal="center" vertical="center" wrapText="1"/>
    </xf>
    <xf numFmtId="39" fontId="0" fillId="0" borderId="9" xfId="1" applyNumberFormat="1" applyFont="1" applyFill="1" applyBorder="1" applyAlignment="1">
      <alignment horizontal="center" vertical="center" wrapText="1"/>
    </xf>
    <xf numFmtId="39" fontId="24" fillId="5" borderId="9" xfId="1" applyNumberFormat="1" applyFont="1" applyFill="1" applyBorder="1" applyAlignment="1">
      <alignment horizontal="center" vertical="center" wrapText="1"/>
    </xf>
    <xf numFmtId="0" fontId="24" fillId="0" borderId="0" xfId="0" applyFont="1" applyAlignment="1">
      <alignment wrapText="1"/>
    </xf>
    <xf numFmtId="39" fontId="5" fillId="5" borderId="9" xfId="1" applyNumberFormat="1" applyFont="1" applyFill="1" applyBorder="1" applyAlignment="1">
      <alignment horizontal="center" vertical="center" wrapText="1"/>
    </xf>
    <xf numFmtId="171" fontId="24" fillId="5" borderId="9" xfId="0" applyNumberFormat="1" applyFont="1" applyFill="1" applyBorder="1" applyAlignment="1">
      <alignment horizontal="center" vertical="center" wrapText="1"/>
    </xf>
    <xf numFmtId="0" fontId="24" fillId="0" borderId="9" xfId="12" applyFont="1" applyFill="1" applyBorder="1" applyAlignment="1">
      <alignment horizontal="center"/>
    </xf>
    <xf numFmtId="0" fontId="24" fillId="12" borderId="27" xfId="0" applyFont="1" applyFill="1" applyBorder="1" applyAlignment="1">
      <alignment horizontal="left" vertical="center" wrapText="1"/>
    </xf>
    <xf numFmtId="0" fontId="24" fillId="12" borderId="27" xfId="0" applyFont="1" applyFill="1" applyBorder="1" applyAlignment="1">
      <alignment horizontal="center" vertical="center" wrapText="1"/>
    </xf>
    <xf numFmtId="2" fontId="0" fillId="5" borderId="9" xfId="0" applyNumberFormat="1" applyFont="1" applyFill="1" applyBorder="1" applyAlignment="1">
      <alignment horizontal="center" vertical="center" wrapText="1"/>
    </xf>
    <xf numFmtId="9" fontId="0" fillId="5" borderId="9" xfId="3" applyFont="1" applyFill="1" applyBorder="1" applyAlignment="1">
      <alignment horizontal="center" vertical="center" wrapText="1"/>
    </xf>
    <xf numFmtId="10" fontId="0" fillId="0" borderId="9" xfId="3" applyNumberFormat="1" applyFont="1" applyBorder="1" applyAlignment="1">
      <alignment horizontal="center"/>
    </xf>
    <xf numFmtId="10" fontId="0" fillId="5" borderId="9" xfId="3" applyNumberFormat="1" applyFont="1" applyFill="1" applyBorder="1" applyAlignment="1">
      <alignment horizontal="center" vertical="center" wrapText="1"/>
    </xf>
    <xf numFmtId="10" fontId="0" fillId="0" borderId="9" xfId="0" applyNumberFormat="1" applyFont="1" applyBorder="1"/>
    <xf numFmtId="165" fontId="24" fillId="0" borderId="9" xfId="15" applyNumberFormat="1" applyFont="1" applyFill="1" applyBorder="1" applyAlignment="1">
      <alignment horizontal="center"/>
    </xf>
    <xf numFmtId="7" fontId="24" fillId="0" borderId="9" xfId="2" applyNumberFormat="1" applyFont="1" applyFill="1" applyBorder="1" applyAlignment="1">
      <alignment horizontal="center"/>
    </xf>
    <xf numFmtId="0" fontId="24" fillId="11" borderId="18" xfId="0" applyFont="1" applyFill="1" applyBorder="1" applyAlignment="1">
      <alignment horizontal="left"/>
    </xf>
    <xf numFmtId="169" fontId="0" fillId="0" borderId="9" xfId="1" applyNumberFormat="1" applyFont="1" applyBorder="1" applyAlignment="1">
      <alignment horizontal="center"/>
    </xf>
    <xf numFmtId="0" fontId="24" fillId="5" borderId="0" xfId="0" applyFont="1" applyFill="1"/>
    <xf numFmtId="0" fontId="62" fillId="5" borderId="0" xfId="0" applyFont="1" applyFill="1"/>
    <xf numFmtId="0" fontId="63" fillId="5" borderId="0" xfId="0" applyFont="1" applyFill="1"/>
    <xf numFmtId="0" fontId="63" fillId="0" borderId="0" xfId="0" applyFont="1"/>
    <xf numFmtId="0" fontId="64" fillId="5" borderId="0" xfId="0" applyFont="1" applyFill="1"/>
    <xf numFmtId="0" fontId="24" fillId="12" borderId="19" xfId="0" applyFont="1" applyFill="1" applyBorder="1" applyAlignment="1">
      <alignment horizontal="center" vertical="center" wrapText="1"/>
    </xf>
    <xf numFmtId="9" fontId="5" fillId="0" borderId="4" xfId="3" applyFont="1" applyFill="1" applyBorder="1" applyAlignment="1">
      <alignment horizontal="center"/>
    </xf>
    <xf numFmtId="0" fontId="24" fillId="5" borderId="4" xfId="15" applyFont="1" applyFill="1" applyBorder="1" applyAlignment="1"/>
    <xf numFmtId="0" fontId="24" fillId="5" borderId="5" xfId="15" applyFont="1" applyFill="1" applyBorder="1"/>
    <xf numFmtId="9" fontId="0" fillId="0" borderId="4" xfId="3" applyFont="1" applyFill="1" applyBorder="1" applyAlignment="1">
      <alignment horizontal="center"/>
    </xf>
    <xf numFmtId="0" fontId="24" fillId="5" borderId="9" xfId="15" applyFont="1" applyFill="1" applyBorder="1" applyAlignment="1"/>
    <xf numFmtId="0" fontId="24" fillId="5" borderId="40" xfId="15" applyFont="1" applyFill="1" applyBorder="1"/>
    <xf numFmtId="0" fontId="24" fillId="5" borderId="10" xfId="15" applyFont="1" applyFill="1" applyBorder="1"/>
    <xf numFmtId="0" fontId="24" fillId="5" borderId="34" xfId="15" applyFont="1" applyFill="1" applyBorder="1"/>
    <xf numFmtId="9" fontId="5" fillId="0" borderId="14" xfId="3" applyFont="1" applyFill="1" applyBorder="1" applyAlignment="1">
      <alignment horizontal="center"/>
    </xf>
    <xf numFmtId="0" fontId="24" fillId="5" borderId="14" xfId="0" applyFont="1" applyFill="1" applyBorder="1"/>
    <xf numFmtId="0" fontId="24" fillId="5" borderId="15" xfId="15" applyFont="1" applyFill="1" applyBorder="1"/>
    <xf numFmtId="9" fontId="0" fillId="0" borderId="14" xfId="3" applyFont="1" applyFill="1" applyBorder="1" applyAlignment="1">
      <alignment horizontal="center"/>
    </xf>
    <xf numFmtId="0" fontId="65" fillId="5" borderId="3" xfId="15" applyFont="1" applyFill="1" applyBorder="1" applyAlignment="1">
      <alignment horizontal="left" vertical="center" wrapText="1"/>
    </xf>
    <xf numFmtId="0" fontId="24" fillId="5" borderId="4" xfId="15" applyFont="1" applyFill="1" applyBorder="1" applyAlignment="1">
      <alignment horizontal="left" vertical="center"/>
    </xf>
    <xf numFmtId="1" fontId="0" fillId="0" borderId="27" xfId="3" applyNumberFormat="1" applyFont="1" applyFill="1" applyBorder="1" applyAlignment="1">
      <alignment horizontal="center"/>
    </xf>
    <xf numFmtId="0" fontId="65" fillId="0" borderId="9" xfId="15" applyFont="1" applyBorder="1" applyAlignment="1">
      <alignment horizontal="left" vertical="center" wrapText="1"/>
    </xf>
    <xf numFmtId="0" fontId="65" fillId="5" borderId="13" xfId="15" applyFont="1" applyFill="1" applyBorder="1" applyAlignment="1">
      <alignment horizontal="left" vertical="center" wrapText="1"/>
    </xf>
    <xf numFmtId="0" fontId="24" fillId="5" borderId="14" xfId="15" applyFont="1" applyFill="1" applyBorder="1" applyAlignment="1">
      <alignment horizontal="left" vertical="center"/>
    </xf>
    <xf numFmtId="2" fontId="0" fillId="0" borderId="19" xfId="3" applyNumberFormat="1" applyFont="1" applyFill="1" applyBorder="1" applyAlignment="1">
      <alignment horizontal="center"/>
    </xf>
    <xf numFmtId="2" fontId="0" fillId="5" borderId="27" xfId="3" applyNumberFormat="1" applyFont="1" applyFill="1" applyBorder="1" applyAlignment="1">
      <alignment horizontal="center"/>
    </xf>
    <xf numFmtId="0" fontId="58" fillId="0" borderId="9" xfId="15" applyFont="1" applyBorder="1" applyAlignment="1">
      <alignment horizontal="left" vertical="center" wrapText="1"/>
    </xf>
    <xf numFmtId="2" fontId="0" fillId="0" borderId="27" xfId="3" applyNumberFormat="1" applyFont="1" applyBorder="1" applyAlignment="1">
      <alignment horizontal="center"/>
    </xf>
    <xf numFmtId="0" fontId="65" fillId="5" borderId="8" xfId="15" applyFont="1" applyFill="1" applyBorder="1" applyAlignment="1">
      <alignment horizontal="left" vertical="center" wrapText="1"/>
    </xf>
    <xf numFmtId="0" fontId="24" fillId="5" borderId="9" xfId="15" applyFont="1" applyFill="1" applyBorder="1" applyAlignment="1">
      <alignment horizontal="left" vertical="center"/>
    </xf>
    <xf numFmtId="0" fontId="24" fillId="5" borderId="9" xfId="15" applyFont="1" applyFill="1" applyBorder="1" applyAlignment="1">
      <alignment horizontal="center"/>
    </xf>
    <xf numFmtId="165" fontId="0" fillId="0" borderId="9" xfId="3" applyNumberFormat="1" applyFont="1" applyBorder="1" applyAlignment="1">
      <alignment horizontal="center"/>
    </xf>
    <xf numFmtId="9" fontId="0" fillId="5" borderId="19" xfId="3" applyFont="1" applyFill="1" applyBorder="1" applyAlignment="1">
      <alignment horizontal="center"/>
    </xf>
    <xf numFmtId="0" fontId="24" fillId="5" borderId="14" xfId="15" applyFont="1" applyFill="1" applyBorder="1" applyAlignment="1"/>
    <xf numFmtId="0" fontId="58" fillId="0" borderId="9" xfId="15" applyFont="1" applyFill="1" applyBorder="1" applyAlignment="1">
      <alignment horizontal="left" vertical="center" wrapText="1"/>
    </xf>
    <xf numFmtId="9" fontId="0" fillId="0" borderId="19" xfId="3" applyFont="1" applyFill="1" applyBorder="1" applyAlignment="1">
      <alignment horizontal="center"/>
    </xf>
    <xf numFmtId="9" fontId="0" fillId="0" borderId="4" xfId="3" applyFont="1" applyBorder="1" applyAlignment="1">
      <alignment horizontal="center"/>
    </xf>
    <xf numFmtId="0" fontId="24" fillId="5" borderId="27" xfId="15" applyFont="1" applyFill="1" applyBorder="1"/>
    <xf numFmtId="0" fontId="24" fillId="5" borderId="42" xfId="15" applyFont="1" applyFill="1" applyBorder="1"/>
    <xf numFmtId="9" fontId="0" fillId="0" borderId="27" xfId="3" applyFont="1" applyBorder="1" applyAlignment="1">
      <alignment horizontal="center"/>
    </xf>
    <xf numFmtId="0" fontId="24" fillId="5" borderId="9" xfId="15" applyFont="1" applyFill="1" applyBorder="1"/>
    <xf numFmtId="0" fontId="24" fillId="5" borderId="43" xfId="15" applyFont="1" applyFill="1" applyBorder="1"/>
    <xf numFmtId="9" fontId="0" fillId="0" borderId="19" xfId="3" applyFont="1" applyBorder="1" applyAlignment="1">
      <alignment horizontal="center"/>
    </xf>
    <xf numFmtId="0" fontId="24" fillId="5" borderId="19" xfId="15" applyFont="1" applyFill="1" applyBorder="1"/>
    <xf numFmtId="9" fontId="0" fillId="0" borderId="14" xfId="3" applyFont="1" applyBorder="1" applyAlignment="1">
      <alignment horizontal="center"/>
    </xf>
    <xf numFmtId="0" fontId="24" fillId="5" borderId="14" xfId="15" applyFont="1" applyFill="1" applyBorder="1"/>
    <xf numFmtId="169" fontId="0" fillId="0" borderId="4" xfId="1" applyNumberFormat="1" applyFont="1" applyBorder="1" applyAlignment="1">
      <alignment horizontal="center"/>
    </xf>
    <xf numFmtId="0" fontId="24" fillId="5" borderId="45" xfId="15" applyFont="1" applyFill="1" applyBorder="1"/>
    <xf numFmtId="0" fontId="24" fillId="0" borderId="9" xfId="15" applyFont="1" applyBorder="1" applyAlignment="1">
      <alignment horizontal="left" vertical="center" wrapText="1"/>
    </xf>
    <xf numFmtId="169" fontId="0" fillId="0" borderId="27" xfId="1" applyNumberFormat="1" applyFont="1" applyBorder="1" applyAlignment="1">
      <alignment horizontal="center"/>
    </xf>
    <xf numFmtId="2" fontId="24" fillId="0" borderId="16" xfId="0" applyNumberFormat="1" applyFont="1" applyFill="1" applyBorder="1" applyAlignment="1">
      <alignment wrapText="1"/>
    </xf>
    <xf numFmtId="2" fontId="24" fillId="0" borderId="18" xfId="0" applyNumberFormat="1" applyFont="1" applyFill="1" applyBorder="1" applyAlignment="1">
      <alignment wrapText="1"/>
    </xf>
    <xf numFmtId="44" fontId="24" fillId="0" borderId="9" xfId="2" applyNumberFormat="1" applyFont="1" applyFill="1" applyBorder="1" applyAlignment="1">
      <alignment horizontal="center"/>
    </xf>
    <xf numFmtId="44" fontId="24" fillId="0" borderId="9" xfId="2" applyFont="1" applyFill="1" applyBorder="1"/>
    <xf numFmtId="169" fontId="0" fillId="0" borderId="19" xfId="1" applyNumberFormat="1" applyFont="1" applyBorder="1" applyAlignment="1">
      <alignment horizontal="center"/>
    </xf>
    <xf numFmtId="169" fontId="0" fillId="0" borderId="14" xfId="1" applyNumberFormat="1" applyFont="1" applyBorder="1" applyAlignment="1">
      <alignment horizontal="center"/>
    </xf>
    <xf numFmtId="171" fontId="0" fillId="0" borderId="4" xfId="3" applyNumberFormat="1" applyFont="1" applyBorder="1" applyAlignment="1">
      <alignment horizontal="center"/>
    </xf>
    <xf numFmtId="171" fontId="0" fillId="0" borderId="27" xfId="3" applyNumberFormat="1" applyFont="1" applyBorder="1" applyAlignment="1">
      <alignment horizontal="center"/>
    </xf>
    <xf numFmtId="0" fontId="43" fillId="0" borderId="0" xfId="15" applyFont="1" applyFill="1" applyAlignment="1">
      <alignment horizontal="center"/>
    </xf>
    <xf numFmtId="171" fontId="0" fillId="0" borderId="9" xfId="3" applyNumberFormat="1" applyFont="1" applyBorder="1" applyAlignment="1">
      <alignment horizontal="center"/>
    </xf>
    <xf numFmtId="8" fontId="24" fillId="0" borderId="9" xfId="2" applyNumberFormat="1" applyFont="1" applyFill="1" applyBorder="1"/>
    <xf numFmtId="0" fontId="24" fillId="0" borderId="9" xfId="0" applyFont="1" applyFill="1" applyBorder="1"/>
    <xf numFmtId="44" fontId="43" fillId="0" borderId="0" xfId="15" applyNumberFormat="1" applyFont="1" applyFill="1"/>
    <xf numFmtId="188" fontId="24" fillId="0" borderId="9" xfId="3" applyNumberFormat="1" applyFont="1" applyFill="1" applyBorder="1"/>
    <xf numFmtId="171" fontId="0" fillId="0" borderId="19" xfId="3" applyNumberFormat="1" applyFont="1" applyBorder="1" applyAlignment="1">
      <alignment horizontal="center"/>
    </xf>
    <xf numFmtId="0" fontId="24" fillId="0" borderId="16" xfId="0" applyFont="1" applyFill="1" applyBorder="1" applyAlignment="1">
      <alignment horizontal="left"/>
    </xf>
    <xf numFmtId="0" fontId="24" fillId="0" borderId="18" xfId="0" applyFont="1" applyFill="1" applyBorder="1" applyAlignment="1">
      <alignment horizontal="left"/>
    </xf>
    <xf numFmtId="171" fontId="0" fillId="0" borderId="14" xfId="3" applyNumberFormat="1" applyFont="1" applyBorder="1" applyAlignment="1">
      <alignment horizontal="center"/>
    </xf>
    <xf numFmtId="0" fontId="0" fillId="5" borderId="0" xfId="0" applyFont="1" applyFill="1"/>
    <xf numFmtId="37" fontId="24" fillId="0" borderId="9" xfId="0" applyNumberFormat="1" applyFont="1" applyBorder="1" applyAlignment="1">
      <alignment horizontal="center"/>
    </xf>
    <xf numFmtId="5" fontId="24" fillId="5" borderId="9" xfId="2" applyNumberFormat="1" applyFont="1" applyFill="1" applyBorder="1" applyAlignment="1">
      <alignment horizontal="center"/>
    </xf>
    <xf numFmtId="2" fontId="0" fillId="5" borderId="9" xfId="0" applyNumberFormat="1" applyFont="1" applyFill="1" applyBorder="1" applyAlignment="1">
      <alignment horizontal="center"/>
    </xf>
    <xf numFmtId="168" fontId="0" fillId="0" borderId="9" xfId="1" applyNumberFormat="1" applyFont="1" applyBorder="1"/>
    <xf numFmtId="168" fontId="5" fillId="0" borderId="9" xfId="1" applyNumberFormat="1" applyFont="1" applyBorder="1"/>
    <xf numFmtId="0" fontId="24" fillId="0" borderId="0" xfId="0" applyFont="1" applyFill="1" applyBorder="1" applyAlignment="1">
      <alignment horizontal="left"/>
    </xf>
    <xf numFmtId="0" fontId="24" fillId="12" borderId="16" xfId="0" applyFont="1" applyFill="1" applyBorder="1" applyAlignment="1">
      <alignment horizontal="center" vertical="center" wrapText="1"/>
    </xf>
    <xf numFmtId="0" fontId="24" fillId="5" borderId="4" xfId="0" applyFont="1" applyFill="1" applyBorder="1" applyAlignment="1">
      <alignment horizontal="left" vertical="top" wrapText="1"/>
    </xf>
    <xf numFmtId="0" fontId="24" fillId="5" borderId="4" xfId="0" applyFont="1" applyFill="1" applyBorder="1"/>
    <xf numFmtId="0" fontId="24" fillId="5" borderId="5" xfId="0" applyFont="1" applyFill="1" applyBorder="1"/>
    <xf numFmtId="7" fontId="24" fillId="0" borderId="9" xfId="2" applyNumberFormat="1" applyFont="1" applyBorder="1" applyAlignment="1">
      <alignment horizontal="center"/>
    </xf>
    <xf numFmtId="44" fontId="24" fillId="0" borderId="9" xfId="2" applyFont="1" applyBorder="1"/>
    <xf numFmtId="7" fontId="24" fillId="0" borderId="0" xfId="0" applyNumberFormat="1" applyFont="1"/>
    <xf numFmtId="0" fontId="24" fillId="5" borderId="9" xfId="0" applyFont="1" applyFill="1" applyBorder="1" applyAlignment="1">
      <alignment horizontal="left" vertical="top" wrapText="1"/>
    </xf>
    <xf numFmtId="0" fontId="24" fillId="5" borderId="9" xfId="0" applyFont="1" applyFill="1" applyBorder="1"/>
    <xf numFmtId="0" fontId="24" fillId="5" borderId="10" xfId="0" applyFont="1" applyFill="1" applyBorder="1"/>
    <xf numFmtId="0" fontId="5" fillId="5" borderId="9" xfId="0" applyFont="1" applyFill="1" applyBorder="1" applyAlignment="1">
      <alignment horizontal="left" vertical="top" wrapText="1"/>
    </xf>
    <xf numFmtId="2" fontId="24" fillId="0" borderId="0" xfId="0" applyNumberFormat="1" applyFont="1" applyBorder="1" applyAlignment="1">
      <alignment wrapText="1"/>
    </xf>
    <xf numFmtId="0" fontId="24" fillId="0" borderId="0" xfId="0" applyFont="1" applyAlignment="1">
      <alignment horizontal="center"/>
    </xf>
    <xf numFmtId="44" fontId="24" fillId="0" borderId="9" xfId="2" applyNumberFormat="1" applyFont="1" applyBorder="1"/>
    <xf numFmtId="44" fontId="24" fillId="0" borderId="0" xfId="0" applyNumberFormat="1" applyFont="1"/>
    <xf numFmtId="0" fontId="24" fillId="0" borderId="16" xfId="0" applyFont="1" applyBorder="1" applyAlignment="1">
      <alignment horizontal="left"/>
    </xf>
    <xf numFmtId="0" fontId="24" fillId="0" borderId="18" xfId="0" applyFont="1" applyBorder="1" applyAlignment="1">
      <alignment horizontal="left"/>
    </xf>
    <xf numFmtId="0" fontId="24" fillId="0" borderId="9" xfId="0" applyFont="1" applyBorder="1"/>
    <xf numFmtId="0" fontId="24" fillId="5" borderId="14" xfId="0" applyFont="1" applyFill="1" applyBorder="1" applyAlignment="1">
      <alignment horizontal="left" vertical="top" wrapText="1"/>
    </xf>
    <xf numFmtId="0" fontId="24" fillId="5" borderId="15" xfId="0" applyFont="1" applyFill="1" applyBorder="1"/>
    <xf numFmtId="0" fontId="5" fillId="5" borderId="4" xfId="0" applyFont="1" applyFill="1" applyBorder="1" applyAlignment="1">
      <alignment horizontal="left" vertical="top" wrapText="1"/>
    </xf>
    <xf numFmtId="0" fontId="24" fillId="5" borderId="4" xfId="0" applyFont="1" applyFill="1" applyBorder="1" applyAlignment="1">
      <alignment horizontal="center"/>
    </xf>
    <xf numFmtId="0" fontId="24" fillId="5" borderId="9" xfId="0" applyFont="1" applyFill="1" applyBorder="1" applyAlignment="1">
      <alignment horizontal="center"/>
    </xf>
    <xf numFmtId="0" fontId="0" fillId="5" borderId="9" xfId="0" applyFont="1" applyFill="1" applyBorder="1" applyAlignment="1">
      <alignment horizontal="left" vertical="top" wrapText="1"/>
    </xf>
    <xf numFmtId="0" fontId="24" fillId="0" borderId="5" xfId="0" applyFont="1" applyFill="1" applyBorder="1"/>
    <xf numFmtId="0" fontId="24" fillId="0" borderId="10" xfId="0" applyFont="1" applyFill="1" applyBorder="1"/>
    <xf numFmtId="0" fontId="24" fillId="5" borderId="19" xfId="0" applyFont="1" applyFill="1" applyBorder="1"/>
    <xf numFmtId="0" fontId="24" fillId="5" borderId="19" xfId="0" applyFont="1" applyFill="1" applyBorder="1" applyAlignment="1">
      <alignment horizontal="left" vertical="top" wrapText="1"/>
    </xf>
    <xf numFmtId="0" fontId="24" fillId="5" borderId="34" xfId="0" applyFont="1" applyFill="1" applyBorder="1"/>
    <xf numFmtId="0" fontId="0" fillId="5" borderId="0" xfId="0" applyFont="1" applyFill="1" applyAlignment="1"/>
    <xf numFmtId="0" fontId="24" fillId="16" borderId="4" xfId="0" applyFont="1" applyFill="1" applyBorder="1" applyAlignment="1">
      <alignment horizontal="left" vertical="top"/>
    </xf>
    <xf numFmtId="9" fontId="24" fillId="5" borderId="4" xfId="0" applyNumberFormat="1" applyFont="1" applyFill="1" applyBorder="1" applyAlignment="1">
      <alignment horizontal="left" vertical="top"/>
    </xf>
    <xf numFmtId="0" fontId="24" fillId="5" borderId="4" xfId="0" applyFont="1" applyFill="1" applyBorder="1" applyAlignment="1"/>
    <xf numFmtId="0" fontId="24" fillId="5" borderId="5" xfId="0" applyFont="1" applyFill="1" applyBorder="1" applyAlignment="1"/>
    <xf numFmtId="0" fontId="24" fillId="16" borderId="9" xfId="0" applyFont="1" applyFill="1" applyBorder="1" applyAlignment="1">
      <alignment horizontal="left" vertical="top"/>
    </xf>
    <xf numFmtId="9" fontId="24" fillId="5" borderId="9" xfId="0" applyNumberFormat="1" applyFont="1" applyFill="1" applyBorder="1" applyAlignment="1">
      <alignment horizontal="left" vertical="top"/>
    </xf>
    <xf numFmtId="0" fontId="24" fillId="5" borderId="9" xfId="0" applyFont="1" applyFill="1" applyBorder="1" applyAlignment="1"/>
    <xf numFmtId="0" fontId="24" fillId="5" borderId="10" xfId="0" applyFont="1" applyFill="1" applyBorder="1" applyAlignment="1"/>
    <xf numFmtId="9" fontId="5" fillId="5" borderId="9" xfId="0" applyNumberFormat="1" applyFont="1" applyFill="1" applyBorder="1" applyAlignment="1">
      <alignment horizontal="left" vertical="top"/>
    </xf>
    <xf numFmtId="0" fontId="24" fillId="16" borderId="14" xfId="0" applyFont="1" applyFill="1" applyBorder="1" applyAlignment="1">
      <alignment horizontal="left" vertical="top"/>
    </xf>
    <xf numFmtId="0" fontId="24" fillId="5" borderId="14" xfId="0" applyFont="1" applyFill="1" applyBorder="1" applyAlignment="1"/>
    <xf numFmtId="0" fontId="24" fillId="5" borderId="15" xfId="0" applyFont="1" applyFill="1" applyBorder="1" applyAlignment="1"/>
    <xf numFmtId="9" fontId="24" fillId="5" borderId="14" xfId="0" applyNumberFormat="1" applyFont="1" applyFill="1" applyBorder="1" applyAlignment="1">
      <alignment horizontal="left" vertical="top"/>
    </xf>
    <xf numFmtId="39" fontId="24" fillId="5" borderId="4" xfId="1" applyNumberFormat="1" applyFont="1" applyFill="1" applyBorder="1" applyAlignment="1">
      <alignment horizontal="center" vertical="top"/>
    </xf>
    <xf numFmtId="39" fontId="24" fillId="5" borderId="9" xfId="1" applyNumberFormat="1" applyFont="1" applyFill="1" applyBorder="1" applyAlignment="1">
      <alignment horizontal="center" vertical="top"/>
    </xf>
    <xf numFmtId="39" fontId="24" fillId="5" borderId="14" xfId="1" applyNumberFormat="1" applyFont="1" applyFill="1" applyBorder="1" applyAlignment="1">
      <alignment horizontal="center" vertical="top"/>
    </xf>
    <xf numFmtId="5" fontId="5" fillId="5" borderId="9" xfId="2" applyNumberFormat="1" applyFont="1" applyFill="1" applyBorder="1" applyAlignment="1">
      <alignment horizontal="center"/>
    </xf>
    <xf numFmtId="7" fontId="5" fillId="5" borderId="9" xfId="2" applyNumberFormat="1" applyFont="1" applyFill="1" applyBorder="1" applyAlignment="1">
      <alignment horizontal="center"/>
    </xf>
    <xf numFmtId="5" fontId="24" fillId="5" borderId="14" xfId="2" applyNumberFormat="1" applyFont="1" applyFill="1" applyBorder="1" applyAlignment="1">
      <alignment horizontal="center"/>
    </xf>
    <xf numFmtId="0" fontId="24" fillId="11" borderId="17" xfId="0" applyFont="1" applyFill="1" applyBorder="1" applyAlignment="1">
      <alignment horizontal="center"/>
    </xf>
    <xf numFmtId="169" fontId="0" fillId="5" borderId="9" xfId="1" applyNumberFormat="1" applyFont="1" applyFill="1" applyBorder="1" applyAlignment="1">
      <alignment horizontal="center"/>
    </xf>
    <xf numFmtId="168" fontId="0" fillId="0" borderId="9" xfId="1" applyNumberFormat="1" applyFont="1" applyBorder="1" applyAlignment="1">
      <alignment horizontal="center"/>
    </xf>
    <xf numFmtId="168" fontId="0" fillId="0" borderId="9" xfId="0" applyNumberFormat="1" applyFont="1" applyBorder="1"/>
    <xf numFmtId="9" fontId="0" fillId="0" borderId="9" xfId="3" applyFont="1" applyFill="1" applyBorder="1" applyAlignment="1">
      <alignment horizontal="center" vertical="center" wrapText="1"/>
    </xf>
    <xf numFmtId="0" fontId="24" fillId="0" borderId="0" xfId="0" applyFont="1" applyAlignment="1">
      <alignment horizontal="left"/>
    </xf>
    <xf numFmtId="0" fontId="24" fillId="5" borderId="46" xfId="0" applyFont="1" applyFill="1" applyBorder="1" applyAlignment="1">
      <alignment horizontal="left" vertical="top" wrapText="1"/>
    </xf>
    <xf numFmtId="0" fontId="24" fillId="9" borderId="46" xfId="0" applyFont="1" applyFill="1" applyBorder="1"/>
    <xf numFmtId="0" fontId="24" fillId="16" borderId="5" xfId="0" applyFont="1" applyFill="1" applyBorder="1" applyAlignment="1">
      <alignment horizontal="left" vertical="top"/>
    </xf>
    <xf numFmtId="0" fontId="24" fillId="5" borderId="16" xfId="0" applyFont="1" applyFill="1" applyBorder="1" applyAlignment="1">
      <alignment horizontal="left" vertical="top" wrapText="1"/>
    </xf>
    <xf numFmtId="0" fontId="24" fillId="9" borderId="16" xfId="0" applyFont="1" applyFill="1" applyBorder="1" applyAlignment="1">
      <alignment horizontal="center"/>
    </xf>
    <xf numFmtId="0" fontId="24" fillId="16" borderId="10" xfId="0" applyFont="1" applyFill="1" applyBorder="1" applyAlignment="1">
      <alignment horizontal="left" vertical="top"/>
    </xf>
    <xf numFmtId="0" fontId="5" fillId="5" borderId="16" xfId="0" applyFont="1" applyFill="1" applyBorder="1" applyAlignment="1">
      <alignment horizontal="left" vertical="top" wrapText="1"/>
    </xf>
    <xf numFmtId="2" fontId="24" fillId="0" borderId="10" xfId="0" applyNumberFormat="1" applyFont="1" applyFill="1" applyBorder="1" applyAlignment="1"/>
    <xf numFmtId="2" fontId="24" fillId="0" borderId="15" xfId="0" applyNumberFormat="1" applyFont="1" applyFill="1" applyBorder="1" applyAlignment="1"/>
    <xf numFmtId="0" fontId="24" fillId="5" borderId="49" xfId="0" applyFont="1" applyFill="1" applyBorder="1" applyAlignment="1">
      <alignment horizontal="left" vertical="top" wrapText="1"/>
    </xf>
    <xf numFmtId="0" fontId="24" fillId="9" borderId="16" xfId="0" applyFont="1" applyFill="1" applyBorder="1"/>
    <xf numFmtId="2" fontId="24" fillId="9" borderId="16" xfId="0" applyNumberFormat="1" applyFont="1" applyFill="1" applyBorder="1" applyAlignment="1">
      <alignment wrapText="1"/>
    </xf>
    <xf numFmtId="0" fontId="24" fillId="9" borderId="49" xfId="0" applyFont="1" applyFill="1" applyBorder="1" applyAlignment="1">
      <alignment horizontal="left" vertical="top" wrapText="1"/>
    </xf>
    <xf numFmtId="0" fontId="24" fillId="16" borderId="15" xfId="0" applyFont="1" applyFill="1" applyBorder="1" applyAlignment="1">
      <alignment horizontal="left" vertical="top"/>
    </xf>
    <xf numFmtId="0" fontId="5" fillId="5" borderId="49" xfId="0" applyFont="1" applyFill="1" applyBorder="1" applyAlignment="1">
      <alignment horizontal="left" vertical="top" wrapText="1"/>
    </xf>
    <xf numFmtId="165" fontId="24" fillId="9" borderId="46" xfId="0" applyNumberFormat="1" applyFont="1" applyFill="1" applyBorder="1" applyAlignment="1">
      <alignment horizontal="center"/>
    </xf>
    <xf numFmtId="165" fontId="24" fillId="9" borderId="16" xfId="0" applyNumberFormat="1" applyFont="1" applyFill="1" applyBorder="1" applyAlignment="1">
      <alignment horizontal="center"/>
    </xf>
    <xf numFmtId="165" fontId="24" fillId="9" borderId="16" xfId="0" applyNumberFormat="1" applyFont="1" applyFill="1" applyBorder="1" applyAlignment="1">
      <alignment horizontal="center" wrapText="1"/>
    </xf>
    <xf numFmtId="165" fontId="24" fillId="9" borderId="49" xfId="0" applyNumberFormat="1" applyFont="1" applyFill="1" applyBorder="1" applyAlignment="1">
      <alignment horizontal="center" vertical="top" wrapText="1"/>
    </xf>
    <xf numFmtId="0" fontId="5" fillId="5" borderId="46" xfId="0" applyFont="1" applyFill="1" applyBorder="1" applyAlignment="1">
      <alignment horizontal="left" vertical="top" wrapText="1"/>
    </xf>
    <xf numFmtId="0" fontId="5" fillId="5" borderId="14" xfId="0" applyFont="1" applyFill="1" applyBorder="1" applyAlignment="1">
      <alignment horizontal="left" vertical="top" wrapText="1"/>
    </xf>
    <xf numFmtId="0" fontId="24" fillId="9" borderId="22" xfId="0" applyFont="1" applyFill="1" applyBorder="1" applyAlignment="1">
      <alignment horizontal="left" vertical="top" wrapText="1"/>
    </xf>
    <xf numFmtId="0" fontId="24" fillId="16" borderId="34" xfId="0" applyFont="1" applyFill="1" applyBorder="1" applyAlignment="1">
      <alignment horizontal="left" vertical="top"/>
    </xf>
    <xf numFmtId="9" fontId="24" fillId="5" borderId="27" xfId="0" applyNumberFormat="1" applyFont="1" applyFill="1" applyBorder="1" applyAlignment="1">
      <alignment horizontal="left" vertical="top" wrapText="1"/>
    </xf>
    <xf numFmtId="0" fontId="24" fillId="9" borderId="4" xfId="0" applyFont="1" applyFill="1" applyBorder="1" applyAlignment="1">
      <alignment horizontal="left" vertical="top" wrapText="1"/>
    </xf>
    <xf numFmtId="9" fontId="24" fillId="5" borderId="9" xfId="0" applyNumberFormat="1" applyFont="1" applyFill="1" applyBorder="1" applyAlignment="1">
      <alignment horizontal="left" vertical="top" wrapText="1"/>
    </xf>
    <xf numFmtId="0" fontId="24" fillId="9" borderId="9" xfId="0" applyFont="1" applyFill="1" applyBorder="1" applyAlignment="1">
      <alignment horizontal="left" vertical="top" wrapText="1"/>
    </xf>
    <xf numFmtId="9" fontId="24" fillId="5" borderId="14" xfId="0" applyNumberFormat="1" applyFont="1" applyFill="1" applyBorder="1" applyAlignment="1">
      <alignment horizontal="left" vertical="top" wrapText="1"/>
    </xf>
    <xf numFmtId="0" fontId="24" fillId="9" borderId="14" xfId="0" applyFont="1" applyFill="1" applyBorder="1" applyAlignment="1">
      <alignment horizontal="left" vertical="top" wrapText="1"/>
    </xf>
    <xf numFmtId="39" fontId="24" fillId="5" borderId="27" xfId="1" applyNumberFormat="1" applyFont="1" applyFill="1" applyBorder="1" applyAlignment="1">
      <alignment horizontal="center" vertical="top" wrapText="1"/>
    </xf>
    <xf numFmtId="39" fontId="24" fillId="5" borderId="27" xfId="1" applyNumberFormat="1" applyFont="1" applyFill="1" applyBorder="1" applyAlignment="1">
      <alignment horizontal="left" vertical="top" wrapText="1"/>
    </xf>
    <xf numFmtId="39" fontId="24" fillId="5" borderId="9" xfId="1" applyNumberFormat="1" applyFont="1" applyFill="1" applyBorder="1" applyAlignment="1">
      <alignment horizontal="center" vertical="top" wrapText="1"/>
    </xf>
    <xf numFmtId="39" fontId="24" fillId="5" borderId="9" xfId="1" applyNumberFormat="1" applyFont="1" applyFill="1" applyBorder="1" applyAlignment="1">
      <alignment horizontal="left" vertical="top" wrapText="1"/>
    </xf>
    <xf numFmtId="39" fontId="24" fillId="5" borderId="14" xfId="1" applyNumberFormat="1" applyFont="1" applyFill="1" applyBorder="1" applyAlignment="1">
      <alignment horizontal="center" vertical="top" wrapText="1"/>
    </xf>
    <xf numFmtId="39" fontId="24" fillId="5" borderId="14" xfId="1" applyNumberFormat="1" applyFont="1" applyFill="1" applyBorder="1" applyAlignment="1">
      <alignment horizontal="left" vertical="top" wrapText="1"/>
    </xf>
    <xf numFmtId="7" fontId="24" fillId="5" borderId="4" xfId="2" applyNumberFormat="1" applyFont="1" applyFill="1" applyBorder="1" applyAlignment="1">
      <alignment horizontal="left" vertical="top" wrapText="1"/>
    </xf>
    <xf numFmtId="7" fontId="24" fillId="5" borderId="9" xfId="2" applyNumberFormat="1" applyFont="1" applyFill="1" applyBorder="1" applyAlignment="1">
      <alignment horizontal="left"/>
    </xf>
    <xf numFmtId="7" fontId="5" fillId="5" borderId="9" xfId="2" applyNumberFormat="1" applyFont="1" applyFill="1" applyBorder="1" applyAlignment="1">
      <alignment horizontal="left"/>
    </xf>
    <xf numFmtId="7" fontId="24" fillId="5" borderId="9" xfId="2" applyNumberFormat="1" applyFont="1" applyFill="1" applyBorder="1" applyAlignment="1">
      <alignment horizontal="left" vertical="top" wrapText="1"/>
    </xf>
    <xf numFmtId="7" fontId="24" fillId="5" borderId="9" xfId="2" applyNumberFormat="1" applyFont="1" applyFill="1" applyBorder="1" applyAlignment="1">
      <alignment horizontal="left" vertical="center" wrapText="1"/>
    </xf>
    <xf numFmtId="7" fontId="5" fillId="5" borderId="9" xfId="2" applyNumberFormat="1" applyFont="1" applyFill="1" applyBorder="1" applyAlignment="1">
      <alignment horizontal="left" vertical="center" wrapText="1"/>
    </xf>
    <xf numFmtId="7" fontId="24" fillId="0" borderId="9" xfId="2" applyNumberFormat="1" applyFont="1" applyFill="1" applyBorder="1" applyAlignment="1">
      <alignment horizontal="left" vertical="center" wrapText="1"/>
    </xf>
    <xf numFmtId="7" fontId="24" fillId="5" borderId="14" xfId="2" applyNumberFormat="1" applyFont="1" applyFill="1" applyBorder="1" applyAlignment="1">
      <alignment horizontal="left" vertical="top" wrapText="1"/>
    </xf>
    <xf numFmtId="169" fontId="0" fillId="5" borderId="9" xfId="1" quotePrefix="1" applyNumberFormat="1" applyFont="1" applyFill="1" applyBorder="1" applyAlignment="1">
      <alignment horizontal="center" vertical="center" wrapText="1"/>
    </xf>
    <xf numFmtId="8" fontId="24" fillId="0" borderId="0" xfId="0" applyNumberFormat="1" applyFont="1" applyFill="1"/>
    <xf numFmtId="0" fontId="24" fillId="16" borderId="5" xfId="0" applyFont="1" applyFill="1" applyBorder="1" applyAlignment="1">
      <alignment horizontal="left" vertical="top" wrapText="1"/>
    </xf>
    <xf numFmtId="0" fontId="24" fillId="16" borderId="10" xfId="0" applyFont="1" applyFill="1" applyBorder="1" applyAlignment="1">
      <alignment horizontal="left" vertical="top" wrapText="1"/>
    </xf>
    <xf numFmtId="0" fontId="24" fillId="16" borderId="15" xfId="0" applyFont="1" applyFill="1" applyBorder="1" applyAlignment="1">
      <alignment horizontal="left" vertical="top" wrapText="1"/>
    </xf>
    <xf numFmtId="0" fontId="24" fillId="16" borderId="4" xfId="0" applyFont="1" applyFill="1" applyBorder="1" applyAlignment="1">
      <alignment horizontal="left" vertical="top" wrapText="1"/>
    </xf>
    <xf numFmtId="9" fontId="24" fillId="5" borderId="4" xfId="3" applyFont="1" applyFill="1" applyBorder="1" applyAlignment="1">
      <alignment horizontal="left" vertical="top" wrapText="1"/>
    </xf>
    <xf numFmtId="0" fontId="24" fillId="16" borderId="9" xfId="0" applyFont="1" applyFill="1" applyBorder="1" applyAlignment="1">
      <alignment horizontal="left" vertical="top" wrapText="1"/>
    </xf>
    <xf numFmtId="9" fontId="24" fillId="5" borderId="9" xfId="3" applyFont="1" applyFill="1" applyBorder="1" applyAlignment="1">
      <alignment horizontal="left" vertical="top" wrapText="1"/>
    </xf>
    <xf numFmtId="2" fontId="24" fillId="5" borderId="10" xfId="0" applyNumberFormat="1" applyFont="1" applyFill="1" applyBorder="1" applyAlignment="1">
      <alignment wrapText="1"/>
    </xf>
    <xf numFmtId="0" fontId="24" fillId="16" borderId="14" xfId="0" applyFont="1" applyFill="1" applyBorder="1" applyAlignment="1">
      <alignment horizontal="left" vertical="top" wrapText="1"/>
    </xf>
    <xf numFmtId="9" fontId="24" fillId="5" borderId="14" xfId="3" applyFont="1" applyFill="1" applyBorder="1" applyAlignment="1">
      <alignment horizontal="left" vertical="top" wrapText="1"/>
    </xf>
    <xf numFmtId="2" fontId="24" fillId="5" borderId="15" xfId="0" applyNumberFormat="1" applyFont="1" applyFill="1" applyBorder="1" applyAlignment="1">
      <alignment wrapText="1"/>
    </xf>
    <xf numFmtId="39" fontId="24" fillId="5" borderId="4" xfId="1" applyNumberFormat="1" applyFont="1" applyFill="1" applyBorder="1" applyAlignment="1">
      <alignment horizontal="left" vertical="top" wrapText="1"/>
    </xf>
    <xf numFmtId="9" fontId="24" fillId="5" borderId="0" xfId="3" applyFont="1" applyFill="1" applyBorder="1" applyAlignment="1">
      <alignment horizontal="left" vertical="top" wrapText="1"/>
    </xf>
    <xf numFmtId="0" fontId="24" fillId="16" borderId="0" xfId="0" applyFont="1" applyFill="1" applyBorder="1" applyAlignment="1">
      <alignment horizontal="left" vertical="top" wrapText="1"/>
    </xf>
    <xf numFmtId="0" fontId="0" fillId="5" borderId="9" xfId="0" applyFont="1" applyFill="1" applyBorder="1" applyAlignment="1">
      <alignment horizontal="center"/>
    </xf>
    <xf numFmtId="169" fontId="24" fillId="5" borderId="9" xfId="1" quotePrefix="1" applyNumberFormat="1" applyFont="1" applyFill="1" applyBorder="1" applyAlignment="1">
      <alignment horizontal="center" vertical="center" wrapText="1"/>
    </xf>
    <xf numFmtId="169" fontId="0" fillId="0" borderId="9" xfId="0" applyNumberFormat="1" applyFont="1" applyBorder="1"/>
    <xf numFmtId="169" fontId="5" fillId="5" borderId="9" xfId="1" quotePrefix="1" applyNumberFormat="1" applyFont="1" applyFill="1" applyBorder="1" applyAlignment="1">
      <alignment horizontal="center" vertical="center" wrapText="1"/>
    </xf>
    <xf numFmtId="169" fontId="24" fillId="5" borderId="9" xfId="0" applyNumberFormat="1" applyFont="1" applyFill="1" applyBorder="1" applyAlignment="1">
      <alignment horizontal="center" vertical="center" wrapText="1"/>
    </xf>
    <xf numFmtId="169" fontId="5" fillId="5" borderId="9" xfId="0" applyNumberFormat="1" applyFont="1" applyFill="1" applyBorder="1" applyAlignment="1">
      <alignment horizontal="center" vertical="center" wrapText="1"/>
    </xf>
    <xf numFmtId="0" fontId="0" fillId="5" borderId="0" xfId="0" applyFont="1" applyFill="1" applyBorder="1" applyAlignment="1">
      <alignment wrapText="1"/>
    </xf>
    <xf numFmtId="0" fontId="24" fillId="5" borderId="27" xfId="0" applyFont="1" applyFill="1" applyBorder="1" applyAlignment="1">
      <alignment horizontal="left" vertical="top" wrapText="1"/>
    </xf>
    <xf numFmtId="0" fontId="24" fillId="0" borderId="9" xfId="0" applyFont="1" applyBorder="1" applyAlignment="1">
      <alignment horizontal="left" vertical="center" wrapText="1"/>
    </xf>
    <xf numFmtId="0" fontId="24" fillId="5" borderId="4" xfId="0" applyFont="1" applyFill="1" applyBorder="1" applyAlignment="1">
      <alignment horizontal="left" vertical="top" wrapText="1"/>
    </xf>
    <xf numFmtId="0" fontId="24" fillId="5" borderId="46" xfId="0" applyFont="1" applyFill="1" applyBorder="1"/>
    <xf numFmtId="0" fontId="24" fillId="5" borderId="5" xfId="0" applyFont="1" applyFill="1" applyBorder="1" applyAlignment="1">
      <alignment horizontal="left" vertical="top" wrapText="1"/>
    </xf>
    <xf numFmtId="0" fontId="24" fillId="5" borderId="9" xfId="0" applyFont="1" applyFill="1" applyBorder="1" applyAlignment="1">
      <alignment horizontal="left" vertical="top" wrapText="1"/>
    </xf>
    <xf numFmtId="0" fontId="24" fillId="5" borderId="16" xfId="0" applyFont="1" applyFill="1" applyBorder="1"/>
    <xf numFmtId="0" fontId="24" fillId="5" borderId="10" xfId="0" applyFont="1" applyFill="1" applyBorder="1" applyAlignment="1">
      <alignment horizontal="left" vertical="top" wrapText="1"/>
    </xf>
    <xf numFmtId="2" fontId="24" fillId="5" borderId="16" xfId="0" applyNumberFormat="1" applyFont="1" applyFill="1" applyBorder="1" applyAlignment="1">
      <alignment wrapText="1"/>
    </xf>
    <xf numFmtId="0" fontId="24" fillId="5" borderId="46" xfId="0" applyFont="1" applyFill="1" applyBorder="1" applyAlignment="1">
      <alignment horizontal="left" vertical="top" wrapText="1"/>
    </xf>
    <xf numFmtId="0" fontId="24" fillId="5" borderId="16" xfId="0" applyFont="1" applyFill="1" applyBorder="1" applyAlignment="1">
      <alignment horizontal="left" vertical="top" wrapText="1"/>
    </xf>
    <xf numFmtId="0" fontId="24" fillId="5" borderId="17" xfId="0" applyFont="1" applyFill="1" applyBorder="1" applyAlignment="1">
      <alignment horizontal="left" vertical="top" wrapText="1"/>
    </xf>
    <xf numFmtId="0" fontId="24" fillId="5" borderId="18" xfId="0" applyFont="1" applyFill="1" applyBorder="1" applyAlignment="1">
      <alignment horizontal="left" vertical="top" wrapText="1"/>
    </xf>
    <xf numFmtId="0" fontId="24" fillId="5" borderId="49" xfId="0" applyFont="1" applyFill="1" applyBorder="1" applyAlignment="1">
      <alignment horizontal="left" vertical="top" wrapText="1"/>
    </xf>
    <xf numFmtId="2" fontId="24" fillId="5" borderId="49" xfId="0" applyNumberFormat="1" applyFont="1" applyFill="1" applyBorder="1" applyAlignment="1">
      <alignment wrapText="1"/>
    </xf>
    <xf numFmtId="0" fontId="24" fillId="5" borderId="15" xfId="0" applyFont="1" applyFill="1" applyBorder="1" applyAlignment="1">
      <alignment horizontal="left" vertical="top" wrapText="1"/>
    </xf>
    <xf numFmtId="37" fontId="5" fillId="5" borderId="9" xfId="1" quotePrefix="1" applyNumberFormat="1" applyFont="1" applyFill="1" applyBorder="1" applyAlignment="1">
      <alignment horizontal="center" vertical="center" wrapText="1"/>
    </xf>
    <xf numFmtId="7" fontId="24" fillId="0" borderId="9" xfId="2" applyNumberFormat="1" applyFont="1" applyBorder="1" applyAlignment="1">
      <alignment horizontal="center" vertical="center" wrapText="1"/>
    </xf>
    <xf numFmtId="169" fontId="24" fillId="0" borderId="9" xfId="1" applyNumberFormat="1" applyFont="1" applyBorder="1" applyAlignment="1">
      <alignment horizontal="center" vertical="center" wrapText="1"/>
    </xf>
    <xf numFmtId="182" fontId="0" fillId="5" borderId="9" xfId="1" quotePrefix="1" applyNumberFormat="1" applyFont="1" applyFill="1" applyBorder="1" applyAlignment="1">
      <alignment horizontal="center" vertical="center" wrapText="1"/>
    </xf>
    <xf numFmtId="37" fontId="24" fillId="5" borderId="9" xfId="1" quotePrefix="1" applyNumberFormat="1" applyFont="1" applyFill="1" applyBorder="1" applyAlignment="1">
      <alignment horizontal="center" vertical="center" wrapText="1"/>
    </xf>
    <xf numFmtId="37" fontId="0" fillId="5" borderId="9" xfId="1" quotePrefix="1" applyNumberFormat="1" applyFont="1" applyFill="1" applyBorder="1" applyAlignment="1">
      <alignment horizontal="center" vertical="center" wrapText="1"/>
    </xf>
    <xf numFmtId="185" fontId="0" fillId="5" borderId="9" xfId="1" quotePrefix="1" applyNumberFormat="1" applyFont="1" applyFill="1" applyBorder="1" applyAlignment="1">
      <alignment horizontal="center" vertical="center" wrapText="1"/>
    </xf>
    <xf numFmtId="183" fontId="0" fillId="0" borderId="0" xfId="0" applyNumberFormat="1" applyFont="1"/>
    <xf numFmtId="6" fontId="0" fillId="5" borderId="0" xfId="0" applyNumberFormat="1" applyFont="1" applyFill="1" applyBorder="1" applyAlignment="1">
      <alignment wrapText="1"/>
    </xf>
    <xf numFmtId="2" fontId="24" fillId="5" borderId="4" xfId="0" applyNumberFormat="1" applyFont="1" applyFill="1" applyBorder="1" applyAlignment="1">
      <alignment horizontal="center"/>
    </xf>
    <xf numFmtId="1" fontId="24" fillId="5" borderId="5" xfId="0" applyNumberFormat="1" applyFont="1" applyFill="1" applyBorder="1" applyAlignment="1">
      <alignment horizontal="left"/>
    </xf>
    <xf numFmtId="0" fontId="24" fillId="0" borderId="0" xfId="0" applyFont="1" applyBorder="1" applyAlignment="1"/>
    <xf numFmtId="6" fontId="24" fillId="0" borderId="0" xfId="0" applyNumberFormat="1" applyFont="1" applyAlignment="1">
      <alignment horizontal="left"/>
    </xf>
    <xf numFmtId="1" fontId="24" fillId="5" borderId="10" xfId="0" applyNumberFormat="1" applyFont="1" applyFill="1" applyBorder="1" applyAlignment="1">
      <alignment horizontal="left"/>
    </xf>
    <xf numFmtId="2" fontId="24" fillId="0" borderId="9" xfId="0" applyNumberFormat="1" applyFont="1" applyBorder="1" applyAlignment="1">
      <alignment wrapText="1"/>
    </xf>
    <xf numFmtId="171" fontId="24" fillId="0" borderId="9" xfId="0" applyNumberFormat="1" applyFont="1" applyBorder="1" applyAlignment="1"/>
    <xf numFmtId="171" fontId="24" fillId="5" borderId="9" xfId="2" applyNumberFormat="1" applyFont="1" applyFill="1" applyBorder="1" applyAlignment="1">
      <alignment horizontal="center"/>
    </xf>
    <xf numFmtId="0" fontId="24" fillId="5" borderId="0" xfId="0" applyFont="1" applyFill="1" applyBorder="1" applyAlignment="1"/>
    <xf numFmtId="5" fontId="24" fillId="0" borderId="9" xfId="2" applyNumberFormat="1" applyFont="1" applyBorder="1" applyAlignment="1">
      <alignment horizontal="center"/>
    </xf>
    <xf numFmtId="0" fontId="24" fillId="0" borderId="0" xfId="0" applyFont="1" applyBorder="1" applyAlignment="1">
      <alignment wrapText="1"/>
    </xf>
    <xf numFmtId="0" fontId="5" fillId="5" borderId="27" xfId="0" applyFont="1" applyFill="1" applyBorder="1" applyAlignment="1">
      <alignment horizontal="left" vertical="top" wrapText="1"/>
    </xf>
    <xf numFmtId="171" fontId="24" fillId="0" borderId="9" xfId="0" applyNumberFormat="1" applyFont="1" applyBorder="1" applyAlignment="1">
      <alignment wrapText="1"/>
    </xf>
    <xf numFmtId="171" fontId="24" fillId="0" borderId="9" xfId="0" applyNumberFormat="1" applyFont="1" applyBorder="1" applyAlignment="1">
      <alignment horizontal="center"/>
    </xf>
    <xf numFmtId="171" fontId="24" fillId="0" borderId="0" xfId="0" applyNumberFormat="1" applyFont="1" applyBorder="1" applyAlignment="1">
      <alignment wrapText="1"/>
    </xf>
    <xf numFmtId="8" fontId="24" fillId="0" borderId="9" xfId="0" applyNumberFormat="1" applyFont="1" applyBorder="1" applyAlignment="1">
      <alignment horizontal="center"/>
    </xf>
    <xf numFmtId="2" fontId="24" fillId="0" borderId="0" xfId="0" applyNumberFormat="1" applyFont="1" applyFill="1" applyBorder="1" applyAlignment="1">
      <alignment horizontal="center"/>
    </xf>
    <xf numFmtId="2" fontId="24" fillId="0" borderId="0" xfId="0" applyNumberFormat="1" applyFont="1" applyFill="1" applyBorder="1" applyAlignment="1">
      <alignment horizontal="left"/>
    </xf>
    <xf numFmtId="2" fontId="24" fillId="5" borderId="14" xfId="0" applyNumberFormat="1" applyFont="1" applyFill="1" applyBorder="1" applyAlignment="1">
      <alignment horizontal="center"/>
    </xf>
    <xf numFmtId="1" fontId="24" fillId="5" borderId="15" xfId="0" applyNumberFormat="1" applyFont="1" applyFill="1" applyBorder="1" applyAlignment="1">
      <alignment horizontal="left"/>
    </xf>
    <xf numFmtId="0" fontId="24" fillId="0" borderId="10" xfId="0" applyFont="1" applyBorder="1"/>
    <xf numFmtId="2" fontId="24" fillId="9" borderId="49" xfId="0" applyNumberFormat="1" applyFont="1" applyFill="1" applyBorder="1" applyAlignment="1">
      <alignment wrapText="1"/>
    </xf>
    <xf numFmtId="0" fontId="24" fillId="5" borderId="10" xfId="0" applyFont="1" applyFill="1" applyBorder="1" applyAlignment="1">
      <alignment horizontal="left" vertical="top"/>
    </xf>
    <xf numFmtId="0" fontId="24" fillId="16" borderId="19" xfId="0" applyFont="1" applyFill="1" applyBorder="1" applyAlignment="1">
      <alignment horizontal="left" vertical="top" wrapText="1"/>
    </xf>
    <xf numFmtId="2" fontId="24" fillId="9" borderId="22" xfId="0" applyNumberFormat="1" applyFont="1" applyFill="1" applyBorder="1" applyAlignment="1">
      <alignment wrapText="1"/>
    </xf>
    <xf numFmtId="1" fontId="24" fillId="5" borderId="34" xfId="0" applyNumberFormat="1" applyFont="1" applyFill="1" applyBorder="1" applyAlignment="1">
      <alignment horizontal="left"/>
    </xf>
    <xf numFmtId="0" fontId="24" fillId="9" borderId="4" xfId="0" applyFont="1" applyFill="1" applyBorder="1"/>
    <xf numFmtId="0" fontId="24" fillId="9" borderId="9" xfId="0" applyFont="1" applyFill="1" applyBorder="1"/>
    <xf numFmtId="2" fontId="24" fillId="9" borderId="9" xfId="0" applyNumberFormat="1" applyFont="1" applyFill="1" applyBorder="1" applyAlignment="1">
      <alignment wrapText="1"/>
    </xf>
    <xf numFmtId="2" fontId="24" fillId="9" borderId="14" xfId="0" applyNumberFormat="1" applyFont="1" applyFill="1" applyBorder="1" applyAlignment="1">
      <alignment wrapText="1"/>
    </xf>
    <xf numFmtId="0" fontId="24" fillId="16" borderId="27" xfId="0" applyFont="1" applyFill="1" applyBorder="1" applyAlignment="1">
      <alignment horizontal="left" vertical="top" wrapText="1"/>
    </xf>
    <xf numFmtId="0" fontId="24" fillId="9" borderId="25" xfId="0" applyFont="1" applyFill="1" applyBorder="1"/>
    <xf numFmtId="0" fontId="24" fillId="5" borderId="40" xfId="0" applyFont="1" applyFill="1" applyBorder="1"/>
    <xf numFmtId="0" fontId="24" fillId="0" borderId="5" xfId="0" applyFont="1" applyBorder="1"/>
    <xf numFmtId="9" fontId="24" fillId="5" borderId="27" xfId="3" applyFont="1" applyFill="1" applyBorder="1" applyAlignment="1">
      <alignment horizontal="left" vertical="top" wrapText="1"/>
    </xf>
    <xf numFmtId="169" fontId="24" fillId="5" borderId="4" xfId="1" applyNumberFormat="1" applyFont="1" applyFill="1" applyBorder="1" applyAlignment="1">
      <alignment horizontal="left" vertical="top" wrapText="1"/>
    </xf>
    <xf numFmtId="169" fontId="24" fillId="5" borderId="9" xfId="1" applyNumberFormat="1" applyFont="1" applyFill="1" applyBorder="1" applyAlignment="1">
      <alignment horizontal="left" vertical="top" wrapText="1"/>
    </xf>
    <xf numFmtId="169" fontId="24" fillId="5" borderId="27" xfId="1" applyNumberFormat="1" applyFont="1" applyFill="1" applyBorder="1" applyAlignment="1">
      <alignment horizontal="left" vertical="top" wrapText="1"/>
    </xf>
    <xf numFmtId="169" fontId="24" fillId="5" borderId="14" xfId="1" applyNumberFormat="1" applyFont="1" applyFill="1" applyBorder="1" applyAlignment="1">
      <alignment horizontal="left" vertical="top" wrapText="1"/>
    </xf>
    <xf numFmtId="7" fontId="5" fillId="0" borderId="4" xfId="2" applyNumberFormat="1" applyFont="1" applyBorder="1" applyAlignment="1">
      <alignment horizontal="center" vertical="center" wrapText="1"/>
    </xf>
    <xf numFmtId="7" fontId="24" fillId="5" borderId="4" xfId="2" applyNumberFormat="1" applyFont="1" applyFill="1" applyBorder="1" applyAlignment="1">
      <alignment horizontal="center" vertical="center" wrapText="1"/>
    </xf>
    <xf numFmtId="7" fontId="5" fillId="0" borderId="9" xfId="2" applyNumberFormat="1" applyFont="1" applyBorder="1" applyAlignment="1">
      <alignment horizontal="center" vertical="center" wrapText="1"/>
    </xf>
    <xf numFmtId="7" fontId="24" fillId="5" borderId="9" xfId="2" applyNumberFormat="1" applyFont="1" applyFill="1" applyBorder="1" applyAlignment="1">
      <alignment horizontal="center" vertical="center" wrapText="1"/>
    </xf>
    <xf numFmtId="7" fontId="5" fillId="5" borderId="9" xfId="2" applyNumberFormat="1" applyFont="1" applyFill="1" applyBorder="1" applyAlignment="1">
      <alignment horizontal="center" vertical="center" wrapText="1"/>
    </xf>
    <xf numFmtId="7" fontId="5" fillId="18" borderId="9" xfId="2" applyNumberFormat="1" applyFont="1" applyFill="1" applyBorder="1" applyAlignment="1">
      <alignment horizontal="center" vertical="center" wrapText="1"/>
    </xf>
    <xf numFmtId="7" fontId="5" fillId="0" borderId="14" xfId="2" applyNumberFormat="1" applyFont="1" applyBorder="1" applyAlignment="1">
      <alignment horizontal="center" vertical="center" wrapText="1"/>
    </xf>
    <xf numFmtId="7" fontId="24" fillId="5" borderId="14" xfId="2" applyNumberFormat="1" applyFont="1" applyFill="1" applyBorder="1" applyAlignment="1">
      <alignment horizontal="center" vertical="center" wrapText="1"/>
    </xf>
    <xf numFmtId="0" fontId="24" fillId="0" borderId="9" xfId="13" applyFont="1" applyFill="1" applyBorder="1" applyAlignment="1">
      <alignment wrapText="1"/>
    </xf>
    <xf numFmtId="0" fontId="12" fillId="0" borderId="0" xfId="13" applyFont="1" applyFill="1" applyBorder="1"/>
    <xf numFmtId="165" fontId="24" fillId="5" borderId="9" xfId="13" applyNumberFormat="1" applyFont="1" applyFill="1" applyBorder="1" applyAlignment="1">
      <alignment horizontal="center"/>
    </xf>
    <xf numFmtId="171" fontId="24" fillId="5" borderId="9" xfId="13" applyNumberFormat="1" applyFont="1" applyFill="1" applyBorder="1" applyAlignment="1">
      <alignment horizontal="center"/>
    </xf>
    <xf numFmtId="0" fontId="39" fillId="0" borderId="0" xfId="15" applyFont="1"/>
    <xf numFmtId="187" fontId="39" fillId="0" borderId="0" xfId="15" applyNumberFormat="1" applyFont="1"/>
    <xf numFmtId="0" fontId="24" fillId="5" borderId="0" xfId="7" applyFont="1" applyFill="1" applyAlignment="1">
      <alignment horizontal="left"/>
    </xf>
    <xf numFmtId="165" fontId="1" fillId="0" borderId="9" xfId="13" applyNumberFormat="1" applyFont="1" applyFill="1" applyBorder="1" applyAlignment="1">
      <alignment horizontal="left" vertical="center" wrapText="1"/>
    </xf>
    <xf numFmtId="165" fontId="24" fillId="0" borderId="9" xfId="13" applyNumberFormat="1" applyFont="1" applyFill="1" applyBorder="1" applyAlignment="1">
      <alignment horizontal="center" vertical="center" wrapText="1"/>
    </xf>
    <xf numFmtId="1" fontId="1" fillId="0" borderId="16" xfId="13" applyNumberFormat="1" applyFont="1" applyFill="1" applyBorder="1" applyAlignment="1">
      <alignment horizontal="center" vertical="center" wrapText="1"/>
    </xf>
    <xf numFmtId="165" fontId="24" fillId="0" borderId="9" xfId="13" applyNumberFormat="1" applyFont="1" applyFill="1" applyBorder="1" applyAlignment="1">
      <alignment horizontal="left" vertical="center" wrapText="1"/>
    </xf>
    <xf numFmtId="165" fontId="1" fillId="0" borderId="16" xfId="13" applyNumberFormat="1" applyFont="1" applyFill="1" applyBorder="1" applyAlignment="1">
      <alignment horizontal="center" vertical="center" wrapText="1"/>
    </xf>
    <xf numFmtId="1" fontId="1" fillId="0" borderId="9" xfId="13" applyNumberFormat="1" applyFont="1" applyFill="1" applyBorder="1" applyAlignment="1">
      <alignment horizontal="left" vertical="center" wrapText="1"/>
    </xf>
    <xf numFmtId="165" fontId="1" fillId="0" borderId="9" xfId="13" applyNumberFormat="1" applyFont="1" applyFill="1" applyBorder="1" applyAlignment="1">
      <alignment horizontal="center" vertical="center" wrapText="1"/>
    </xf>
    <xf numFmtId="0" fontId="1" fillId="0" borderId="0" xfId="15" applyFont="1"/>
    <xf numFmtId="7" fontId="1" fillId="0" borderId="9" xfId="2" applyNumberFormat="1" applyFont="1" applyFill="1" applyBorder="1" applyAlignment="1">
      <alignment horizontal="center"/>
    </xf>
    <xf numFmtId="1" fontId="24" fillId="0" borderId="9" xfId="15" applyNumberFormat="1" applyFont="1" applyBorder="1" applyAlignment="1">
      <alignment horizontal="center"/>
    </xf>
    <xf numFmtId="0" fontId="1" fillId="0" borderId="9" xfId="0" applyFont="1" applyBorder="1" applyAlignment="1">
      <alignment horizontal="left"/>
    </xf>
    <xf numFmtId="180" fontId="1" fillId="0" borderId="9" xfId="15" applyNumberFormat="1" applyFont="1" applyBorder="1" applyAlignment="1">
      <alignment horizontal="center"/>
    </xf>
    <xf numFmtId="0" fontId="39" fillId="0" borderId="9" xfId="15" applyBorder="1"/>
    <xf numFmtId="0" fontId="1" fillId="0" borderId="9" xfId="15" applyFont="1" applyFill="1" applyBorder="1" applyAlignment="1">
      <alignment horizontal="left"/>
    </xf>
    <xf numFmtId="1" fontId="1" fillId="0" borderId="9" xfId="3" applyNumberFormat="1" applyFont="1" applyFill="1" applyBorder="1" applyAlignment="1">
      <alignment horizontal="center"/>
    </xf>
    <xf numFmtId="1" fontId="1" fillId="0" borderId="9" xfId="3" applyNumberFormat="1" applyFont="1" applyBorder="1" applyAlignment="1">
      <alignment horizontal="center"/>
    </xf>
    <xf numFmtId="165" fontId="58" fillId="0" borderId="24" xfId="15" applyNumberFormat="1" applyFont="1" applyBorder="1" applyAlignment="1">
      <alignment horizontal="left" vertical="center"/>
    </xf>
    <xf numFmtId="169" fontId="24" fillId="5" borderId="9" xfId="1" applyNumberFormat="1" applyFont="1" applyFill="1" applyBorder="1" applyAlignment="1">
      <alignment horizontal="center"/>
    </xf>
    <xf numFmtId="39" fontId="1" fillId="0" borderId="9" xfId="1" applyNumberFormat="1" applyFont="1" applyBorder="1" applyAlignment="1">
      <alignment horizontal="center"/>
    </xf>
    <xf numFmtId="9" fontId="1" fillId="0" borderId="9" xfId="3" applyFont="1" applyBorder="1" applyAlignment="1">
      <alignment horizontal="center"/>
    </xf>
    <xf numFmtId="0" fontId="58" fillId="0" borderId="9" xfId="15" applyFont="1" applyBorder="1" applyAlignment="1">
      <alignment horizontal="left" vertical="center"/>
    </xf>
    <xf numFmtId="2" fontId="1" fillId="0" borderId="9" xfId="3" applyNumberFormat="1" applyFont="1" applyBorder="1" applyAlignment="1">
      <alignment horizontal="center"/>
    </xf>
    <xf numFmtId="10" fontId="1" fillId="0" borderId="9" xfId="3" applyNumberFormat="1" applyFont="1" applyBorder="1" applyAlignment="1">
      <alignment horizontal="center"/>
    </xf>
    <xf numFmtId="1" fontId="1" fillId="0" borderId="23" xfId="3" applyNumberFormat="1" applyFont="1" applyBorder="1" applyAlignment="1">
      <alignment horizontal="center"/>
    </xf>
    <xf numFmtId="1" fontId="1" fillId="0" borderId="19" xfId="3" applyNumberFormat="1" applyFont="1" applyBorder="1" applyAlignment="1">
      <alignment horizontal="center"/>
    </xf>
    <xf numFmtId="165" fontId="1" fillId="0" borderId="9" xfId="3" applyNumberFormat="1" applyFont="1" applyFill="1" applyBorder="1" applyAlignment="1">
      <alignment horizontal="center"/>
    </xf>
    <xf numFmtId="0" fontId="58" fillId="5" borderId="9" xfId="15" applyFont="1" applyFill="1" applyBorder="1" applyAlignment="1">
      <alignment horizontal="left" vertical="center"/>
    </xf>
    <xf numFmtId="165" fontId="1" fillId="5" borderId="9" xfId="3" applyNumberFormat="1" applyFont="1" applyFill="1" applyBorder="1" applyAlignment="1">
      <alignment horizontal="center"/>
    </xf>
    <xf numFmtId="7" fontId="1" fillId="5" borderId="9" xfId="2" applyNumberFormat="1" applyFont="1" applyFill="1" applyBorder="1" applyAlignment="1">
      <alignment horizontal="center"/>
    </xf>
    <xf numFmtId="0" fontId="58" fillId="0" borderId="19" xfId="15" applyFont="1" applyBorder="1" applyAlignment="1">
      <alignment horizontal="left" vertical="center"/>
    </xf>
    <xf numFmtId="0" fontId="58" fillId="0" borderId="9" xfId="15" applyFont="1" applyFill="1" applyBorder="1" applyAlignment="1">
      <alignment horizontal="left" vertical="center"/>
    </xf>
    <xf numFmtId="9" fontId="1" fillId="0" borderId="9" xfId="3" applyFont="1" applyFill="1" applyBorder="1" applyAlignment="1">
      <alignment horizontal="center"/>
    </xf>
    <xf numFmtId="0" fontId="65" fillId="5" borderId="9" xfId="15" applyFont="1" applyFill="1" applyBorder="1" applyAlignment="1">
      <alignment horizontal="left" vertical="center"/>
    </xf>
    <xf numFmtId="0" fontId="24" fillId="5" borderId="9" xfId="15" applyFont="1" applyFill="1" applyBorder="1" applyAlignment="1">
      <alignment horizontal="left"/>
    </xf>
    <xf numFmtId="9" fontId="5" fillId="5" borderId="9" xfId="3" applyFont="1" applyFill="1" applyBorder="1" applyAlignment="1">
      <alignment horizontal="center"/>
    </xf>
    <xf numFmtId="0" fontId="24" fillId="5" borderId="9" xfId="15" applyFont="1" applyFill="1" applyBorder="1" applyAlignment="1">
      <alignment wrapText="1"/>
    </xf>
    <xf numFmtId="2" fontId="5" fillId="5" borderId="9" xfId="3" applyNumberFormat="1" applyFont="1" applyFill="1" applyBorder="1" applyAlignment="1">
      <alignment horizontal="center"/>
    </xf>
    <xf numFmtId="2" fontId="1" fillId="0" borderId="9" xfId="3" applyNumberFormat="1" applyFont="1" applyFill="1" applyBorder="1" applyAlignment="1">
      <alignment horizontal="center"/>
    </xf>
    <xf numFmtId="1" fontId="5" fillId="0" borderId="9" xfId="3" applyNumberFormat="1" applyFont="1" applyBorder="1" applyAlignment="1">
      <alignment horizontal="center"/>
    </xf>
    <xf numFmtId="0" fontId="24" fillId="5" borderId="9" xfId="15" applyFont="1" applyFill="1" applyBorder="1" applyAlignment="1">
      <alignment horizontal="left" wrapText="1"/>
    </xf>
    <xf numFmtId="0" fontId="65" fillId="5" borderId="19" xfId="15" applyFont="1" applyFill="1" applyBorder="1" applyAlignment="1">
      <alignment horizontal="left" vertical="center"/>
    </xf>
    <xf numFmtId="0" fontId="58" fillId="0" borderId="19" xfId="15" applyFont="1" applyFill="1" applyBorder="1" applyAlignment="1">
      <alignment horizontal="left" vertical="center"/>
    </xf>
    <xf numFmtId="9" fontId="5" fillId="0" borderId="9" xfId="3" applyFont="1" applyBorder="1" applyAlignment="1">
      <alignment horizontal="center"/>
    </xf>
    <xf numFmtId="1" fontId="5" fillId="5" borderId="9" xfId="3" applyNumberFormat="1" applyFont="1" applyFill="1" applyBorder="1" applyAlignment="1">
      <alignment horizontal="center"/>
    </xf>
    <xf numFmtId="165" fontId="5" fillId="5" borderId="9" xfId="15" applyNumberFormat="1" applyFont="1" applyFill="1" applyBorder="1" applyAlignment="1">
      <alignment horizontal="center"/>
    </xf>
    <xf numFmtId="0" fontId="43" fillId="5" borderId="9" xfId="15" applyFont="1" applyFill="1" applyBorder="1"/>
    <xf numFmtId="165" fontId="65" fillId="5" borderId="9" xfId="15" applyNumberFormat="1" applyFont="1" applyFill="1" applyBorder="1" applyAlignment="1">
      <alignment horizontal="left" vertical="center"/>
    </xf>
    <xf numFmtId="0" fontId="24" fillId="5" borderId="0" xfId="15" applyFont="1" applyFill="1"/>
    <xf numFmtId="165" fontId="1" fillId="0" borderId="19" xfId="13" applyNumberFormat="1" applyFont="1" applyFill="1" applyBorder="1" applyAlignment="1">
      <alignment horizontal="left" vertical="center" wrapText="1"/>
    </xf>
    <xf numFmtId="0" fontId="1" fillId="0" borderId="9" xfId="15" applyFont="1" applyFill="1" applyBorder="1" applyAlignment="1">
      <alignment horizontal="center" vertical="center" wrapText="1"/>
    </xf>
    <xf numFmtId="165" fontId="1" fillId="0" borderId="9" xfId="15" applyNumberFormat="1" applyFont="1" applyFill="1" applyBorder="1" applyAlignment="1">
      <alignment horizontal="center" vertical="center" wrapText="1"/>
    </xf>
    <xf numFmtId="165" fontId="78" fillId="5" borderId="9" xfId="15" applyNumberFormat="1" applyFont="1" applyFill="1" applyBorder="1" applyAlignment="1">
      <alignment horizontal="left" vertical="center"/>
    </xf>
    <xf numFmtId="165" fontId="1" fillId="0" borderId="16" xfId="15" applyNumberFormat="1" applyFont="1" applyFill="1" applyBorder="1" applyAlignment="1">
      <alignment horizontal="center" vertical="center" wrapText="1"/>
    </xf>
    <xf numFmtId="10" fontId="1" fillId="0" borderId="9" xfId="13" applyNumberFormat="1" applyFont="1" applyFill="1" applyBorder="1" applyAlignment="1">
      <alignment horizontal="center" vertical="center" wrapText="1"/>
    </xf>
    <xf numFmtId="9" fontId="1" fillId="0" borderId="9" xfId="13" applyNumberFormat="1" applyFont="1" applyFill="1" applyBorder="1" applyAlignment="1">
      <alignment horizontal="center" vertical="center" wrapText="1"/>
    </xf>
    <xf numFmtId="0" fontId="1" fillId="0" borderId="9" xfId="0" applyFont="1" applyFill="1" applyBorder="1" applyAlignment="1">
      <alignment horizontal="left" vertical="center" wrapText="1"/>
    </xf>
    <xf numFmtId="9" fontId="1" fillId="0" borderId="9" xfId="0" applyNumberFormat="1" applyFont="1" applyFill="1" applyBorder="1" applyAlignment="1">
      <alignment horizontal="center" vertical="center" wrapText="1"/>
    </xf>
    <xf numFmtId="39" fontId="1" fillId="0" borderId="9" xfId="1" applyNumberFormat="1" applyFont="1" applyFill="1" applyBorder="1" applyAlignment="1">
      <alignment horizontal="center" wrapText="1"/>
    </xf>
    <xf numFmtId="39" fontId="1" fillId="0" borderId="9" xfId="1" applyNumberFormat="1" applyFont="1" applyBorder="1" applyAlignment="1">
      <alignment horizontal="center" wrapText="1"/>
    </xf>
    <xf numFmtId="169" fontId="1" fillId="5" borderId="9" xfId="1" applyNumberFormat="1" applyFont="1" applyFill="1" applyBorder="1" applyAlignment="1">
      <alignment horizontal="center" vertical="center" wrapText="1"/>
    </xf>
    <xf numFmtId="0" fontId="1" fillId="0" borderId="9" xfId="15" applyFont="1" applyFill="1" applyBorder="1" applyAlignment="1">
      <alignment horizontal="center" wrapText="1"/>
    </xf>
    <xf numFmtId="2" fontId="1" fillId="0" borderId="9" xfId="15" applyNumberFormat="1" applyFont="1" applyFill="1" applyBorder="1" applyAlignment="1">
      <alignment horizontal="center" wrapText="1"/>
    </xf>
    <xf numFmtId="0" fontId="0" fillId="0" borderId="19" xfId="15" applyFont="1" applyBorder="1" applyAlignment="1">
      <alignment horizontal="left" vertical="center" wrapText="1"/>
    </xf>
    <xf numFmtId="0" fontId="24" fillId="0" borderId="9" xfId="15" applyFont="1" applyFill="1" applyBorder="1" applyAlignment="1">
      <alignment horizontal="left"/>
    </xf>
    <xf numFmtId="9" fontId="24" fillId="0" borderId="9" xfId="3" applyFont="1" applyFill="1" applyBorder="1" applyAlignment="1">
      <alignment horizontal="center"/>
    </xf>
    <xf numFmtId="0" fontId="24" fillId="0" borderId="9" xfId="15" applyFont="1" applyFill="1" applyBorder="1"/>
    <xf numFmtId="9" fontId="1" fillId="5" borderId="9" xfId="3" applyFont="1" applyFill="1" applyBorder="1" applyAlignment="1">
      <alignment horizontal="center"/>
    </xf>
    <xf numFmtId="0" fontId="65" fillId="0" borderId="9" xfId="15" applyFont="1" applyFill="1" applyBorder="1" applyAlignment="1">
      <alignment horizontal="left" vertical="center"/>
    </xf>
    <xf numFmtId="1" fontId="24" fillId="0" borderId="9" xfId="3" applyNumberFormat="1" applyFont="1" applyFill="1" applyBorder="1" applyAlignment="1">
      <alignment horizontal="center"/>
    </xf>
    <xf numFmtId="1" fontId="1" fillId="5" borderId="9" xfId="3" applyNumberFormat="1" applyFont="1" applyFill="1" applyBorder="1" applyAlignment="1">
      <alignment horizontal="center"/>
    </xf>
    <xf numFmtId="2" fontId="24" fillId="0" borderId="9" xfId="3" applyNumberFormat="1" applyFont="1" applyFill="1" applyBorder="1" applyAlignment="1">
      <alignment horizontal="center"/>
    </xf>
    <xf numFmtId="2" fontId="1" fillId="5" borderId="9" xfId="3" applyNumberFormat="1" applyFont="1" applyFill="1" applyBorder="1" applyAlignment="1">
      <alignment horizontal="center"/>
    </xf>
    <xf numFmtId="165" fontId="24" fillId="0" borderId="9" xfId="3" applyNumberFormat="1" applyFont="1" applyFill="1" applyBorder="1" applyAlignment="1">
      <alignment horizontal="center"/>
    </xf>
    <xf numFmtId="169" fontId="24" fillId="0" borderId="9" xfId="1" applyNumberFormat="1" applyFont="1" applyFill="1" applyBorder="1" applyAlignment="1">
      <alignment horizontal="center"/>
    </xf>
    <xf numFmtId="169" fontId="1" fillId="5" borderId="9" xfId="1" applyNumberFormat="1" applyFont="1" applyFill="1" applyBorder="1" applyAlignment="1">
      <alignment horizontal="center"/>
    </xf>
    <xf numFmtId="169" fontId="1" fillId="0" borderId="9" xfId="1" applyNumberFormat="1" applyFont="1" applyFill="1" applyBorder="1" applyAlignment="1">
      <alignment horizontal="center"/>
    </xf>
    <xf numFmtId="182" fontId="24" fillId="0" borderId="9" xfId="0" applyNumberFormat="1" applyFont="1" applyFill="1" applyBorder="1" applyAlignment="1">
      <alignment horizontal="center"/>
    </xf>
    <xf numFmtId="165" fontId="24" fillId="0" borderId="9" xfId="13" applyNumberFormat="1" applyFont="1" applyFill="1" applyBorder="1" applyAlignment="1">
      <alignment horizontal="center"/>
    </xf>
    <xf numFmtId="0" fontId="40" fillId="0" borderId="9" xfId="13" applyFont="1" applyFill="1" applyBorder="1" applyAlignment="1">
      <alignment horizontal="center"/>
    </xf>
    <xf numFmtId="1" fontId="5" fillId="0" borderId="9" xfId="13" applyNumberFormat="1" applyFont="1" applyFill="1" applyBorder="1" applyAlignment="1">
      <alignment horizontal="center" vertical="center" wrapText="1"/>
    </xf>
    <xf numFmtId="165" fontId="24" fillId="0" borderId="16" xfId="13" applyNumberFormat="1" applyFont="1" applyFill="1" applyBorder="1" applyAlignment="1">
      <alignment horizontal="center" vertical="center" wrapText="1"/>
    </xf>
    <xf numFmtId="165" fontId="1" fillId="5" borderId="16" xfId="13" applyNumberFormat="1" applyFont="1" applyFill="1" applyBorder="1" applyAlignment="1">
      <alignment horizontal="center" vertical="center" wrapText="1"/>
    </xf>
    <xf numFmtId="165" fontId="28" fillId="0" borderId="9" xfId="15" applyNumberFormat="1" applyFont="1" applyFill="1" applyBorder="1" applyAlignment="1">
      <alignment horizontal="center" vertical="center"/>
    </xf>
    <xf numFmtId="165" fontId="28" fillId="0" borderId="0" xfId="15" applyNumberFormat="1" applyFont="1" applyFill="1" applyAlignment="1">
      <alignment horizontal="center" vertical="center"/>
    </xf>
    <xf numFmtId="1" fontId="24" fillId="0" borderId="9" xfId="13" applyNumberFormat="1" applyFont="1" applyFill="1" applyBorder="1" applyAlignment="1">
      <alignment horizontal="left" vertical="center" wrapText="1"/>
    </xf>
    <xf numFmtId="0" fontId="24" fillId="0" borderId="9" xfId="15" applyFont="1" applyFill="1" applyBorder="1" applyAlignment="1">
      <alignment horizontal="left" wrapText="1"/>
    </xf>
    <xf numFmtId="0" fontId="24" fillId="0" borderId="9" xfId="0" applyFont="1" applyFill="1" applyBorder="1" applyAlignment="1">
      <alignment horizontal="left" vertical="center" wrapText="1"/>
    </xf>
    <xf numFmtId="2" fontId="0" fillId="0" borderId="9" xfId="13" applyNumberFormat="1" applyFont="1" applyFill="1" applyBorder="1" applyAlignment="1">
      <alignment horizontal="center" vertical="center" wrapText="1"/>
    </xf>
    <xf numFmtId="165" fontId="24" fillId="0" borderId="19" xfId="13" applyNumberFormat="1" applyFont="1" applyFill="1" applyBorder="1" applyAlignment="1">
      <alignment horizontal="left" vertical="center" wrapText="1"/>
    </xf>
    <xf numFmtId="9" fontId="24" fillId="0" borderId="19" xfId="3" applyFont="1" applyFill="1" applyBorder="1" applyAlignment="1">
      <alignment horizontal="left" vertical="center" wrapText="1"/>
    </xf>
    <xf numFmtId="2" fontId="0" fillId="0" borderId="16" xfId="13" applyNumberFormat="1" applyFont="1" applyFill="1" applyBorder="1" applyAlignment="1">
      <alignment horizontal="center" vertical="center" wrapText="1"/>
    </xf>
    <xf numFmtId="183" fontId="1" fillId="0" borderId="9" xfId="0" applyNumberFormat="1" applyFont="1" applyFill="1" applyBorder="1" applyAlignment="1">
      <alignment horizontal="center" vertical="center" wrapText="1"/>
    </xf>
    <xf numFmtId="0" fontId="1" fillId="0" borderId="9" xfId="0" applyFont="1" applyFill="1" applyBorder="1" applyAlignment="1">
      <alignment horizontal="center" vertical="center" wrapText="1"/>
    </xf>
    <xf numFmtId="170" fontId="1" fillId="0" borderId="9" xfId="0" applyNumberFormat="1" applyFont="1" applyFill="1" applyBorder="1" applyAlignment="1">
      <alignment horizontal="center" vertical="center" wrapText="1"/>
    </xf>
    <xf numFmtId="39" fontId="5" fillId="0" borderId="9" xfId="1" applyNumberFormat="1" applyFont="1" applyBorder="1" applyAlignment="1">
      <alignment horizontal="center" wrapText="1"/>
    </xf>
    <xf numFmtId="0" fontId="43" fillId="0" borderId="9" xfId="15" applyFont="1" applyFill="1" applyBorder="1" applyAlignment="1">
      <alignment horizontal="left"/>
    </xf>
    <xf numFmtId="9" fontId="1" fillId="0" borderId="9" xfId="3" applyFont="1" applyBorder="1" applyAlignment="1">
      <alignment horizontal="center" wrapText="1"/>
    </xf>
    <xf numFmtId="9" fontId="5" fillId="0" borderId="9" xfId="0" applyNumberFormat="1" applyFont="1" applyFill="1" applyBorder="1" applyAlignment="1">
      <alignment horizontal="center" vertical="center" wrapText="1"/>
    </xf>
    <xf numFmtId="165" fontId="0" fillId="0" borderId="9" xfId="0" applyNumberFormat="1" applyFont="1" applyFill="1" applyBorder="1" applyAlignment="1">
      <alignment horizontal="left" vertical="center" wrapText="1"/>
    </xf>
    <xf numFmtId="0" fontId="79" fillId="0" borderId="0" xfId="15" applyFont="1"/>
    <xf numFmtId="0" fontId="43" fillId="0" borderId="0" xfId="15" applyFont="1"/>
    <xf numFmtId="0" fontId="43" fillId="0" borderId="0" xfId="15" applyFont="1" applyBorder="1"/>
    <xf numFmtId="3" fontId="24" fillId="0" borderId="9" xfId="0" applyNumberFormat="1" applyFont="1" applyFill="1" applyBorder="1" applyAlignment="1">
      <alignment horizontal="left" vertical="center" wrapText="1"/>
    </xf>
    <xf numFmtId="9" fontId="24" fillId="0" borderId="0" xfId="0" applyNumberFormat="1" applyFont="1" applyFill="1" applyBorder="1" applyAlignment="1">
      <alignment horizontal="center" vertical="center" wrapText="1"/>
    </xf>
    <xf numFmtId="9" fontId="24" fillId="0" borderId="9" xfId="0" applyNumberFormat="1" applyFont="1" applyFill="1" applyBorder="1" applyAlignment="1">
      <alignment horizontal="center" vertical="center" wrapText="1"/>
    </xf>
    <xf numFmtId="0" fontId="5" fillId="0" borderId="9" xfId="0" applyFont="1" applyFill="1" applyBorder="1" applyAlignment="1">
      <alignment horizontal="center" vertical="center" wrapText="1"/>
    </xf>
    <xf numFmtId="0" fontId="24" fillId="0" borderId="9" xfId="15" applyFont="1" applyFill="1" applyBorder="1" applyAlignment="1">
      <alignment wrapText="1"/>
    </xf>
    <xf numFmtId="39" fontId="24" fillId="0" borderId="0" xfId="1" applyNumberFormat="1" applyFont="1" applyBorder="1" applyAlignment="1">
      <alignment horizontal="center" wrapText="1"/>
    </xf>
    <xf numFmtId="39" fontId="24" fillId="0" borderId="9" xfId="1" applyNumberFormat="1" applyFont="1" applyBorder="1" applyAlignment="1">
      <alignment horizontal="center" wrapText="1"/>
    </xf>
    <xf numFmtId="0" fontId="24" fillId="0" borderId="19" xfId="0" applyFont="1" applyFill="1" applyBorder="1" applyAlignment="1">
      <alignment horizontal="left" vertical="center" wrapText="1"/>
    </xf>
    <xf numFmtId="0" fontId="24" fillId="0" borderId="27" xfId="0" applyFont="1" applyFill="1" applyBorder="1" applyAlignment="1">
      <alignment horizontal="left" vertical="center" wrapText="1"/>
    </xf>
    <xf numFmtId="37" fontId="1" fillId="0" borderId="9" xfId="1" applyNumberFormat="1" applyFont="1" applyBorder="1" applyAlignment="1">
      <alignment horizontal="center" wrapText="1"/>
    </xf>
    <xf numFmtId="37" fontId="24" fillId="0" borderId="0" xfId="1" applyNumberFormat="1" applyFont="1" applyBorder="1" applyAlignment="1">
      <alignment horizontal="center" wrapText="1"/>
    </xf>
    <xf numFmtId="37" fontId="24" fillId="0" borderId="9" xfId="1" applyNumberFormat="1" applyFont="1" applyBorder="1" applyAlignment="1">
      <alignment horizontal="center" wrapText="1"/>
    </xf>
    <xf numFmtId="0" fontId="24" fillId="0" borderId="9" xfId="15" applyFont="1" applyFill="1" applyBorder="1" applyAlignment="1">
      <alignment horizontal="left" vertical="center" wrapText="1"/>
    </xf>
    <xf numFmtId="9" fontId="24" fillId="0" borderId="0" xfId="3" applyFont="1" applyBorder="1" applyAlignment="1">
      <alignment horizontal="center" wrapText="1"/>
    </xf>
    <xf numFmtId="187" fontId="5" fillId="0" borderId="9" xfId="1" applyNumberFormat="1" applyFont="1" applyBorder="1" applyAlignment="1">
      <alignment horizontal="center" wrapText="1"/>
    </xf>
    <xf numFmtId="187" fontId="1" fillId="0" borderId="9" xfId="1" applyNumberFormat="1" applyFont="1" applyBorder="1" applyAlignment="1">
      <alignment horizontal="center" wrapText="1"/>
    </xf>
    <xf numFmtId="187" fontId="24" fillId="0" borderId="9" xfId="1" applyNumberFormat="1" applyFont="1" applyBorder="1" applyAlignment="1">
      <alignment horizontal="center" wrapText="1"/>
    </xf>
    <xf numFmtId="165" fontId="24" fillId="0" borderId="9" xfId="0" applyNumberFormat="1" applyFont="1" applyFill="1" applyBorder="1" applyAlignment="1">
      <alignment horizontal="left" vertical="center" wrapText="1"/>
    </xf>
    <xf numFmtId="169" fontId="1" fillId="0" borderId="9" xfId="2" applyNumberFormat="1" applyFont="1" applyFill="1" applyBorder="1" applyAlignment="1">
      <alignment horizontal="center" vertical="center" wrapText="1"/>
    </xf>
    <xf numFmtId="7" fontId="24" fillId="0" borderId="9" xfId="2" applyNumberFormat="1" applyFont="1" applyFill="1" applyBorder="1" applyAlignment="1">
      <alignment horizontal="center" vertical="center" wrapText="1"/>
    </xf>
    <xf numFmtId="165" fontId="24" fillId="0" borderId="9" xfId="0" applyNumberFormat="1" applyFont="1" applyFill="1" applyBorder="1" applyAlignment="1">
      <alignment horizontal="left" vertical="center" wrapText="1"/>
    </xf>
    <xf numFmtId="7" fontId="1" fillId="0" borderId="9" xfId="2" applyNumberFormat="1" applyFont="1" applyBorder="1" applyAlignment="1">
      <alignment horizontal="center" wrapText="1"/>
    </xf>
    <xf numFmtId="7" fontId="24" fillId="0" borderId="9" xfId="2" applyNumberFormat="1" applyFont="1" applyBorder="1" applyAlignment="1">
      <alignment horizontal="center" wrapText="1"/>
    </xf>
    <xf numFmtId="170" fontId="43" fillId="0" borderId="9" xfId="15" applyNumberFormat="1" applyFont="1" applyFill="1" applyBorder="1" applyAlignment="1">
      <alignment horizontal="center"/>
    </xf>
    <xf numFmtId="165" fontId="43" fillId="0" borderId="9" xfId="15" applyNumberFormat="1" applyFont="1" applyFill="1" applyBorder="1" applyAlignment="1">
      <alignment horizontal="center"/>
    </xf>
    <xf numFmtId="0" fontId="39" fillId="0" borderId="9" xfId="0" applyFont="1" applyBorder="1" applyAlignment="1">
      <alignment horizontal="left" vertical="center"/>
    </xf>
    <xf numFmtId="170" fontId="43" fillId="0" borderId="0" xfId="15" applyNumberFormat="1" applyFont="1" applyFill="1"/>
    <xf numFmtId="180" fontId="5" fillId="5" borderId="9" xfId="0" applyNumberFormat="1" applyFont="1" applyFill="1" applyBorder="1" applyAlignment="1">
      <alignment horizontal="center"/>
    </xf>
    <xf numFmtId="39" fontId="43" fillId="5" borderId="9" xfId="1" applyNumberFormat="1" applyFont="1" applyFill="1" applyBorder="1" applyAlignment="1">
      <alignment horizontal="center" wrapText="1"/>
    </xf>
    <xf numFmtId="39" fontId="80" fillId="5" borderId="9" xfId="1" applyNumberFormat="1" applyFont="1" applyFill="1" applyBorder="1" applyAlignment="1">
      <alignment horizontal="center" wrapText="1"/>
    </xf>
    <xf numFmtId="170" fontId="24" fillId="5" borderId="9" xfId="0" applyNumberFormat="1" applyFont="1" applyFill="1" applyBorder="1" applyAlignment="1">
      <alignment horizontal="center" vertical="center"/>
    </xf>
    <xf numFmtId="2" fontId="0" fillId="5" borderId="9" xfId="0" applyNumberFormat="1" applyFill="1" applyBorder="1" applyAlignment="1">
      <alignment horizontal="center" vertical="center"/>
    </xf>
    <xf numFmtId="180" fontId="24" fillId="5" borderId="9" xfId="0" applyNumberFormat="1" applyFont="1" applyFill="1" applyBorder="1" applyAlignment="1">
      <alignment horizontal="center" vertical="center"/>
    </xf>
    <xf numFmtId="0" fontId="43" fillId="0" borderId="9" xfId="0" applyFont="1" applyFill="1" applyBorder="1" applyAlignment="1">
      <alignment horizontal="left" vertical="center"/>
    </xf>
    <xf numFmtId="0" fontId="43" fillId="0" borderId="9" xfId="15" applyFont="1" applyFill="1" applyBorder="1" applyAlignment="1">
      <alignment horizontal="left" vertical="center"/>
    </xf>
    <xf numFmtId="179" fontId="5" fillId="5" borderId="9" xfId="0" applyNumberFormat="1" applyFont="1" applyFill="1" applyBorder="1" applyAlignment="1">
      <alignment horizontal="center" vertical="center" wrapText="1"/>
    </xf>
    <xf numFmtId="0" fontId="43" fillId="0" borderId="9" xfId="15" applyFont="1" applyFill="1" applyBorder="1" applyAlignment="1">
      <alignment horizontal="left" vertical="center" wrapText="1"/>
    </xf>
    <xf numFmtId="9" fontId="69" fillId="0" borderId="9" xfId="0" applyNumberFormat="1" applyFont="1" applyFill="1" applyBorder="1" applyAlignment="1">
      <alignment horizontal="center" vertical="center" wrapText="1"/>
    </xf>
    <xf numFmtId="39" fontId="43" fillId="0" borderId="9" xfId="1" applyNumberFormat="1" applyFont="1" applyFill="1" applyBorder="1" applyAlignment="1">
      <alignment horizontal="center" wrapText="1"/>
    </xf>
    <xf numFmtId="39" fontId="80" fillId="0" borderId="9" xfId="1" applyNumberFormat="1" applyFont="1" applyFill="1" applyBorder="1" applyAlignment="1">
      <alignment horizontal="center" wrapText="1"/>
    </xf>
    <xf numFmtId="39" fontId="28" fillId="0" borderId="9" xfId="1" applyNumberFormat="1" applyFont="1" applyFill="1" applyBorder="1" applyAlignment="1">
      <alignment horizontal="center" wrapText="1"/>
    </xf>
    <xf numFmtId="7" fontId="1" fillId="5" borderId="9" xfId="2" applyNumberFormat="1" applyFont="1" applyFill="1" applyBorder="1" applyAlignment="1">
      <alignment horizontal="center" wrapText="1"/>
    </xf>
    <xf numFmtId="2" fontId="24" fillId="5" borderId="9" xfId="3" applyNumberFormat="1" applyFont="1" applyFill="1" applyBorder="1" applyAlignment="1">
      <alignment horizontal="center"/>
    </xf>
    <xf numFmtId="1" fontId="7" fillId="5" borderId="9" xfId="3" applyNumberFormat="1" applyFont="1" applyFill="1" applyBorder="1" applyAlignment="1">
      <alignment horizontal="center"/>
    </xf>
    <xf numFmtId="180" fontId="1" fillId="5" borderId="9" xfId="3" applyNumberFormat="1" applyFont="1" applyFill="1" applyBorder="1" applyAlignment="1">
      <alignment horizontal="center"/>
    </xf>
    <xf numFmtId="187" fontId="28" fillId="5" borderId="9" xfId="1" applyNumberFormat="1" applyFont="1" applyFill="1" applyBorder="1" applyAlignment="1">
      <alignment horizontal="center"/>
    </xf>
    <xf numFmtId="0" fontId="24" fillId="0" borderId="9" xfId="15" applyFont="1" applyBorder="1" applyAlignment="1">
      <alignment wrapText="1"/>
    </xf>
    <xf numFmtId="171" fontId="43" fillId="0" borderId="9" xfId="15" applyNumberFormat="1" applyFont="1" applyFill="1" applyBorder="1" applyAlignment="1">
      <alignment horizontal="center"/>
    </xf>
    <xf numFmtId="0" fontId="24" fillId="12" borderId="9" xfId="0" applyFont="1" applyFill="1" applyBorder="1" applyAlignment="1">
      <alignment vertical="center" wrapText="1"/>
    </xf>
    <xf numFmtId="9" fontId="1" fillId="0" borderId="16" xfId="0" applyNumberFormat="1" applyFont="1" applyFill="1" applyBorder="1" applyAlignment="1">
      <alignment horizontal="center" vertical="center" wrapText="1"/>
    </xf>
    <xf numFmtId="0" fontId="1" fillId="0" borderId="16" xfId="0" applyFont="1" applyFill="1" applyBorder="1" applyAlignment="1">
      <alignment horizontal="center" vertical="center" wrapText="1"/>
    </xf>
    <xf numFmtId="39" fontId="1" fillId="0" borderId="16" xfId="1" applyNumberFormat="1" applyFont="1" applyBorder="1" applyAlignment="1">
      <alignment horizontal="center" wrapText="1"/>
    </xf>
    <xf numFmtId="39" fontId="24" fillId="0" borderId="16" xfId="1" applyNumberFormat="1" applyFont="1" applyFill="1" applyBorder="1" applyAlignment="1">
      <alignment horizontal="center" wrapText="1"/>
    </xf>
    <xf numFmtId="37" fontId="24" fillId="0" borderId="16" xfId="1" applyNumberFormat="1" applyFont="1" applyFill="1" applyBorder="1" applyAlignment="1">
      <alignment horizontal="center" wrapText="1"/>
    </xf>
    <xf numFmtId="37" fontId="1" fillId="0" borderId="16" xfId="1" applyNumberFormat="1" applyFont="1" applyBorder="1" applyAlignment="1">
      <alignment horizontal="center" wrapText="1"/>
    </xf>
    <xf numFmtId="9" fontId="24" fillId="0" borderId="16" xfId="0" applyNumberFormat="1" applyFont="1" applyFill="1" applyBorder="1" applyAlignment="1">
      <alignment horizontal="center" vertical="center" wrapText="1"/>
    </xf>
    <xf numFmtId="169" fontId="24" fillId="0" borderId="9" xfId="1" applyNumberFormat="1" applyFont="1" applyFill="1" applyBorder="1" applyAlignment="1">
      <alignment horizontal="center" vertical="center" wrapText="1"/>
    </xf>
    <xf numFmtId="7" fontId="24" fillId="0" borderId="9" xfId="2" applyNumberFormat="1" applyFont="1" applyFill="1" applyBorder="1" applyAlignment="1">
      <alignment horizontal="center" wrapText="1"/>
    </xf>
    <xf numFmtId="187" fontId="39" fillId="0" borderId="16" xfId="1" applyNumberFormat="1" applyFont="1" applyFill="1" applyBorder="1" applyAlignment="1">
      <alignment horizontal="center" wrapText="1"/>
    </xf>
    <xf numFmtId="0" fontId="24" fillId="0" borderId="9" xfId="0" applyFont="1" applyFill="1" applyBorder="1" applyAlignment="1">
      <alignment vertical="center" wrapText="1"/>
    </xf>
    <xf numFmtId="187" fontId="39" fillId="0" borderId="9" xfId="1" applyNumberFormat="1" applyFont="1" applyFill="1" applyBorder="1" applyAlignment="1">
      <alignment horizontal="center" wrapText="1"/>
    </xf>
    <xf numFmtId="39" fontId="39" fillId="0" borderId="16" xfId="1" applyNumberFormat="1" applyFont="1" applyFill="1" applyBorder="1" applyAlignment="1">
      <alignment horizontal="center" wrapText="1"/>
    </xf>
    <xf numFmtId="39" fontId="39" fillId="0" borderId="9" xfId="1" applyNumberFormat="1" applyFont="1" applyFill="1" applyBorder="1" applyAlignment="1">
      <alignment horizontal="center" wrapText="1"/>
    </xf>
    <xf numFmtId="37" fontId="39" fillId="0" borderId="16" xfId="1" applyNumberFormat="1" applyFont="1" applyFill="1" applyBorder="1" applyAlignment="1">
      <alignment horizontal="center" wrapText="1"/>
    </xf>
    <xf numFmtId="37" fontId="39" fillId="0" borderId="9" xfId="1" applyNumberFormat="1" applyFont="1" applyFill="1" applyBorder="1" applyAlignment="1">
      <alignment horizontal="center" wrapText="1"/>
    </xf>
    <xf numFmtId="3" fontId="0" fillId="0" borderId="16" xfId="0" applyNumberFormat="1" applyFont="1" applyFill="1" applyBorder="1" applyAlignment="1">
      <alignment horizontal="center" vertical="center" wrapText="1"/>
    </xf>
    <xf numFmtId="165" fontId="24" fillId="0" borderId="9" xfId="7" applyNumberFormat="1" applyFont="1" applyFill="1" applyBorder="1" applyAlignment="1">
      <alignment vertical="center" wrapText="1"/>
    </xf>
    <xf numFmtId="9" fontId="0" fillId="0" borderId="16" xfId="0" applyNumberFormat="1" applyFont="1" applyFill="1" applyBorder="1" applyAlignment="1">
      <alignment horizontal="center" vertical="center" wrapText="1"/>
    </xf>
    <xf numFmtId="39" fontId="43" fillId="0" borderId="16" xfId="1" applyNumberFormat="1" applyFont="1" applyFill="1" applyBorder="1" applyAlignment="1">
      <alignment horizontal="center" wrapText="1"/>
    </xf>
    <xf numFmtId="0" fontId="43" fillId="0" borderId="9" xfId="15" applyFont="1" applyFill="1" applyBorder="1" applyAlignment="1">
      <alignment wrapText="1"/>
    </xf>
    <xf numFmtId="39" fontId="39" fillId="0" borderId="16" xfId="1" applyNumberFormat="1" applyFont="1" applyBorder="1" applyAlignment="1">
      <alignment horizontal="center" wrapText="1"/>
    </xf>
    <xf numFmtId="39" fontId="39" fillId="0" borderId="9" xfId="1" applyNumberFormat="1" applyFont="1" applyBorder="1" applyAlignment="1">
      <alignment horizontal="center" wrapText="1"/>
    </xf>
    <xf numFmtId="165" fontId="24" fillId="0" borderId="9" xfId="13" applyNumberFormat="1" applyFont="1" applyFill="1" applyBorder="1" applyAlignment="1">
      <alignment vertical="center" wrapText="1"/>
    </xf>
    <xf numFmtId="39" fontId="24" fillId="0" borderId="9" xfId="1" applyNumberFormat="1" applyFont="1" applyFill="1" applyBorder="1" applyAlignment="1">
      <alignment horizontal="center" wrapText="1"/>
    </xf>
    <xf numFmtId="187" fontId="24" fillId="0" borderId="9" xfId="1" applyNumberFormat="1" applyFont="1" applyFill="1" applyBorder="1" applyAlignment="1">
      <alignment horizontal="center" wrapText="1"/>
    </xf>
    <xf numFmtId="39" fontId="1" fillId="0" borderId="16" xfId="1" applyNumberFormat="1" applyFont="1" applyFill="1" applyBorder="1" applyAlignment="1">
      <alignment horizontal="center" wrapText="1"/>
    </xf>
    <xf numFmtId="187" fontId="1" fillId="0" borderId="16" xfId="1" applyNumberFormat="1" applyFont="1" applyBorder="1" applyAlignment="1">
      <alignment horizontal="center" wrapText="1"/>
    </xf>
    <xf numFmtId="171" fontId="24" fillId="0" borderId="19" xfId="5" applyNumberFormat="1" applyFont="1" applyFill="1" applyBorder="1" applyAlignment="1" applyProtection="1">
      <alignment horizontal="center"/>
      <protection locked="0"/>
    </xf>
    <xf numFmtId="171" fontId="24" fillId="0" borderId="19" xfId="5" applyNumberFormat="1" applyFont="1" applyFill="1" applyBorder="1" applyProtection="1">
      <protection locked="0"/>
    </xf>
    <xf numFmtId="0" fontId="37" fillId="5" borderId="9" xfId="12" applyFont="1" applyFill="1" applyBorder="1" applyAlignment="1">
      <alignment horizontal="center"/>
    </xf>
    <xf numFmtId="0" fontId="24" fillId="0" borderId="0" xfId="0" applyFont="1" applyBorder="1" applyAlignment="1">
      <alignment horizontal="left" vertical="center" wrapText="1"/>
    </xf>
    <xf numFmtId="0" fontId="37" fillId="0" borderId="0" xfId="12" applyFont="1" applyFill="1" applyBorder="1" applyAlignment="1">
      <alignment horizontal="center"/>
    </xf>
    <xf numFmtId="0" fontId="24" fillId="5" borderId="0" xfId="0" applyFont="1" applyFill="1" applyBorder="1" applyAlignment="1">
      <alignment horizontal="left" vertical="center" wrapText="1"/>
    </xf>
    <xf numFmtId="0" fontId="37" fillId="5" borderId="0" xfId="12" applyFont="1" applyFill="1" applyBorder="1" applyAlignment="1">
      <alignment horizontal="center"/>
    </xf>
    <xf numFmtId="1" fontId="0" fillId="0" borderId="0" xfId="0" applyNumberFormat="1" applyBorder="1" applyAlignment="1">
      <alignment horizontal="center" vertical="center" wrapText="1"/>
    </xf>
    <xf numFmtId="0" fontId="24" fillId="12" borderId="9" xfId="6" applyFont="1" applyFill="1" applyBorder="1" applyAlignment="1">
      <alignment horizontal="left" vertical="center" wrapText="1"/>
    </xf>
    <xf numFmtId="168" fontId="24" fillId="0" borderId="9" xfId="6" applyNumberFormat="1" applyFont="1" applyFill="1" applyBorder="1" applyAlignment="1">
      <alignment horizontal="left" vertical="center"/>
    </xf>
    <xf numFmtId="2" fontId="5" fillId="0" borderId="9" xfId="0" applyNumberFormat="1" applyFont="1" applyFill="1" applyBorder="1" applyAlignment="1">
      <alignment horizontal="center"/>
    </xf>
    <xf numFmtId="2" fontId="24" fillId="0" borderId="18" xfId="0" applyNumberFormat="1" applyFont="1" applyFill="1" applyBorder="1" applyAlignment="1">
      <alignment horizontal="center"/>
    </xf>
    <xf numFmtId="2" fontId="1" fillId="0" borderId="9" xfId="0" applyNumberFormat="1" applyFont="1" applyBorder="1" applyAlignment="1">
      <alignment horizontal="center"/>
    </xf>
    <xf numFmtId="180" fontId="0" fillId="5" borderId="9" xfId="0" applyNumberFormat="1" applyFill="1" applyBorder="1" applyAlignment="1">
      <alignment horizontal="left"/>
    </xf>
    <xf numFmtId="0" fontId="28" fillId="0" borderId="9" xfId="15" applyFont="1" applyBorder="1"/>
    <xf numFmtId="168" fontId="24" fillId="0" borderId="9" xfId="4" applyNumberFormat="1" applyFont="1" applyFill="1" applyBorder="1" applyAlignment="1">
      <alignment horizontal="left" vertical="center"/>
    </xf>
    <xf numFmtId="2" fontId="1" fillId="5" borderId="9" xfId="0" applyNumberFormat="1" applyFont="1" applyFill="1" applyBorder="1" applyAlignment="1">
      <alignment horizontal="center"/>
    </xf>
    <xf numFmtId="168" fontId="24" fillId="0" borderId="19" xfId="6" applyNumberFormat="1" applyFont="1" applyFill="1" applyBorder="1" applyAlignment="1">
      <alignment horizontal="left" vertical="center"/>
    </xf>
    <xf numFmtId="2" fontId="1" fillId="5" borderId="19" xfId="0" applyNumberFormat="1" applyFont="1" applyFill="1" applyBorder="1" applyAlignment="1">
      <alignment horizontal="center"/>
    </xf>
    <xf numFmtId="0" fontId="39" fillId="0" borderId="19" xfId="15" applyBorder="1"/>
    <xf numFmtId="0" fontId="1" fillId="5" borderId="24" xfId="0" applyFont="1" applyFill="1" applyBorder="1" applyAlignment="1">
      <alignment horizontal="center"/>
    </xf>
    <xf numFmtId="168" fontId="24" fillId="0" borderId="4" xfId="6" applyNumberFormat="1" applyFont="1" applyFill="1" applyBorder="1" applyAlignment="1">
      <alignment horizontal="left" vertical="center"/>
    </xf>
    <xf numFmtId="0" fontId="24" fillId="0" borderId="4" xfId="0" applyFont="1" applyFill="1" applyBorder="1" applyAlignment="1">
      <alignment horizontal="left"/>
    </xf>
    <xf numFmtId="2" fontId="5" fillId="0" borderId="27" xfId="0" applyNumberFormat="1" applyFont="1" applyFill="1" applyBorder="1" applyAlignment="1">
      <alignment horizontal="center"/>
    </xf>
    <xf numFmtId="0" fontId="39" fillId="0" borderId="27" xfId="15" applyBorder="1"/>
    <xf numFmtId="2" fontId="1" fillId="0" borderId="27" xfId="0" applyNumberFormat="1" applyFont="1" applyBorder="1" applyAlignment="1">
      <alignment horizontal="center"/>
    </xf>
    <xf numFmtId="2" fontId="24" fillId="5" borderId="9" xfId="14" applyNumberFormat="1" applyFont="1" applyFill="1" applyBorder="1" applyAlignment="1">
      <alignment horizontal="center"/>
    </xf>
    <xf numFmtId="10" fontId="5" fillId="0" borderId="9" xfId="8" applyNumberFormat="1" applyFont="1" applyFill="1" applyBorder="1" applyAlignment="1">
      <alignment horizontal="center" vertical="center" wrapText="1"/>
    </xf>
    <xf numFmtId="10" fontId="69" fillId="0" borderId="9" xfId="8" applyNumberFormat="1" applyFont="1" applyBorder="1" applyAlignment="1">
      <alignment horizontal="center" vertical="center" wrapText="1"/>
    </xf>
    <xf numFmtId="10" fontId="5" fillId="0" borderId="9" xfId="8" applyNumberFormat="1" applyFont="1" applyBorder="1" applyAlignment="1">
      <alignment horizontal="center" vertical="center" wrapText="1"/>
    </xf>
    <xf numFmtId="39" fontId="1" fillId="0" borderId="9" xfId="6" applyNumberFormat="1" applyFont="1" applyBorder="1" applyAlignment="1">
      <alignment horizontal="center"/>
    </xf>
    <xf numFmtId="9" fontId="24" fillId="0" borderId="9" xfId="8" applyNumberFormat="1" applyFont="1" applyBorder="1" applyAlignment="1">
      <alignment horizontal="center" vertical="center" wrapText="1"/>
    </xf>
    <xf numFmtId="195" fontId="1" fillId="0" borderId="9" xfId="6" applyNumberFormat="1" applyFont="1" applyBorder="1" applyAlignment="1">
      <alignment horizontal="center"/>
    </xf>
    <xf numFmtId="169" fontId="1" fillId="0" borderId="9" xfId="6" applyNumberFormat="1" applyFont="1" applyBorder="1" applyAlignment="1">
      <alignment horizontal="center"/>
    </xf>
    <xf numFmtId="171" fontId="24" fillId="5" borderId="9" xfId="5" applyNumberFormat="1" applyFont="1" applyFill="1" applyBorder="1" applyAlignment="1" applyProtection="1">
      <alignment horizontal="center"/>
      <protection locked="0"/>
    </xf>
    <xf numFmtId="171" fontId="43" fillId="5" borderId="9" xfId="2" applyNumberFormat="1" applyFont="1" applyFill="1" applyBorder="1" applyAlignment="1">
      <alignment horizontal="center"/>
    </xf>
    <xf numFmtId="0" fontId="0" fillId="5" borderId="9" xfId="0" applyFill="1" applyBorder="1" applyAlignment="1">
      <alignment horizontal="left" vertical="center" wrapText="1"/>
    </xf>
    <xf numFmtId="170" fontId="0" fillId="5" borderId="9" xfId="0" applyNumberFormat="1" applyFill="1" applyBorder="1" applyAlignment="1">
      <alignment horizontal="center" vertical="center" wrapText="1"/>
    </xf>
    <xf numFmtId="0" fontId="0" fillId="0" borderId="16" xfId="0" applyBorder="1"/>
    <xf numFmtId="39" fontId="0" fillId="5" borderId="9" xfId="1" applyNumberFormat="1" applyFont="1" applyFill="1" applyBorder="1" applyAlignment="1">
      <alignment horizontal="center"/>
    </xf>
    <xf numFmtId="0" fontId="39" fillId="0" borderId="9" xfId="15" applyFont="1" applyBorder="1"/>
    <xf numFmtId="0" fontId="40" fillId="5" borderId="9" xfId="12" applyFont="1" applyFill="1" applyBorder="1" applyAlignment="1">
      <alignment horizontal="center" vertical="center"/>
    </xf>
    <xf numFmtId="0" fontId="39" fillId="0" borderId="0" xfId="15" applyAlignment="1">
      <alignment vertical="center"/>
    </xf>
    <xf numFmtId="0" fontId="39" fillId="0" borderId="0" xfId="15" applyFont="1" applyAlignment="1">
      <alignment vertical="center"/>
    </xf>
    <xf numFmtId="0" fontId="24" fillId="12" borderId="25" xfId="0" applyFont="1" applyFill="1" applyBorder="1" applyAlignment="1">
      <alignment horizontal="center" vertical="center" wrapText="1"/>
    </xf>
    <xf numFmtId="0" fontId="24" fillId="12" borderId="56" xfId="0" applyFont="1" applyFill="1" applyBorder="1" applyAlignment="1">
      <alignment horizontal="center" vertical="center" wrapText="1"/>
    </xf>
    <xf numFmtId="0" fontId="24" fillId="12" borderId="26" xfId="0" applyFont="1" applyFill="1" applyBorder="1" applyAlignment="1">
      <alignment horizontal="center" vertical="center" wrapText="1"/>
    </xf>
    <xf numFmtId="167" fontId="6" fillId="13" borderId="0" xfId="0" applyNumberFormat="1" applyFont="1" applyFill="1" applyAlignment="1">
      <alignment horizontal="left"/>
    </xf>
    <xf numFmtId="0" fontId="39" fillId="9" borderId="9" xfId="15" applyFont="1" applyFill="1" applyBorder="1"/>
    <xf numFmtId="9" fontId="0" fillId="0" borderId="0" xfId="3" applyNumberFormat="1" applyFont="1" applyAlignment="1">
      <alignment horizontal="center"/>
    </xf>
    <xf numFmtId="9" fontId="0" fillId="5" borderId="9" xfId="3" applyNumberFormat="1" applyFont="1" applyFill="1" applyBorder="1" applyAlignment="1">
      <alignment horizontal="center" vertical="center" wrapText="1"/>
    </xf>
    <xf numFmtId="0" fontId="0" fillId="5" borderId="19" xfId="0" applyFill="1" applyBorder="1" applyAlignment="1">
      <alignment horizontal="left" vertical="center" wrapText="1"/>
    </xf>
    <xf numFmtId="9" fontId="0" fillId="0" borderId="9" xfId="0" applyNumberFormat="1" applyBorder="1" applyAlignment="1">
      <alignment horizontal="center" vertical="center" wrapText="1"/>
    </xf>
    <xf numFmtId="0" fontId="0" fillId="0" borderId="28" xfId="0" applyBorder="1" applyAlignment="1">
      <alignment vertical="center" wrapText="1"/>
    </xf>
    <xf numFmtId="165" fontId="39" fillId="5" borderId="9" xfId="15" applyNumberFormat="1" applyFill="1" applyBorder="1" applyAlignment="1">
      <alignment horizontal="center"/>
    </xf>
    <xf numFmtId="39" fontId="82" fillId="0" borderId="9" xfId="1" applyNumberFormat="1"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16" xfId="0" applyFont="1" applyFill="1" applyBorder="1" applyAlignment="1">
      <alignment horizontal="center" vertical="center" wrapText="1"/>
    </xf>
    <xf numFmtId="9" fontId="82" fillId="0" borderId="9" xfId="3" applyFont="1" applyFill="1" applyBorder="1" applyAlignment="1">
      <alignment horizontal="center" vertical="center" wrapText="1"/>
    </xf>
    <xf numFmtId="0" fontId="43" fillId="0" borderId="9" xfId="15" applyFont="1" applyBorder="1" applyAlignment="1">
      <alignment wrapText="1"/>
    </xf>
    <xf numFmtId="0" fontId="43" fillId="0" borderId="9" xfId="15" applyFont="1" applyBorder="1"/>
    <xf numFmtId="37" fontId="24" fillId="0" borderId="9" xfId="1" applyNumberFormat="1" applyFont="1" applyFill="1" applyBorder="1" applyAlignment="1">
      <alignment horizontal="center" vertical="center" wrapText="1"/>
    </xf>
    <xf numFmtId="37" fontId="82" fillId="0" borderId="9" xfId="1" applyNumberFormat="1" applyFont="1" applyFill="1" applyBorder="1" applyAlignment="1">
      <alignment horizontal="center" vertical="center" wrapText="1"/>
    </xf>
    <xf numFmtId="171" fontId="82" fillId="0" borderId="9" xfId="0" applyNumberFormat="1" applyFont="1" applyFill="1" applyBorder="1" applyAlignment="1">
      <alignment horizontal="center" vertical="center" wrapText="1"/>
    </xf>
    <xf numFmtId="0" fontId="17" fillId="5" borderId="0" xfId="6" applyFont="1" applyFill="1" applyBorder="1" applyAlignment="1">
      <alignment vertical="center" wrapText="1"/>
    </xf>
    <xf numFmtId="0" fontId="36" fillId="5" borderId="0" xfId="0" applyFont="1" applyFill="1" applyBorder="1" applyAlignment="1">
      <alignment vertical="center" wrapText="1"/>
    </xf>
    <xf numFmtId="0" fontId="0" fillId="0" borderId="0" xfId="0" applyBorder="1" applyAlignment="1">
      <alignment vertical="center" wrapText="1"/>
    </xf>
    <xf numFmtId="0" fontId="0" fillId="0" borderId="9" xfId="0" applyBorder="1" applyAlignment="1">
      <alignment horizontal="left" vertical="center" wrapText="1"/>
    </xf>
    <xf numFmtId="165" fontId="0" fillId="0" borderId="9" xfId="0" applyNumberFormat="1" applyBorder="1" applyAlignment="1">
      <alignment horizontal="center" vertical="center" wrapText="1"/>
    </xf>
    <xf numFmtId="0" fontId="37" fillId="0" borderId="9" xfId="12" applyFont="1" applyBorder="1" applyAlignment="1">
      <alignment horizontal="center"/>
    </xf>
    <xf numFmtId="170" fontId="0" fillId="0" borderId="9" xfId="0" applyNumberFormat="1" applyBorder="1" applyAlignment="1">
      <alignment horizontal="center" vertical="center" wrapText="1"/>
    </xf>
    <xf numFmtId="171" fontId="0" fillId="0" borderId="9" xfId="0" applyNumberFormat="1" applyBorder="1" applyAlignment="1">
      <alignment horizontal="center" vertical="center" wrapText="1"/>
    </xf>
    <xf numFmtId="1" fontId="0" fillId="0" borderId="9" xfId="13" applyNumberFormat="1" applyFont="1" applyFill="1" applyBorder="1" applyAlignment="1">
      <alignment horizontal="center" vertical="center" wrapText="1"/>
    </xf>
    <xf numFmtId="165" fontId="0" fillId="0" borderId="9" xfId="13" applyNumberFormat="1" applyFont="1" applyFill="1" applyBorder="1" applyAlignment="1">
      <alignment horizontal="center" vertical="center" wrapText="1"/>
    </xf>
    <xf numFmtId="0" fontId="24" fillId="0" borderId="9" xfId="15" applyFont="1" applyBorder="1" applyAlignment="1">
      <alignment horizontal="left" wrapText="1"/>
    </xf>
    <xf numFmtId="0" fontId="24" fillId="0" borderId="19" xfId="15" applyFont="1" applyBorder="1" applyAlignment="1">
      <alignment horizontal="left" vertical="center" wrapText="1"/>
    </xf>
    <xf numFmtId="171" fontId="24" fillId="0" borderId="9" xfId="13" applyNumberFormat="1" applyFont="1" applyFill="1" applyBorder="1" applyAlignment="1">
      <alignment horizontal="center"/>
    </xf>
    <xf numFmtId="0" fontId="24" fillId="0" borderId="24" xfId="0" applyFont="1" applyBorder="1" applyAlignment="1">
      <alignment horizontal="left" vertical="center" wrapText="1"/>
    </xf>
    <xf numFmtId="0" fontId="24" fillId="0" borderId="27" xfId="0" applyFont="1" applyBorder="1" applyAlignment="1">
      <alignment horizontal="left" vertical="center" wrapText="1"/>
    </xf>
    <xf numFmtId="165" fontId="24" fillId="0" borderId="9" xfId="15" applyNumberFormat="1" applyFont="1" applyBorder="1" applyAlignment="1">
      <alignment horizontal="center"/>
    </xf>
    <xf numFmtId="193" fontId="24" fillId="0" borderId="9" xfId="15" applyNumberFormat="1" applyFont="1" applyBorder="1" applyAlignment="1">
      <alignment horizontal="center"/>
    </xf>
    <xf numFmtId="1" fontId="0" fillId="0" borderId="9" xfId="3" applyNumberFormat="1" applyFont="1" applyBorder="1" applyAlignment="1">
      <alignment horizontal="center"/>
    </xf>
    <xf numFmtId="2" fontId="0" fillId="0" borderId="9" xfId="3" applyNumberFormat="1" applyFont="1" applyBorder="1" applyAlignment="1">
      <alignment horizontal="center"/>
    </xf>
    <xf numFmtId="0" fontId="24" fillId="0" borderId="9" xfId="15" applyFont="1" applyBorder="1" applyAlignment="1">
      <alignment horizontal="left"/>
    </xf>
    <xf numFmtId="1" fontId="24" fillId="0" borderId="9" xfId="3" applyNumberFormat="1" applyFont="1" applyBorder="1" applyAlignment="1">
      <alignment horizontal="center"/>
    </xf>
    <xf numFmtId="0" fontId="24" fillId="0" borderId="9" xfId="15" applyFont="1" applyBorder="1"/>
    <xf numFmtId="165" fontId="43" fillId="5" borderId="9" xfId="15" applyNumberFormat="1" applyFont="1" applyFill="1" applyBorder="1" applyAlignment="1">
      <alignment horizontal="center"/>
    </xf>
    <xf numFmtId="39" fontId="24" fillId="0" borderId="9" xfId="0" applyNumberFormat="1" applyFont="1" applyFill="1" applyBorder="1" applyAlignment="1">
      <alignment horizontal="center" vertical="center" wrapText="1"/>
    </xf>
    <xf numFmtId="2" fontId="39" fillId="0" borderId="9" xfId="3" applyNumberFormat="1" applyFont="1" applyBorder="1" applyAlignment="1">
      <alignment horizontal="center"/>
    </xf>
    <xf numFmtId="0" fontId="24" fillId="12" borderId="19" xfId="6" applyFont="1" applyFill="1" applyBorder="1" applyAlignment="1">
      <alignment horizontal="left" vertical="center" wrapText="1"/>
    </xf>
    <xf numFmtId="173" fontId="39" fillId="5" borderId="9" xfId="3" applyNumberFormat="1" applyFont="1" applyFill="1" applyBorder="1" applyAlignment="1">
      <alignment horizontal="center"/>
    </xf>
    <xf numFmtId="0" fontId="24" fillId="12" borderId="17" xfId="0" applyFont="1" applyFill="1" applyBorder="1" applyAlignment="1">
      <alignment horizontal="center" vertical="center" wrapText="1"/>
    </xf>
    <xf numFmtId="2" fontId="39" fillId="5" borderId="9" xfId="3" applyNumberFormat="1" applyFont="1" applyFill="1" applyBorder="1" applyAlignment="1">
      <alignment horizontal="center"/>
    </xf>
    <xf numFmtId="165" fontId="39" fillId="5" borderId="9" xfId="3" applyNumberFormat="1" applyFont="1" applyFill="1" applyBorder="1" applyAlignment="1">
      <alignment horizontal="center"/>
    </xf>
    <xf numFmtId="169" fontId="24" fillId="0" borderId="9" xfId="1" applyNumberFormat="1" applyFont="1" applyBorder="1" applyAlignment="1">
      <alignment horizontal="center"/>
    </xf>
    <xf numFmtId="165" fontId="0" fillId="0" borderId="9" xfId="0" applyNumberFormat="1" applyFont="1" applyBorder="1" applyAlignment="1">
      <alignment horizontal="center"/>
    </xf>
    <xf numFmtId="0" fontId="40" fillId="0" borderId="0" xfId="12" applyFont="1" applyFill="1" applyBorder="1" applyAlignment="1">
      <alignment horizontal="center"/>
    </xf>
    <xf numFmtId="0" fontId="24" fillId="0" borderId="0" xfId="0" applyFont="1" applyFill="1" applyBorder="1" applyAlignment="1">
      <alignment horizontal="left" vertical="center"/>
    </xf>
    <xf numFmtId="2" fontId="5" fillId="5" borderId="9" xfId="0" applyNumberFormat="1" applyFont="1" applyFill="1" applyBorder="1" applyAlignment="1">
      <alignment horizontal="center"/>
    </xf>
    <xf numFmtId="168" fontId="0" fillId="0" borderId="9" xfId="6" applyNumberFormat="1" applyFont="1" applyBorder="1" applyAlignment="1">
      <alignment horizontal="left" vertical="top" wrapText="1"/>
    </xf>
    <xf numFmtId="10" fontId="69" fillId="5" borderId="9" xfId="8" applyNumberFormat="1" applyFont="1" applyFill="1" applyBorder="1" applyAlignment="1">
      <alignment horizontal="center" vertical="center" wrapText="1"/>
    </xf>
    <xf numFmtId="9" fontId="24" fillId="5" borderId="9" xfId="8" applyFont="1" applyFill="1" applyBorder="1" applyAlignment="1">
      <alignment horizontal="center" vertical="center" wrapText="1"/>
    </xf>
    <xf numFmtId="0" fontId="82" fillId="0" borderId="9" xfId="0" applyFont="1" applyFill="1" applyBorder="1" applyAlignment="1">
      <alignment horizontal="center" vertical="center"/>
    </xf>
    <xf numFmtId="193" fontId="82" fillId="0" borderId="9" xfId="15" applyNumberFormat="1" applyFont="1" applyBorder="1" applyAlignment="1">
      <alignment horizontal="center"/>
    </xf>
    <xf numFmtId="0" fontId="43" fillId="0" borderId="30" xfId="15" applyFont="1" applyBorder="1"/>
    <xf numFmtId="0" fontId="43" fillId="0" borderId="0" xfId="15" applyFont="1" applyAlignment="1">
      <alignment horizontal="center"/>
    </xf>
    <xf numFmtId="187" fontId="43" fillId="0" borderId="0" xfId="15" applyNumberFormat="1" applyFont="1"/>
    <xf numFmtId="179" fontId="0" fillId="5" borderId="9" xfId="0" applyNumberFormat="1" applyFont="1" applyFill="1" applyBorder="1" applyAlignment="1">
      <alignment horizontal="center" vertical="center" wrapText="1"/>
    </xf>
    <xf numFmtId="0" fontId="24" fillId="0" borderId="9" xfId="0" applyFont="1" applyFill="1" applyBorder="1" applyAlignment="1">
      <alignment wrapText="1"/>
    </xf>
    <xf numFmtId="179" fontId="24" fillId="0" borderId="9" xfId="1" applyNumberFormat="1" applyFont="1" applyBorder="1" applyAlignment="1">
      <alignment horizontal="left"/>
    </xf>
    <xf numFmtId="171" fontId="24" fillId="0" borderId="9" xfId="2" applyNumberFormat="1" applyFont="1" applyBorder="1" applyAlignment="1">
      <alignment horizontal="left"/>
    </xf>
    <xf numFmtId="171" fontId="24" fillId="5" borderId="9" xfId="13" applyNumberFormat="1" applyFont="1" applyFill="1" applyBorder="1" applyAlignment="1">
      <alignment horizontal="center" vertical="center"/>
    </xf>
    <xf numFmtId="0" fontId="0" fillId="0" borderId="0" xfId="0" applyBorder="1" applyAlignment="1">
      <alignment horizontal="left" vertical="center" wrapText="1"/>
    </xf>
    <xf numFmtId="0" fontId="24" fillId="0" borderId="21" xfId="0" applyFont="1" applyFill="1" applyBorder="1" applyAlignment="1">
      <alignment horizontal="center" vertical="center" wrapText="1"/>
    </xf>
    <xf numFmtId="39" fontId="82" fillId="5" borderId="9" xfId="1" applyNumberFormat="1" applyFont="1" applyFill="1" applyBorder="1" applyAlignment="1">
      <alignment horizontal="center" vertical="center" wrapText="1"/>
    </xf>
    <xf numFmtId="0" fontId="24" fillId="12" borderId="9" xfId="0" applyFont="1" applyFill="1" applyBorder="1" applyAlignment="1">
      <alignment horizontal="left" vertical="center" wrapText="1"/>
    </xf>
    <xf numFmtId="0" fontId="24" fillId="0" borderId="18" xfId="15" applyFont="1" applyBorder="1" applyAlignment="1">
      <alignment horizontal="left" wrapText="1"/>
    </xf>
    <xf numFmtId="37" fontId="0" fillId="0" borderId="9" xfId="1" applyNumberFormat="1" applyFont="1" applyFill="1" applyBorder="1" applyAlignment="1">
      <alignment horizontal="center" vertical="center" wrapText="1"/>
    </xf>
    <xf numFmtId="180" fontId="0" fillId="0" borderId="9" xfId="0" applyNumberFormat="1" applyBorder="1" applyAlignment="1">
      <alignment horizontal="center" vertical="center" wrapText="1"/>
    </xf>
    <xf numFmtId="0" fontId="0" fillId="0" borderId="9" xfId="7" applyFont="1" applyBorder="1"/>
    <xf numFmtId="0" fontId="0" fillId="5" borderId="0" xfId="13" applyFont="1" applyFill="1" applyAlignment="1">
      <alignment horizontal="left"/>
    </xf>
    <xf numFmtId="0" fontId="84" fillId="0" borderId="0" xfId="0" applyFont="1"/>
    <xf numFmtId="168" fontId="0" fillId="0" borderId="9" xfId="6" applyNumberFormat="1" applyFont="1" applyBorder="1" applyAlignment="1">
      <alignment horizontal="left" vertical="center" wrapText="1"/>
    </xf>
    <xf numFmtId="2" fontId="0" fillId="0" borderId="9" xfId="0" applyNumberFormat="1" applyBorder="1" applyAlignment="1">
      <alignment wrapText="1"/>
    </xf>
    <xf numFmtId="0" fontId="0" fillId="0" borderId="9" xfId="0" applyBorder="1" applyAlignment="1"/>
    <xf numFmtId="0" fontId="0" fillId="0" borderId="9" xfId="0" applyBorder="1" applyAlignment="1">
      <alignment horizontal="left" wrapText="1"/>
    </xf>
    <xf numFmtId="2" fontId="0" fillId="0" borderId="9" xfId="0" applyNumberFormat="1" applyBorder="1" applyAlignment="1">
      <alignment horizontal="center" wrapText="1"/>
    </xf>
    <xf numFmtId="9" fontId="0" fillId="0" borderId="9" xfId="3" applyNumberFormat="1" applyFont="1" applyBorder="1" applyAlignment="1">
      <alignment wrapText="1"/>
    </xf>
    <xf numFmtId="9" fontId="0" fillId="0" borderId="9" xfId="3" applyNumberFormat="1" applyFont="1" applyBorder="1" applyAlignment="1">
      <alignment horizontal="center" wrapText="1"/>
    </xf>
    <xf numFmtId="43" fontId="0" fillId="0" borderId="9" xfId="1" applyNumberFormat="1" applyFont="1" applyBorder="1" applyAlignment="1">
      <alignment wrapText="1"/>
    </xf>
    <xf numFmtId="43" fontId="0" fillId="0" borderId="9" xfId="1" applyNumberFormat="1" applyFont="1" applyBorder="1" applyAlignment="1">
      <alignment horizontal="center" wrapText="1"/>
    </xf>
    <xf numFmtId="168" fontId="0" fillId="0" borderId="0" xfId="6" applyNumberFormat="1" applyFont="1" applyBorder="1" applyAlignment="1">
      <alignment horizontal="left" vertical="center" wrapText="1"/>
    </xf>
    <xf numFmtId="0" fontId="0" fillId="0" borderId="0" xfId="0" applyBorder="1" applyAlignment="1">
      <alignment horizontal="left" wrapText="1"/>
    </xf>
    <xf numFmtId="43" fontId="0" fillId="0" borderId="0" xfId="1" applyNumberFormat="1" applyFont="1" applyBorder="1" applyAlignment="1">
      <alignment wrapText="1"/>
    </xf>
    <xf numFmtId="168" fontId="0" fillId="0" borderId="0" xfId="6" applyNumberFormat="1" applyFont="1" applyBorder="1" applyAlignment="1">
      <alignment horizontal="left" vertical="top" wrapText="1"/>
    </xf>
    <xf numFmtId="169" fontId="39" fillId="0" borderId="9" xfId="1" applyNumberFormat="1" applyFont="1" applyBorder="1" applyAlignment="1">
      <alignment horizontal="center"/>
    </xf>
    <xf numFmtId="39" fontId="0" fillId="0" borderId="9" xfId="1" applyNumberFormat="1" applyFont="1" applyBorder="1" applyAlignment="1"/>
    <xf numFmtId="0" fontId="40" fillId="5" borderId="0" xfId="0" applyFont="1" applyFill="1"/>
    <xf numFmtId="197" fontId="0" fillId="0" borderId="0" xfId="0" applyNumberFormat="1" applyBorder="1" applyAlignment="1">
      <alignment horizontal="center" vertical="center" wrapText="1"/>
    </xf>
    <xf numFmtId="0" fontId="0" fillId="0" borderId="9" xfId="7" applyFont="1" applyBorder="1" applyAlignment="1">
      <alignment horizontal="center"/>
    </xf>
    <xf numFmtId="198" fontId="0" fillId="0" borderId="0" xfId="0" applyNumberFormat="1"/>
    <xf numFmtId="0" fontId="0" fillId="19" borderId="16" xfId="0" applyFill="1" applyBorder="1"/>
    <xf numFmtId="166" fontId="0" fillId="19" borderId="18" xfId="0" applyNumberFormat="1" applyFill="1" applyBorder="1"/>
    <xf numFmtId="0" fontId="37" fillId="5" borderId="9" xfId="12" applyFont="1" applyFill="1" applyBorder="1"/>
    <xf numFmtId="166" fontId="0" fillId="5" borderId="9" xfId="0" applyNumberFormat="1" applyFill="1" applyBorder="1"/>
    <xf numFmtId="0" fontId="37" fillId="15" borderId="16" xfId="12" applyFont="1" applyFill="1" applyBorder="1"/>
    <xf numFmtId="166" fontId="0" fillId="15" borderId="18" xfId="0" applyNumberFormat="1" applyFill="1" applyBorder="1"/>
    <xf numFmtId="198" fontId="0" fillId="0" borderId="9" xfId="0" applyNumberFormat="1" applyBorder="1"/>
    <xf numFmtId="166" fontId="0" fillId="0" borderId="0" xfId="0" applyNumberFormat="1"/>
    <xf numFmtId="165" fontId="85" fillId="0" borderId="8" xfId="0" applyNumberFormat="1" applyFont="1" applyBorder="1" applyAlignment="1">
      <alignment horizontal="center" vertical="center" wrapText="1"/>
    </xf>
    <xf numFmtId="14" fontId="85" fillId="0" borderId="9" xfId="0" applyNumberFormat="1" applyFont="1" applyBorder="1" applyAlignment="1">
      <alignment horizontal="justify" vertical="center" wrapText="1"/>
    </xf>
    <xf numFmtId="165" fontId="85" fillId="0" borderId="9" xfId="0" applyNumberFormat="1" applyFont="1" applyBorder="1" applyAlignment="1">
      <alignment horizontal="center" vertical="center" wrapText="1"/>
    </xf>
    <xf numFmtId="0" fontId="85" fillId="0" borderId="10" xfId="0" applyFont="1" applyBorder="1" applyAlignment="1">
      <alignment horizontal="left" vertical="center" wrapText="1"/>
    </xf>
    <xf numFmtId="188" fontId="43" fillId="5" borderId="9" xfId="3" applyNumberFormat="1" applyFont="1" applyFill="1" applyBorder="1" applyAlignment="1">
      <alignment horizontal="center"/>
    </xf>
    <xf numFmtId="0" fontId="24" fillId="0" borderId="9" xfId="13" applyFont="1" applyBorder="1" applyAlignment="1">
      <alignment horizontal="center"/>
    </xf>
    <xf numFmtId="168" fontId="24" fillId="5" borderId="9" xfId="0" applyNumberFormat="1" applyFont="1" applyFill="1" applyBorder="1" applyAlignment="1">
      <alignment horizontal="center"/>
    </xf>
    <xf numFmtId="0" fontId="40" fillId="0" borderId="0" xfId="7" applyFont="1" applyFill="1" applyBorder="1"/>
    <xf numFmtId="0" fontId="5" fillId="0" borderId="9" xfId="0" applyFont="1" applyBorder="1"/>
    <xf numFmtId="0" fontId="40" fillId="0" borderId="37" xfId="0" applyFont="1" applyFill="1" applyBorder="1" applyAlignment="1">
      <alignment horizontal="left" vertical="center" wrapText="1"/>
    </xf>
    <xf numFmtId="9" fontId="24" fillId="0" borderId="9" xfId="3" applyFont="1" applyBorder="1" applyAlignment="1">
      <alignment horizontal="center"/>
    </xf>
    <xf numFmtId="0" fontId="24" fillId="20" borderId="9" xfId="0" applyFont="1" applyFill="1" applyBorder="1" applyAlignment="1">
      <alignment horizontal="left" vertical="top" wrapText="1"/>
    </xf>
    <xf numFmtId="2" fontId="5" fillId="5" borderId="9" xfId="0" applyNumberFormat="1" applyFont="1" applyFill="1" applyBorder="1" applyAlignment="1">
      <alignment horizontal="left" vertical="top" wrapText="1"/>
    </xf>
    <xf numFmtId="43" fontId="24" fillId="5" borderId="9" xfId="1" applyFont="1" applyFill="1" applyBorder="1"/>
    <xf numFmtId="1" fontId="24" fillId="0" borderId="16" xfId="13" applyNumberFormat="1" applyFont="1" applyFill="1" applyBorder="1" applyAlignment="1">
      <alignment horizontal="center" vertical="center" wrapText="1"/>
    </xf>
    <xf numFmtId="2" fontId="24" fillId="0" borderId="16" xfId="13" applyNumberFormat="1" applyFont="1" applyFill="1" applyBorder="1" applyAlignment="1">
      <alignment horizontal="center" vertical="center" wrapText="1"/>
    </xf>
    <xf numFmtId="168" fontId="24" fillId="0" borderId="16" xfId="6" applyNumberFormat="1" applyFont="1" applyFill="1" applyBorder="1" applyAlignment="1">
      <alignment horizontal="left" vertical="top" wrapText="1"/>
    </xf>
    <xf numFmtId="0" fontId="39" fillId="0" borderId="9" xfId="15" applyFont="1" applyBorder="1" applyAlignment="1">
      <alignment horizontal="center" vertical="center"/>
    </xf>
    <xf numFmtId="0" fontId="24" fillId="0" borderId="9" xfId="0" applyFont="1" applyBorder="1" applyAlignment="1">
      <alignment horizontal="center" vertical="center" wrapText="1"/>
    </xf>
    <xf numFmtId="168" fontId="24" fillId="0" borderId="9" xfId="0" applyNumberFormat="1" applyFont="1" applyBorder="1" applyAlignment="1">
      <alignment horizontal="left"/>
    </xf>
    <xf numFmtId="0" fontId="5" fillId="5" borderId="9" xfId="0" applyFont="1" applyFill="1" applyBorder="1" applyAlignment="1">
      <alignment horizontal="center" vertical="center" wrapText="1"/>
    </xf>
    <xf numFmtId="0" fontId="5" fillId="5" borderId="9" xfId="0" applyFont="1" applyFill="1" applyBorder="1" applyAlignment="1">
      <alignment horizontal="center" vertical="center"/>
    </xf>
    <xf numFmtId="165" fontId="5" fillId="0" borderId="9" xfId="0" applyNumberFormat="1" applyFont="1" applyFill="1" applyBorder="1" applyAlignment="1">
      <alignment horizontal="center" vertical="center" wrapText="1"/>
    </xf>
    <xf numFmtId="179" fontId="5" fillId="0" borderId="9" xfId="0" applyNumberFormat="1" applyFont="1" applyFill="1" applyBorder="1" applyAlignment="1">
      <alignment horizontal="center" vertical="center" wrapText="1"/>
    </xf>
    <xf numFmtId="3" fontId="5" fillId="0" borderId="9" xfId="0" applyNumberFormat="1" applyFont="1" applyFill="1" applyBorder="1" applyAlignment="1">
      <alignment horizontal="center" vertical="center" wrapText="1"/>
    </xf>
    <xf numFmtId="165" fontId="5" fillId="0" borderId="9" xfId="15" applyNumberFormat="1" applyFont="1" applyFill="1" applyBorder="1" applyAlignment="1">
      <alignment horizontal="center"/>
    </xf>
    <xf numFmtId="7" fontId="5" fillId="0" borderId="9" xfId="2" applyNumberFormat="1" applyFont="1" applyFill="1" applyBorder="1" applyAlignment="1">
      <alignment horizontal="center"/>
    </xf>
    <xf numFmtId="0" fontId="5" fillId="0" borderId="9" xfId="0" applyFont="1" applyBorder="1" applyAlignment="1">
      <alignment horizontal="center" wrapText="1"/>
    </xf>
    <xf numFmtId="2" fontId="5" fillId="5" borderId="9" xfId="0" applyNumberFormat="1" applyFont="1" applyFill="1" applyBorder="1" applyAlignment="1">
      <alignment horizontal="center" vertical="center"/>
    </xf>
    <xf numFmtId="167" fontId="46" fillId="13" borderId="0" xfId="0" applyNumberFormat="1" applyFont="1" applyFill="1"/>
    <xf numFmtId="0" fontId="5" fillId="13" borderId="9" xfId="0" applyFont="1" applyFill="1" applyBorder="1" applyAlignment="1">
      <alignment horizontal="center" vertical="center" wrapText="1"/>
    </xf>
    <xf numFmtId="0" fontId="5" fillId="0" borderId="9" xfId="0" applyFont="1" applyBorder="1" applyAlignment="1">
      <alignment horizontal="center" vertical="center"/>
    </xf>
    <xf numFmtId="4" fontId="5" fillId="0" borderId="9" xfId="0" applyNumberFormat="1" applyFont="1" applyFill="1" applyBorder="1" applyAlignment="1">
      <alignment horizontal="center" vertical="center" wrapText="1"/>
    </xf>
    <xf numFmtId="165" fontId="5" fillId="0" borderId="9" xfId="0" applyNumberFormat="1" applyFont="1" applyBorder="1" applyAlignment="1">
      <alignment horizontal="center" vertical="center" wrapText="1"/>
    </xf>
    <xf numFmtId="3" fontId="5" fillId="0" borderId="9" xfId="0" applyNumberFormat="1" applyFont="1" applyBorder="1" applyAlignment="1">
      <alignment horizontal="center" vertical="center" wrapText="1"/>
    </xf>
    <xf numFmtId="188" fontId="5" fillId="0" borderId="9" xfId="0" applyNumberFormat="1" applyFont="1" applyFill="1" applyBorder="1" applyAlignment="1">
      <alignment horizontal="center" vertical="center" wrapText="1"/>
    </xf>
    <xf numFmtId="44" fontId="5" fillId="5" borderId="9" xfId="2" applyFont="1" applyFill="1" applyBorder="1" applyAlignment="1">
      <alignment horizontal="center"/>
    </xf>
    <xf numFmtId="168" fontId="24" fillId="0" borderId="27" xfId="6" applyNumberFormat="1" applyFont="1" applyFill="1" applyBorder="1" applyAlignment="1">
      <alignment horizontal="left" vertical="center"/>
    </xf>
    <xf numFmtId="2" fontId="24" fillId="0" borderId="26" xfId="0" applyNumberFormat="1" applyFont="1" applyFill="1" applyBorder="1" applyAlignment="1">
      <alignment horizontal="center"/>
    </xf>
    <xf numFmtId="171" fontId="24" fillId="0" borderId="9" xfId="5" applyNumberFormat="1" applyFont="1" applyFill="1" applyBorder="1" applyAlignment="1" applyProtection="1">
      <alignment horizontal="center"/>
      <protection locked="0"/>
    </xf>
    <xf numFmtId="171" fontId="24" fillId="0" borderId="9" xfId="5" applyNumberFormat="1" applyFont="1" applyFill="1" applyBorder="1" applyProtection="1">
      <protection locked="0"/>
    </xf>
    <xf numFmtId="0" fontId="24" fillId="0" borderId="19" xfId="0" applyFont="1" applyFill="1" applyBorder="1" applyAlignment="1">
      <alignment horizontal="left"/>
    </xf>
    <xf numFmtId="2" fontId="24" fillId="0" borderId="23" xfId="0" applyNumberFormat="1" applyFont="1" applyFill="1" applyBorder="1" applyAlignment="1">
      <alignment horizontal="center"/>
    </xf>
    <xf numFmtId="2" fontId="24" fillId="0" borderId="48" xfId="0" applyNumberFormat="1" applyFont="1" applyFill="1" applyBorder="1" applyAlignment="1">
      <alignment horizontal="center"/>
    </xf>
    <xf numFmtId="168" fontId="24" fillId="0" borderId="14" xfId="6" applyNumberFormat="1" applyFont="1" applyFill="1" applyBorder="1" applyAlignment="1">
      <alignment horizontal="left" vertical="center"/>
    </xf>
    <xf numFmtId="0" fontId="24" fillId="0" borderId="14" xfId="0" applyFont="1" applyFill="1" applyBorder="1" applyAlignment="1">
      <alignment horizontal="left"/>
    </xf>
    <xf numFmtId="2" fontId="24" fillId="0" borderId="51" xfId="0" applyNumberFormat="1" applyFont="1" applyFill="1" applyBorder="1" applyAlignment="1">
      <alignment horizontal="center"/>
    </xf>
    <xf numFmtId="169" fontId="5" fillId="5" borderId="9" xfId="6" applyNumberFormat="1" applyFont="1" applyFill="1" applyBorder="1" applyAlignment="1">
      <alignment horizontal="center"/>
    </xf>
    <xf numFmtId="2" fontId="5" fillId="5" borderId="27" xfId="0" applyNumberFormat="1" applyFont="1" applyFill="1" applyBorder="1" applyAlignment="1">
      <alignment horizontal="left" vertical="top" wrapText="1"/>
    </xf>
    <xf numFmtId="2" fontId="24" fillId="5" borderId="27" xfId="0" applyNumberFormat="1" applyFont="1" applyFill="1" applyBorder="1" applyAlignment="1">
      <alignment horizontal="left" vertical="top" wrapText="1"/>
    </xf>
    <xf numFmtId="2" fontId="24" fillId="5" borderId="9" xfId="0" applyNumberFormat="1" applyFont="1" applyFill="1" applyBorder="1" applyAlignment="1">
      <alignment horizontal="left" vertical="top" wrapText="1"/>
    </xf>
    <xf numFmtId="1" fontId="5" fillId="5" borderId="9" xfId="0" applyNumberFormat="1" applyFont="1" applyFill="1" applyBorder="1"/>
    <xf numFmtId="1" fontId="0" fillId="0" borderId="9" xfId="0" applyNumberFormat="1" applyBorder="1"/>
    <xf numFmtId="1" fontId="0" fillId="0" borderId="9" xfId="0" applyNumberFormat="1" applyFont="1" applyBorder="1"/>
    <xf numFmtId="37" fontId="0" fillId="5" borderId="9" xfId="1" applyNumberFormat="1" applyFont="1" applyFill="1" applyBorder="1" applyAlignment="1">
      <alignment horizontal="center"/>
    </xf>
    <xf numFmtId="37" fontId="5" fillId="5" borderId="9" xfId="1" applyNumberFormat="1" applyFont="1" applyFill="1" applyBorder="1" applyAlignment="1">
      <alignment horizontal="center"/>
    </xf>
    <xf numFmtId="3" fontId="39" fillId="0" borderId="9" xfId="15" applyNumberFormat="1" applyBorder="1" applyAlignment="1">
      <alignment horizontal="center"/>
    </xf>
    <xf numFmtId="3" fontId="1" fillId="0" borderId="9" xfId="7" applyNumberFormat="1" applyBorder="1"/>
    <xf numFmtId="1" fontId="1" fillId="0" borderId="9" xfId="7" applyNumberFormat="1" applyFill="1" applyBorder="1" applyAlignment="1">
      <alignment horizontal="center"/>
    </xf>
    <xf numFmtId="1" fontId="5" fillId="0" borderId="9" xfId="7" applyNumberFormat="1" applyFont="1" applyFill="1" applyBorder="1" applyAlignment="1">
      <alignment horizontal="center"/>
    </xf>
    <xf numFmtId="1" fontId="1" fillId="0" borderId="9" xfId="7" applyNumberFormat="1" applyFont="1" applyFill="1" applyBorder="1" applyAlignment="1">
      <alignment horizontal="center"/>
    </xf>
    <xf numFmtId="1" fontId="24" fillId="0" borderId="9" xfId="7" applyNumberFormat="1" applyFont="1" applyFill="1" applyBorder="1" applyAlignment="1">
      <alignment horizontal="center"/>
    </xf>
    <xf numFmtId="39" fontId="5" fillId="5" borderId="9" xfId="0" applyNumberFormat="1" applyFont="1" applyFill="1" applyBorder="1" applyAlignment="1">
      <alignment horizontal="center" vertical="center" wrapText="1"/>
    </xf>
    <xf numFmtId="37" fontId="5" fillId="5" borderId="9" xfId="0" applyNumberFormat="1" applyFont="1" applyFill="1" applyBorder="1" applyAlignment="1">
      <alignment horizontal="center" vertical="center" wrapText="1"/>
    </xf>
    <xf numFmtId="1" fontId="0" fillId="0" borderId="9" xfId="0" applyNumberFormat="1" applyBorder="1" applyAlignment="1">
      <alignment horizontal="center" vertical="center"/>
    </xf>
    <xf numFmtId="1" fontId="5" fillId="5" borderId="9" xfId="0" applyNumberFormat="1" applyFont="1" applyFill="1" applyBorder="1" applyAlignment="1">
      <alignment horizontal="center" vertical="center" wrapText="1"/>
    </xf>
    <xf numFmtId="1" fontId="0" fillId="0" borderId="9" xfId="0" applyNumberFormat="1" applyBorder="1" applyAlignment="1">
      <alignment horizontal="center"/>
    </xf>
    <xf numFmtId="1" fontId="5" fillId="0" borderId="9" xfId="0" applyNumberFormat="1" applyFont="1" applyBorder="1" applyAlignment="1">
      <alignment horizontal="center"/>
    </xf>
    <xf numFmtId="1" fontId="5" fillId="0" borderId="9" xfId="0" applyNumberFormat="1" applyFont="1" applyFill="1" applyBorder="1" applyAlignment="1">
      <alignment horizontal="center" vertical="center" wrapText="1"/>
    </xf>
    <xf numFmtId="180" fontId="24" fillId="0" borderId="9" xfId="0" applyNumberFormat="1" applyFont="1" applyBorder="1" applyAlignment="1">
      <alignment horizontal="center"/>
    </xf>
    <xf numFmtId="165" fontId="5" fillId="5" borderId="9" xfId="0" applyNumberFormat="1" applyFont="1" applyFill="1" applyBorder="1" applyAlignment="1">
      <alignment horizontal="center"/>
    </xf>
    <xf numFmtId="37" fontId="1" fillId="5" borderId="9" xfId="15" applyNumberFormat="1" applyFont="1" applyFill="1" applyBorder="1" applyAlignment="1">
      <alignment horizontal="center"/>
    </xf>
    <xf numFmtId="37" fontId="1" fillId="0" borderId="9" xfId="1" applyNumberFormat="1" applyFont="1" applyBorder="1" applyAlignment="1">
      <alignment horizontal="center"/>
    </xf>
    <xf numFmtId="37" fontId="24" fillId="5" borderId="9" xfId="0" applyNumberFormat="1" applyFont="1" applyFill="1" applyBorder="1" applyAlignment="1">
      <alignment horizontal="center" vertical="center" wrapText="1"/>
    </xf>
    <xf numFmtId="39" fontId="1" fillId="0" borderId="9" xfId="13" applyNumberFormat="1" applyFont="1" applyBorder="1" applyAlignment="1">
      <alignment horizontal="center"/>
    </xf>
    <xf numFmtId="39" fontId="24" fillId="5" borderId="9" xfId="0" applyNumberFormat="1" applyFont="1" applyFill="1" applyBorder="1" applyAlignment="1">
      <alignment horizontal="center" vertical="center" wrapText="1"/>
    </xf>
    <xf numFmtId="39" fontId="0" fillId="0" borderId="9" xfId="13" applyNumberFormat="1" applyFont="1" applyBorder="1" applyAlignment="1">
      <alignment horizontal="center"/>
    </xf>
    <xf numFmtId="39" fontId="0" fillId="0" borderId="9" xfId="0" applyNumberFormat="1" applyFont="1" applyFill="1" applyBorder="1" applyAlignment="1">
      <alignment horizontal="center" vertical="center" wrapText="1"/>
    </xf>
    <xf numFmtId="1" fontId="1" fillId="0" borderId="9" xfId="0" applyNumberFormat="1" applyFont="1" applyFill="1" applyBorder="1" applyAlignment="1">
      <alignment horizontal="center" vertical="center" wrapText="1"/>
    </xf>
    <xf numFmtId="1" fontId="24" fillId="5" borderId="9" xfId="0" applyNumberFormat="1" applyFont="1" applyFill="1" applyBorder="1" applyAlignment="1">
      <alignment horizontal="center" vertical="center" wrapText="1"/>
    </xf>
    <xf numFmtId="37" fontId="24" fillId="0" borderId="9" xfId="0" applyNumberFormat="1" applyFont="1" applyFill="1" applyBorder="1" applyAlignment="1">
      <alignment horizontal="center" vertical="center" wrapText="1"/>
    </xf>
    <xf numFmtId="37" fontId="5" fillId="0" borderId="9" xfId="0" applyNumberFormat="1" applyFont="1" applyFill="1" applyBorder="1" applyAlignment="1">
      <alignment horizontal="center" vertical="center" wrapText="1"/>
    </xf>
    <xf numFmtId="37" fontId="39" fillId="0" borderId="9" xfId="1" applyNumberFormat="1" applyFont="1" applyBorder="1" applyAlignment="1">
      <alignment horizontal="center" wrapText="1"/>
    </xf>
    <xf numFmtId="37" fontId="1" fillId="0" borderId="9" xfId="0" applyNumberFormat="1" applyFont="1" applyFill="1" applyBorder="1" applyAlignment="1">
      <alignment horizontal="center" vertical="center" wrapText="1"/>
    </xf>
    <xf numFmtId="37" fontId="39" fillId="0" borderId="9" xfId="15" applyNumberFormat="1" applyBorder="1" applyAlignment="1">
      <alignment horizontal="center"/>
    </xf>
    <xf numFmtId="37" fontId="39" fillId="0" borderId="9" xfId="15" applyNumberFormat="1" applyFont="1" applyBorder="1" applyAlignment="1">
      <alignment horizontal="center"/>
    </xf>
    <xf numFmtId="1" fontId="0" fillId="5" borderId="9" xfId="1" applyNumberFormat="1" applyFont="1" applyFill="1" applyBorder="1" applyAlignment="1">
      <alignment horizontal="center"/>
    </xf>
    <xf numFmtId="1" fontId="28" fillId="0" borderId="9" xfId="15" applyNumberFormat="1" applyFont="1" applyBorder="1" applyAlignment="1">
      <alignment horizontal="center"/>
    </xf>
    <xf numFmtId="0" fontId="40" fillId="7" borderId="0" xfId="6" applyFont="1" applyFill="1"/>
    <xf numFmtId="0" fontId="59" fillId="7" borderId="0" xfId="0" applyFont="1" applyFill="1" applyAlignment="1">
      <alignment horizontal="center"/>
    </xf>
    <xf numFmtId="0" fontId="40" fillId="0" borderId="0" xfId="6" applyFont="1"/>
    <xf numFmtId="0" fontId="40" fillId="0" borderId="0" xfId="6" applyFont="1" applyFill="1"/>
    <xf numFmtId="0" fontId="59" fillId="0" borderId="0" xfId="0" applyFont="1" applyFill="1" applyAlignment="1">
      <alignment horizontal="center"/>
    </xf>
    <xf numFmtId="0" fontId="24" fillId="0" borderId="0" xfId="0" applyFont="1" applyFill="1" applyAlignment="1"/>
    <xf numFmtId="0" fontId="86" fillId="0" borderId="0" xfId="6" applyFont="1"/>
    <xf numFmtId="0" fontId="24" fillId="0" borderId="0" xfId="6" applyFont="1"/>
    <xf numFmtId="0" fontId="59" fillId="0" borderId="0" xfId="6" applyFont="1" applyFill="1" applyBorder="1" applyAlignment="1">
      <alignment horizontal="center" vertical="center" wrapText="1"/>
    </xf>
    <xf numFmtId="0" fontId="86" fillId="0" borderId="0" xfId="6" applyFont="1" applyAlignment="1">
      <alignment horizontal="center"/>
    </xf>
    <xf numFmtId="0" fontId="59" fillId="5" borderId="0" xfId="7" applyFont="1" applyFill="1" applyAlignment="1">
      <alignment horizontal="left" vertical="center"/>
    </xf>
    <xf numFmtId="0" fontId="86" fillId="5" borderId="0" xfId="7" applyFont="1" applyFill="1" applyAlignment="1">
      <alignment horizontal="left" vertical="center"/>
    </xf>
    <xf numFmtId="166" fontId="86" fillId="5" borderId="0" xfId="7" applyNumberFormat="1" applyFont="1" applyFill="1" applyAlignment="1">
      <alignment horizontal="center" vertical="center"/>
    </xf>
    <xf numFmtId="0" fontId="24" fillId="5" borderId="0" xfId="7" applyFont="1" applyFill="1"/>
    <xf numFmtId="0" fontId="90" fillId="0" borderId="0" xfId="7" applyFont="1"/>
    <xf numFmtId="166" fontId="24" fillId="0" borderId="0" xfId="6" applyNumberFormat="1" applyFont="1" applyAlignment="1">
      <alignment horizontal="center"/>
    </xf>
    <xf numFmtId="0" fontId="24" fillId="0" borderId="0" xfId="7" applyFont="1" applyBorder="1"/>
    <xf numFmtId="0" fontId="40" fillId="0" borderId="9" xfId="6" applyNumberFormat="1" applyFont="1" applyFill="1" applyBorder="1"/>
    <xf numFmtId="168" fontId="24" fillId="0" borderId="9" xfId="6" applyNumberFormat="1" applyFont="1" applyBorder="1" applyAlignment="1">
      <alignment horizontal="center"/>
    </xf>
    <xf numFmtId="168" fontId="24" fillId="0" borderId="9" xfId="6" applyNumberFormat="1" applyFont="1" applyBorder="1" applyAlignment="1">
      <alignment wrapText="1"/>
    </xf>
    <xf numFmtId="168" fontId="24" fillId="0" borderId="9" xfId="6" applyNumberFormat="1" applyFont="1" applyFill="1" applyBorder="1" applyAlignment="1">
      <alignment horizontal="center"/>
    </xf>
    <xf numFmtId="166" fontId="24" fillId="0" borderId="9" xfId="6" applyNumberFormat="1" applyFont="1" applyFill="1" applyBorder="1" applyAlignment="1">
      <alignment horizontal="center"/>
    </xf>
    <xf numFmtId="170" fontId="24" fillId="0" borderId="9" xfId="6" applyNumberFormat="1" applyFont="1" applyFill="1" applyBorder="1" applyAlignment="1">
      <alignment horizontal="center"/>
    </xf>
    <xf numFmtId="171" fontId="24" fillId="8" borderId="9" xfId="6" applyNumberFormat="1" applyFont="1" applyFill="1" applyBorder="1" applyAlignment="1">
      <alignment horizontal="center" vertical="center" wrapText="1"/>
    </xf>
    <xf numFmtId="165" fontId="24" fillId="5" borderId="9" xfId="7" applyNumberFormat="1" applyFont="1" applyFill="1" applyBorder="1" applyAlignment="1">
      <alignment horizontal="left" vertical="center" wrapText="1" indent="3"/>
    </xf>
    <xf numFmtId="168" fontId="40" fillId="0" borderId="0" xfId="6" applyNumberFormat="1" applyFont="1"/>
    <xf numFmtId="4" fontId="24" fillId="0" borderId="0" xfId="6" applyNumberFormat="1" applyFont="1"/>
    <xf numFmtId="9" fontId="31" fillId="0" borderId="0" xfId="8" applyFont="1">
      <alignment horizontal="right" vertical="center" wrapText="1" readingOrder="1"/>
    </xf>
    <xf numFmtId="172" fontId="24" fillId="0" borderId="0" xfId="6" applyNumberFormat="1" applyFont="1"/>
    <xf numFmtId="173" fontId="31" fillId="0" borderId="0" xfId="8" applyNumberFormat="1" applyFont="1">
      <alignment horizontal="right" vertical="center" wrapText="1" readingOrder="1"/>
    </xf>
    <xf numFmtId="168" fontId="24" fillId="0" borderId="9" xfId="6" applyNumberFormat="1" applyFont="1" applyFill="1" applyBorder="1" applyAlignment="1">
      <alignment wrapText="1"/>
    </xf>
    <xf numFmtId="166" fontId="24" fillId="0" borderId="0" xfId="6" applyNumberFormat="1" applyFont="1" applyAlignment="1">
      <alignment horizontal="center" wrapText="1"/>
    </xf>
    <xf numFmtId="0" fontId="59" fillId="0" borderId="0" xfId="6" applyFont="1"/>
    <xf numFmtId="166" fontId="40" fillId="0" borderId="0" xfId="6" applyNumberFormat="1" applyFont="1" applyAlignment="1">
      <alignment horizontal="center" wrapText="1"/>
    </xf>
    <xf numFmtId="174" fontId="40" fillId="5" borderId="0" xfId="2" applyNumberFormat="1" applyFont="1" applyFill="1"/>
    <xf numFmtId="0" fontId="24" fillId="5" borderId="0" xfId="6" applyFont="1" applyFill="1"/>
    <xf numFmtId="0" fontId="40" fillId="5" borderId="0" xfId="6" applyFont="1" applyFill="1"/>
    <xf numFmtId="10" fontId="40" fillId="5" borderId="0" xfId="3" applyNumberFormat="1" applyFont="1" applyFill="1"/>
    <xf numFmtId="0" fontId="40" fillId="0" borderId="0" xfId="7" applyFont="1"/>
    <xf numFmtId="168" fontId="24" fillId="5" borderId="9" xfId="6" applyNumberFormat="1" applyFont="1" applyFill="1" applyBorder="1" applyAlignment="1">
      <alignment horizontal="center" vertical="center"/>
    </xf>
    <xf numFmtId="168" fontId="24" fillId="5" borderId="9" xfId="6" applyNumberFormat="1" applyFont="1" applyFill="1" applyBorder="1" applyAlignment="1">
      <alignment horizontal="left" vertical="center"/>
    </xf>
    <xf numFmtId="0" fontId="40" fillId="0" borderId="0" xfId="7" applyFont="1" applyAlignment="1">
      <alignment horizontal="right"/>
    </xf>
    <xf numFmtId="37" fontId="43" fillId="8" borderId="9" xfId="1" applyNumberFormat="1" applyFont="1" applyFill="1" applyBorder="1" applyAlignment="1">
      <alignment horizontal="center" vertical="center" wrapText="1"/>
    </xf>
    <xf numFmtId="3" fontId="40" fillId="0" borderId="0" xfId="7" applyNumberFormat="1" applyFont="1" applyAlignment="1">
      <alignment horizontal="right"/>
    </xf>
    <xf numFmtId="0" fontId="40" fillId="0" borderId="0" xfId="6" applyFont="1" applyAlignment="1">
      <alignment horizontal="right"/>
    </xf>
    <xf numFmtId="3" fontId="40" fillId="0" borderId="0" xfId="6" applyNumberFormat="1" applyFont="1" applyAlignment="1">
      <alignment horizontal="right"/>
    </xf>
    <xf numFmtId="168" fontId="24" fillId="0" borderId="9" xfId="6" applyNumberFormat="1" applyFont="1" applyFill="1" applyBorder="1" applyAlignment="1">
      <alignment horizontal="center" vertical="center"/>
    </xf>
    <xf numFmtId="168" fontId="24" fillId="0" borderId="0" xfId="6" applyNumberFormat="1" applyFont="1" applyBorder="1"/>
    <xf numFmtId="168" fontId="24" fillId="0" borderId="9" xfId="6" applyNumberFormat="1" applyFont="1" applyBorder="1"/>
    <xf numFmtId="0" fontId="24" fillId="0" borderId="9" xfId="6" applyNumberFormat="1" applyFont="1" applyFill="1" applyBorder="1" applyAlignment="1">
      <alignment horizontal="center"/>
    </xf>
    <xf numFmtId="171" fontId="24" fillId="8" borderId="9" xfId="6" applyNumberFormat="1" applyFont="1" applyFill="1" applyBorder="1" applyAlignment="1">
      <alignment horizontal="center"/>
    </xf>
    <xf numFmtId="39" fontId="24" fillId="8" borderId="9" xfId="6" applyNumberFormat="1" applyFont="1" applyFill="1" applyBorder="1" applyAlignment="1">
      <alignment horizontal="center"/>
    </xf>
    <xf numFmtId="1" fontId="24" fillId="8" borderId="9" xfId="3" applyNumberFormat="1" applyFont="1" applyFill="1" applyBorder="1" applyAlignment="1">
      <alignment horizontal="center"/>
    </xf>
    <xf numFmtId="9" fontId="24" fillId="8" borderId="9" xfId="3" applyFont="1" applyFill="1" applyBorder="1" applyAlignment="1">
      <alignment horizontal="center"/>
    </xf>
    <xf numFmtId="168" fontId="24" fillId="5" borderId="0" xfId="6" applyNumberFormat="1" applyFont="1" applyFill="1" applyBorder="1" applyAlignment="1">
      <alignment horizontal="left" vertical="center"/>
    </xf>
    <xf numFmtId="39" fontId="24" fillId="0" borderId="0" xfId="6" applyNumberFormat="1" applyFont="1" applyFill="1" applyBorder="1" applyAlignment="1">
      <alignment horizontal="center"/>
    </xf>
    <xf numFmtId="37" fontId="24" fillId="0" borderId="0" xfId="6" applyNumberFormat="1" applyFont="1" applyFill="1" applyBorder="1" applyAlignment="1">
      <alignment horizontal="center"/>
    </xf>
    <xf numFmtId="0" fontId="40" fillId="0" borderId="9" xfId="6" applyFont="1" applyFill="1" applyBorder="1"/>
    <xf numFmtId="165" fontId="24" fillId="0" borderId="20" xfId="7" applyNumberFormat="1" applyFont="1" applyFill="1" applyBorder="1" applyAlignment="1">
      <alignment horizontal="center"/>
    </xf>
    <xf numFmtId="165" fontId="24" fillId="0" borderId="9" xfId="6" applyNumberFormat="1" applyFont="1" applyFill="1" applyBorder="1" applyAlignment="1">
      <alignment horizontal="center"/>
    </xf>
    <xf numFmtId="7" fontId="40" fillId="0" borderId="21" xfId="6" applyNumberFormat="1" applyFont="1" applyBorder="1" applyAlignment="1">
      <alignment wrapText="1"/>
    </xf>
    <xf numFmtId="168" fontId="24" fillId="0" borderId="9" xfId="6" applyNumberFormat="1" applyFont="1" applyFill="1" applyBorder="1"/>
    <xf numFmtId="168" fontId="24" fillId="5" borderId="9" xfId="6" applyNumberFormat="1" applyFont="1" applyFill="1" applyBorder="1"/>
    <xf numFmtId="0" fontId="40" fillId="0" borderId="0" xfId="6" applyFont="1" applyAlignment="1">
      <alignment wrapText="1"/>
    </xf>
    <xf numFmtId="0" fontId="40" fillId="5" borderId="9" xfId="6" applyFont="1" applyFill="1" applyBorder="1"/>
    <xf numFmtId="0" fontId="40" fillId="0" borderId="0" xfId="6" applyFont="1" applyBorder="1"/>
    <xf numFmtId="166" fontId="40" fillId="0" borderId="0" xfId="6" applyNumberFormat="1" applyFont="1" applyBorder="1" applyAlignment="1">
      <alignment horizontal="center" wrapText="1"/>
    </xf>
    <xf numFmtId="175" fontId="24" fillId="8" borderId="9" xfId="9" applyNumberFormat="1" applyFont="1" applyFill="1" applyBorder="1" applyAlignment="1">
      <alignment horizontal="center" vertical="center"/>
    </xf>
    <xf numFmtId="175" fontId="24" fillId="0" borderId="9" xfId="9" applyNumberFormat="1" applyFont="1" applyFill="1" applyBorder="1" applyAlignment="1">
      <alignment horizontal="center" vertical="center"/>
    </xf>
    <xf numFmtId="175" fontId="24" fillId="0" borderId="9" xfId="9" applyNumberFormat="1" applyFont="1" applyFill="1" applyBorder="1" applyAlignment="1">
      <alignment horizontal="center"/>
    </xf>
    <xf numFmtId="175" fontId="24" fillId="0" borderId="9" xfId="9" applyNumberFormat="1" applyFont="1" applyFill="1" applyBorder="1" applyAlignment="1">
      <alignment horizontal="center" vertical="center" wrapText="1"/>
    </xf>
    <xf numFmtId="168" fontId="24" fillId="6" borderId="9" xfId="6" applyNumberFormat="1" applyFont="1" applyFill="1" applyBorder="1" applyAlignment="1">
      <alignment horizontal="center" vertical="center"/>
    </xf>
    <xf numFmtId="175" fontId="24" fillId="6" borderId="9" xfId="9" applyNumberFormat="1" applyFont="1" applyFill="1" applyBorder="1" applyAlignment="1">
      <alignment horizontal="center" vertical="center"/>
    </xf>
    <xf numFmtId="175" fontId="24" fillId="0" borderId="9" xfId="9" applyNumberFormat="1" applyFont="1" applyFill="1" applyBorder="1" applyAlignment="1">
      <alignment horizontal="center" vertical="top" wrapText="1"/>
    </xf>
    <xf numFmtId="7" fontId="24" fillId="8" borderId="9" xfId="10" applyNumberFormat="1" applyFont="1" applyFill="1" applyBorder="1" applyAlignment="1">
      <alignment horizontal="center"/>
    </xf>
    <xf numFmtId="165" fontId="24" fillId="5" borderId="9" xfId="7" applyNumberFormat="1" applyFont="1" applyFill="1" applyBorder="1" applyAlignment="1">
      <alignment horizontal="center" vertical="center" wrapText="1"/>
    </xf>
    <xf numFmtId="2" fontId="24" fillId="0" borderId="9" xfId="6" applyNumberFormat="1" applyFont="1" applyFill="1" applyBorder="1" applyAlignment="1">
      <alignment horizontal="center" vertical="center"/>
    </xf>
    <xf numFmtId="176" fontId="24" fillId="8" borderId="9" xfId="9" applyNumberFormat="1" applyFont="1" applyFill="1" applyBorder="1" applyAlignment="1">
      <alignment horizontal="center" vertical="center"/>
    </xf>
    <xf numFmtId="173" fontId="24" fillId="8" borderId="9" xfId="11" applyNumberFormat="1" applyFont="1" applyFill="1" applyBorder="1" applyAlignment="1">
      <alignment horizontal="center" vertical="center"/>
    </xf>
    <xf numFmtId="176" fontId="24" fillId="0" borderId="9" xfId="9" applyNumberFormat="1" applyFont="1" applyFill="1" applyBorder="1" applyAlignment="1">
      <alignment horizontal="center"/>
    </xf>
    <xf numFmtId="177" fontId="24" fillId="0" borderId="9" xfId="9" applyNumberFormat="1" applyFont="1" applyFill="1" applyBorder="1" applyAlignment="1">
      <alignment horizontal="center"/>
    </xf>
    <xf numFmtId="176" fontId="24" fillId="6" borderId="9" xfId="9" applyNumberFormat="1" applyFont="1" applyFill="1" applyBorder="1" applyAlignment="1">
      <alignment horizontal="center" vertical="center"/>
    </xf>
    <xf numFmtId="173" fontId="24" fillId="6" borderId="9" xfId="11" applyNumberFormat="1" applyFont="1" applyFill="1" applyBorder="1" applyAlignment="1">
      <alignment horizontal="center" vertical="center"/>
    </xf>
    <xf numFmtId="9" fontId="24" fillId="8" borderId="9" xfId="11" applyFont="1" applyFill="1" applyBorder="1" applyAlignment="1">
      <alignment horizontal="center" vertical="center"/>
    </xf>
    <xf numFmtId="168" fontId="24" fillId="8" borderId="9" xfId="1" applyNumberFormat="1" applyFont="1" applyFill="1" applyBorder="1" applyAlignment="1">
      <alignment horizontal="center" vertical="center"/>
    </xf>
    <xf numFmtId="1" fontId="24" fillId="8" borderId="9" xfId="11" applyNumberFormat="1" applyFont="1" applyFill="1" applyBorder="1" applyAlignment="1">
      <alignment horizontal="center" vertical="center"/>
    </xf>
    <xf numFmtId="176" fontId="24" fillId="8" borderId="9" xfId="9" applyNumberFormat="1" applyFont="1" applyFill="1" applyBorder="1" applyAlignment="1">
      <alignment horizontal="center"/>
    </xf>
    <xf numFmtId="178" fontId="24" fillId="0" borderId="9" xfId="9" applyNumberFormat="1" applyFont="1" applyFill="1" applyBorder="1" applyAlignment="1">
      <alignment horizontal="center"/>
    </xf>
    <xf numFmtId="177" fontId="24" fillId="9" borderId="9" xfId="9" applyNumberFormat="1" applyFont="1" applyFill="1" applyBorder="1" applyAlignment="1">
      <alignment horizontal="center"/>
    </xf>
    <xf numFmtId="9" fontId="24" fillId="0" borderId="9" xfId="11" applyFont="1" applyFill="1" applyBorder="1" applyAlignment="1">
      <alignment horizontal="center" vertical="center"/>
    </xf>
    <xf numFmtId="166" fontId="40" fillId="0" borderId="0" xfId="6" applyNumberFormat="1" applyFont="1" applyAlignment="1">
      <alignment horizontal="center"/>
    </xf>
    <xf numFmtId="0" fontId="40" fillId="0" borderId="0" xfId="6" applyFont="1" applyFill="1" applyBorder="1"/>
    <xf numFmtId="0" fontId="24" fillId="0" borderId="0" xfId="6" applyFont="1" applyBorder="1"/>
    <xf numFmtId="2" fontId="24" fillId="5" borderId="9" xfId="10" applyNumberFormat="1" applyFont="1" applyFill="1" applyBorder="1" applyAlignment="1">
      <alignment horizontal="center"/>
    </xf>
    <xf numFmtId="0" fontId="50" fillId="0" borderId="0" xfId="6" applyFont="1"/>
    <xf numFmtId="2" fontId="24" fillId="9" borderId="9" xfId="6" applyNumberFormat="1" applyFont="1" applyFill="1" applyBorder="1" applyAlignment="1">
      <alignment horizontal="center" vertical="center"/>
    </xf>
    <xf numFmtId="173" fontId="24" fillId="0" borderId="9" xfId="11" applyNumberFormat="1" applyFont="1" applyFill="1" applyBorder="1" applyAlignment="1">
      <alignment horizontal="center" vertical="center"/>
    </xf>
    <xf numFmtId="9" fontId="24" fillId="8" borderId="9" xfId="11" applyFont="1" applyFill="1" applyBorder="1" applyAlignment="1">
      <alignment horizontal="center"/>
    </xf>
    <xf numFmtId="2" fontId="24" fillId="8" borderId="9" xfId="6" applyNumberFormat="1" applyFont="1" applyFill="1" applyBorder="1" applyAlignment="1">
      <alignment horizontal="center" vertical="center"/>
    </xf>
    <xf numFmtId="2" fontId="24" fillId="0" borderId="9" xfId="10" applyNumberFormat="1" applyFont="1" applyFill="1" applyBorder="1" applyAlignment="1">
      <alignment horizontal="center"/>
    </xf>
    <xf numFmtId="0" fontId="59" fillId="0" borderId="0" xfId="6" applyFont="1" applyFill="1"/>
    <xf numFmtId="1" fontId="24" fillId="0" borderId="9" xfId="6" applyNumberFormat="1" applyFont="1" applyFill="1" applyBorder="1" applyAlignment="1">
      <alignment horizontal="center" vertical="center"/>
    </xf>
    <xf numFmtId="1" fontId="24" fillId="8" borderId="9" xfId="6" applyNumberFormat="1" applyFont="1" applyFill="1" applyBorder="1" applyAlignment="1">
      <alignment horizontal="center" vertical="center"/>
    </xf>
    <xf numFmtId="165" fontId="24" fillId="0" borderId="0" xfId="7" applyNumberFormat="1" applyFont="1" applyFill="1" applyBorder="1" applyAlignment="1">
      <alignment horizontal="center"/>
    </xf>
    <xf numFmtId="168" fontId="24" fillId="9" borderId="9" xfId="6" applyNumberFormat="1" applyFont="1" applyFill="1" applyBorder="1" applyAlignment="1">
      <alignment horizontal="center" vertical="center"/>
    </xf>
    <xf numFmtId="2" fontId="24" fillId="9" borderId="9" xfId="11" applyNumberFormat="1" applyFont="1" applyFill="1" applyBorder="1" applyAlignment="1">
      <alignment horizontal="center" vertical="center"/>
    </xf>
    <xf numFmtId="2" fontId="24" fillId="8" borderId="9" xfId="11" applyNumberFormat="1" applyFont="1" applyFill="1" applyBorder="1" applyAlignment="1">
      <alignment horizontal="center" vertical="center"/>
    </xf>
    <xf numFmtId="1" fontId="24" fillId="0" borderId="9" xfId="11" applyNumberFormat="1" applyFont="1" applyFill="1" applyBorder="1" applyAlignment="1">
      <alignment horizontal="center" vertical="center"/>
    </xf>
    <xf numFmtId="177" fontId="24" fillId="8" borderId="9" xfId="9" applyNumberFormat="1" applyFont="1" applyFill="1" applyBorder="1" applyAlignment="1">
      <alignment horizontal="center"/>
    </xf>
    <xf numFmtId="0" fontId="24" fillId="0" borderId="9" xfId="6" applyFont="1" applyFill="1" applyBorder="1" applyAlignment="1">
      <alignment horizontal="center"/>
    </xf>
    <xf numFmtId="1" fontId="24" fillId="9" borderId="9" xfId="11" applyNumberFormat="1" applyFont="1" applyFill="1" applyBorder="1" applyAlignment="1">
      <alignment horizontal="center" vertical="center"/>
    </xf>
    <xf numFmtId="1" fontId="24" fillId="9" borderId="9" xfId="11" applyNumberFormat="1" applyFont="1" applyFill="1" applyBorder="1" applyAlignment="1">
      <alignment horizontal="center"/>
    </xf>
    <xf numFmtId="1" fontId="24" fillId="8" borderId="9" xfId="11" applyNumberFormat="1" applyFont="1" applyFill="1" applyBorder="1" applyAlignment="1">
      <alignment horizontal="center"/>
    </xf>
    <xf numFmtId="174" fontId="40" fillId="0" borderId="0" xfId="2" applyNumberFormat="1" applyFont="1"/>
    <xf numFmtId="174" fontId="40" fillId="0" borderId="0" xfId="2" applyNumberFormat="1" applyFont="1" applyFill="1" applyBorder="1"/>
    <xf numFmtId="168" fontId="24" fillId="0" borderId="9" xfId="6" applyNumberFormat="1" applyFont="1" applyBorder="1" applyAlignment="1">
      <alignment horizontal="left"/>
    </xf>
    <xf numFmtId="165" fontId="24" fillId="8" borderId="9" xfId="6" applyNumberFormat="1" applyFont="1" applyFill="1" applyBorder="1" applyAlignment="1">
      <alignment horizontal="center" vertical="center"/>
    </xf>
    <xf numFmtId="3" fontId="24" fillId="0" borderId="9" xfId="1" applyNumberFormat="1" applyFont="1" applyFill="1" applyBorder="1" applyAlignment="1">
      <alignment horizontal="center" vertical="center"/>
    </xf>
    <xf numFmtId="170" fontId="24" fillId="8" borderId="9" xfId="6" applyNumberFormat="1" applyFont="1" applyFill="1" applyBorder="1" applyAlignment="1">
      <alignment horizontal="center" vertical="center"/>
    </xf>
    <xf numFmtId="168" fontId="24" fillId="0" borderId="9" xfId="6" applyNumberFormat="1" applyFont="1" applyFill="1" applyBorder="1" applyAlignment="1">
      <alignment horizontal="left"/>
    </xf>
    <xf numFmtId="1" fontId="24" fillId="0" borderId="9" xfId="7" applyNumberFormat="1" applyFont="1" applyFill="1" applyBorder="1" applyAlignment="1">
      <alignment horizontal="center" vertical="center" wrapText="1"/>
    </xf>
    <xf numFmtId="7" fontId="24" fillId="0" borderId="0" xfId="6" applyNumberFormat="1" applyFont="1"/>
    <xf numFmtId="9" fontId="24" fillId="8" borderId="9" xfId="3" applyFont="1" applyFill="1" applyBorder="1" applyAlignment="1">
      <alignment horizontal="center" vertical="center"/>
    </xf>
    <xf numFmtId="0" fontId="40" fillId="15" borderId="3" xfId="6" applyFont="1" applyFill="1" applyBorder="1"/>
    <xf numFmtId="0" fontId="40" fillId="15" borderId="5" xfId="6" applyFont="1" applyFill="1" applyBorder="1"/>
    <xf numFmtId="0" fontId="40" fillId="0" borderId="8" xfId="6" applyFont="1" applyBorder="1"/>
    <xf numFmtId="0" fontId="40" fillId="0" borderId="10" xfId="6" applyFont="1" applyBorder="1"/>
    <xf numFmtId="0" fontId="40" fillId="0" borderId="8" xfId="6" applyFont="1" applyBorder="1" applyAlignment="1">
      <alignment horizontal="right"/>
    </xf>
    <xf numFmtId="0" fontId="40" fillId="0" borderId="13" xfId="6" applyFont="1" applyBorder="1" applyAlignment="1">
      <alignment horizontal="right"/>
    </xf>
    <xf numFmtId="0" fontId="40" fillId="0" borderId="15" xfId="6" applyFont="1" applyBorder="1"/>
    <xf numFmtId="173" fontId="24" fillId="0" borderId="9" xfId="3" applyNumberFormat="1" applyFont="1" applyFill="1" applyBorder="1" applyAlignment="1">
      <alignment horizontal="center" vertical="center"/>
    </xf>
    <xf numFmtId="0" fontId="24" fillId="5" borderId="0" xfId="7" applyFont="1" applyFill="1" applyBorder="1"/>
    <xf numFmtId="0" fontId="40" fillId="0" borderId="0" xfId="6" applyFont="1" applyAlignment="1"/>
    <xf numFmtId="0" fontId="40" fillId="0" borderId="0" xfId="7" applyFont="1" applyFill="1" applyBorder="1" applyAlignment="1"/>
    <xf numFmtId="170" fontId="24" fillId="0" borderId="16" xfId="6" applyNumberFormat="1" applyFont="1" applyFill="1" applyBorder="1" applyAlignment="1">
      <alignment horizontal="center"/>
    </xf>
    <xf numFmtId="0" fontId="40" fillId="0" borderId="0" xfId="6" applyFont="1" applyAlignment="1">
      <alignment horizontal="center" vertical="center"/>
    </xf>
    <xf numFmtId="175" fontId="24" fillId="8" borderId="9" xfId="9" applyNumberFormat="1" applyFont="1" applyFill="1" applyBorder="1" applyAlignment="1">
      <alignment horizontal="center"/>
    </xf>
    <xf numFmtId="176" fontId="24" fillId="0" borderId="9" xfId="9" applyNumberFormat="1" applyFont="1" applyFill="1" applyBorder="1" applyAlignment="1">
      <alignment horizontal="left" vertical="center"/>
    </xf>
    <xf numFmtId="168" fontId="24" fillId="8" borderId="9" xfId="6" applyNumberFormat="1" applyFont="1" applyFill="1" applyBorder="1" applyAlignment="1">
      <alignment horizontal="center" vertical="center"/>
    </xf>
    <xf numFmtId="2" fontId="24" fillId="0" borderId="9" xfId="11" applyNumberFormat="1" applyFont="1" applyFill="1" applyBorder="1" applyAlignment="1">
      <alignment horizontal="center" vertical="center"/>
    </xf>
    <xf numFmtId="44" fontId="40" fillId="0" borderId="0" xfId="2" applyNumberFormat="1" applyFont="1"/>
    <xf numFmtId="179" fontId="24" fillId="8" borderId="9" xfId="1" applyNumberFormat="1" applyFont="1" applyFill="1" applyBorder="1" applyAlignment="1">
      <alignment horizontal="center" vertical="center"/>
    </xf>
    <xf numFmtId="179" fontId="24" fillId="0" borderId="9" xfId="1" applyNumberFormat="1" applyFont="1" applyFill="1" applyBorder="1" applyAlignment="1">
      <alignment horizontal="center" vertical="center"/>
    </xf>
    <xf numFmtId="3" fontId="24" fillId="8" borderId="9" xfId="1" applyNumberFormat="1" applyFont="1" applyFill="1" applyBorder="1" applyAlignment="1">
      <alignment horizontal="center" vertical="center"/>
    </xf>
    <xf numFmtId="4" fontId="24" fillId="0" borderId="9" xfId="1" applyNumberFormat="1" applyFont="1" applyFill="1" applyBorder="1" applyAlignment="1">
      <alignment horizontal="center" vertical="center"/>
    </xf>
    <xf numFmtId="0" fontId="24" fillId="0" borderId="9" xfId="6" applyFont="1" applyFill="1" applyBorder="1"/>
    <xf numFmtId="181" fontId="24" fillId="0" borderId="9" xfId="1" applyNumberFormat="1" applyFont="1" applyFill="1" applyBorder="1" applyAlignment="1">
      <alignment horizontal="center" vertical="center"/>
    </xf>
    <xf numFmtId="180" fontId="24" fillId="0" borderId="9" xfId="3" applyNumberFormat="1" applyFont="1" applyFill="1" applyBorder="1" applyAlignment="1">
      <alignment horizontal="center" vertical="center"/>
    </xf>
    <xf numFmtId="165" fontId="24" fillId="0" borderId="19" xfId="7" applyNumberFormat="1" applyFont="1" applyFill="1" applyBorder="1" applyAlignment="1">
      <alignment horizontal="center"/>
    </xf>
    <xf numFmtId="165" fontId="24" fillId="0" borderId="9" xfId="11" applyNumberFormat="1" applyFont="1" applyFill="1" applyBorder="1" applyAlignment="1">
      <alignment horizontal="center" vertical="center"/>
    </xf>
    <xf numFmtId="165" fontId="24" fillId="0" borderId="9" xfId="3" applyNumberFormat="1" applyFont="1" applyFill="1" applyBorder="1" applyAlignment="1">
      <alignment horizontal="center" vertical="center"/>
    </xf>
    <xf numFmtId="9" fontId="24" fillId="9" borderId="9" xfId="3" applyFont="1" applyFill="1" applyBorder="1" applyAlignment="1">
      <alignment horizontal="center"/>
    </xf>
    <xf numFmtId="168" fontId="24" fillId="5" borderId="0" xfId="6" applyNumberFormat="1" applyFont="1" applyFill="1" applyBorder="1" applyAlignment="1">
      <alignment horizontal="center" vertical="center"/>
    </xf>
    <xf numFmtId="165" fontId="24" fillId="5" borderId="0" xfId="11" applyNumberFormat="1" applyFont="1" applyFill="1" applyBorder="1" applyAlignment="1">
      <alignment horizontal="center" vertical="center"/>
    </xf>
    <xf numFmtId="9" fontId="24" fillId="5" borderId="0" xfId="3" applyFont="1" applyFill="1" applyBorder="1" applyAlignment="1">
      <alignment horizontal="center" vertical="center"/>
    </xf>
    <xf numFmtId="165" fontId="24" fillId="5" borderId="0" xfId="3" applyNumberFormat="1" applyFont="1" applyFill="1" applyBorder="1" applyAlignment="1">
      <alignment horizontal="center" vertical="center"/>
    </xf>
    <xf numFmtId="9" fontId="24" fillId="5" borderId="0" xfId="3" applyFont="1" applyFill="1" applyBorder="1" applyAlignment="1">
      <alignment horizontal="center"/>
    </xf>
    <xf numFmtId="176" fontId="24" fillId="5" borderId="0" xfId="9" applyNumberFormat="1" applyFont="1" applyFill="1" applyBorder="1" applyAlignment="1">
      <alignment horizontal="center"/>
    </xf>
    <xf numFmtId="1" fontId="24" fillId="5" borderId="0" xfId="11" applyNumberFormat="1" applyFont="1" applyFill="1" applyBorder="1" applyAlignment="1">
      <alignment horizontal="center" vertical="center"/>
    </xf>
    <xf numFmtId="176" fontId="24" fillId="5" borderId="0" xfId="9" applyNumberFormat="1" applyFont="1" applyFill="1" applyBorder="1" applyAlignment="1">
      <alignment horizontal="center" vertical="center"/>
    </xf>
    <xf numFmtId="176" fontId="24" fillId="9" borderId="9" xfId="9" applyNumberFormat="1" applyFont="1" applyFill="1" applyBorder="1" applyAlignment="1">
      <alignment horizontal="center" vertical="center"/>
    </xf>
    <xf numFmtId="1" fontId="24" fillId="0" borderId="9" xfId="3" applyNumberFormat="1" applyFont="1" applyFill="1" applyBorder="1" applyAlignment="1">
      <alignment horizontal="center" vertical="center"/>
    </xf>
    <xf numFmtId="9" fontId="24" fillId="0" borderId="9" xfId="3" applyNumberFormat="1" applyFont="1" applyFill="1" applyBorder="1" applyAlignment="1">
      <alignment horizontal="center"/>
    </xf>
    <xf numFmtId="9" fontId="24" fillId="8" borderId="9" xfId="3" applyNumberFormat="1" applyFont="1" applyFill="1" applyBorder="1" applyAlignment="1">
      <alignment horizontal="center"/>
    </xf>
    <xf numFmtId="2" fontId="24" fillId="8" borderId="9" xfId="3" applyNumberFormat="1" applyFont="1" applyFill="1" applyBorder="1" applyAlignment="1">
      <alignment horizontal="center" vertical="center"/>
    </xf>
    <xf numFmtId="10" fontId="24" fillId="0" borderId="9" xfId="6" applyNumberFormat="1" applyFont="1" applyFill="1" applyBorder="1" applyAlignment="1">
      <alignment horizontal="center" vertical="center"/>
    </xf>
    <xf numFmtId="2" fontId="24" fillId="9" borderId="9" xfId="3" applyNumberFormat="1" applyFont="1" applyFill="1" applyBorder="1" applyAlignment="1">
      <alignment horizontal="center" vertical="center"/>
    </xf>
    <xf numFmtId="182" fontId="24" fillId="0" borderId="9" xfId="6" applyNumberFormat="1" applyFont="1" applyFill="1" applyBorder="1" applyAlignment="1">
      <alignment horizontal="center"/>
    </xf>
    <xf numFmtId="9" fontId="24" fillId="8" borderId="9" xfId="3" applyNumberFormat="1" applyFont="1" applyFill="1" applyBorder="1" applyAlignment="1">
      <alignment horizontal="center" vertical="center"/>
    </xf>
    <xf numFmtId="0" fontId="59" fillId="5" borderId="0" xfId="6" applyFont="1" applyFill="1"/>
    <xf numFmtId="180" fontId="24" fillId="0" borderId="9" xfId="11" applyNumberFormat="1" applyFont="1" applyFill="1" applyBorder="1" applyAlignment="1">
      <alignment horizontal="center" vertical="center"/>
    </xf>
    <xf numFmtId="180" fontId="24" fillId="0" borderId="16" xfId="6" applyNumberFormat="1" applyFont="1" applyFill="1" applyBorder="1" applyAlignment="1">
      <alignment horizontal="center"/>
    </xf>
    <xf numFmtId="165" fontId="24" fillId="8" borderId="9" xfId="3" applyNumberFormat="1" applyFont="1" applyFill="1" applyBorder="1" applyAlignment="1">
      <alignment horizontal="center" vertical="center"/>
    </xf>
    <xf numFmtId="165" fontId="24" fillId="8" borderId="9" xfId="3" applyNumberFormat="1" applyFont="1" applyFill="1" applyBorder="1" applyAlignment="1">
      <alignment horizontal="center"/>
    </xf>
    <xf numFmtId="183" fontId="24" fillId="0" borderId="16" xfId="6" applyNumberFormat="1" applyFont="1" applyFill="1" applyBorder="1" applyAlignment="1">
      <alignment horizontal="center"/>
    </xf>
    <xf numFmtId="0" fontId="24" fillId="0" borderId="0" xfId="6" applyFont="1" applyFill="1"/>
    <xf numFmtId="170" fontId="24" fillId="9" borderId="9" xfId="11" applyNumberFormat="1" applyFont="1" applyFill="1" applyBorder="1" applyAlignment="1">
      <alignment horizontal="center" vertical="center"/>
    </xf>
    <xf numFmtId="170" fontId="24" fillId="0" borderId="9" xfId="0" applyNumberFormat="1" applyFont="1" applyBorder="1" applyAlignment="1">
      <alignment horizontal="center" vertical="center" wrapText="1"/>
    </xf>
    <xf numFmtId="185" fontId="24" fillId="0" borderId="9" xfId="1" applyNumberFormat="1" applyFont="1" applyBorder="1" applyAlignment="1">
      <alignment horizontal="center"/>
    </xf>
    <xf numFmtId="182" fontId="24" fillId="0" borderId="9" xfId="1" applyNumberFormat="1" applyFont="1" applyBorder="1" applyAlignment="1">
      <alignment horizontal="center"/>
    </xf>
    <xf numFmtId="186" fontId="43" fillId="0" borderId="9" xfId="2" applyNumberFormat="1" applyFont="1" applyBorder="1"/>
    <xf numFmtId="0" fontId="24" fillId="0" borderId="28" xfId="0" applyFont="1" applyBorder="1" applyAlignment="1">
      <alignment horizontal="left" wrapText="1"/>
    </xf>
    <xf numFmtId="2" fontId="24" fillId="0" borderId="0" xfId="0" applyNumberFormat="1" applyFont="1"/>
    <xf numFmtId="0" fontId="24" fillId="5" borderId="0" xfId="13" applyFont="1" applyFill="1" applyAlignment="1"/>
    <xf numFmtId="0" fontId="24" fillId="0" borderId="18" xfId="0" applyFont="1" applyBorder="1" applyAlignment="1">
      <alignment wrapText="1"/>
    </xf>
    <xf numFmtId="0" fontId="94" fillId="0" borderId="0" xfId="0" quotePrefix="1" applyFont="1"/>
    <xf numFmtId="39" fontId="24" fillId="0" borderId="9" xfId="6" applyNumberFormat="1" applyFont="1" applyFill="1" applyBorder="1" applyAlignment="1">
      <alignment horizontal="center"/>
    </xf>
    <xf numFmtId="0" fontId="24" fillId="0" borderId="9" xfId="0" applyFont="1" applyBorder="1" applyAlignment="1">
      <alignment vertical="center" wrapText="1"/>
    </xf>
    <xf numFmtId="0" fontId="88" fillId="7" borderId="0" xfId="6" applyFont="1" applyFill="1" applyAlignment="1">
      <alignment vertical="center"/>
    </xf>
    <xf numFmtId="0" fontId="59" fillId="0" borderId="0" xfId="0" applyFont="1" applyFill="1" applyAlignment="1">
      <alignment horizontal="left"/>
    </xf>
    <xf numFmtId="0" fontId="24" fillId="0" borderId="0" xfId="7" applyFont="1" applyAlignment="1">
      <alignment horizontal="center"/>
    </xf>
    <xf numFmtId="0" fontId="24" fillId="0" borderId="0" xfId="7" applyFont="1" applyAlignment="1">
      <alignment horizontal="left"/>
    </xf>
    <xf numFmtId="0" fontId="24" fillId="0" borderId="9" xfId="7" applyFont="1" applyBorder="1" applyAlignment="1">
      <alignment horizontal="center"/>
    </xf>
    <xf numFmtId="9" fontId="24" fillId="0" borderId="0" xfId="3" applyFont="1" applyFill="1"/>
    <xf numFmtId="0" fontId="24" fillId="5" borderId="0" xfId="7" applyFont="1" applyFill="1" applyBorder="1" applyAlignment="1">
      <alignment horizontal="left"/>
    </xf>
    <xf numFmtId="180" fontId="59" fillId="0" borderId="0" xfId="7" applyNumberFormat="1" applyFont="1" applyBorder="1"/>
    <xf numFmtId="0" fontId="24" fillId="0" borderId="0" xfId="13" applyFont="1"/>
    <xf numFmtId="0" fontId="24" fillId="0" borderId="0" xfId="13" applyFont="1" applyAlignment="1">
      <alignment horizontal="center"/>
    </xf>
    <xf numFmtId="0" fontId="24" fillId="5" borderId="0" xfId="13" applyFont="1" applyFill="1" applyAlignment="1">
      <alignment horizontal="left"/>
    </xf>
    <xf numFmtId="1" fontId="24" fillId="0" borderId="0" xfId="13" applyNumberFormat="1" applyFont="1" applyBorder="1"/>
    <xf numFmtId="0" fontId="59" fillId="0" borderId="0" xfId="13" applyFont="1" applyAlignment="1">
      <alignment horizontal="left"/>
    </xf>
    <xf numFmtId="0" fontId="24" fillId="0" borderId="0" xfId="13" applyFont="1" applyBorder="1" applyAlignment="1">
      <alignment horizontal="left"/>
    </xf>
    <xf numFmtId="2" fontId="40" fillId="0" borderId="0" xfId="7" applyNumberFormat="1" applyFont="1"/>
    <xf numFmtId="0" fontId="24" fillId="0" borderId="0" xfId="13" applyFont="1" applyAlignment="1">
      <alignment horizontal="left"/>
    </xf>
    <xf numFmtId="0" fontId="40" fillId="0" borderId="0" xfId="7" applyFont="1" applyFill="1"/>
    <xf numFmtId="0" fontId="24" fillId="0" borderId="0" xfId="7" applyFont="1" applyFill="1" applyAlignment="1">
      <alignment horizontal="center"/>
    </xf>
    <xf numFmtId="9" fontId="24" fillId="5" borderId="9" xfId="13" applyNumberFormat="1" applyFont="1" applyFill="1" applyBorder="1" applyAlignment="1">
      <alignment horizontal="center" vertical="center"/>
    </xf>
    <xf numFmtId="0" fontId="40" fillId="5" borderId="0" xfId="7" applyFont="1" applyFill="1" applyBorder="1"/>
    <xf numFmtId="2" fontId="24" fillId="5" borderId="27" xfId="13" applyNumberFormat="1" applyFont="1" applyFill="1" applyBorder="1" applyAlignment="1">
      <alignment horizontal="center"/>
    </xf>
    <xf numFmtId="165" fontId="24" fillId="5" borderId="27" xfId="13" applyNumberFormat="1" applyFont="1" applyFill="1" applyBorder="1" applyAlignment="1">
      <alignment vertical="center" wrapText="1"/>
    </xf>
    <xf numFmtId="0" fontId="59" fillId="5" borderId="0" xfId="7" applyFont="1" applyFill="1"/>
    <xf numFmtId="0" fontId="47" fillId="5" borderId="0" xfId="7" applyFont="1" applyFill="1"/>
    <xf numFmtId="0" fontId="50" fillId="0" borderId="0" xfId="7" applyFont="1" applyFill="1" applyBorder="1" applyAlignment="1">
      <alignment horizontal="left" vertical="center" wrapText="1"/>
    </xf>
    <xf numFmtId="0" fontId="24" fillId="0" borderId="0" xfId="7" applyFont="1" applyFill="1" applyAlignment="1">
      <alignment horizontal="left"/>
    </xf>
    <xf numFmtId="0" fontId="43" fillId="0" borderId="0" xfId="15" applyFont="1" applyBorder="1" applyAlignment="1">
      <alignment horizontal="center"/>
    </xf>
    <xf numFmtId="0" fontId="43" fillId="0" borderId="31" xfId="15" applyFont="1" applyBorder="1" applyAlignment="1">
      <alignment horizontal="left"/>
    </xf>
    <xf numFmtId="0" fontId="43" fillId="0" borderId="31" xfId="15" applyFont="1" applyBorder="1"/>
    <xf numFmtId="0" fontId="43" fillId="5" borderId="31" xfId="15" applyFont="1" applyFill="1" applyBorder="1"/>
    <xf numFmtId="0" fontId="43" fillId="0" borderId="9" xfId="15" applyFont="1" applyBorder="1" applyAlignment="1">
      <alignment horizontal="center"/>
    </xf>
    <xf numFmtId="0" fontId="43" fillId="0" borderId="19" xfId="15" applyFont="1" applyBorder="1" applyAlignment="1">
      <alignment horizontal="left"/>
    </xf>
    <xf numFmtId="179" fontId="43" fillId="0" borderId="9" xfId="15" applyNumberFormat="1" applyFont="1" applyBorder="1" applyAlignment="1">
      <alignment horizontal="center"/>
    </xf>
    <xf numFmtId="170" fontId="43" fillId="0" borderId="9" xfId="2" applyNumberFormat="1" applyFont="1" applyBorder="1" applyAlignment="1">
      <alignment horizontal="center"/>
    </xf>
    <xf numFmtId="0" fontId="40" fillId="0" borderId="9" xfId="7" applyFont="1" applyBorder="1" applyAlignment="1">
      <alignment horizontal="center"/>
    </xf>
    <xf numFmtId="0" fontId="43" fillId="0" borderId="27" xfId="15" applyFont="1" applyBorder="1" applyAlignment="1">
      <alignment horizontal="left"/>
    </xf>
    <xf numFmtId="0" fontId="43" fillId="0" borderId="0" xfId="15" applyFont="1" applyAlignment="1">
      <alignment horizontal="left"/>
    </xf>
    <xf numFmtId="39" fontId="43" fillId="0" borderId="0" xfId="1" applyNumberFormat="1" applyFont="1" applyAlignment="1">
      <alignment horizontal="center"/>
    </xf>
    <xf numFmtId="0" fontId="24" fillId="0" borderId="0" xfId="13" applyFont="1" applyFill="1"/>
    <xf numFmtId="0" fontId="43" fillId="0" borderId="32" xfId="15" applyFont="1" applyBorder="1" applyAlignment="1">
      <alignment horizontal="center"/>
    </xf>
    <xf numFmtId="0" fontId="43" fillId="0" borderId="0" xfId="15" applyFont="1" applyBorder="1" applyAlignment="1">
      <alignment horizontal="left" vertical="top" wrapText="1"/>
    </xf>
    <xf numFmtId="0" fontId="43" fillId="0" borderId="0" xfId="15" applyFont="1" applyBorder="1" applyAlignment="1">
      <alignment vertical="top" wrapText="1"/>
    </xf>
    <xf numFmtId="0" fontId="43" fillId="0" borderId="30" xfId="15" applyFont="1" applyBorder="1" applyAlignment="1">
      <alignment wrapText="1"/>
    </xf>
    <xf numFmtId="0" fontId="43" fillId="0" borderId="32" xfId="15" applyFont="1" applyBorder="1" applyAlignment="1">
      <alignment horizontal="center" wrapText="1"/>
    </xf>
    <xf numFmtId="0" fontId="43" fillId="0" borderId="0" xfId="15" applyFont="1" applyAlignment="1">
      <alignment wrapText="1"/>
    </xf>
    <xf numFmtId="0" fontId="24" fillId="0" borderId="0" xfId="13" applyFont="1" applyFill="1" applyAlignment="1">
      <alignment wrapText="1"/>
    </xf>
    <xf numFmtId="0" fontId="43" fillId="0" borderId="30" xfId="15" applyFont="1" applyBorder="1" applyAlignment="1">
      <alignment horizontal="center"/>
    </xf>
    <xf numFmtId="0" fontId="43" fillId="0" borderId="33" xfId="15" applyFont="1" applyBorder="1" applyAlignment="1">
      <alignment horizontal="center"/>
    </xf>
    <xf numFmtId="180" fontId="24" fillId="0" borderId="0" xfId="7" applyNumberFormat="1" applyFont="1" applyFill="1"/>
    <xf numFmtId="39" fontId="43" fillId="0" borderId="9" xfId="1" applyNumberFormat="1" applyFont="1" applyBorder="1" applyAlignment="1">
      <alignment horizontal="center"/>
    </xf>
    <xf numFmtId="0" fontId="43" fillId="0" borderId="0" xfId="15" applyFont="1" applyAlignment="1">
      <alignment horizontal="left" wrapText="1"/>
    </xf>
    <xf numFmtId="0" fontId="24" fillId="0" borderId="9" xfId="7" applyFont="1" applyBorder="1" applyAlignment="1">
      <alignment horizontal="left" wrapText="1"/>
    </xf>
    <xf numFmtId="170" fontId="24" fillId="0" borderId="9" xfId="7" applyNumberFormat="1" applyFont="1" applyFill="1" applyBorder="1" applyAlignment="1">
      <alignment horizontal="center"/>
    </xf>
    <xf numFmtId="179" fontId="40" fillId="0" borderId="0" xfId="9" applyNumberFormat="1" applyFont="1" applyFill="1" applyBorder="1" applyAlignment="1">
      <alignment horizontal="left" vertical="center" wrapText="1"/>
    </xf>
    <xf numFmtId="179" fontId="40" fillId="0" borderId="0" xfId="9" applyNumberFormat="1" applyFont="1" applyFill="1" applyBorder="1" applyAlignment="1">
      <alignment horizontal="center" vertical="center" wrapText="1"/>
    </xf>
    <xf numFmtId="179" fontId="24" fillId="0" borderId="0" xfId="9" applyNumberFormat="1" applyFont="1" applyFill="1" applyBorder="1" applyAlignment="1">
      <alignment horizontal="left" vertical="center" wrapText="1"/>
    </xf>
    <xf numFmtId="0" fontId="40" fillId="0" borderId="0" xfId="13" applyFont="1" applyBorder="1" applyAlignment="1">
      <alignment horizontal="left" vertical="center" wrapText="1"/>
    </xf>
    <xf numFmtId="0" fontId="24" fillId="0" borderId="0" xfId="13" applyFont="1" applyAlignment="1">
      <alignment vertical="center"/>
    </xf>
    <xf numFmtId="0" fontId="90" fillId="0" borderId="0" xfId="13" applyFont="1" applyAlignment="1">
      <alignment horizontal="left"/>
    </xf>
    <xf numFmtId="0" fontId="24" fillId="0" borderId="0" xfId="13" applyFont="1" applyFill="1" applyBorder="1"/>
    <xf numFmtId="165" fontId="24" fillId="0" borderId="0" xfId="7" applyNumberFormat="1" applyFont="1" applyFill="1" applyBorder="1" applyAlignment="1">
      <alignment horizontal="center" vertical="center" wrapText="1"/>
    </xf>
    <xf numFmtId="0" fontId="24" fillId="0" borderId="0" xfId="7" applyFont="1" applyFill="1" applyBorder="1"/>
    <xf numFmtId="9" fontId="24" fillId="0" borderId="0" xfId="3" applyFont="1" applyFill="1" applyBorder="1" applyAlignment="1">
      <alignment horizontal="center" vertical="center" wrapText="1"/>
    </xf>
    <xf numFmtId="0" fontId="24" fillId="0" borderId="0" xfId="0" applyFont="1" applyAlignment="1">
      <alignment vertical="center"/>
    </xf>
    <xf numFmtId="184" fontId="24" fillId="5" borderId="9" xfId="1" applyNumberFormat="1" applyFont="1" applyFill="1" applyBorder="1" applyAlignment="1">
      <alignment horizontal="center" vertical="center"/>
    </xf>
    <xf numFmtId="0" fontId="24" fillId="0" borderId="9" xfId="7" applyFont="1" applyBorder="1" applyAlignment="1">
      <alignment horizontal="left"/>
    </xf>
    <xf numFmtId="9" fontId="24" fillId="0" borderId="9" xfId="3" applyFont="1" applyBorder="1" applyAlignment="1">
      <alignment horizontal="left"/>
    </xf>
    <xf numFmtId="0" fontId="24" fillId="0" borderId="9" xfId="7" applyFont="1" applyBorder="1"/>
    <xf numFmtId="9" fontId="24" fillId="0" borderId="0" xfId="3" applyFont="1" applyFill="1" applyBorder="1" applyAlignment="1">
      <alignment horizontal="left"/>
    </xf>
    <xf numFmtId="0" fontId="24" fillId="0" borderId="0" xfId="7" applyFont="1" applyFill="1" applyBorder="1" applyAlignment="1">
      <alignment horizontal="center"/>
    </xf>
    <xf numFmtId="0" fontId="24" fillId="0" borderId="0" xfId="7" applyFont="1" applyAlignment="1"/>
    <xf numFmtId="0" fontId="24" fillId="5" borderId="9" xfId="0" applyFont="1" applyFill="1" applyBorder="1" applyAlignment="1">
      <alignment horizontal="center" vertical="center"/>
    </xf>
    <xf numFmtId="181" fontId="24" fillId="0" borderId="0" xfId="7" applyNumberFormat="1" applyFont="1" applyFill="1"/>
    <xf numFmtId="0" fontId="24" fillId="5" borderId="0" xfId="7" applyFont="1" applyFill="1" applyAlignment="1"/>
    <xf numFmtId="0" fontId="24" fillId="0" borderId="0" xfId="13" applyFont="1" applyAlignment="1"/>
    <xf numFmtId="179" fontId="24" fillId="0" borderId="0" xfId="9" applyNumberFormat="1" applyFont="1" applyFill="1" applyBorder="1" applyAlignment="1">
      <alignment horizontal="left" vertical="center"/>
    </xf>
    <xf numFmtId="179" fontId="24" fillId="0" borderId="0" xfId="9" applyNumberFormat="1" applyFont="1" applyFill="1" applyBorder="1" applyAlignment="1">
      <alignment horizontal="center" vertical="center"/>
    </xf>
    <xf numFmtId="0" fontId="24" fillId="0" borderId="0" xfId="13" applyFont="1" applyBorder="1" applyAlignment="1">
      <alignment horizontal="left" vertical="center"/>
    </xf>
    <xf numFmtId="0" fontId="40" fillId="0" borderId="0" xfId="7" applyFont="1" applyAlignment="1"/>
    <xf numFmtId="0" fontId="24" fillId="0" borderId="0" xfId="7" applyFont="1" applyFill="1" applyAlignment="1"/>
    <xf numFmtId="165" fontId="24" fillId="0" borderId="0" xfId="7" applyNumberFormat="1" applyFont="1" applyFill="1" applyBorder="1" applyAlignment="1">
      <alignment horizontal="left" vertical="center" wrapText="1"/>
    </xf>
    <xf numFmtId="9" fontId="24" fillId="0" borderId="0" xfId="3" applyFont="1" applyFill="1" applyBorder="1" applyAlignment="1">
      <alignment horizontal="left" vertical="center"/>
    </xf>
    <xf numFmtId="9" fontId="24" fillId="0" borderId="0" xfId="3" applyFont="1" applyFill="1" applyBorder="1" applyAlignment="1">
      <alignment horizontal="left" vertical="center" wrapText="1"/>
    </xf>
    <xf numFmtId="180" fontId="24" fillId="0" borderId="0" xfId="7" applyNumberFormat="1" applyFont="1" applyFill="1" applyBorder="1"/>
    <xf numFmtId="181" fontId="24" fillId="0" borderId="0" xfId="7" applyNumberFormat="1" applyFont="1" applyFill="1" applyBorder="1"/>
    <xf numFmtId="0" fontId="24" fillId="0" borderId="0" xfId="7" applyFont="1" applyFill="1" applyBorder="1" applyAlignment="1">
      <alignment vertical="center"/>
    </xf>
    <xf numFmtId="0" fontId="24" fillId="0" borderId="0" xfId="13" applyFont="1" applyFill="1" applyAlignment="1">
      <alignment horizontal="center"/>
    </xf>
    <xf numFmtId="0" fontId="24" fillId="0" borderId="0" xfId="13" applyFont="1" applyFill="1" applyAlignment="1">
      <alignment horizontal="left"/>
    </xf>
    <xf numFmtId="0" fontId="57" fillId="0" borderId="4" xfId="0" applyFont="1" applyBorder="1" applyAlignment="1">
      <alignment horizontal="center" vertical="center" wrapText="1"/>
    </xf>
    <xf numFmtId="0" fontId="57" fillId="0" borderId="5" xfId="0" applyFont="1" applyBorder="1" applyAlignment="1">
      <alignment horizontal="center" vertical="center" wrapText="1"/>
    </xf>
    <xf numFmtId="0" fontId="57" fillId="0" borderId="0" xfId="0" applyFont="1" applyFill="1" applyBorder="1" applyAlignment="1">
      <alignment horizontal="center" vertical="center" wrapText="1"/>
    </xf>
    <xf numFmtId="0" fontId="57" fillId="0" borderId="9" xfId="0" applyFont="1" applyBorder="1" applyAlignment="1">
      <alignment horizontal="center" vertical="center" wrapText="1"/>
    </xf>
    <xf numFmtId="0" fontId="57" fillId="0" borderId="10" xfId="0" applyFont="1" applyBorder="1" applyAlignment="1">
      <alignment horizontal="center" vertical="center" wrapText="1"/>
    </xf>
    <xf numFmtId="3" fontId="57" fillId="0" borderId="9" xfId="0" applyNumberFormat="1" applyFont="1" applyBorder="1" applyAlignment="1">
      <alignment horizontal="center" vertical="center" wrapText="1"/>
    </xf>
    <xf numFmtId="3" fontId="57" fillId="0" borderId="0" xfId="0" applyNumberFormat="1" applyFont="1" applyFill="1" applyBorder="1" applyAlignment="1">
      <alignment horizontal="center" vertical="center" wrapText="1"/>
    </xf>
    <xf numFmtId="0" fontId="57" fillId="0" borderId="19" xfId="0" applyFont="1" applyBorder="1" applyAlignment="1">
      <alignment horizontal="center" vertical="center" wrapText="1"/>
    </xf>
    <xf numFmtId="3" fontId="57" fillId="0" borderId="19" xfId="0" applyNumberFormat="1" applyFont="1" applyBorder="1" applyAlignment="1">
      <alignment horizontal="center" vertical="center" wrapText="1"/>
    </xf>
    <xf numFmtId="0" fontId="57" fillId="0" borderId="34" xfId="0" applyFont="1" applyBorder="1" applyAlignment="1">
      <alignment horizontal="center" vertical="center" wrapText="1"/>
    </xf>
    <xf numFmtId="0" fontId="57" fillId="0" borderId="14" xfId="0" applyFont="1" applyBorder="1" applyAlignment="1">
      <alignment horizontal="center" vertical="center" wrapText="1"/>
    </xf>
    <xf numFmtId="3" fontId="57" fillId="0" borderId="14" xfId="0" applyNumberFormat="1" applyFont="1" applyBorder="1" applyAlignment="1">
      <alignment horizontal="center" vertical="center" wrapText="1"/>
    </xf>
    <xf numFmtId="0" fontId="57" fillId="0" borderId="15" xfId="0" applyFont="1" applyBorder="1" applyAlignment="1">
      <alignment horizontal="center" vertical="center" wrapText="1"/>
    </xf>
    <xf numFmtId="0" fontId="57" fillId="0" borderId="27" xfId="0" applyFont="1" applyBorder="1" applyAlignment="1">
      <alignment horizontal="left" vertical="center" wrapText="1"/>
    </xf>
    <xf numFmtId="0" fontId="57" fillId="0" borderId="27" xfId="0" applyFont="1" applyBorder="1" applyAlignment="1">
      <alignment horizontal="center" vertical="center" wrapText="1"/>
    </xf>
    <xf numFmtId="0" fontId="57" fillId="0" borderId="27" xfId="0" applyFont="1" applyFill="1" applyBorder="1" applyAlignment="1">
      <alignment horizontal="center" vertical="center" wrapText="1"/>
    </xf>
    <xf numFmtId="165" fontId="57" fillId="0" borderId="27" xfId="0" applyNumberFormat="1" applyFont="1" applyFill="1" applyBorder="1" applyAlignment="1">
      <alignment horizontal="center" vertical="center" wrapText="1"/>
    </xf>
    <xf numFmtId="0" fontId="57" fillId="0" borderId="0" xfId="0" applyFont="1" applyBorder="1" applyAlignment="1">
      <alignment horizontal="left" vertical="center" wrapText="1"/>
    </xf>
    <xf numFmtId="0" fontId="57" fillId="0" borderId="0" xfId="0" applyFont="1" applyBorder="1" applyAlignment="1">
      <alignment horizontal="center" vertical="center" wrapText="1"/>
    </xf>
    <xf numFmtId="183" fontId="24" fillId="0" borderId="9" xfId="7" applyNumberFormat="1" applyFont="1" applyFill="1" applyBorder="1" applyAlignment="1">
      <alignment horizontal="center"/>
    </xf>
    <xf numFmtId="9" fontId="24" fillId="0" borderId="0" xfId="3" applyFont="1"/>
    <xf numFmtId="0" fontId="24" fillId="5" borderId="9" xfId="7" applyFont="1" applyFill="1" applyBorder="1" applyAlignment="1">
      <alignment horizontal="center"/>
    </xf>
    <xf numFmtId="189" fontId="59" fillId="0" borderId="0" xfId="9" applyNumberFormat="1" applyFont="1" applyFill="1" applyBorder="1" applyAlignment="1">
      <alignment horizontal="left"/>
    </xf>
    <xf numFmtId="180" fontId="59" fillId="0" borderId="0" xfId="13" applyNumberFormat="1" applyFont="1"/>
    <xf numFmtId="168" fontId="59" fillId="0" borderId="0" xfId="9" applyNumberFormat="1" applyFont="1" applyFill="1" applyBorder="1" applyAlignment="1">
      <alignment horizontal="left"/>
    </xf>
    <xf numFmtId="168" fontId="24" fillId="0" borderId="0" xfId="9" applyNumberFormat="1" applyFont="1" applyAlignment="1">
      <alignment horizontal="left"/>
    </xf>
    <xf numFmtId="0" fontId="24" fillId="0" borderId="9" xfId="7" applyFont="1" applyFill="1" applyBorder="1" applyAlignment="1">
      <alignment horizontal="center"/>
    </xf>
    <xf numFmtId="0" fontId="40" fillId="0" borderId="0" xfId="7" applyFont="1" applyAlignment="1">
      <alignment wrapText="1"/>
    </xf>
    <xf numFmtId="0" fontId="24" fillId="0" borderId="0" xfId="7" applyFont="1" applyAlignment="1">
      <alignment horizontal="center" wrapText="1"/>
    </xf>
    <xf numFmtId="168" fontId="40" fillId="0" borderId="0" xfId="9" applyNumberFormat="1" applyFont="1" applyBorder="1" applyAlignment="1">
      <alignment horizontal="left" vertical="center" wrapText="1"/>
    </xf>
    <xf numFmtId="168" fontId="40" fillId="0" borderId="0" xfId="9" applyNumberFormat="1" applyFont="1" applyBorder="1" applyAlignment="1">
      <alignment vertical="center" wrapText="1"/>
    </xf>
    <xf numFmtId="168" fontId="40" fillId="0" borderId="0" xfId="9" applyNumberFormat="1" applyFont="1" applyFill="1" applyBorder="1" applyAlignment="1">
      <alignment vertical="center" wrapText="1"/>
    </xf>
    <xf numFmtId="3" fontId="24" fillId="0" borderId="0" xfId="0" applyNumberFormat="1" applyFont="1" applyFill="1" applyBorder="1" applyAlignment="1">
      <alignment horizontal="left" vertical="center"/>
    </xf>
    <xf numFmtId="0" fontId="40" fillId="0" borderId="0" xfId="6" applyFont="1" applyFill="1" applyAlignment="1">
      <alignment wrapText="1"/>
    </xf>
    <xf numFmtId="0" fontId="43" fillId="0" borderId="32" xfId="15" applyFont="1" applyBorder="1"/>
    <xf numFmtId="0" fontId="24" fillId="0" borderId="9" xfId="15" applyFont="1" applyBorder="1" applyAlignment="1">
      <alignment horizontal="center"/>
    </xf>
    <xf numFmtId="39" fontId="24" fillId="0" borderId="9" xfId="1" applyNumberFormat="1" applyFont="1" applyBorder="1" applyAlignment="1">
      <alignment horizontal="center"/>
    </xf>
    <xf numFmtId="2" fontId="24" fillId="0" borderId="9" xfId="15" applyNumberFormat="1" applyFont="1" applyBorder="1" applyAlignment="1">
      <alignment horizontal="center"/>
    </xf>
    <xf numFmtId="170" fontId="24" fillId="0" borderId="9" xfId="2" applyNumberFormat="1" applyFont="1" applyBorder="1"/>
    <xf numFmtId="0" fontId="24" fillId="0" borderId="0" xfId="15" applyFont="1" applyBorder="1" applyAlignment="1">
      <alignment horizontal="center"/>
    </xf>
    <xf numFmtId="0" fontId="24" fillId="0" borderId="0" xfId="15" applyFont="1" applyBorder="1" applyAlignment="1">
      <alignment horizontal="left"/>
    </xf>
    <xf numFmtId="39" fontId="24" fillId="0" borderId="0" xfId="1" applyNumberFormat="1" applyFont="1" applyBorder="1" applyAlignment="1">
      <alignment horizontal="center"/>
    </xf>
    <xf numFmtId="0" fontId="24" fillId="5" borderId="0" xfId="15" applyFont="1" applyFill="1" applyBorder="1" applyAlignment="1">
      <alignment horizontal="center"/>
    </xf>
    <xf numFmtId="184" fontId="24" fillId="5" borderId="0" xfId="1" applyNumberFormat="1" applyFont="1" applyFill="1" applyBorder="1" applyAlignment="1">
      <alignment horizontal="center"/>
    </xf>
    <xf numFmtId="2" fontId="24" fillId="0" borderId="0" xfId="15" applyNumberFormat="1" applyFont="1" applyBorder="1" applyAlignment="1">
      <alignment horizontal="center"/>
    </xf>
    <xf numFmtId="2" fontId="24" fillId="0" borderId="0" xfId="15" applyNumberFormat="1" applyFont="1" applyBorder="1"/>
    <xf numFmtId="2" fontId="24" fillId="0" borderId="0" xfId="2" applyNumberFormat="1" applyFont="1" applyBorder="1"/>
    <xf numFmtId="1" fontId="24" fillId="5" borderId="0" xfId="15" applyNumberFormat="1" applyFont="1" applyFill="1" applyBorder="1"/>
    <xf numFmtId="44" fontId="24" fillId="5" borderId="0" xfId="2" applyFont="1" applyFill="1" applyBorder="1" applyAlignment="1">
      <alignment wrapText="1"/>
    </xf>
    <xf numFmtId="0" fontId="24" fillId="0" borderId="0" xfId="15" applyFont="1" applyBorder="1"/>
    <xf numFmtId="0" fontId="24" fillId="0" borderId="0" xfId="15" applyFont="1" applyAlignment="1">
      <alignment horizontal="left"/>
    </xf>
    <xf numFmtId="39" fontId="24" fillId="0" borderId="0" xfId="1" applyNumberFormat="1" applyFont="1" applyAlignment="1">
      <alignment horizontal="center"/>
    </xf>
    <xf numFmtId="0" fontId="24" fillId="0" borderId="0" xfId="15" applyFont="1"/>
    <xf numFmtId="0" fontId="24" fillId="0" borderId="0" xfId="15" applyFont="1" applyBorder="1" applyAlignment="1">
      <alignment horizontal="left" vertical="center" wrapText="1"/>
    </xf>
    <xf numFmtId="0" fontId="24" fillId="0" borderId="0" xfId="15" applyFont="1" applyBorder="1" applyAlignment="1">
      <alignment vertical="center" wrapText="1"/>
    </xf>
    <xf numFmtId="0" fontId="43" fillId="5" borderId="0" xfId="15" applyFont="1" applyFill="1"/>
    <xf numFmtId="0" fontId="43" fillId="5" borderId="0" xfId="15" applyFont="1" applyFill="1" applyAlignment="1">
      <alignment wrapText="1"/>
    </xf>
    <xf numFmtId="0" fontId="40" fillId="0" borderId="36" xfId="0" applyFont="1" applyBorder="1" applyAlignment="1">
      <alignment horizontal="center" vertical="center" wrapText="1"/>
    </xf>
    <xf numFmtId="0" fontId="40" fillId="0" borderId="37" xfId="0" applyFont="1" applyFill="1" applyBorder="1" applyAlignment="1">
      <alignment horizontal="center" vertical="center" wrapText="1"/>
    </xf>
    <xf numFmtId="0" fontId="24" fillId="0" borderId="9" xfId="0" applyFont="1" applyBorder="1" applyAlignment="1">
      <alignment horizontal="left" vertical="center"/>
    </xf>
    <xf numFmtId="0" fontId="65" fillId="0" borderId="0" xfId="0" applyFont="1" applyAlignment="1"/>
    <xf numFmtId="0" fontId="24" fillId="5" borderId="0" xfId="0" applyFont="1" applyFill="1" applyAlignment="1">
      <alignment wrapText="1"/>
    </xf>
    <xf numFmtId="0" fontId="24" fillId="0" borderId="0" xfId="0" applyFont="1" applyBorder="1" applyAlignment="1">
      <alignment vertical="center"/>
    </xf>
    <xf numFmtId="0" fontId="24" fillId="0" borderId="0" xfId="0" applyFont="1" applyBorder="1" applyAlignment="1">
      <alignment horizontal="left" vertical="center"/>
    </xf>
    <xf numFmtId="170" fontId="24" fillId="0" borderId="9" xfId="0" applyNumberFormat="1" applyFont="1" applyBorder="1" applyAlignment="1">
      <alignment horizontal="center" vertical="center"/>
    </xf>
    <xf numFmtId="3" fontId="24" fillId="0" borderId="9" xfId="0" applyNumberFormat="1" applyFont="1" applyFill="1" applyBorder="1" applyAlignment="1">
      <alignment horizontal="left" vertical="center"/>
    </xf>
    <xf numFmtId="3" fontId="24" fillId="0" borderId="9" xfId="0" applyNumberFormat="1" applyFont="1" applyBorder="1" applyAlignment="1">
      <alignment horizontal="center" vertical="center"/>
    </xf>
    <xf numFmtId="9" fontId="24" fillId="0" borderId="9" xfId="0" applyNumberFormat="1" applyFont="1" applyFill="1" applyBorder="1" applyAlignment="1">
      <alignment horizontal="center" vertical="center"/>
    </xf>
    <xf numFmtId="9" fontId="24" fillId="5" borderId="9" xfId="3" applyFont="1" applyFill="1" applyBorder="1" applyAlignment="1">
      <alignment horizontal="center"/>
    </xf>
    <xf numFmtId="9" fontId="24" fillId="0" borderId="0" xfId="3" applyFont="1" applyFill="1" applyBorder="1" applyAlignment="1">
      <alignment horizontal="center"/>
    </xf>
    <xf numFmtId="9" fontId="24" fillId="0" borderId="0" xfId="3" applyFont="1" applyBorder="1" applyAlignment="1">
      <alignment horizontal="center"/>
    </xf>
    <xf numFmtId="0" fontId="40" fillId="0" borderId="0" xfId="0" applyFont="1" applyBorder="1" applyAlignment="1">
      <alignment horizontal="left" vertical="center" wrapText="1"/>
    </xf>
    <xf numFmtId="165" fontId="40" fillId="0" borderId="0" xfId="0" applyNumberFormat="1" applyFont="1" applyBorder="1" applyAlignment="1">
      <alignment horizontal="center" vertical="center" wrapText="1"/>
    </xf>
    <xf numFmtId="0" fontId="40" fillId="0" borderId="0" xfId="0" applyFont="1" applyBorder="1" applyAlignment="1">
      <alignment horizontal="center" vertical="center" wrapText="1"/>
    </xf>
    <xf numFmtId="166" fontId="40" fillId="0" borderId="0" xfId="0" applyNumberFormat="1" applyFont="1" applyBorder="1" applyAlignment="1">
      <alignment horizontal="center" vertical="center" wrapText="1"/>
    </xf>
    <xf numFmtId="180" fontId="40" fillId="0" borderId="0" xfId="0" applyNumberFormat="1" applyFont="1" applyBorder="1" applyAlignment="1">
      <alignment horizontal="center" vertical="center" wrapText="1"/>
    </xf>
    <xf numFmtId="0" fontId="24" fillId="0" borderId="0" xfId="0" applyFont="1" applyAlignment="1">
      <alignment horizontal="center" wrapText="1"/>
    </xf>
    <xf numFmtId="0" fontId="40" fillId="5" borderId="0" xfId="0" applyFont="1" applyFill="1" applyBorder="1" applyAlignment="1">
      <alignment horizontal="center" vertical="center"/>
    </xf>
    <xf numFmtId="165" fontId="24" fillId="5" borderId="0" xfId="0" applyNumberFormat="1" applyFont="1" applyFill="1" applyBorder="1" applyAlignment="1">
      <alignment horizontal="center" vertical="center"/>
    </xf>
    <xf numFmtId="170" fontId="24" fillId="5" borderId="0" xfId="0" applyNumberFormat="1" applyFont="1" applyFill="1" applyBorder="1" applyAlignment="1">
      <alignment horizontal="center" vertical="center"/>
    </xf>
    <xf numFmtId="181" fontId="24" fillId="5" borderId="0" xfId="0" applyNumberFormat="1" applyFont="1" applyFill="1" applyBorder="1" applyAlignment="1">
      <alignment horizontal="center" vertical="center" wrapText="1"/>
    </xf>
    <xf numFmtId="4" fontId="24" fillId="5" borderId="0" xfId="0" applyNumberFormat="1" applyFont="1" applyFill="1" applyBorder="1" applyAlignment="1">
      <alignment horizontal="center" vertical="center" wrapText="1"/>
    </xf>
    <xf numFmtId="188" fontId="24" fillId="5" borderId="0" xfId="0" applyNumberFormat="1" applyFont="1" applyFill="1" applyBorder="1" applyAlignment="1">
      <alignment horizontal="center" vertical="center" wrapText="1"/>
    </xf>
    <xf numFmtId="10" fontId="24" fillId="5" borderId="0" xfId="0" applyNumberFormat="1" applyFont="1" applyFill="1" applyBorder="1" applyAlignment="1">
      <alignment horizontal="center" vertical="center" wrapText="1"/>
    </xf>
    <xf numFmtId="190" fontId="24" fillId="0" borderId="9" xfId="0" applyNumberFormat="1" applyFont="1" applyFill="1" applyBorder="1" applyAlignment="1">
      <alignment horizontal="center" vertical="center" wrapText="1"/>
    </xf>
    <xf numFmtId="2" fontId="24" fillId="0" borderId="9" xfId="0" applyNumberFormat="1" applyFont="1" applyBorder="1" applyAlignment="1">
      <alignment horizontal="center" vertical="center" wrapText="1"/>
    </xf>
    <xf numFmtId="0" fontId="65" fillId="0" borderId="0" xfId="0" applyFont="1"/>
    <xf numFmtId="0" fontId="24" fillId="0" borderId="36" xfId="0" applyFont="1" applyFill="1" applyBorder="1" applyAlignment="1">
      <alignment horizontal="left" vertical="center" wrapText="1"/>
    </xf>
    <xf numFmtId="0" fontId="24" fillId="0" borderId="0" xfId="0" applyFont="1" applyBorder="1" applyAlignment="1">
      <alignment horizontal="left"/>
    </xf>
    <xf numFmtId="170" fontId="24" fillId="0" borderId="9" xfId="0" applyNumberFormat="1" applyFont="1" applyFill="1" applyBorder="1" applyAlignment="1">
      <alignment horizontal="center" vertical="center" wrapText="1"/>
    </xf>
    <xf numFmtId="0" fontId="65" fillId="0" borderId="0" xfId="0" applyFont="1" applyFill="1" applyAlignment="1">
      <alignment horizontal="left"/>
    </xf>
    <xf numFmtId="0" fontId="65" fillId="0" borderId="0" xfId="0" applyFont="1" applyFill="1"/>
    <xf numFmtId="0" fontId="24" fillId="0" borderId="36" xfId="0" applyFont="1" applyBorder="1" applyAlignment="1">
      <alignment horizontal="center" vertical="center" wrapText="1"/>
    </xf>
    <xf numFmtId="0" fontId="24" fillId="0" borderId="9" xfId="0" applyFont="1" applyBorder="1" applyAlignment="1">
      <alignment horizontal="center" wrapText="1"/>
    </xf>
    <xf numFmtId="180" fontId="24" fillId="0" borderId="9" xfId="0" applyNumberFormat="1" applyFont="1" applyBorder="1" applyAlignment="1">
      <alignment horizontal="center" wrapText="1"/>
    </xf>
    <xf numFmtId="2" fontId="24" fillId="5" borderId="9" xfId="0" applyNumberFormat="1" applyFont="1" applyFill="1" applyBorder="1" applyAlignment="1">
      <alignment horizontal="center" vertical="center"/>
    </xf>
    <xf numFmtId="188" fontId="24" fillId="0" borderId="16" xfId="3" applyNumberFormat="1" applyFont="1" applyBorder="1" applyAlignment="1">
      <alignment horizontal="center" wrapText="1"/>
    </xf>
    <xf numFmtId="9" fontId="24" fillId="0" borderId="18" xfId="0" applyNumberFormat="1" applyFont="1" applyFill="1" applyBorder="1" applyAlignment="1">
      <alignment horizontal="center" vertical="center" wrapText="1"/>
    </xf>
    <xf numFmtId="0" fontId="24" fillId="0" borderId="0" xfId="0" applyFont="1" applyBorder="1"/>
    <xf numFmtId="0" fontId="24" fillId="0" borderId="9" xfId="0" applyFont="1" applyFill="1" applyBorder="1" applyAlignment="1">
      <alignment horizontal="center" wrapText="1"/>
    </xf>
    <xf numFmtId="0" fontId="59" fillId="0" borderId="0" xfId="0" applyFont="1" applyFill="1"/>
    <xf numFmtId="0" fontId="24" fillId="0" borderId="21" xfId="0" applyFont="1" applyFill="1" applyBorder="1" applyAlignment="1">
      <alignment wrapText="1"/>
    </xf>
    <xf numFmtId="0" fontId="24" fillId="5" borderId="9" xfId="0" applyFont="1" applyFill="1" applyBorder="1" applyAlignment="1">
      <alignment horizontal="left" vertical="center"/>
    </xf>
    <xf numFmtId="165" fontId="24" fillId="5" borderId="9" xfId="0" applyNumberFormat="1" applyFont="1" applyFill="1" applyBorder="1" applyAlignment="1">
      <alignment horizontal="left" vertical="center" wrapText="1"/>
    </xf>
    <xf numFmtId="0" fontId="95" fillId="0" borderId="0" xfId="0" applyFont="1" applyFill="1"/>
    <xf numFmtId="0" fontId="24" fillId="9" borderId="9" xfId="0" applyFont="1" applyFill="1" applyBorder="1" applyAlignment="1">
      <alignment horizontal="center" vertical="center" wrapText="1"/>
    </xf>
    <xf numFmtId="9" fontId="24" fillId="9" borderId="9" xfId="3" applyFont="1" applyFill="1" applyBorder="1" applyAlignment="1">
      <alignment horizontal="center" vertical="center" wrapText="1"/>
    </xf>
    <xf numFmtId="9" fontId="24" fillId="9" borderId="9" xfId="0" applyNumberFormat="1" applyFont="1" applyFill="1" applyBorder="1" applyAlignment="1">
      <alignment horizontal="center" vertical="center" wrapText="1"/>
    </xf>
    <xf numFmtId="43" fontId="24" fillId="0" borderId="9" xfId="1" applyNumberFormat="1" applyFont="1" applyBorder="1" applyAlignment="1">
      <alignment horizontal="center"/>
    </xf>
    <xf numFmtId="170" fontId="24" fillId="0" borderId="9" xfId="2" applyNumberFormat="1" applyFont="1" applyBorder="1" applyAlignment="1">
      <alignment horizontal="center"/>
    </xf>
    <xf numFmtId="43" fontId="24" fillId="0" borderId="0" xfId="1" applyFont="1"/>
    <xf numFmtId="43" fontId="24" fillId="0" borderId="9" xfId="1" applyFont="1" applyBorder="1"/>
    <xf numFmtId="0" fontId="43" fillId="5" borderId="0" xfId="15" applyFont="1" applyFill="1" applyAlignment="1">
      <alignment horizontal="left"/>
    </xf>
    <xf numFmtId="0" fontId="96" fillId="5" borderId="0" xfId="0" applyFont="1" applyFill="1"/>
    <xf numFmtId="0" fontId="97" fillId="5" borderId="0" xfId="0" applyFont="1" applyFill="1"/>
    <xf numFmtId="0" fontId="98" fillId="5" borderId="0" xfId="0" applyFont="1" applyFill="1"/>
    <xf numFmtId="9" fontId="24" fillId="0" borderId="4" xfId="3" applyFont="1" applyFill="1" applyBorder="1" applyAlignment="1">
      <alignment horizontal="center"/>
    </xf>
    <xf numFmtId="9" fontId="24" fillId="0" borderId="14" xfId="3" applyFont="1" applyFill="1" applyBorder="1" applyAlignment="1">
      <alignment horizontal="center"/>
    </xf>
    <xf numFmtId="1" fontId="24" fillId="0" borderId="27" xfId="3" applyNumberFormat="1" applyFont="1" applyFill="1" applyBorder="1" applyAlignment="1">
      <alignment horizontal="center"/>
    </xf>
    <xf numFmtId="2" fontId="24" fillId="0" borderId="19" xfId="3" applyNumberFormat="1" applyFont="1" applyFill="1" applyBorder="1" applyAlignment="1">
      <alignment horizontal="center"/>
    </xf>
    <xf numFmtId="2" fontId="24" fillId="5" borderId="27" xfId="3" applyNumberFormat="1" applyFont="1" applyFill="1" applyBorder="1" applyAlignment="1">
      <alignment horizontal="center"/>
    </xf>
    <xf numFmtId="165" fontId="24" fillId="0" borderId="9" xfId="3" applyNumberFormat="1" applyFont="1" applyBorder="1" applyAlignment="1">
      <alignment horizontal="center"/>
    </xf>
    <xf numFmtId="0" fontId="43" fillId="0" borderId="30" xfId="15" applyFont="1" applyFill="1" applyBorder="1"/>
    <xf numFmtId="0" fontId="43" fillId="0" borderId="32" xfId="15" applyFont="1" applyFill="1" applyBorder="1" applyAlignment="1">
      <alignment horizontal="center"/>
    </xf>
    <xf numFmtId="9" fontId="24" fillId="5" borderId="19" xfId="3" applyFont="1" applyFill="1" applyBorder="1" applyAlignment="1">
      <alignment horizontal="center"/>
    </xf>
    <xf numFmtId="0" fontId="99" fillId="0" borderId="0" xfId="15" applyFont="1" applyFill="1" applyAlignment="1">
      <alignment horizontal="center"/>
    </xf>
    <xf numFmtId="9" fontId="24" fillId="0" borderId="4" xfId="3" applyFont="1" applyBorder="1" applyAlignment="1">
      <alignment horizontal="center"/>
    </xf>
    <xf numFmtId="9" fontId="24" fillId="0" borderId="27" xfId="3" applyFont="1" applyBorder="1" applyAlignment="1">
      <alignment horizontal="center"/>
    </xf>
    <xf numFmtId="9" fontId="24" fillId="0" borderId="19" xfId="3" applyFont="1" applyBorder="1" applyAlignment="1">
      <alignment horizontal="center"/>
    </xf>
    <xf numFmtId="9" fontId="24" fillId="0" borderId="14" xfId="3" applyFont="1" applyBorder="1" applyAlignment="1">
      <alignment horizontal="center"/>
    </xf>
    <xf numFmtId="169" fontId="24" fillId="0" borderId="4" xfId="1" applyNumberFormat="1" applyFont="1" applyBorder="1" applyAlignment="1">
      <alignment horizontal="center"/>
    </xf>
    <xf numFmtId="169" fontId="24" fillId="0" borderId="27" xfId="1" applyNumberFormat="1" applyFont="1" applyBorder="1" applyAlignment="1">
      <alignment horizontal="center"/>
    </xf>
    <xf numFmtId="169" fontId="24" fillId="0" borderId="19" xfId="1" applyNumberFormat="1" applyFont="1" applyBorder="1" applyAlignment="1">
      <alignment horizontal="center"/>
    </xf>
    <xf numFmtId="169" fontId="24" fillId="0" borderId="14" xfId="1" applyNumberFormat="1" applyFont="1" applyBorder="1" applyAlignment="1">
      <alignment horizontal="center"/>
    </xf>
    <xf numFmtId="171" fontId="24" fillId="0" borderId="4" xfId="3" applyNumberFormat="1" applyFont="1" applyBorder="1" applyAlignment="1">
      <alignment horizontal="center"/>
    </xf>
    <xf numFmtId="0" fontId="94" fillId="0" borderId="0" xfId="16" applyFont="1"/>
    <xf numFmtId="171" fontId="24" fillId="0" borderId="27" xfId="3" applyNumberFormat="1" applyFont="1" applyBorder="1" applyAlignment="1">
      <alignment horizontal="center"/>
    </xf>
    <xf numFmtId="171" fontId="24" fillId="0" borderId="9" xfId="3" applyNumberFormat="1" applyFont="1" applyBorder="1" applyAlignment="1">
      <alignment horizontal="center"/>
    </xf>
    <xf numFmtId="8" fontId="24" fillId="0" borderId="0" xfId="0" applyNumberFormat="1" applyFont="1"/>
    <xf numFmtId="8" fontId="43" fillId="0" borderId="0" xfId="15" applyNumberFormat="1" applyFont="1"/>
    <xf numFmtId="171" fontId="24" fillId="0" borderId="19" xfId="3" applyNumberFormat="1" applyFont="1" applyBorder="1" applyAlignment="1">
      <alignment horizontal="center"/>
    </xf>
    <xf numFmtId="171" fontId="24" fillId="0" borderId="14" xfId="3" applyNumberFormat="1" applyFont="1" applyBorder="1" applyAlignment="1">
      <alignment horizontal="center"/>
    </xf>
    <xf numFmtId="0" fontId="24" fillId="5" borderId="19" xfId="0" applyFont="1" applyFill="1" applyBorder="1" applyAlignment="1">
      <alignment horizontal="left" vertical="center" wrapText="1"/>
    </xf>
    <xf numFmtId="182" fontId="24" fillId="0" borderId="9" xfId="0" applyNumberFormat="1" applyFont="1" applyBorder="1" applyAlignment="1">
      <alignment horizontal="center"/>
    </xf>
    <xf numFmtId="169" fontId="24" fillId="0" borderId="0" xfId="0" applyNumberFormat="1" applyFont="1"/>
    <xf numFmtId="0" fontId="24" fillId="5" borderId="27" xfId="0" applyFont="1" applyFill="1" applyBorder="1" applyAlignment="1">
      <alignment horizontal="left" vertical="center" wrapText="1"/>
    </xf>
    <xf numFmtId="168" fontId="24" fillId="5" borderId="9" xfId="0" applyNumberFormat="1" applyFont="1" applyFill="1" applyBorder="1" applyAlignment="1">
      <alignment horizontal="left"/>
    </xf>
    <xf numFmtId="168" fontId="24" fillId="0" borderId="9" xfId="0" applyNumberFormat="1" applyFont="1" applyFill="1" applyBorder="1" applyAlignment="1">
      <alignment horizontal="center"/>
    </xf>
    <xf numFmtId="0" fontId="24" fillId="0" borderId="0" xfId="0" applyFont="1" applyFill="1" applyBorder="1" applyAlignment="1">
      <alignment horizontal="center"/>
    </xf>
    <xf numFmtId="168" fontId="24" fillId="0" borderId="0" xfId="0" applyNumberFormat="1" applyFont="1" applyBorder="1" applyAlignment="1">
      <alignment horizontal="left"/>
    </xf>
    <xf numFmtId="37" fontId="24" fillId="0" borderId="0" xfId="1" quotePrefix="1" applyNumberFormat="1" applyFont="1" applyFill="1" applyBorder="1" applyAlignment="1">
      <alignment horizontal="center" vertical="center" wrapText="1"/>
    </xf>
    <xf numFmtId="191" fontId="24" fillId="0" borderId="0" xfId="0" applyNumberFormat="1" applyFont="1" applyBorder="1" applyAlignment="1">
      <alignment horizontal="center"/>
    </xf>
    <xf numFmtId="43" fontId="24" fillId="0" borderId="0" xfId="0" applyNumberFormat="1" applyFont="1" applyBorder="1" applyAlignment="1">
      <alignment horizontal="center"/>
    </xf>
    <xf numFmtId="192" fontId="24" fillId="0" borderId="0" xfId="0" applyNumberFormat="1" applyFont="1" applyBorder="1" applyAlignment="1">
      <alignment horizontal="center"/>
    </xf>
    <xf numFmtId="182" fontId="24" fillId="0" borderId="0" xfId="0" applyNumberFormat="1" applyFont="1" applyBorder="1" applyAlignment="1">
      <alignment horizontal="center"/>
    </xf>
    <xf numFmtId="0" fontId="24" fillId="5" borderId="0" xfId="0" applyFont="1" applyFill="1" applyAlignment="1">
      <alignment horizontal="left"/>
    </xf>
    <xf numFmtId="0" fontId="24" fillId="5" borderId="0" xfId="0" applyFont="1" applyFill="1" applyAlignment="1">
      <alignment horizontal="center"/>
    </xf>
    <xf numFmtId="188" fontId="24" fillId="0" borderId="9" xfId="3" applyNumberFormat="1" applyFont="1" applyBorder="1"/>
    <xf numFmtId="2" fontId="24" fillId="0" borderId="0" xfId="0" applyNumberFormat="1" applyFont="1" applyAlignment="1">
      <alignment horizontal="left"/>
    </xf>
    <xf numFmtId="2" fontId="24" fillId="0" borderId="0" xfId="0" applyNumberFormat="1" applyFont="1" applyFill="1" applyBorder="1" applyAlignment="1">
      <alignment wrapText="1"/>
    </xf>
    <xf numFmtId="2" fontId="24" fillId="0" borderId="0" xfId="0" applyNumberFormat="1" applyFont="1" applyAlignment="1">
      <alignment horizontal="center"/>
    </xf>
    <xf numFmtId="0" fontId="24" fillId="17" borderId="17" xfId="0" applyFont="1" applyFill="1" applyBorder="1" applyAlignment="1"/>
    <xf numFmtId="0" fontId="24" fillId="17" borderId="18" xfId="0" applyFont="1" applyFill="1" applyBorder="1" applyAlignment="1"/>
    <xf numFmtId="169" fontId="24" fillId="0" borderId="9" xfId="1" quotePrefix="1" applyNumberFormat="1" applyFont="1" applyFill="1" applyBorder="1" applyAlignment="1">
      <alignment horizontal="center" vertical="center" wrapText="1"/>
    </xf>
    <xf numFmtId="168" fontId="24" fillId="0" borderId="9" xfId="0" applyNumberFormat="1" applyFont="1" applyBorder="1" applyAlignment="1">
      <alignment horizontal="center"/>
    </xf>
    <xf numFmtId="0" fontId="24" fillId="5" borderId="24" xfId="0" applyFont="1" applyFill="1" applyBorder="1" applyAlignment="1">
      <alignment horizontal="left" vertical="center" wrapText="1"/>
    </xf>
    <xf numFmtId="0" fontId="24" fillId="0" borderId="0" xfId="0" applyFont="1" applyFill="1" applyBorder="1" applyAlignment="1">
      <alignment horizontal="left" vertical="top" wrapText="1"/>
    </xf>
    <xf numFmtId="0" fontId="24" fillId="0" borderId="0" xfId="0" applyFont="1" applyFill="1" applyBorder="1" applyAlignment="1">
      <alignment horizontal="left" vertical="top"/>
    </xf>
    <xf numFmtId="0" fontId="24" fillId="0" borderId="0" xfId="0" applyFont="1" applyFill="1" applyBorder="1" applyAlignment="1">
      <alignment vertical="top"/>
    </xf>
    <xf numFmtId="0" fontId="24" fillId="5" borderId="9" xfId="0" applyFont="1" applyFill="1" applyBorder="1" applyAlignment="1">
      <alignment horizontal="center" wrapText="1"/>
    </xf>
    <xf numFmtId="0" fontId="65" fillId="0" borderId="0" xfId="0" applyFont="1" applyAlignment="1">
      <alignment horizontal="left"/>
    </xf>
    <xf numFmtId="0" fontId="24" fillId="16" borderId="52" xfId="0" applyFont="1" applyFill="1" applyBorder="1" applyAlignment="1">
      <alignment horizontal="left" vertical="top" wrapText="1"/>
    </xf>
    <xf numFmtId="0" fontId="24" fillId="16" borderId="53" xfId="0" applyFont="1" applyFill="1" applyBorder="1" applyAlignment="1">
      <alignment horizontal="left" vertical="top" wrapText="1"/>
    </xf>
    <xf numFmtId="0" fontId="24" fillId="16" borderId="11" xfId="0" applyFont="1" applyFill="1" applyBorder="1" applyAlignment="1">
      <alignment horizontal="left" vertical="top" wrapText="1"/>
    </xf>
    <xf numFmtId="0" fontId="24" fillId="16" borderId="0" xfId="0" applyFont="1" applyFill="1" applyBorder="1" applyAlignment="1">
      <alignment horizontal="left" vertical="center" wrapText="1"/>
    </xf>
    <xf numFmtId="2" fontId="24" fillId="5" borderId="0" xfId="0" applyNumberFormat="1" applyFont="1" applyFill="1" applyBorder="1" applyAlignment="1">
      <alignment wrapText="1"/>
    </xf>
    <xf numFmtId="170" fontId="24" fillId="5" borderId="9" xfId="0" applyNumberFormat="1" applyFont="1" applyFill="1" applyBorder="1" applyAlignment="1">
      <alignment horizontal="center" vertical="center" wrapText="1"/>
    </xf>
    <xf numFmtId="171" fontId="24" fillId="5" borderId="9" xfId="0" applyNumberFormat="1" applyFont="1" applyFill="1" applyBorder="1" applyAlignment="1">
      <alignment horizontal="center"/>
    </xf>
    <xf numFmtId="44" fontId="24" fillId="5" borderId="9" xfId="2" applyFont="1" applyFill="1" applyBorder="1" applyAlignment="1">
      <alignment horizontal="center" vertical="center" wrapText="1"/>
    </xf>
    <xf numFmtId="9" fontId="24" fillId="5" borderId="9" xfId="3" applyFont="1" applyFill="1" applyBorder="1" applyAlignment="1">
      <alignment horizontal="center" vertical="center"/>
    </xf>
    <xf numFmtId="0" fontId="24" fillId="0" borderId="0" xfId="0" applyFont="1" applyAlignment="1">
      <alignment horizontal="left" vertical="center"/>
    </xf>
    <xf numFmtId="0" fontId="24" fillId="5" borderId="49" xfId="0" applyFont="1" applyFill="1" applyBorder="1"/>
    <xf numFmtId="0" fontId="24" fillId="0" borderId="0" xfId="0" applyFont="1" applyBorder="1" applyAlignment="1">
      <alignment horizontal="center" wrapText="1"/>
    </xf>
    <xf numFmtId="2" fontId="24" fillId="5" borderId="14" xfId="0" applyNumberFormat="1" applyFont="1" applyFill="1" applyBorder="1" applyAlignment="1">
      <alignment horizontal="left" vertical="top" wrapText="1"/>
    </xf>
    <xf numFmtId="0" fontId="24" fillId="5" borderId="25" xfId="0" applyFont="1" applyFill="1" applyBorder="1" applyAlignment="1">
      <alignment horizontal="left" vertical="top" wrapText="1"/>
    </xf>
    <xf numFmtId="0" fontId="24" fillId="5" borderId="25" xfId="0" applyFont="1" applyFill="1" applyBorder="1"/>
    <xf numFmtId="0" fontId="24" fillId="0" borderId="0" xfId="0" applyFont="1" applyFill="1" applyBorder="1" applyAlignment="1">
      <alignment horizontal="center" vertical="center"/>
    </xf>
    <xf numFmtId="0" fontId="24" fillId="0" borderId="0" xfId="0" applyFont="1" applyFill="1" applyBorder="1" applyAlignment="1">
      <alignment vertical="center"/>
    </xf>
    <xf numFmtId="0" fontId="24" fillId="0" borderId="19" xfId="0" applyFont="1" applyBorder="1" applyAlignment="1">
      <alignment horizontal="left" vertical="center" wrapText="1"/>
    </xf>
    <xf numFmtId="0" fontId="95" fillId="0" borderId="0" xfId="0" applyFont="1" applyAlignment="1">
      <alignment horizontal="right"/>
    </xf>
    <xf numFmtId="0" fontId="24" fillId="0" borderId="58" xfId="0" applyFont="1" applyBorder="1"/>
    <xf numFmtId="0" fontId="24" fillId="0" borderId="19" xfId="0" applyFont="1" applyFill="1" applyBorder="1" applyAlignment="1">
      <alignment horizontal="left" vertical="top"/>
    </xf>
    <xf numFmtId="0" fontId="24" fillId="0" borderId="27" xfId="0" applyFont="1" applyFill="1" applyBorder="1" applyAlignment="1">
      <alignment horizontal="left" vertical="top"/>
    </xf>
    <xf numFmtId="0" fontId="24" fillId="5" borderId="19" xfId="0" applyFont="1" applyFill="1" applyBorder="1" applyAlignment="1">
      <alignment horizontal="left" vertical="top"/>
    </xf>
    <xf numFmtId="0" fontId="24" fillId="5" borderId="27" xfId="0" applyFont="1" applyFill="1" applyBorder="1" applyAlignment="1">
      <alignment horizontal="left" vertical="top"/>
    </xf>
    <xf numFmtId="0" fontId="24" fillId="0" borderId="24" xfId="0" applyFont="1" applyFill="1" applyBorder="1" applyAlignment="1">
      <alignment horizontal="left" vertical="center" wrapText="1"/>
    </xf>
    <xf numFmtId="0" fontId="95" fillId="0" borderId="0" xfId="0" applyFont="1" applyAlignment="1">
      <alignment horizontal="left"/>
    </xf>
    <xf numFmtId="0" fontId="24" fillId="0" borderId="27" xfId="0" applyFont="1" applyBorder="1" applyAlignment="1">
      <alignment horizontal="left" vertical="top" wrapText="1"/>
    </xf>
    <xf numFmtId="0" fontId="24" fillId="5" borderId="5" xfId="0" applyFont="1" applyFill="1" applyBorder="1" applyAlignment="1">
      <alignment horizontal="center" vertical="center" wrapText="1"/>
    </xf>
    <xf numFmtId="0" fontId="24" fillId="0" borderId="10" xfId="0" applyFont="1" applyBorder="1" applyAlignment="1">
      <alignment horizontal="center" vertical="center" wrapText="1"/>
    </xf>
    <xf numFmtId="0" fontId="24" fillId="0" borderId="15" xfId="0" applyFont="1" applyBorder="1" applyAlignment="1">
      <alignment horizontal="center" vertical="center" wrapText="1"/>
    </xf>
    <xf numFmtId="7" fontId="24" fillId="0" borderId="4" xfId="2" applyNumberFormat="1" applyFont="1" applyBorder="1" applyAlignment="1">
      <alignment horizontal="center" vertical="center" wrapText="1"/>
    </xf>
    <xf numFmtId="7" fontId="24" fillId="0" borderId="14" xfId="2" applyNumberFormat="1" applyFont="1" applyBorder="1" applyAlignment="1">
      <alignment horizontal="center" vertical="center" wrapText="1"/>
    </xf>
    <xf numFmtId="0" fontId="47" fillId="0" borderId="0" xfId="0" applyFont="1"/>
    <xf numFmtId="0" fontId="47" fillId="0" borderId="0" xfId="0" applyFont="1" applyAlignment="1">
      <alignment horizontal="center"/>
    </xf>
    <xf numFmtId="0" fontId="47" fillId="0" borderId="0" xfId="0" applyFont="1" applyAlignment="1">
      <alignment horizontal="left"/>
    </xf>
    <xf numFmtId="165" fontId="24" fillId="0" borderId="9" xfId="13" applyNumberFormat="1" applyFont="1" applyBorder="1" applyAlignment="1">
      <alignment horizontal="center"/>
    </xf>
    <xf numFmtId="180" fontId="59" fillId="0" borderId="0" xfId="7" applyNumberFormat="1" applyFont="1"/>
    <xf numFmtId="179" fontId="24" fillId="0" borderId="0" xfId="9" applyNumberFormat="1" applyFont="1" applyFill="1" applyBorder="1" applyAlignment="1">
      <alignment horizontal="center" vertical="center" wrapText="1"/>
    </xf>
    <xf numFmtId="0" fontId="24" fillId="0" borderId="0" xfId="7" applyFont="1" applyBorder="1" applyAlignment="1">
      <alignment horizontal="left" vertical="center" wrapText="1"/>
    </xf>
    <xf numFmtId="0" fontId="57" fillId="0" borderId="0" xfId="0" applyFont="1" applyAlignment="1">
      <alignment horizontal="left" vertical="center"/>
    </xf>
    <xf numFmtId="165" fontId="24" fillId="0" borderId="9" xfId="7" applyNumberFormat="1" applyFont="1" applyFill="1" applyBorder="1" applyAlignment="1"/>
    <xf numFmtId="0" fontId="24" fillId="0" borderId="30" xfId="15" applyFont="1" applyBorder="1"/>
    <xf numFmtId="0" fontId="24" fillId="0" borderId="9" xfId="0" applyFont="1" applyBorder="1" applyAlignment="1">
      <alignment horizontal="left"/>
    </xf>
    <xf numFmtId="0" fontId="24" fillId="5" borderId="9" xfId="0" applyFont="1" applyFill="1" applyBorder="1" applyAlignment="1">
      <alignment horizontal="left"/>
    </xf>
    <xf numFmtId="0" fontId="43" fillId="0" borderId="59" xfId="15" applyFont="1" applyBorder="1" applyAlignment="1">
      <alignment horizontal="left"/>
    </xf>
    <xf numFmtId="0" fontId="43" fillId="0" borderId="60" xfId="15" applyFont="1" applyBorder="1" applyAlignment="1">
      <alignment horizontal="left"/>
    </xf>
    <xf numFmtId="0" fontId="43" fillId="0" borderId="60" xfId="15" applyFont="1" applyBorder="1"/>
    <xf numFmtId="0" fontId="43" fillId="0" borderId="61" xfId="15" applyFont="1" applyBorder="1"/>
    <xf numFmtId="0" fontId="43" fillId="0" borderId="62" xfId="15" applyFont="1" applyBorder="1" applyAlignment="1">
      <alignment horizontal="left"/>
    </xf>
    <xf numFmtId="0" fontId="43" fillId="0" borderId="63" xfId="15" applyFont="1" applyBorder="1" applyAlignment="1">
      <alignment horizontal="left"/>
    </xf>
    <xf numFmtId="0" fontId="43" fillId="0" borderId="63" xfId="15" applyFont="1" applyBorder="1"/>
    <xf numFmtId="0" fontId="43" fillId="0" borderId="64" xfId="15" applyFont="1" applyBorder="1"/>
    <xf numFmtId="0" fontId="43" fillId="0" borderId="65" xfId="15" applyFont="1" applyBorder="1" applyAlignment="1">
      <alignment horizontal="left"/>
    </xf>
    <xf numFmtId="180" fontId="24" fillId="0" borderId="9" xfId="15" applyNumberFormat="1" applyFont="1" applyBorder="1" applyAlignment="1">
      <alignment horizontal="center"/>
    </xf>
    <xf numFmtId="180" fontId="24" fillId="0" borderId="9" xfId="15" applyNumberFormat="1" applyFont="1" applyFill="1" applyBorder="1" applyAlignment="1">
      <alignment horizontal="center"/>
    </xf>
    <xf numFmtId="0" fontId="24" fillId="0" borderId="31" xfId="15" applyFont="1" applyBorder="1" applyAlignment="1">
      <alignment horizontal="left"/>
    </xf>
    <xf numFmtId="0" fontId="24" fillId="0" borderId="31" xfId="15" applyFont="1" applyBorder="1"/>
    <xf numFmtId="0" fontId="24" fillId="5" borderId="31" xfId="15" applyFont="1" applyFill="1" applyBorder="1"/>
    <xf numFmtId="172" fontId="24" fillId="0" borderId="9" xfId="2" applyNumberFormat="1" applyFont="1" applyBorder="1" applyAlignment="1">
      <alignment horizontal="center"/>
    </xf>
    <xf numFmtId="0" fontId="24" fillId="0" borderId="19" xfId="15" applyFont="1" applyBorder="1" applyAlignment="1">
      <alignment horizontal="left"/>
    </xf>
    <xf numFmtId="0" fontId="24" fillId="0" borderId="21" xfId="15" applyFont="1" applyBorder="1" applyAlignment="1">
      <alignment horizontal="left"/>
    </xf>
    <xf numFmtId="0" fontId="24" fillId="0" borderId="19" xfId="15" applyFont="1" applyBorder="1" applyAlignment="1">
      <alignment horizontal="center"/>
    </xf>
    <xf numFmtId="165" fontId="24" fillId="0" borderId="19" xfId="15" applyNumberFormat="1" applyFont="1" applyBorder="1" applyAlignment="1">
      <alignment horizontal="center"/>
    </xf>
    <xf numFmtId="2" fontId="24" fillId="0" borderId="19" xfId="15" applyNumberFormat="1" applyFont="1" applyBorder="1" applyAlignment="1">
      <alignment horizontal="center"/>
    </xf>
    <xf numFmtId="0" fontId="24" fillId="0" borderId="27" xfId="15" applyFont="1" applyBorder="1" applyAlignment="1">
      <alignment horizontal="center"/>
    </xf>
    <xf numFmtId="194" fontId="24" fillId="0" borderId="9" xfId="1" applyNumberFormat="1" applyFont="1" applyBorder="1" applyAlignment="1">
      <alignment horizontal="center"/>
    </xf>
    <xf numFmtId="2" fontId="24" fillId="0" borderId="9" xfId="15" applyNumberFormat="1" applyFont="1" applyBorder="1"/>
    <xf numFmtId="172" fontId="24" fillId="0" borderId="9" xfId="2" applyNumberFormat="1" applyFont="1" applyBorder="1"/>
    <xf numFmtId="0" fontId="24" fillId="0" borderId="32" xfId="15" applyFont="1" applyBorder="1" applyAlignment="1">
      <alignment horizontal="center"/>
    </xf>
    <xf numFmtId="0" fontId="24" fillId="0" borderId="30" xfId="15" applyFont="1" applyBorder="1" applyAlignment="1">
      <alignment horizontal="center"/>
    </xf>
    <xf numFmtId="0" fontId="24" fillId="0" borderId="33" xfId="15" applyFont="1" applyBorder="1" applyAlignment="1">
      <alignment horizontal="center"/>
    </xf>
    <xf numFmtId="0" fontId="24" fillId="0" borderId="33" xfId="15" applyFont="1" applyBorder="1"/>
    <xf numFmtId="0" fontId="24" fillId="0" borderId="25" xfId="15" applyFont="1" applyBorder="1" applyAlignment="1">
      <alignment horizontal="left"/>
    </xf>
    <xf numFmtId="0" fontId="65" fillId="0" borderId="9" xfId="15" applyFont="1" applyBorder="1" applyAlignment="1">
      <alignment horizontal="left" vertical="center"/>
    </xf>
    <xf numFmtId="2" fontId="24" fillId="0" borderId="9" xfId="3" applyNumberFormat="1" applyFont="1" applyBorder="1" applyAlignment="1">
      <alignment horizontal="center"/>
    </xf>
    <xf numFmtId="10" fontId="24" fillId="0" borderId="9" xfId="3" applyNumberFormat="1" applyFont="1" applyBorder="1" applyAlignment="1">
      <alignment horizontal="center"/>
    </xf>
    <xf numFmtId="1" fontId="24" fillId="0" borderId="23" xfId="3" applyNumberFormat="1" applyFont="1" applyBorder="1" applyAlignment="1">
      <alignment horizontal="center"/>
    </xf>
    <xf numFmtId="0" fontId="24" fillId="0" borderId="19" xfId="15" applyFont="1" applyBorder="1" applyAlignment="1">
      <alignment wrapText="1"/>
    </xf>
    <xf numFmtId="1" fontId="24" fillId="0" borderId="19" xfId="3" applyNumberFormat="1" applyFont="1" applyBorder="1" applyAlignment="1">
      <alignment horizontal="center"/>
    </xf>
    <xf numFmtId="165" fontId="65" fillId="0" borderId="24" xfId="15" applyNumberFormat="1" applyFont="1" applyFill="1" applyBorder="1" applyAlignment="1">
      <alignment horizontal="left" vertical="center"/>
    </xf>
    <xf numFmtId="0" fontId="24" fillId="0" borderId="0" xfId="15" applyFont="1" applyFill="1" applyBorder="1"/>
    <xf numFmtId="0" fontId="24" fillId="0" borderId="19" xfId="15" applyFont="1" applyFill="1" applyBorder="1" applyAlignment="1">
      <alignment horizontal="left"/>
    </xf>
    <xf numFmtId="0" fontId="24" fillId="0" borderId="25" xfId="15" applyFont="1" applyFill="1" applyBorder="1" applyAlignment="1">
      <alignment horizontal="left"/>
    </xf>
    <xf numFmtId="0" fontId="24" fillId="0" borderId="19" xfId="15" applyFont="1" applyFill="1" applyBorder="1" applyAlignment="1">
      <alignment wrapText="1"/>
    </xf>
    <xf numFmtId="0" fontId="65" fillId="0" borderId="19" xfId="15" applyFont="1" applyBorder="1" applyAlignment="1">
      <alignment horizontal="left" vertical="center"/>
    </xf>
    <xf numFmtId="173" fontId="24" fillId="0" borderId="0" xfId="3" applyNumberFormat="1" applyFont="1" applyBorder="1"/>
    <xf numFmtId="9" fontId="24" fillId="0" borderId="0" xfId="3" applyFont="1" applyBorder="1"/>
    <xf numFmtId="165" fontId="65" fillId="0" borderId="9" xfId="15" applyNumberFormat="1" applyFont="1" applyFill="1" applyBorder="1" applyAlignment="1">
      <alignment horizontal="left" vertical="center"/>
    </xf>
    <xf numFmtId="165" fontId="24" fillId="0" borderId="9" xfId="15" applyNumberFormat="1" applyFont="1" applyFill="1" applyBorder="1" applyAlignment="1">
      <alignment horizontal="left"/>
    </xf>
    <xf numFmtId="0" fontId="24" fillId="0" borderId="0" xfId="15" applyFont="1" applyAlignment="1">
      <alignment horizontal="center"/>
    </xf>
    <xf numFmtId="170" fontId="24" fillId="0" borderId="9" xfId="2" applyNumberFormat="1" applyFont="1" applyFill="1" applyBorder="1" applyAlignment="1">
      <alignment horizontal="center"/>
    </xf>
    <xf numFmtId="1" fontId="24" fillId="5" borderId="9" xfId="3" applyNumberFormat="1" applyFont="1" applyFill="1" applyBorder="1" applyAlignment="1">
      <alignment horizontal="center"/>
    </xf>
    <xf numFmtId="165" fontId="24" fillId="5" borderId="9" xfId="3" applyNumberFormat="1" applyFont="1" applyFill="1" applyBorder="1" applyAlignment="1">
      <alignment horizontal="center"/>
    </xf>
    <xf numFmtId="2" fontId="24" fillId="5" borderId="9" xfId="15" applyNumberFormat="1" applyFont="1" applyFill="1" applyBorder="1" applyAlignment="1">
      <alignment horizontal="center"/>
    </xf>
    <xf numFmtId="170" fontId="24" fillId="5" borderId="9" xfId="15" applyNumberFormat="1" applyFont="1" applyFill="1" applyBorder="1" applyAlignment="1">
      <alignment horizontal="center"/>
    </xf>
    <xf numFmtId="0" fontId="24" fillId="5" borderId="0" xfId="15" applyFont="1" applyFill="1" applyAlignment="1">
      <alignment horizontal="left"/>
    </xf>
    <xf numFmtId="0" fontId="24" fillId="5" borderId="0" xfId="15" applyFont="1" applyFill="1" applyBorder="1" applyAlignment="1">
      <alignment horizontal="left"/>
    </xf>
    <xf numFmtId="0" fontId="24" fillId="5" borderId="0" xfId="15" applyFont="1" applyFill="1" applyBorder="1"/>
    <xf numFmtId="0" fontId="24" fillId="5" borderId="0" xfId="15" applyFont="1" applyFill="1" applyBorder="1" applyAlignment="1">
      <alignment horizontal="right"/>
    </xf>
    <xf numFmtId="165" fontId="24" fillId="0" borderId="19" xfId="13" applyNumberFormat="1" applyFont="1" applyFill="1" applyBorder="1" applyAlignment="1">
      <alignment horizontal="center" vertical="center" wrapText="1"/>
    </xf>
    <xf numFmtId="0" fontId="24" fillId="0" borderId="9" xfId="15" applyFont="1" applyFill="1" applyBorder="1" applyAlignment="1">
      <alignment horizontal="center" vertical="center" wrapText="1"/>
    </xf>
    <xf numFmtId="165" fontId="24" fillId="0" borderId="9" xfId="15" applyNumberFormat="1" applyFont="1" applyFill="1" applyBorder="1" applyAlignment="1">
      <alignment horizontal="center" vertical="center" wrapText="1"/>
    </xf>
    <xf numFmtId="165" fontId="24" fillId="0" borderId="16" xfId="15" applyNumberFormat="1" applyFont="1" applyFill="1" applyBorder="1" applyAlignment="1">
      <alignment horizontal="center" vertical="center" wrapText="1"/>
    </xf>
    <xf numFmtId="1" fontId="24" fillId="0" borderId="9" xfId="13" applyNumberFormat="1" applyFont="1" applyFill="1" applyBorder="1" applyAlignment="1">
      <alignment horizontal="center" vertical="center" wrapText="1"/>
    </xf>
    <xf numFmtId="0" fontId="24" fillId="5" borderId="0" xfId="15" applyFont="1" applyFill="1" applyAlignment="1">
      <alignment wrapText="1"/>
    </xf>
    <xf numFmtId="10" fontId="24" fillId="0" borderId="9" xfId="13" applyNumberFormat="1" applyFont="1" applyFill="1" applyBorder="1" applyAlignment="1">
      <alignment horizontal="center" vertical="center" wrapText="1"/>
    </xf>
    <xf numFmtId="3" fontId="24" fillId="0" borderId="9" xfId="15" applyNumberFormat="1" applyFont="1" applyBorder="1" applyAlignment="1">
      <alignment horizontal="left" vertical="center" wrapText="1"/>
    </xf>
    <xf numFmtId="9" fontId="24" fillId="0" borderId="9" xfId="13" applyNumberFormat="1" applyFont="1" applyFill="1" applyBorder="1" applyAlignment="1">
      <alignment horizontal="left" vertical="center" wrapText="1"/>
    </xf>
    <xf numFmtId="9" fontId="24" fillId="0" borderId="9" xfId="13" applyNumberFormat="1" applyFont="1" applyFill="1" applyBorder="1" applyAlignment="1">
      <alignment horizontal="center" vertical="center" wrapText="1"/>
    </xf>
    <xf numFmtId="0" fontId="24" fillId="0" borderId="9" xfId="15" applyFont="1" applyFill="1" applyBorder="1" applyAlignment="1">
      <alignment vertical="center" wrapText="1"/>
    </xf>
    <xf numFmtId="0" fontId="24" fillId="0" borderId="0" xfId="15" applyFont="1" applyAlignment="1">
      <alignment horizontal="left" wrapText="1"/>
    </xf>
    <xf numFmtId="0" fontId="24" fillId="0" borderId="0" xfId="15" applyFont="1" applyAlignment="1">
      <alignment wrapText="1"/>
    </xf>
    <xf numFmtId="0" fontId="24" fillId="0" borderId="0" xfId="15" applyFont="1" applyFill="1"/>
    <xf numFmtId="187" fontId="24" fillId="0" borderId="9" xfId="1" applyNumberFormat="1" applyFont="1" applyBorder="1" applyAlignment="1">
      <alignment horizontal="center"/>
    </xf>
    <xf numFmtId="170" fontId="24" fillId="0" borderId="9" xfId="15" applyNumberFormat="1" applyFont="1" applyBorder="1" applyAlignment="1">
      <alignment horizontal="center"/>
    </xf>
    <xf numFmtId="0" fontId="24" fillId="0" borderId="9" xfId="15" applyFont="1" applyFill="1" applyBorder="1" applyAlignment="1">
      <alignment horizontal="center" wrapText="1"/>
    </xf>
    <xf numFmtId="2" fontId="24" fillId="0" borderId="9" xfId="15" applyNumberFormat="1" applyFont="1" applyFill="1" applyBorder="1" applyAlignment="1">
      <alignment horizontal="center" wrapText="1"/>
    </xf>
    <xf numFmtId="165" fontId="24" fillId="0" borderId="9" xfId="1" applyNumberFormat="1" applyFont="1" applyBorder="1" applyAlignment="1">
      <alignment horizontal="center"/>
    </xf>
    <xf numFmtId="1" fontId="24" fillId="0" borderId="9" xfId="15" applyNumberFormat="1" applyFont="1" applyFill="1" applyBorder="1" applyAlignment="1">
      <alignment horizontal="center"/>
    </xf>
    <xf numFmtId="44" fontId="24" fillId="0" borderId="9" xfId="2" applyFont="1" applyBorder="1" applyAlignment="1">
      <alignment horizontal="center"/>
    </xf>
    <xf numFmtId="0" fontId="24" fillId="0" borderId="27" xfId="15" applyFont="1" applyBorder="1" applyAlignment="1">
      <alignment horizontal="left"/>
    </xf>
    <xf numFmtId="39" fontId="43" fillId="0" borderId="0" xfId="1" applyNumberFormat="1" applyFont="1" applyAlignment="1">
      <alignment horizontal="left"/>
    </xf>
    <xf numFmtId="0" fontId="40" fillId="0" borderId="0" xfId="13" applyFont="1" applyFill="1" applyBorder="1"/>
    <xf numFmtId="0" fontId="24" fillId="0" borderId="0" xfId="13" applyFont="1" applyBorder="1" applyAlignment="1">
      <alignment horizontal="center"/>
    </xf>
    <xf numFmtId="170" fontId="24" fillId="0" borderId="0" xfId="13" applyNumberFormat="1" applyFont="1" applyFill="1" applyBorder="1" applyAlignment="1">
      <alignment horizontal="center"/>
    </xf>
    <xf numFmtId="0" fontId="43" fillId="0" borderId="9" xfId="15" applyFont="1" applyFill="1" applyBorder="1" applyAlignment="1">
      <alignment horizontal="center"/>
    </xf>
    <xf numFmtId="180" fontId="43" fillId="0" borderId="9" xfId="1" applyNumberFormat="1" applyFont="1" applyFill="1" applyBorder="1" applyAlignment="1">
      <alignment horizontal="center" wrapText="1"/>
    </xf>
    <xf numFmtId="180" fontId="43" fillId="0" borderId="9" xfId="15" applyNumberFormat="1" applyFont="1" applyFill="1" applyBorder="1" applyAlignment="1">
      <alignment horizontal="center"/>
    </xf>
    <xf numFmtId="0" fontId="43" fillId="5" borderId="0" xfId="15" applyFont="1" applyFill="1" applyBorder="1" applyAlignment="1">
      <alignment horizontal="left"/>
    </xf>
    <xf numFmtId="39" fontId="43" fillId="5" borderId="0" xfId="1" applyNumberFormat="1" applyFont="1" applyFill="1" applyAlignment="1">
      <alignment horizontal="center" wrapText="1"/>
    </xf>
    <xf numFmtId="0" fontId="43" fillId="5" borderId="0" xfId="15" applyFont="1" applyFill="1" applyBorder="1" applyAlignment="1">
      <alignment horizontal="center"/>
    </xf>
    <xf numFmtId="166" fontId="43" fillId="5" borderId="0" xfId="15" applyNumberFormat="1" applyFont="1" applyFill="1" applyBorder="1"/>
    <xf numFmtId="170" fontId="43" fillId="5" borderId="0" xfId="15" applyNumberFormat="1" applyFont="1" applyFill="1" applyBorder="1"/>
    <xf numFmtId="0" fontId="43" fillId="5" borderId="0" xfId="15" applyFont="1" applyFill="1" applyBorder="1"/>
    <xf numFmtId="0" fontId="43" fillId="5" borderId="0" xfId="15" applyFont="1" applyFill="1" applyAlignment="1">
      <alignment horizontal="center"/>
    </xf>
    <xf numFmtId="166" fontId="43" fillId="5" borderId="0" xfId="15" applyNumberFormat="1" applyFont="1" applyFill="1"/>
    <xf numFmtId="0" fontId="43" fillId="5" borderId="59" xfId="15" applyFont="1" applyFill="1" applyBorder="1" applyAlignment="1">
      <alignment horizontal="left"/>
    </xf>
    <xf numFmtId="0" fontId="43" fillId="5" borderId="60" xfId="15" applyFont="1" applyFill="1" applyBorder="1" applyAlignment="1">
      <alignment horizontal="left"/>
    </xf>
    <xf numFmtId="0" fontId="43" fillId="5" borderId="60" xfId="15" applyFont="1" applyFill="1" applyBorder="1"/>
    <xf numFmtId="0" fontId="43" fillId="5" borderId="62" xfId="15" applyFont="1" applyFill="1" applyBorder="1" applyAlignment="1">
      <alignment horizontal="left"/>
    </xf>
    <xf numFmtId="0" fontId="43" fillId="5" borderId="63" xfId="15" applyFont="1" applyFill="1" applyBorder="1" applyAlignment="1">
      <alignment horizontal="left"/>
    </xf>
    <xf numFmtId="0" fontId="43" fillId="5" borderId="63" xfId="15" applyFont="1" applyFill="1" applyBorder="1"/>
    <xf numFmtId="0" fontId="43" fillId="0" borderId="67" xfId="15" applyFont="1" applyBorder="1" applyAlignment="1">
      <alignment horizontal="left"/>
    </xf>
    <xf numFmtId="0" fontId="43" fillId="0" borderId="67" xfId="15" applyFont="1" applyBorder="1"/>
    <xf numFmtId="0" fontId="43" fillId="0" borderId="0" xfId="15" applyFont="1" applyBorder="1" applyAlignment="1">
      <alignment horizontal="left"/>
    </xf>
    <xf numFmtId="183" fontId="24" fillId="0" borderId="9" xfId="0" applyNumberFormat="1" applyFont="1" applyFill="1" applyBorder="1" applyAlignment="1">
      <alignment horizontal="center" vertical="center" wrapText="1"/>
    </xf>
    <xf numFmtId="0" fontId="43" fillId="0" borderId="9" xfId="15" applyFont="1" applyBorder="1" applyAlignment="1">
      <alignment horizontal="left" vertical="center" wrapText="1"/>
    </xf>
    <xf numFmtId="0" fontId="43" fillId="0" borderId="9" xfId="15" applyFont="1" applyBorder="1" applyAlignment="1">
      <alignment horizontal="left" vertical="center"/>
    </xf>
    <xf numFmtId="9" fontId="24" fillId="0" borderId="9" xfId="3" applyFont="1" applyBorder="1" applyAlignment="1">
      <alignment horizontal="center" wrapText="1"/>
    </xf>
    <xf numFmtId="0" fontId="43" fillId="0" borderId="59" xfId="15" applyFont="1" applyBorder="1"/>
    <xf numFmtId="0" fontId="43" fillId="0" borderId="68" xfId="15" applyFont="1" applyBorder="1" applyAlignment="1">
      <alignment horizontal="center"/>
    </xf>
    <xf numFmtId="43" fontId="24" fillId="0" borderId="9" xfId="1" applyFont="1" applyFill="1" applyBorder="1" applyAlignment="1">
      <alignment horizontal="center" vertical="center" wrapText="1"/>
    </xf>
    <xf numFmtId="170" fontId="24" fillId="0" borderId="9" xfId="15" applyNumberFormat="1" applyFont="1" applyFill="1" applyBorder="1" applyAlignment="1">
      <alignment horizontal="center"/>
    </xf>
    <xf numFmtId="43" fontId="24" fillId="0" borderId="0" xfId="1" applyFont="1" applyFill="1" applyBorder="1" applyAlignment="1">
      <alignment horizontal="center" vertical="center" wrapText="1"/>
    </xf>
    <xf numFmtId="43" fontId="24" fillId="0" borderId="9" xfId="1" applyFont="1" applyFill="1" applyBorder="1" applyAlignment="1">
      <alignment horizontal="center" wrapText="1"/>
    </xf>
    <xf numFmtId="0" fontId="43" fillId="0" borderId="0" xfId="15" applyFont="1" applyFill="1" applyBorder="1"/>
    <xf numFmtId="1" fontId="43" fillId="5" borderId="0" xfId="15" applyNumberFormat="1" applyFont="1" applyFill="1"/>
    <xf numFmtId="170" fontId="43" fillId="5" borderId="0" xfId="15" applyNumberFormat="1" applyFont="1" applyFill="1"/>
    <xf numFmtId="170" fontId="43" fillId="0" borderId="0" xfId="15" applyNumberFormat="1" applyFont="1"/>
    <xf numFmtId="0" fontId="43" fillId="5" borderId="61" xfId="15" applyFont="1" applyFill="1" applyBorder="1"/>
    <xf numFmtId="0" fontId="43" fillId="5" borderId="64" xfId="15" applyFont="1" applyFill="1" applyBorder="1"/>
    <xf numFmtId="169" fontId="24" fillId="0" borderId="9" xfId="2" applyNumberFormat="1" applyFont="1" applyFill="1" applyBorder="1" applyAlignment="1">
      <alignment horizontal="center" vertical="center" wrapText="1"/>
    </xf>
    <xf numFmtId="0" fontId="43" fillId="0" borderId="9" xfId="0" applyFont="1" applyBorder="1" applyAlignment="1">
      <alignment horizontal="left" vertical="center"/>
    </xf>
    <xf numFmtId="0" fontId="43" fillId="5" borderId="9" xfId="15" applyFont="1" applyFill="1" applyBorder="1" applyAlignment="1">
      <alignment horizontal="left" vertical="center" wrapText="1"/>
    </xf>
    <xf numFmtId="0" fontId="43" fillId="5" borderId="9" xfId="15" applyFont="1" applyFill="1" applyBorder="1" applyAlignment="1">
      <alignment horizontal="left" vertical="center"/>
    </xf>
    <xf numFmtId="3" fontId="43" fillId="0" borderId="9" xfId="0" applyNumberFormat="1" applyFont="1" applyBorder="1" applyAlignment="1">
      <alignment horizontal="left" vertical="center"/>
    </xf>
    <xf numFmtId="169" fontId="24" fillId="5" borderId="9" xfId="1" applyNumberFormat="1" applyFont="1" applyFill="1" applyBorder="1" applyAlignment="1">
      <alignment horizontal="center" vertical="center" wrapText="1"/>
    </xf>
    <xf numFmtId="7" fontId="24" fillId="5" borderId="9" xfId="2" applyNumberFormat="1" applyFont="1" applyFill="1" applyBorder="1" applyAlignment="1">
      <alignment horizontal="center" wrapText="1"/>
    </xf>
    <xf numFmtId="2" fontId="24" fillId="0" borderId="9" xfId="2" applyNumberFormat="1" applyFont="1" applyBorder="1" applyAlignment="1">
      <alignment horizontal="center"/>
    </xf>
    <xf numFmtId="0" fontId="43" fillId="0" borderId="0" xfId="15" applyFont="1" applyBorder="1" applyAlignment="1">
      <alignment horizontal="center" vertical="center"/>
    </xf>
    <xf numFmtId="0" fontId="24" fillId="0" borderId="9" xfId="15" applyFont="1" applyBorder="1" applyAlignment="1"/>
    <xf numFmtId="180" fontId="24" fillId="5" borderId="9" xfId="3" applyNumberFormat="1" applyFont="1" applyFill="1" applyBorder="1" applyAlignment="1">
      <alignment horizontal="center"/>
    </xf>
    <xf numFmtId="187" fontId="43" fillId="5" borderId="9" xfId="1" applyNumberFormat="1" applyFont="1" applyFill="1" applyBorder="1" applyAlignment="1">
      <alignment horizontal="center"/>
    </xf>
    <xf numFmtId="0" fontId="44" fillId="0" borderId="0" xfId="15" applyFont="1" applyBorder="1" applyAlignment="1">
      <alignment horizontal="left" vertical="center"/>
    </xf>
    <xf numFmtId="9" fontId="43" fillId="0" borderId="0" xfId="3" applyFont="1" applyBorder="1" applyAlignment="1">
      <alignment horizontal="center"/>
    </xf>
    <xf numFmtId="0" fontId="43" fillId="0" borderId="0" xfId="15" applyFont="1" applyBorder="1" applyAlignment="1">
      <alignment wrapText="1"/>
    </xf>
    <xf numFmtId="0" fontId="103" fillId="5" borderId="0" xfId="15" applyFont="1" applyFill="1"/>
    <xf numFmtId="39" fontId="24" fillId="0" borderId="16" xfId="1" applyNumberFormat="1" applyFont="1" applyBorder="1" applyAlignment="1">
      <alignment horizontal="center" wrapText="1"/>
    </xf>
    <xf numFmtId="170" fontId="43" fillId="0" borderId="9" xfId="15" applyNumberFormat="1" applyFont="1" applyBorder="1" applyAlignment="1">
      <alignment horizontal="center"/>
    </xf>
    <xf numFmtId="187" fontId="43" fillId="0" borderId="16" xfId="1" applyNumberFormat="1" applyFont="1" applyFill="1" applyBorder="1" applyAlignment="1">
      <alignment horizontal="center" wrapText="1"/>
    </xf>
    <xf numFmtId="37" fontId="43" fillId="0" borderId="16" xfId="1" applyNumberFormat="1" applyFont="1" applyFill="1" applyBorder="1" applyAlignment="1">
      <alignment horizontal="center" wrapText="1"/>
    </xf>
    <xf numFmtId="0" fontId="43" fillId="0" borderId="9" xfId="15" applyFont="1" applyBorder="1" applyAlignment="1">
      <alignment horizontal="left"/>
    </xf>
    <xf numFmtId="169" fontId="43" fillId="0" borderId="9" xfId="1" applyNumberFormat="1" applyFont="1" applyBorder="1" applyAlignment="1">
      <alignment horizontal="center" wrapText="1"/>
    </xf>
    <xf numFmtId="180" fontId="43" fillId="0" borderId="9" xfId="15" applyNumberFormat="1" applyFont="1" applyBorder="1" applyAlignment="1">
      <alignment horizontal="center"/>
    </xf>
    <xf numFmtId="39" fontId="43" fillId="0" borderId="0" xfId="1" applyNumberFormat="1" applyFont="1" applyBorder="1" applyAlignment="1">
      <alignment horizontal="center" wrapText="1"/>
    </xf>
    <xf numFmtId="166" fontId="43" fillId="0" borderId="0" xfId="15" applyNumberFormat="1" applyFont="1" applyBorder="1"/>
    <xf numFmtId="170" fontId="43" fillId="0" borderId="0" xfId="15" applyNumberFormat="1" applyFont="1" applyBorder="1"/>
    <xf numFmtId="39" fontId="43" fillId="0" borderId="0" xfId="1" applyNumberFormat="1" applyFont="1" applyAlignment="1">
      <alignment horizontal="center" wrapText="1"/>
    </xf>
    <xf numFmtId="166" fontId="43" fillId="0" borderId="0" xfId="15" applyNumberFormat="1" applyFont="1"/>
    <xf numFmtId="0" fontId="24" fillId="0" borderId="9" xfId="15" applyFont="1" applyBorder="1" applyAlignment="1">
      <alignment horizontal="left" vertical="center"/>
    </xf>
    <xf numFmtId="171" fontId="43" fillId="0" borderId="9" xfId="15" applyNumberFormat="1" applyFont="1" applyBorder="1" applyAlignment="1">
      <alignment horizontal="center"/>
    </xf>
    <xf numFmtId="1" fontId="43" fillId="0" borderId="0" xfId="15" applyNumberFormat="1" applyFont="1"/>
    <xf numFmtId="37" fontId="24" fillId="0" borderId="16" xfId="1" applyNumberFormat="1" applyFont="1" applyBorder="1" applyAlignment="1">
      <alignment horizontal="center" wrapText="1"/>
    </xf>
    <xf numFmtId="187" fontId="24" fillId="0" borderId="16" xfId="1" applyNumberFormat="1" applyFont="1" applyBorder="1" applyAlignment="1">
      <alignment horizontal="center" wrapText="1"/>
    </xf>
    <xf numFmtId="0" fontId="24" fillId="0" borderId="0" xfId="0" applyFont="1" applyFill="1" applyBorder="1" applyAlignment="1">
      <alignment horizontal="left" vertical="center" wrapText="1"/>
    </xf>
    <xf numFmtId="0" fontId="43" fillId="0" borderId="0" xfId="15" applyFont="1" applyBorder="1" applyAlignment="1">
      <alignment horizontal="left" vertical="center" wrapText="1"/>
    </xf>
    <xf numFmtId="187" fontId="43" fillId="0" borderId="0" xfId="1" applyNumberFormat="1" applyFont="1" applyBorder="1" applyAlignment="1">
      <alignment horizontal="center" wrapText="1"/>
    </xf>
    <xf numFmtId="185" fontId="24" fillId="5" borderId="9" xfId="1" applyNumberFormat="1" applyFont="1" applyFill="1" applyBorder="1" applyAlignment="1">
      <alignment horizontal="center"/>
    </xf>
    <xf numFmtId="165" fontId="24" fillId="0" borderId="0" xfId="0" applyNumberFormat="1" applyFont="1" applyBorder="1" applyAlignment="1">
      <alignment horizontal="center" vertical="center" wrapText="1"/>
    </xf>
    <xf numFmtId="185" fontId="24" fillId="0" borderId="0" xfId="1" applyNumberFormat="1" applyFont="1" applyBorder="1" applyAlignment="1">
      <alignment horizontal="center"/>
    </xf>
    <xf numFmtId="170" fontId="24" fillId="0" borderId="0" xfId="0" applyNumberFormat="1" applyFont="1" applyBorder="1" applyAlignment="1">
      <alignment horizontal="center" vertical="center" wrapText="1"/>
    </xf>
    <xf numFmtId="165" fontId="24" fillId="0" borderId="0" xfId="0" applyNumberFormat="1" applyFont="1" applyFill="1" applyBorder="1" applyAlignment="1">
      <alignment horizontal="center" vertical="center" wrapText="1"/>
    </xf>
    <xf numFmtId="171" fontId="43" fillId="0" borderId="0" xfId="2" applyNumberFormat="1" applyFont="1" applyBorder="1" applyAlignment="1">
      <alignment horizontal="center"/>
    </xf>
    <xf numFmtId="171" fontId="43" fillId="0" borderId="0" xfId="2" applyNumberFormat="1" applyFont="1" applyBorder="1"/>
    <xf numFmtId="180" fontId="24" fillId="0" borderId="0" xfId="0" applyNumberFormat="1" applyFont="1" applyBorder="1" applyAlignment="1">
      <alignment horizontal="center" vertical="center" wrapText="1"/>
    </xf>
    <xf numFmtId="1" fontId="24" fillId="0" borderId="0" xfId="0" applyNumberFormat="1" applyFont="1" applyBorder="1" applyAlignment="1">
      <alignment horizontal="center" vertical="center" wrapText="1"/>
    </xf>
    <xf numFmtId="1" fontId="24" fillId="0" borderId="0" xfId="0" applyNumberFormat="1" applyFont="1" applyFill="1" applyBorder="1" applyAlignment="1">
      <alignment horizontal="center" vertical="center" wrapText="1"/>
    </xf>
    <xf numFmtId="44" fontId="43" fillId="0" borderId="0" xfId="2" applyFont="1" applyBorder="1"/>
    <xf numFmtId="166" fontId="24" fillId="5" borderId="0" xfId="0" applyNumberFormat="1" applyFont="1" applyFill="1" applyBorder="1" applyAlignment="1">
      <alignment horizontal="center" vertical="center" wrapText="1"/>
    </xf>
    <xf numFmtId="0" fontId="24" fillId="0" borderId="58" xfId="0" applyFont="1" applyBorder="1" applyAlignment="1">
      <alignment horizontal="center"/>
    </xf>
    <xf numFmtId="2" fontId="24" fillId="0" borderId="9" xfId="0" applyNumberFormat="1" applyFont="1" applyFill="1" applyBorder="1" applyAlignment="1">
      <alignment horizontal="center"/>
    </xf>
    <xf numFmtId="168" fontId="24" fillId="0" borderId="9" xfId="6" applyNumberFormat="1" applyFont="1" applyBorder="1" applyAlignment="1">
      <alignment horizontal="left" vertical="center"/>
    </xf>
    <xf numFmtId="0" fontId="24" fillId="5" borderId="19" xfId="0" applyFont="1" applyFill="1" applyBorder="1" applyAlignment="1">
      <alignment horizontal="center"/>
    </xf>
    <xf numFmtId="2" fontId="24" fillId="0" borderId="4" xfId="0" applyNumberFormat="1" applyFont="1" applyFill="1" applyBorder="1" applyAlignment="1">
      <alignment horizontal="center"/>
    </xf>
    <xf numFmtId="10" fontId="24" fillId="0" borderId="27" xfId="8" applyNumberFormat="1" applyFont="1" applyFill="1" applyBorder="1" applyAlignment="1">
      <alignment horizontal="center" vertical="center" wrapText="1"/>
    </xf>
    <xf numFmtId="10" fontId="24" fillId="0" borderId="9" xfId="8" applyNumberFormat="1" applyFont="1" applyBorder="1" applyAlignment="1">
      <alignment horizontal="center" vertical="center" wrapText="1"/>
    </xf>
    <xf numFmtId="39" fontId="24" fillId="0" borderId="9" xfId="6" applyNumberFormat="1" applyFont="1" applyBorder="1" applyAlignment="1">
      <alignment horizontal="center"/>
    </xf>
    <xf numFmtId="195" fontId="24" fillId="0" borderId="9" xfId="6" applyNumberFormat="1" applyFont="1" applyBorder="1" applyAlignment="1">
      <alignment horizontal="center"/>
    </xf>
    <xf numFmtId="169" fontId="24" fillId="0" borderId="9" xfId="6" applyNumberFormat="1" applyFont="1" applyBorder="1" applyAlignment="1">
      <alignment horizontal="center"/>
    </xf>
    <xf numFmtId="171" fontId="43" fillId="0" borderId="9" xfId="2" applyNumberFormat="1" applyFont="1" applyFill="1" applyBorder="1" applyAlignment="1">
      <alignment horizontal="center"/>
    </xf>
    <xf numFmtId="0" fontId="24" fillId="0" borderId="18" xfId="0" applyFont="1" applyFill="1" applyBorder="1" applyAlignment="1"/>
    <xf numFmtId="168" fontId="24" fillId="0" borderId="0" xfId="6" applyNumberFormat="1" applyFont="1" applyAlignment="1">
      <alignment horizontal="left" vertical="center"/>
    </xf>
    <xf numFmtId="195" fontId="24" fillId="0" borderId="0" xfId="6" applyNumberFormat="1" applyFont="1" applyAlignment="1">
      <alignment horizontal="center"/>
    </xf>
    <xf numFmtId="168" fontId="24" fillId="0" borderId="0" xfId="6" applyNumberFormat="1" applyFont="1" applyAlignment="1">
      <alignment horizontal="left" vertical="center" wrapText="1"/>
    </xf>
    <xf numFmtId="0" fontId="43" fillId="0" borderId="0" xfId="15" applyFont="1" applyAlignment="1">
      <alignment vertical="center"/>
    </xf>
    <xf numFmtId="180" fontId="24" fillId="5" borderId="0" xfId="0" applyNumberFormat="1" applyFont="1" applyFill="1" applyBorder="1" applyAlignment="1">
      <alignment horizontal="center" vertical="center" wrapText="1"/>
    </xf>
    <xf numFmtId="1" fontId="24" fillId="5" borderId="0" xfId="0" applyNumberFormat="1" applyFont="1" applyFill="1" applyBorder="1" applyAlignment="1">
      <alignment horizontal="center" vertical="center" wrapText="1"/>
    </xf>
    <xf numFmtId="9" fontId="24" fillId="0" borderId="0" xfId="3" applyNumberFormat="1" applyFont="1" applyFill="1" applyAlignment="1">
      <alignment horizontal="center"/>
    </xf>
    <xf numFmtId="9" fontId="24" fillId="0" borderId="9" xfId="3" applyNumberFormat="1" applyFont="1" applyFill="1" applyBorder="1" applyAlignment="1">
      <alignment horizontal="center" vertical="center" wrapText="1"/>
    </xf>
    <xf numFmtId="0" fontId="24" fillId="0" borderId="28" xfId="0" applyFont="1" applyBorder="1" applyAlignment="1">
      <alignment horizontal="left" vertical="center"/>
    </xf>
    <xf numFmtId="0" fontId="24" fillId="0" borderId="28" xfId="0" applyFont="1" applyBorder="1" applyAlignment="1">
      <alignment vertical="center" wrapText="1"/>
    </xf>
    <xf numFmtId="165" fontId="43" fillId="5" borderId="9" xfId="1" applyNumberFormat="1" applyFont="1" applyFill="1" applyBorder="1" applyAlignment="1">
      <alignment horizontal="center"/>
    </xf>
    <xf numFmtId="0" fontId="43" fillId="0" borderId="9" xfId="15" applyFont="1" applyBorder="1" applyAlignment="1">
      <alignment horizontal="left" wrapText="1"/>
    </xf>
    <xf numFmtId="0" fontId="88" fillId="5" borderId="0" xfId="6" applyFont="1" applyFill="1" applyBorder="1" applyAlignment="1">
      <alignment vertical="center" wrapText="1"/>
    </xf>
    <xf numFmtId="0" fontId="93" fillId="5" borderId="0" xfId="0" applyFont="1" applyFill="1" applyBorder="1" applyAlignment="1">
      <alignment vertical="center" wrapText="1"/>
    </xf>
    <xf numFmtId="0" fontId="24" fillId="0" borderId="0" xfId="0" applyFont="1" applyBorder="1" applyAlignment="1">
      <alignment vertical="center" wrapText="1"/>
    </xf>
    <xf numFmtId="0" fontId="40" fillId="5" borderId="9" xfId="13" applyFont="1" applyFill="1" applyBorder="1" applyAlignment="1">
      <alignment horizontal="center"/>
    </xf>
    <xf numFmtId="0" fontId="24" fillId="0" borderId="9" xfId="13" applyFont="1" applyBorder="1" applyAlignment="1">
      <alignment horizontal="left"/>
    </xf>
    <xf numFmtId="165" fontId="65" fillId="0" borderId="19" xfId="15" applyNumberFormat="1" applyFont="1" applyFill="1" applyBorder="1" applyAlignment="1">
      <alignment horizontal="left" vertical="center"/>
    </xf>
    <xf numFmtId="165" fontId="65" fillId="0" borderId="9" xfId="15" applyNumberFormat="1" applyFont="1" applyBorder="1" applyAlignment="1">
      <alignment horizontal="left" vertical="center"/>
    </xf>
    <xf numFmtId="169" fontId="43" fillId="5" borderId="9" xfId="1" applyNumberFormat="1" applyFont="1" applyFill="1" applyBorder="1" applyAlignment="1">
      <alignment horizontal="center"/>
    </xf>
    <xf numFmtId="170" fontId="43" fillId="5" borderId="9" xfId="2" applyNumberFormat="1" applyFont="1" applyFill="1" applyBorder="1" applyAlignment="1">
      <alignment horizontal="center"/>
    </xf>
    <xf numFmtId="39" fontId="43" fillId="5" borderId="0" xfId="1" applyNumberFormat="1" applyFont="1" applyFill="1" applyBorder="1" applyAlignment="1">
      <alignment horizontal="center"/>
    </xf>
    <xf numFmtId="2" fontId="43" fillId="5" borderId="0" xfId="15" applyNumberFormat="1" applyFont="1" applyFill="1" applyBorder="1" applyAlignment="1">
      <alignment horizontal="center"/>
    </xf>
    <xf numFmtId="2" fontId="43" fillId="5" borderId="0" xfId="15" applyNumberFormat="1" applyFont="1" applyFill="1" applyBorder="1"/>
    <xf numFmtId="1" fontId="43" fillId="0" borderId="0" xfId="15" applyNumberFormat="1" applyFont="1" applyBorder="1"/>
    <xf numFmtId="2" fontId="43" fillId="0" borderId="0" xfId="2" applyNumberFormat="1" applyFont="1" applyBorder="1"/>
    <xf numFmtId="39" fontId="24" fillId="5" borderId="0" xfId="1" applyNumberFormat="1" applyFont="1" applyFill="1" applyAlignment="1">
      <alignment horizontal="center"/>
    </xf>
    <xf numFmtId="0" fontId="44" fillId="0" borderId="9" xfId="15" applyFont="1" applyBorder="1" applyAlignment="1">
      <alignment horizontal="left" vertical="center"/>
    </xf>
    <xf numFmtId="0" fontId="24" fillId="5" borderId="19" xfId="15" applyFont="1" applyFill="1" applyBorder="1" applyAlignment="1">
      <alignment horizontal="left"/>
    </xf>
    <xf numFmtId="170" fontId="24" fillId="5" borderId="9" xfId="2" applyNumberFormat="1" applyFont="1" applyFill="1" applyBorder="1" applyAlignment="1">
      <alignment horizontal="center"/>
    </xf>
    <xf numFmtId="0" fontId="24" fillId="5" borderId="27" xfId="15" applyFont="1" applyFill="1" applyBorder="1" applyAlignment="1">
      <alignment horizontal="left"/>
    </xf>
    <xf numFmtId="39" fontId="43" fillId="5" borderId="0" xfId="1" applyNumberFormat="1" applyFont="1" applyFill="1" applyAlignment="1">
      <alignment horizontal="center"/>
    </xf>
    <xf numFmtId="173" fontId="43" fillId="5" borderId="9" xfId="3" applyNumberFormat="1" applyFont="1" applyFill="1" applyBorder="1" applyAlignment="1">
      <alignment horizontal="center"/>
    </xf>
    <xf numFmtId="0" fontId="43" fillId="5" borderId="9" xfId="15" applyFont="1" applyFill="1" applyBorder="1" applyAlignment="1">
      <alignment wrapText="1"/>
    </xf>
    <xf numFmtId="1" fontId="43" fillId="5" borderId="9" xfId="3" applyNumberFormat="1" applyFont="1" applyFill="1" applyBorder="1" applyAlignment="1">
      <alignment horizontal="center"/>
    </xf>
    <xf numFmtId="2" fontId="43" fillId="5" borderId="9" xfId="3" applyNumberFormat="1" applyFont="1" applyFill="1" applyBorder="1" applyAlignment="1">
      <alignment horizontal="center"/>
    </xf>
    <xf numFmtId="165" fontId="43" fillId="5" borderId="9" xfId="3" applyNumberFormat="1" applyFont="1" applyFill="1" applyBorder="1" applyAlignment="1">
      <alignment horizontal="center"/>
    </xf>
    <xf numFmtId="0" fontId="94" fillId="0" borderId="0" xfId="16" applyFont="1" applyFill="1"/>
    <xf numFmtId="196" fontId="24" fillId="5" borderId="0" xfId="1" applyNumberFormat="1" applyFont="1" applyFill="1" applyBorder="1" applyAlignment="1">
      <alignment horizontal="center"/>
    </xf>
    <xf numFmtId="10" fontId="24" fillId="5" borderId="9" xfId="8" applyNumberFormat="1" applyFont="1" applyFill="1" applyBorder="1" applyAlignment="1">
      <alignment horizontal="center" vertical="center" wrapText="1"/>
    </xf>
    <xf numFmtId="44" fontId="43" fillId="0" borderId="23" xfId="2" applyFont="1" applyBorder="1"/>
    <xf numFmtId="170" fontId="24" fillId="5" borderId="9" xfId="0" applyNumberFormat="1" applyFont="1" applyFill="1" applyBorder="1" applyAlignment="1">
      <alignment horizontal="left" vertical="center" wrapText="1"/>
    </xf>
    <xf numFmtId="0" fontId="24" fillId="0" borderId="0" xfId="0" applyFont="1" applyAlignment="1">
      <alignment horizontal="left" wrapText="1"/>
    </xf>
    <xf numFmtId="3" fontId="24" fillId="0" borderId="9" xfId="0" applyNumberFormat="1" applyFont="1" applyBorder="1" applyAlignment="1">
      <alignment horizontal="left" vertical="center" wrapText="1"/>
    </xf>
    <xf numFmtId="3" fontId="24" fillId="0" borderId="9" xfId="0" applyNumberFormat="1" applyFont="1" applyBorder="1" applyAlignment="1">
      <alignment horizontal="center" vertical="center" wrapText="1"/>
    </xf>
    <xf numFmtId="0" fontId="104" fillId="0" borderId="0" xfId="0" applyFont="1"/>
    <xf numFmtId="0" fontId="47" fillId="0" borderId="0" xfId="0" applyFont="1" applyAlignment="1">
      <alignment wrapText="1"/>
    </xf>
    <xf numFmtId="0" fontId="47" fillId="0" borderId="0" xfId="0" applyFont="1" applyAlignment="1">
      <alignment horizontal="center" wrapText="1"/>
    </xf>
    <xf numFmtId="3" fontId="24" fillId="0" borderId="0" xfId="0" applyNumberFormat="1" applyFont="1" applyFill="1" applyBorder="1" applyAlignment="1">
      <alignment horizontal="left" vertical="center" wrapText="1"/>
    </xf>
    <xf numFmtId="3" fontId="47" fillId="0" borderId="0" xfId="0" applyNumberFormat="1" applyFont="1" applyFill="1" applyBorder="1" applyAlignment="1">
      <alignment horizontal="left" vertical="center" wrapText="1"/>
    </xf>
    <xf numFmtId="0" fontId="100" fillId="0" borderId="0" xfId="0" applyFont="1" applyBorder="1" applyAlignment="1">
      <alignment horizontal="left" vertical="center" wrapText="1"/>
    </xf>
    <xf numFmtId="0" fontId="100" fillId="0" borderId="0" xfId="0" applyFont="1" applyBorder="1" applyAlignment="1">
      <alignment horizontal="center" vertical="center" wrapText="1"/>
    </xf>
    <xf numFmtId="165" fontId="100" fillId="0" borderId="0" xfId="0" applyNumberFormat="1" applyFont="1" applyBorder="1" applyAlignment="1">
      <alignment horizontal="center" vertical="center" wrapText="1"/>
    </xf>
    <xf numFmtId="166" fontId="100" fillId="0" borderId="0" xfId="0" applyNumberFormat="1" applyFont="1" applyBorder="1" applyAlignment="1">
      <alignment horizontal="center" vertical="center" wrapText="1"/>
    </xf>
    <xf numFmtId="180" fontId="100" fillId="0" borderId="0" xfId="0" applyNumberFormat="1" applyFont="1" applyBorder="1" applyAlignment="1">
      <alignment horizontal="center" vertical="center" wrapText="1"/>
    </xf>
    <xf numFmtId="0" fontId="24" fillId="0" borderId="0" xfId="0" applyFont="1" applyFill="1" applyBorder="1" applyAlignment="1">
      <alignment wrapText="1"/>
    </xf>
    <xf numFmtId="3" fontId="24" fillId="0" borderId="0" xfId="0" applyNumberFormat="1" applyFont="1" applyFill="1" applyBorder="1" applyAlignment="1">
      <alignment horizontal="center" vertical="center" wrapText="1"/>
    </xf>
    <xf numFmtId="9" fontId="24" fillId="0" borderId="0" xfId="3" applyFont="1" applyAlignment="1">
      <alignment horizontal="center"/>
    </xf>
    <xf numFmtId="170" fontId="24" fillId="0" borderId="9" xfId="0" applyNumberFormat="1" applyFont="1" applyBorder="1"/>
    <xf numFmtId="9" fontId="24" fillId="0" borderId="9" xfId="0" applyNumberFormat="1" applyFont="1" applyFill="1" applyBorder="1" applyAlignment="1">
      <alignment horizontal="left" vertical="center" wrapText="1"/>
    </xf>
    <xf numFmtId="0" fontId="47" fillId="0" borderId="0" xfId="0" applyFont="1" applyFill="1" applyBorder="1" applyAlignment="1">
      <alignment horizontal="left" vertical="center" wrapText="1"/>
    </xf>
    <xf numFmtId="9" fontId="47" fillId="0" borderId="0" xfId="0" applyNumberFormat="1" applyFont="1" applyFill="1" applyBorder="1" applyAlignment="1">
      <alignment horizontal="center" vertical="center" wrapText="1"/>
    </xf>
    <xf numFmtId="0" fontId="24" fillId="0" borderId="24" xfId="15" applyFont="1" applyFill="1" applyBorder="1" applyAlignment="1">
      <alignment wrapText="1"/>
    </xf>
    <xf numFmtId="0" fontId="24" fillId="0" borderId="0" xfId="15" applyFont="1" applyFill="1" applyBorder="1" applyAlignment="1">
      <alignment wrapText="1"/>
    </xf>
    <xf numFmtId="0" fontId="105" fillId="10" borderId="0" xfId="6" applyFont="1" applyFill="1"/>
    <xf numFmtId="0" fontId="44" fillId="0" borderId="19" xfId="15" applyFont="1" applyBorder="1" applyAlignment="1">
      <alignment horizontal="left" vertical="center"/>
    </xf>
    <xf numFmtId="165" fontId="106" fillId="0" borderId="9" xfId="15" applyNumberFormat="1" applyFont="1" applyBorder="1" applyAlignment="1">
      <alignment horizontal="left" vertical="center"/>
    </xf>
    <xf numFmtId="165" fontId="106" fillId="13" borderId="9" xfId="15" applyNumberFormat="1" applyFont="1" applyFill="1" applyBorder="1" applyAlignment="1">
      <alignment horizontal="left" vertical="center"/>
    </xf>
    <xf numFmtId="1" fontId="0" fillId="0" borderId="9" xfId="0" applyNumberFormat="1" applyFont="1" applyFill="1" applyBorder="1" applyAlignment="1">
      <alignment horizontal="center" vertical="center" wrapText="1"/>
    </xf>
    <xf numFmtId="1" fontId="0" fillId="0" borderId="9" xfId="0" applyNumberFormat="1" applyBorder="1" applyAlignment="1">
      <alignment wrapText="1"/>
    </xf>
    <xf numFmtId="37" fontId="0" fillId="0" borderId="0" xfId="0" applyNumberFormat="1"/>
    <xf numFmtId="1" fontId="39" fillId="5" borderId="9" xfId="15" applyNumberFormat="1" applyFill="1" applyBorder="1" applyAlignment="1">
      <alignment horizontal="center"/>
    </xf>
    <xf numFmtId="37" fontId="24" fillId="0" borderId="9" xfId="3" applyNumberFormat="1" applyFont="1" applyBorder="1" applyAlignment="1">
      <alignment horizontal="center"/>
    </xf>
    <xf numFmtId="37" fontId="24" fillId="0" borderId="9" xfId="15" applyNumberFormat="1" applyFont="1" applyBorder="1" applyAlignment="1">
      <alignment horizontal="center"/>
    </xf>
    <xf numFmtId="1" fontId="0" fillId="0" borderId="9" xfId="0" applyNumberFormat="1" applyBorder="1" applyAlignment="1">
      <alignment vertical="center" wrapText="1"/>
    </xf>
    <xf numFmtId="1" fontId="0" fillId="0" borderId="9" xfId="0" applyNumberFormat="1" applyBorder="1" applyAlignment="1">
      <alignment horizontal="center" vertical="center" wrapText="1"/>
    </xf>
    <xf numFmtId="37" fontId="0" fillId="0" borderId="9" xfId="13" applyNumberFormat="1" applyFont="1" applyBorder="1" applyAlignment="1">
      <alignment horizontal="center"/>
    </xf>
    <xf numFmtId="37" fontId="0" fillId="0" borderId="9" xfId="3" applyNumberFormat="1" applyFont="1" applyBorder="1" applyAlignment="1">
      <alignment horizontal="center"/>
    </xf>
    <xf numFmtId="1" fontId="0" fillId="0" borderId="9" xfId="0" applyNumberFormat="1" applyFont="1" applyBorder="1" applyAlignment="1">
      <alignment horizontal="center"/>
    </xf>
    <xf numFmtId="1" fontId="0" fillId="5" borderId="9" xfId="0" applyNumberFormat="1" applyFont="1" applyFill="1" applyBorder="1" applyAlignment="1">
      <alignment horizontal="center" vertical="center" wrapText="1"/>
    </xf>
    <xf numFmtId="37" fontId="6" fillId="13" borderId="0" xfId="0" applyNumberFormat="1" applyFont="1" applyFill="1"/>
    <xf numFmtId="37" fontId="0" fillId="0" borderId="9" xfId="1" applyNumberFormat="1" applyFont="1" applyBorder="1" applyAlignment="1">
      <alignment horizontal="center"/>
    </xf>
    <xf numFmtId="169" fontId="0" fillId="0" borderId="9" xfId="1" applyNumberFormat="1" applyFont="1" applyBorder="1" applyAlignment="1">
      <alignment horizontal="center"/>
    </xf>
    <xf numFmtId="1" fontId="0" fillId="0" borderId="9" xfId="13" applyNumberFormat="1" applyFont="1" applyFill="1" applyBorder="1" applyAlignment="1">
      <alignment horizontal="center" vertical="center" wrapText="1"/>
    </xf>
    <xf numFmtId="169" fontId="24" fillId="0" borderId="9" xfId="0" applyNumberFormat="1" applyFont="1" applyFill="1" applyBorder="1" applyAlignment="1">
      <alignment horizontal="center" vertical="center" wrapText="1"/>
    </xf>
    <xf numFmtId="2" fontId="0" fillId="0" borderId="9" xfId="0" applyNumberFormat="1" applyBorder="1" applyAlignment="1">
      <alignment wrapText="1"/>
    </xf>
    <xf numFmtId="37" fontId="0" fillId="5" borderId="9" xfId="1" applyNumberFormat="1" applyFont="1" applyFill="1" applyBorder="1" applyAlignment="1">
      <alignment horizontal="center"/>
    </xf>
    <xf numFmtId="1" fontId="0" fillId="5" borderId="9" xfId="1" applyNumberFormat="1" applyFont="1" applyFill="1" applyBorder="1" applyAlignment="1">
      <alignment horizontal="center"/>
    </xf>
    <xf numFmtId="0" fontId="4" fillId="5" borderId="0" xfId="0" applyFont="1" applyFill="1" applyAlignment="1">
      <alignment horizontal="center"/>
    </xf>
    <xf numFmtId="0" fontId="0" fillId="5" borderId="0" xfId="0" applyFill="1" applyAlignment="1"/>
    <xf numFmtId="0" fontId="8" fillId="0" borderId="0" xfId="0" applyFont="1" applyAlignment="1">
      <alignment horizontal="center" wrapText="1"/>
    </xf>
    <xf numFmtId="164" fontId="9" fillId="0" borderId="0" xfId="0" applyNumberFormat="1" applyFont="1" applyAlignment="1">
      <alignment horizontal="center" wrapText="1"/>
    </xf>
    <xf numFmtId="164" fontId="0" fillId="0" borderId="0" xfId="0" applyNumberFormat="1" applyAlignment="1">
      <alignment horizontal="center" wrapText="1"/>
    </xf>
    <xf numFmtId="0" fontId="10" fillId="6" borderId="2" xfId="0" applyFont="1" applyFill="1" applyBorder="1" applyAlignment="1">
      <alignment horizontal="center" vertical="center" wrapText="1"/>
    </xf>
    <xf numFmtId="0" fontId="0" fillId="6" borderId="6" xfId="0" applyFill="1" applyBorder="1" applyAlignment="1">
      <alignment wrapText="1"/>
    </xf>
    <xf numFmtId="0" fontId="0" fillId="6" borderId="7" xfId="0" applyFill="1" applyBorder="1" applyAlignment="1">
      <alignment horizontal="center" vertical="center" wrapText="1"/>
    </xf>
    <xf numFmtId="0" fontId="0" fillId="6" borderId="12" xfId="0" applyFill="1" applyBorder="1" applyAlignment="1">
      <alignment horizontal="center" vertical="center" wrapText="1"/>
    </xf>
    <xf numFmtId="0" fontId="10" fillId="6" borderId="3" xfId="0" applyFont="1" applyFill="1" applyBorder="1" applyAlignment="1">
      <alignment horizontal="center" vertical="center"/>
    </xf>
    <xf numFmtId="0" fontId="0" fillId="6" borderId="4" xfId="0" applyFill="1" applyBorder="1" applyAlignment="1">
      <alignment horizontal="center" vertical="center"/>
    </xf>
    <xf numFmtId="0" fontId="0" fillId="6" borderId="5" xfId="0" applyFill="1" applyBorder="1" applyAlignment="1">
      <alignment horizontal="center" vertical="center"/>
    </xf>
    <xf numFmtId="0" fontId="87" fillId="0" borderId="0" xfId="6" applyFont="1" applyFill="1" applyAlignment="1">
      <alignment horizontal="center" wrapText="1"/>
    </xf>
    <xf numFmtId="0" fontId="24" fillId="11" borderId="16" xfId="6" applyFont="1" applyFill="1" applyBorder="1" applyAlignment="1">
      <alignment horizontal="left"/>
    </xf>
    <xf numFmtId="0" fontId="24" fillId="11" borderId="17" xfId="6" applyFont="1" applyFill="1" applyBorder="1" applyAlignment="1">
      <alignment horizontal="left"/>
    </xf>
    <xf numFmtId="0" fontId="24" fillId="0" borderId="17" xfId="7" applyFont="1" applyBorder="1" applyAlignment="1"/>
    <xf numFmtId="0" fontId="24" fillId="0" borderId="17" xfId="0" applyFont="1" applyBorder="1" applyAlignment="1"/>
    <xf numFmtId="0" fontId="24" fillId="0" borderId="18" xfId="0" applyFont="1" applyBorder="1" applyAlignment="1"/>
    <xf numFmtId="0" fontId="40" fillId="0" borderId="0" xfId="6" applyFont="1" applyAlignment="1">
      <alignment horizontal="center" vertical="center" wrapText="1"/>
    </xf>
    <xf numFmtId="0" fontId="40" fillId="0" borderId="0" xfId="6" applyFont="1" applyAlignment="1">
      <alignment horizontal="center"/>
    </xf>
    <xf numFmtId="0" fontId="40" fillId="0" borderId="0" xfId="6" applyFont="1" applyBorder="1" applyAlignment="1">
      <alignment horizontal="center" vertical="center" wrapText="1"/>
    </xf>
    <xf numFmtId="0" fontId="59" fillId="7" borderId="0" xfId="0" applyFont="1" applyFill="1" applyAlignment="1">
      <alignment horizontal="center"/>
    </xf>
    <xf numFmtId="0" fontId="24" fillId="7" borderId="0" xfId="0" applyFont="1" applyFill="1" applyAlignment="1"/>
    <xf numFmtId="0" fontId="86" fillId="8" borderId="9" xfId="6" applyFont="1" applyFill="1" applyBorder="1" applyAlignment="1">
      <alignment horizontal="center" vertical="center" wrapText="1"/>
    </xf>
    <xf numFmtId="0" fontId="87" fillId="0" borderId="9" xfId="0" applyFont="1" applyBorder="1" applyAlignment="1">
      <alignment wrapText="1"/>
    </xf>
    <xf numFmtId="166" fontId="86" fillId="9" borderId="9" xfId="6" applyNumberFormat="1" applyFont="1" applyFill="1" applyBorder="1" applyAlignment="1">
      <alignment horizontal="center" vertical="center" wrapText="1"/>
    </xf>
    <xf numFmtId="0" fontId="88" fillId="0" borderId="0" xfId="6" applyFont="1" applyFill="1" applyBorder="1" applyAlignment="1">
      <alignment vertical="center" wrapText="1"/>
    </xf>
    <xf numFmtId="0" fontId="24" fillId="12" borderId="22" xfId="6" applyFont="1" applyFill="1" applyBorder="1" applyAlignment="1">
      <alignment horizontal="center" vertical="center" wrapText="1"/>
    </xf>
    <xf numFmtId="0" fontId="24" fillId="0" borderId="23" xfId="7" applyFont="1" applyBorder="1" applyAlignment="1">
      <alignment horizontal="center" vertical="center" wrapText="1"/>
    </xf>
    <xf numFmtId="0" fontId="24" fillId="12" borderId="25" xfId="6" applyFont="1" applyFill="1" applyBorder="1" applyAlignment="1">
      <alignment horizontal="center" vertical="center" wrapText="1"/>
    </xf>
    <xf numFmtId="0" fontId="24" fillId="0" borderId="26" xfId="7" applyFont="1" applyBorder="1" applyAlignment="1">
      <alignment horizontal="center" vertical="center" wrapText="1"/>
    </xf>
    <xf numFmtId="0" fontId="40" fillId="0" borderId="0" xfId="6" applyFont="1" applyBorder="1" applyAlignment="1">
      <alignment horizontal="left" vertical="top" wrapText="1"/>
    </xf>
    <xf numFmtId="168" fontId="24" fillId="5" borderId="9" xfId="6" applyNumberFormat="1" applyFont="1" applyFill="1" applyBorder="1" applyAlignment="1">
      <alignment horizontal="left" vertical="center" wrapText="1"/>
    </xf>
    <xf numFmtId="168" fontId="24" fillId="0" borderId="9" xfId="6" applyNumberFormat="1" applyFont="1" applyBorder="1" applyAlignment="1">
      <alignment horizontal="left" vertical="center" wrapText="1"/>
    </xf>
    <xf numFmtId="168" fontId="24" fillId="0" borderId="9" xfId="6" applyNumberFormat="1" applyFont="1" applyBorder="1" applyAlignment="1">
      <alignment horizontal="left" vertical="top" wrapText="1"/>
    </xf>
    <xf numFmtId="168" fontId="24" fillId="0" borderId="19" xfId="6" applyNumberFormat="1" applyFont="1" applyBorder="1" applyAlignment="1">
      <alignment horizontal="center" vertical="center"/>
    </xf>
    <xf numFmtId="168" fontId="24" fillId="0" borderId="24" xfId="6" applyNumberFormat="1" applyFont="1" applyBorder="1" applyAlignment="1">
      <alignment horizontal="center" vertical="center"/>
    </xf>
    <xf numFmtId="0" fontId="24" fillId="0" borderId="24" xfId="0" applyFont="1" applyBorder="1" applyAlignment="1">
      <alignment horizontal="center" vertical="center"/>
    </xf>
    <xf numFmtId="0" fontId="24" fillId="0" borderId="27" xfId="0" applyFont="1" applyBorder="1" applyAlignment="1">
      <alignment horizontal="center" vertical="center"/>
    </xf>
    <xf numFmtId="0" fontId="24" fillId="0" borderId="19" xfId="0" applyFont="1" applyBorder="1" applyAlignment="1">
      <alignment horizontal="center" vertical="center"/>
    </xf>
    <xf numFmtId="168" fontId="24" fillId="5" borderId="9" xfId="14" applyNumberFormat="1" applyFont="1" applyFill="1" applyBorder="1" applyAlignment="1">
      <alignment horizontal="left" vertical="center" wrapText="1"/>
    </xf>
    <xf numFmtId="168" fontId="0" fillId="0" borderId="19" xfId="6" applyNumberFormat="1" applyFont="1" applyBorder="1" applyAlignment="1">
      <alignment horizontal="center" vertical="center"/>
    </xf>
    <xf numFmtId="168" fontId="0" fillId="0" borderId="24" xfId="6" applyNumberFormat="1" applyFont="1"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xf>
    <xf numFmtId="2" fontId="24" fillId="0" borderId="16" xfId="0" applyNumberFormat="1" applyFont="1" applyBorder="1" applyAlignment="1"/>
    <xf numFmtId="0" fontId="24" fillId="11" borderId="16" xfId="0" applyFont="1" applyFill="1" applyBorder="1" applyAlignment="1">
      <alignment horizontal="left"/>
    </xf>
    <xf numFmtId="0" fontId="24" fillId="11" borderId="17" xfId="0" applyFont="1" applyFill="1" applyBorder="1" applyAlignment="1">
      <alignment horizontal="left"/>
    </xf>
    <xf numFmtId="0" fontId="0" fillId="0" borderId="17" xfId="0" applyBorder="1" applyAlignment="1"/>
    <xf numFmtId="0" fontId="0" fillId="0" borderId="18" xfId="0" applyBorder="1" applyAlignment="1"/>
    <xf numFmtId="0" fontId="24" fillId="12" borderId="9" xfId="6" applyFont="1" applyFill="1" applyBorder="1" applyAlignment="1">
      <alignment horizontal="center" vertical="center" wrapText="1"/>
    </xf>
    <xf numFmtId="0" fontId="24" fillId="0" borderId="0" xfId="0" applyFont="1" applyBorder="1" applyAlignment="1">
      <alignment wrapText="1"/>
    </xf>
    <xf numFmtId="0" fontId="34" fillId="7" borderId="0" xfId="6" applyFont="1" applyFill="1" applyAlignment="1">
      <alignment vertical="center"/>
    </xf>
    <xf numFmtId="0" fontId="35" fillId="0" borderId="0" xfId="0" applyFont="1" applyAlignment="1">
      <alignment vertical="center"/>
    </xf>
    <xf numFmtId="0" fontId="88" fillId="7" borderId="0" xfId="6" applyFont="1" applyFill="1" applyAlignment="1">
      <alignment vertical="center"/>
    </xf>
    <xf numFmtId="0" fontId="93" fillId="0" borderId="0" xfId="0" applyFont="1" applyAlignment="1">
      <alignment vertical="center"/>
    </xf>
    <xf numFmtId="0" fontId="93" fillId="0" borderId="0" xfId="0" applyFont="1" applyFill="1" applyBorder="1" applyAlignment="1">
      <alignment vertical="center" wrapText="1"/>
    </xf>
    <xf numFmtId="0" fontId="24" fillId="0" borderId="0" xfId="0" applyFont="1" applyFill="1" applyBorder="1" applyAlignment="1">
      <alignment vertical="center" wrapText="1"/>
    </xf>
    <xf numFmtId="171" fontId="57" fillId="0" borderId="16" xfId="0" applyNumberFormat="1" applyFont="1" applyFill="1" applyBorder="1" applyAlignment="1">
      <alignment horizontal="center" vertical="center" wrapText="1"/>
    </xf>
    <xf numFmtId="171" fontId="57" fillId="0" borderId="17" xfId="0" applyNumberFormat="1" applyFont="1" applyFill="1" applyBorder="1" applyAlignment="1">
      <alignment horizontal="center" vertical="center" wrapText="1"/>
    </xf>
    <xf numFmtId="171" fontId="57" fillId="0" borderId="18" xfId="0" applyNumberFormat="1" applyFont="1" applyFill="1" applyBorder="1" applyAlignment="1">
      <alignment horizontal="center" vertical="center" wrapText="1"/>
    </xf>
    <xf numFmtId="0" fontId="24" fillId="0" borderId="3"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13" xfId="0" applyFont="1" applyFill="1" applyBorder="1" applyAlignment="1">
      <alignment horizontal="left" vertical="center" wrapText="1"/>
    </xf>
    <xf numFmtId="0" fontId="24" fillId="0" borderId="4" xfId="7" applyFont="1" applyFill="1" applyBorder="1" applyAlignment="1">
      <alignment horizontal="left" vertical="center" wrapText="1"/>
    </xf>
    <xf numFmtId="0" fontId="24" fillId="0" borderId="9" xfId="7" applyFont="1" applyFill="1" applyBorder="1" applyAlignment="1">
      <alignment horizontal="left" vertical="center" wrapText="1"/>
    </xf>
    <xf numFmtId="0" fontId="24" fillId="0" borderId="14" xfId="7" applyFont="1" applyFill="1" applyBorder="1" applyAlignment="1">
      <alignment horizontal="left" vertical="center" wrapText="1"/>
    </xf>
    <xf numFmtId="165" fontId="57" fillId="0" borderId="16" xfId="0" applyNumberFormat="1" applyFont="1" applyFill="1" applyBorder="1" applyAlignment="1">
      <alignment horizontal="center" vertical="center" wrapText="1"/>
    </xf>
    <xf numFmtId="165" fontId="57" fillId="0" borderId="17" xfId="0" applyNumberFormat="1" applyFont="1" applyFill="1" applyBorder="1" applyAlignment="1">
      <alignment horizontal="center" vertical="center" wrapText="1"/>
    </xf>
    <xf numFmtId="165" fontId="57" fillId="0" borderId="18" xfId="0" applyNumberFormat="1" applyFont="1" applyFill="1" applyBorder="1" applyAlignment="1">
      <alignment horizontal="center" vertical="center" wrapText="1"/>
    </xf>
    <xf numFmtId="165" fontId="24" fillId="0" borderId="9" xfId="7" applyNumberFormat="1" applyFont="1" applyFill="1" applyBorder="1" applyAlignment="1">
      <alignment horizontal="left" vertical="center" wrapText="1"/>
    </xf>
    <xf numFmtId="0" fontId="24" fillId="0" borderId="9" xfId="0" applyFont="1" applyFill="1" applyBorder="1" applyAlignment="1">
      <alignment wrapText="1"/>
    </xf>
    <xf numFmtId="0" fontId="24" fillId="0" borderId="19" xfId="7" applyFont="1" applyFill="1" applyBorder="1" applyAlignment="1">
      <alignment horizontal="left" vertical="center" wrapText="1"/>
    </xf>
    <xf numFmtId="0" fontId="24" fillId="0" borderId="35" xfId="0" applyFont="1" applyFill="1" applyBorder="1" applyAlignment="1">
      <alignment horizontal="left" vertical="center" wrapText="1"/>
    </xf>
    <xf numFmtId="0" fontId="24" fillId="12" borderId="9" xfId="0" applyFont="1" applyFill="1" applyBorder="1" applyAlignment="1">
      <alignment horizontal="center" vertical="center" wrapText="1"/>
    </xf>
    <xf numFmtId="0" fontId="24" fillId="0" borderId="9" xfId="0" applyFont="1" applyBorder="1" applyAlignment="1">
      <alignment wrapText="1"/>
    </xf>
    <xf numFmtId="165" fontId="24" fillId="0" borderId="16" xfId="7" applyNumberFormat="1" applyFont="1" applyFill="1" applyBorder="1" applyAlignment="1">
      <alignment horizontal="left" vertical="center" wrapText="1"/>
    </xf>
    <xf numFmtId="165" fontId="24" fillId="0" borderId="18" xfId="7" applyNumberFormat="1" applyFont="1" applyFill="1" applyBorder="1" applyAlignment="1">
      <alignment horizontal="left" vertical="center" wrapText="1"/>
    </xf>
    <xf numFmtId="165" fontId="24" fillId="5" borderId="9" xfId="7" applyNumberFormat="1" applyFont="1" applyFill="1" applyBorder="1" applyAlignment="1">
      <alignment horizontal="left" vertical="center" wrapText="1"/>
    </xf>
    <xf numFmtId="0" fontId="44" fillId="0" borderId="19" xfId="15" applyFont="1" applyFill="1" applyBorder="1" applyAlignment="1">
      <alignment horizontal="left" vertical="center"/>
    </xf>
    <xf numFmtId="0" fontId="44" fillId="0" borderId="24" xfId="15" applyFont="1" applyFill="1" applyBorder="1" applyAlignment="1">
      <alignment horizontal="left" vertical="center"/>
    </xf>
    <xf numFmtId="0" fontId="44" fillId="0" borderId="27" xfId="15" applyFont="1" applyFill="1" applyBorder="1" applyAlignment="1">
      <alignment horizontal="left" vertical="center"/>
    </xf>
    <xf numFmtId="0" fontId="51" fillId="0" borderId="19" xfId="15" applyFont="1" applyBorder="1" applyAlignment="1">
      <alignment horizontal="left" vertical="center"/>
    </xf>
    <xf numFmtId="0" fontId="51" fillId="0" borderId="24" xfId="15" applyFont="1" applyBorder="1" applyAlignment="1">
      <alignment horizontal="left" vertical="center"/>
    </xf>
    <xf numFmtId="0" fontId="51" fillId="0" borderId="27" xfId="15" applyFont="1" applyBorder="1" applyAlignment="1">
      <alignment horizontal="left" vertical="center"/>
    </xf>
    <xf numFmtId="165" fontId="24" fillId="5" borderId="9" xfId="13" applyNumberFormat="1" applyFont="1" applyFill="1" applyBorder="1" applyAlignment="1">
      <alignment horizontal="left" vertical="center" wrapText="1"/>
    </xf>
    <xf numFmtId="165" fontId="24" fillId="5" borderId="19" xfId="13" applyNumberFormat="1" applyFont="1" applyFill="1" applyBorder="1" applyAlignment="1">
      <alignment vertical="center" wrapText="1"/>
    </xf>
    <xf numFmtId="0" fontId="24" fillId="0" borderId="24" xfId="0" applyFont="1" applyBorder="1" applyAlignment="1">
      <alignment vertical="center" wrapText="1"/>
    </xf>
    <xf numFmtId="0" fontId="24" fillId="0" borderId="27" xfId="0" applyFont="1" applyBorder="1" applyAlignment="1">
      <alignment vertical="center" wrapText="1"/>
    </xf>
    <xf numFmtId="0" fontId="0" fillId="5" borderId="19" xfId="13" applyFont="1" applyFill="1" applyBorder="1" applyAlignment="1">
      <alignment horizontal="left" vertical="center" wrapText="1"/>
    </xf>
    <xf numFmtId="0" fontId="0" fillId="5" borderId="24" xfId="13" applyFont="1" applyFill="1" applyBorder="1" applyAlignment="1">
      <alignment horizontal="left" vertical="center" wrapText="1"/>
    </xf>
    <xf numFmtId="0" fontId="0" fillId="5" borderId="27" xfId="13" applyFont="1" applyFill="1" applyBorder="1" applyAlignment="1">
      <alignment horizontal="left" vertical="center" wrapText="1"/>
    </xf>
    <xf numFmtId="165" fontId="24" fillId="5" borderId="14" xfId="13" applyNumberFormat="1" applyFont="1" applyFill="1" applyBorder="1" applyAlignment="1">
      <alignment horizontal="left" vertical="center" wrapText="1"/>
    </xf>
    <xf numFmtId="0" fontId="24" fillId="5" borderId="19" xfId="13" applyFont="1" applyFill="1" applyBorder="1" applyAlignment="1">
      <alignment horizontal="left" vertical="center" wrapText="1"/>
    </xf>
    <xf numFmtId="0" fontId="24" fillId="5" borderId="24" xfId="13" applyFont="1" applyFill="1" applyBorder="1" applyAlignment="1">
      <alignment horizontal="left" vertical="center" wrapText="1"/>
    </xf>
    <xf numFmtId="0" fontId="24" fillId="5" borderId="29" xfId="13" applyFont="1" applyFill="1" applyBorder="1" applyAlignment="1">
      <alignment horizontal="left" vertical="center" wrapText="1"/>
    </xf>
    <xf numFmtId="0" fontId="43" fillId="0" borderId="19" xfId="15" applyFont="1" applyFill="1" applyBorder="1" applyAlignment="1">
      <alignment vertical="center" wrapText="1"/>
    </xf>
    <xf numFmtId="165" fontId="24" fillId="5" borderId="27" xfId="13" applyNumberFormat="1" applyFont="1" applyFill="1" applyBorder="1" applyAlignment="1">
      <alignment horizontal="left" vertical="center" wrapText="1"/>
    </xf>
    <xf numFmtId="165" fontId="47" fillId="5" borderId="9" xfId="13" applyNumberFormat="1" applyFont="1" applyFill="1" applyBorder="1" applyAlignment="1">
      <alignment horizontal="left" vertical="center" wrapText="1"/>
    </xf>
    <xf numFmtId="0" fontId="24" fillId="12" borderId="16" xfId="0" applyFont="1" applyFill="1" applyBorder="1" applyAlignment="1">
      <alignment horizontal="center" vertical="center" wrapText="1"/>
    </xf>
    <xf numFmtId="0" fontId="24" fillId="12" borderId="18" xfId="0" applyFont="1" applyFill="1" applyBorder="1" applyAlignment="1">
      <alignment horizontal="center" vertical="center" wrapText="1"/>
    </xf>
    <xf numFmtId="165" fontId="24" fillId="0" borderId="9" xfId="15" applyNumberFormat="1" applyFont="1" applyFill="1" applyBorder="1" applyAlignment="1">
      <alignment horizontal="center"/>
    </xf>
    <xf numFmtId="0" fontId="24" fillId="0" borderId="9" xfId="0" applyFont="1" applyFill="1" applyBorder="1" applyAlignment="1"/>
    <xf numFmtId="7" fontId="24" fillId="0" borderId="9" xfId="2" applyNumberFormat="1" applyFont="1" applyFill="1" applyBorder="1" applyAlignment="1">
      <alignment horizontal="center"/>
    </xf>
    <xf numFmtId="0" fontId="24" fillId="0" borderId="9" xfId="0" applyFont="1" applyFill="1" applyBorder="1" applyAlignment="1">
      <alignment horizontal="left" vertical="center" wrapText="1"/>
    </xf>
    <xf numFmtId="0" fontId="24" fillId="12" borderId="17" xfId="0" applyFont="1" applyFill="1" applyBorder="1" applyAlignment="1">
      <alignment horizontal="center" vertical="center" wrapText="1"/>
    </xf>
    <xf numFmtId="0" fontId="24" fillId="5" borderId="9" xfId="0" applyFont="1" applyFill="1" applyBorder="1" applyAlignment="1">
      <alignment vertical="center" wrapText="1"/>
    </xf>
    <xf numFmtId="0" fontId="24" fillId="5" borderId="9" xfId="0" applyFont="1" applyFill="1" applyBorder="1" applyAlignment="1">
      <alignment horizontal="left" vertical="center" wrapText="1"/>
    </xf>
    <xf numFmtId="165" fontId="24" fillId="0" borderId="16" xfId="13" applyNumberFormat="1" applyFont="1" applyFill="1" applyBorder="1" applyAlignment="1">
      <alignment horizontal="left" vertical="center" wrapText="1"/>
    </xf>
    <xf numFmtId="165" fontId="24" fillId="0" borderId="18" xfId="13" applyNumberFormat="1" applyFont="1" applyFill="1" applyBorder="1" applyAlignment="1">
      <alignment horizontal="left" vertical="center" wrapText="1"/>
    </xf>
    <xf numFmtId="0" fontId="24" fillId="0" borderId="19" xfId="0" applyFont="1" applyFill="1" applyBorder="1" applyAlignment="1">
      <alignment horizontal="left" vertical="center"/>
    </xf>
    <xf numFmtId="0" fontId="24" fillId="0" borderId="24" xfId="0" applyFont="1" applyFill="1" applyBorder="1" applyAlignment="1">
      <alignment horizontal="left"/>
    </xf>
    <xf numFmtId="0" fontId="24" fillId="0" borderId="27" xfId="0" applyFont="1" applyFill="1" applyBorder="1" applyAlignment="1">
      <alignment horizontal="left"/>
    </xf>
    <xf numFmtId="0" fontId="24" fillId="0" borderId="24" xfId="0" applyFont="1" applyFill="1" applyBorder="1" applyAlignment="1">
      <alignment horizontal="left" vertical="center"/>
    </xf>
    <xf numFmtId="0" fontId="24" fillId="0" borderId="27" xfId="0" applyFont="1" applyFill="1" applyBorder="1" applyAlignment="1">
      <alignment horizontal="left" vertical="center"/>
    </xf>
    <xf numFmtId="0" fontId="0" fillId="0" borderId="19" xfId="0" applyFont="1" applyBorder="1" applyAlignment="1">
      <alignment horizontal="left" vertical="center"/>
    </xf>
    <xf numFmtId="0" fontId="0" fillId="0" borderId="24" xfId="0" applyBorder="1" applyAlignment="1">
      <alignment horizontal="left"/>
    </xf>
    <xf numFmtId="0" fontId="0" fillId="0" borderId="27" xfId="0" applyBorder="1" applyAlignment="1">
      <alignment horizontal="left"/>
    </xf>
    <xf numFmtId="3" fontId="24" fillId="0" borderId="16" xfId="0" applyNumberFormat="1" applyFont="1" applyFill="1" applyBorder="1" applyAlignment="1">
      <alignment horizontal="center" vertical="center" wrapText="1"/>
    </xf>
    <xf numFmtId="3" fontId="24" fillId="0" borderId="18" xfId="0" applyNumberFormat="1" applyFont="1" applyFill="1" applyBorder="1" applyAlignment="1">
      <alignment horizontal="center" vertical="center" wrapText="1"/>
    </xf>
    <xf numFmtId="0" fontId="44" fillId="0" borderId="9" xfId="15" applyFont="1" applyFill="1" applyBorder="1" applyAlignment="1">
      <alignment horizontal="left" vertical="center"/>
    </xf>
    <xf numFmtId="0" fontId="0" fillId="0" borderId="0" xfId="0" applyAlignment="1">
      <alignment vertical="center"/>
    </xf>
    <xf numFmtId="0" fontId="24" fillId="16" borderId="9" xfId="0" applyFont="1" applyFill="1" applyBorder="1" applyAlignment="1">
      <alignment vertical="top" wrapText="1"/>
    </xf>
    <xf numFmtId="0" fontId="24" fillId="16" borderId="14" xfId="0" applyFont="1" applyFill="1" applyBorder="1" applyAlignment="1">
      <alignment vertical="top" wrapText="1"/>
    </xf>
    <xf numFmtId="0" fontId="24" fillId="16" borderId="38" xfId="0" applyFont="1" applyFill="1" applyBorder="1" applyAlignment="1">
      <alignment horizontal="left" vertical="center" wrapText="1"/>
    </xf>
    <xf numFmtId="0" fontId="24" fillId="16" borderId="39" xfId="0" applyFont="1" applyFill="1" applyBorder="1" applyAlignment="1">
      <alignment horizontal="left" vertical="center" wrapText="1"/>
    </xf>
    <xf numFmtId="0" fontId="24" fillId="16" borderId="41" xfId="0" applyFont="1" applyFill="1" applyBorder="1" applyAlignment="1">
      <alignment horizontal="left" vertical="center" wrapText="1"/>
    </xf>
    <xf numFmtId="0" fontId="24" fillId="16" borderId="44" xfId="0" applyFont="1" applyFill="1" applyBorder="1" applyAlignment="1">
      <alignment horizontal="left" vertical="center" wrapText="1"/>
    </xf>
    <xf numFmtId="0" fontId="24" fillId="16" borderId="24" xfId="0" applyFont="1" applyFill="1" applyBorder="1" applyAlignment="1">
      <alignment horizontal="left" vertical="center" wrapText="1"/>
    </xf>
    <xf numFmtId="0" fontId="24" fillId="16" borderId="29" xfId="0" applyFont="1" applyFill="1" applyBorder="1" applyAlignment="1">
      <alignment horizontal="left" vertical="center" wrapText="1"/>
    </xf>
    <xf numFmtId="0" fontId="68" fillId="16" borderId="38" xfId="0" applyFont="1" applyFill="1" applyBorder="1" applyAlignment="1">
      <alignment horizontal="left" vertical="center" wrapText="1"/>
    </xf>
    <xf numFmtId="0" fontId="68" fillId="16" borderId="39" xfId="0" applyFont="1" applyFill="1" applyBorder="1" applyAlignment="1">
      <alignment horizontal="left" vertical="center" wrapText="1"/>
    </xf>
    <xf numFmtId="0" fontId="68" fillId="16" borderId="41" xfId="0" applyFont="1" applyFill="1" applyBorder="1" applyAlignment="1">
      <alignment horizontal="left" vertical="center" wrapText="1"/>
    </xf>
    <xf numFmtId="0" fontId="24" fillId="16" borderId="4" xfId="0" applyFont="1" applyFill="1" applyBorder="1" applyAlignment="1">
      <alignment vertical="top" wrapText="1"/>
    </xf>
    <xf numFmtId="0" fontId="24" fillId="16" borderId="16" xfId="0" applyFont="1" applyFill="1" applyBorder="1" applyAlignment="1">
      <alignment vertical="top" wrapText="1"/>
    </xf>
    <xf numFmtId="0" fontId="24" fillId="16" borderId="17" xfId="0" applyFont="1" applyFill="1" applyBorder="1" applyAlignment="1">
      <alignment vertical="top" wrapText="1"/>
    </xf>
    <xf numFmtId="0" fontId="24" fillId="16" borderId="18" xfId="0" applyFont="1" applyFill="1" applyBorder="1" applyAlignment="1">
      <alignment vertical="top" wrapText="1"/>
    </xf>
    <xf numFmtId="0" fontId="24" fillId="16" borderId="3" xfId="0" applyFont="1" applyFill="1" applyBorder="1" applyAlignment="1">
      <alignment horizontal="left" vertical="center" wrapText="1"/>
    </xf>
    <xf numFmtId="0" fontId="24" fillId="16" borderId="8" xfId="0" applyFont="1" applyFill="1" applyBorder="1" applyAlignment="1">
      <alignment horizontal="left" vertical="center" wrapText="1"/>
    </xf>
    <xf numFmtId="0" fontId="24" fillId="16" borderId="13" xfId="0" applyFont="1" applyFill="1" applyBorder="1" applyAlignment="1">
      <alignment horizontal="left" vertical="center" wrapText="1"/>
    </xf>
    <xf numFmtId="0" fontId="24" fillId="16" borderId="4" xfId="0" applyFont="1" applyFill="1" applyBorder="1" applyAlignment="1">
      <alignment horizontal="left" vertical="center" wrapText="1"/>
    </xf>
    <xf numFmtId="0" fontId="24" fillId="16" borderId="9" xfId="0" applyFont="1" applyFill="1" applyBorder="1" applyAlignment="1">
      <alignment horizontal="left" vertical="center" wrapText="1"/>
    </xf>
    <xf numFmtId="0" fontId="24" fillId="16" borderId="14" xfId="0" applyFont="1" applyFill="1" applyBorder="1" applyAlignment="1">
      <alignment horizontal="left" vertical="center" wrapText="1"/>
    </xf>
    <xf numFmtId="0" fontId="68" fillId="16" borderId="3" xfId="0" applyFont="1" applyFill="1" applyBorder="1" applyAlignment="1">
      <alignment horizontal="left" vertical="center" wrapText="1"/>
    </xf>
    <xf numFmtId="0" fontId="68" fillId="16" borderId="8" xfId="0" applyFont="1" applyFill="1" applyBorder="1" applyAlignment="1">
      <alignment horizontal="left" vertical="center" wrapText="1"/>
    </xf>
    <xf numFmtId="0" fontId="68" fillId="16" borderId="13" xfId="0" applyFont="1" applyFill="1" applyBorder="1" applyAlignment="1">
      <alignment horizontal="left" vertical="center" wrapText="1"/>
    </xf>
    <xf numFmtId="0" fontId="24" fillId="12" borderId="19" xfId="0" applyFont="1" applyFill="1" applyBorder="1" applyAlignment="1">
      <alignment horizontal="center" vertical="center" wrapText="1"/>
    </xf>
    <xf numFmtId="0" fontId="24" fillId="5" borderId="16" xfId="0" applyFont="1" applyFill="1" applyBorder="1" applyAlignment="1">
      <alignment horizontal="left" vertical="top" wrapText="1"/>
    </xf>
    <xf numFmtId="0" fontId="24" fillId="5" borderId="17" xfId="0" applyFont="1" applyFill="1" applyBorder="1" applyAlignment="1">
      <alignment horizontal="left" vertical="top" wrapText="1"/>
    </xf>
    <xf numFmtId="0" fontId="24" fillId="5" borderId="18" xfId="0" applyFont="1" applyFill="1" applyBorder="1" applyAlignment="1">
      <alignment horizontal="left" vertical="top" wrapText="1"/>
    </xf>
    <xf numFmtId="0" fontId="24" fillId="5" borderId="9" xfId="0" applyFont="1" applyFill="1" applyBorder="1" applyAlignment="1">
      <alignment horizontal="left" vertical="top" wrapText="1"/>
    </xf>
    <xf numFmtId="0" fontId="24" fillId="5" borderId="46" xfId="0" applyFont="1" applyFill="1" applyBorder="1" applyAlignment="1">
      <alignment horizontal="left" vertical="top" wrapText="1"/>
    </xf>
    <xf numFmtId="0" fontId="24" fillId="5" borderId="47" xfId="0" applyFont="1" applyFill="1" applyBorder="1" applyAlignment="1">
      <alignment horizontal="left" vertical="top" wrapText="1"/>
    </xf>
    <xf numFmtId="0" fontId="24" fillId="5" borderId="48" xfId="0" applyFont="1" applyFill="1" applyBorder="1" applyAlignment="1">
      <alignment horizontal="left" vertical="top" wrapText="1"/>
    </xf>
    <xf numFmtId="0" fontId="24" fillId="5" borderId="49" xfId="0" applyFont="1" applyFill="1" applyBorder="1" applyAlignment="1">
      <alignment horizontal="left" vertical="top" wrapText="1"/>
    </xf>
    <xf numFmtId="0" fontId="24" fillId="5" borderId="50" xfId="0" applyFont="1" applyFill="1" applyBorder="1" applyAlignment="1">
      <alignment horizontal="left" vertical="top" wrapText="1"/>
    </xf>
    <xf numFmtId="0" fontId="24" fillId="5" borderId="51" xfId="0" applyFont="1" applyFill="1" applyBorder="1" applyAlignment="1">
      <alignment horizontal="left" vertical="top" wrapText="1"/>
    </xf>
    <xf numFmtId="0" fontId="24" fillId="16" borderId="57" xfId="0" applyFont="1" applyFill="1" applyBorder="1" applyAlignment="1">
      <alignment horizontal="left" vertical="center" wrapText="1"/>
    </xf>
    <xf numFmtId="0" fontId="24" fillId="0" borderId="9" xfId="0" applyFont="1" applyBorder="1" applyAlignment="1">
      <alignment horizontal="left" vertical="center" wrapText="1"/>
    </xf>
    <xf numFmtId="0" fontId="68" fillId="16" borderId="57" xfId="0" applyFont="1" applyFill="1" applyBorder="1" applyAlignment="1">
      <alignment horizontal="left" vertical="center" wrapText="1"/>
    </xf>
    <xf numFmtId="0" fontId="24" fillId="5" borderId="4" xfId="0" applyFont="1" applyFill="1" applyBorder="1" applyAlignment="1">
      <alignment horizontal="left" vertical="top" wrapText="1"/>
    </xf>
    <xf numFmtId="0" fontId="24" fillId="5" borderId="25" xfId="0" applyFont="1" applyFill="1" applyBorder="1" applyAlignment="1">
      <alignment horizontal="left" vertical="top" wrapText="1"/>
    </xf>
    <xf numFmtId="0" fontId="24" fillId="5" borderId="56" xfId="0" applyFont="1" applyFill="1" applyBorder="1" applyAlignment="1">
      <alignment horizontal="left" vertical="top" wrapText="1"/>
    </xf>
    <xf numFmtId="0" fontId="24" fillId="5" borderId="26" xfId="0" applyFont="1" applyFill="1" applyBorder="1" applyAlignment="1">
      <alignment horizontal="left" vertical="top" wrapText="1"/>
    </xf>
    <xf numFmtId="0" fontId="24" fillId="16" borderId="54" xfId="0" applyFont="1" applyFill="1" applyBorder="1" applyAlignment="1">
      <alignment horizontal="left" vertical="center" wrapText="1"/>
    </xf>
    <xf numFmtId="0" fontId="24" fillId="16" borderId="20" xfId="0" applyFont="1" applyFill="1" applyBorder="1" applyAlignment="1">
      <alignment horizontal="left" vertical="center" wrapText="1"/>
    </xf>
    <xf numFmtId="0" fontId="24" fillId="16" borderId="55" xfId="0" applyFont="1" applyFill="1" applyBorder="1" applyAlignment="1">
      <alignment horizontal="left" vertical="center" wrapText="1"/>
    </xf>
    <xf numFmtId="0" fontId="24" fillId="5" borderId="14" xfId="0" applyFont="1" applyFill="1" applyBorder="1" applyAlignment="1">
      <alignment horizontal="left" vertical="top" wrapText="1"/>
    </xf>
    <xf numFmtId="0" fontId="24" fillId="16" borderId="4" xfId="0" applyFont="1" applyFill="1" applyBorder="1" applyAlignment="1">
      <alignment horizontal="left" vertical="top" wrapText="1"/>
    </xf>
    <xf numFmtId="0" fontId="24" fillId="16" borderId="16" xfId="0" applyFont="1" applyFill="1" applyBorder="1" applyAlignment="1">
      <alignment horizontal="left" vertical="top" wrapText="1"/>
    </xf>
    <xf numFmtId="0" fontId="24" fillId="16" borderId="17" xfId="0" applyFont="1" applyFill="1" applyBorder="1" applyAlignment="1">
      <alignment horizontal="left" vertical="top" wrapText="1"/>
    </xf>
    <xf numFmtId="0" fontId="24" fillId="16" borderId="18" xfId="0" applyFont="1" applyFill="1" applyBorder="1" applyAlignment="1">
      <alignment horizontal="left" vertical="top" wrapText="1"/>
    </xf>
    <xf numFmtId="0" fontId="24" fillId="16" borderId="9" xfId="0" applyFont="1" applyFill="1" applyBorder="1" applyAlignment="1">
      <alignment horizontal="left" vertical="top" wrapText="1"/>
    </xf>
    <xf numFmtId="0" fontId="24" fillId="16" borderId="14" xfId="0" applyFont="1" applyFill="1" applyBorder="1" applyAlignment="1">
      <alignment horizontal="left" vertical="top" wrapText="1"/>
    </xf>
    <xf numFmtId="0" fontId="24" fillId="16" borderId="16" xfId="0" applyFont="1" applyFill="1" applyBorder="1" applyAlignment="1">
      <alignment horizontal="center" vertical="top"/>
    </xf>
    <xf numFmtId="0" fontId="24" fillId="16" borderId="17" xfId="0" applyFont="1" applyFill="1" applyBorder="1" applyAlignment="1">
      <alignment horizontal="center" vertical="top"/>
    </xf>
    <xf numFmtId="0" fontId="24" fillId="16" borderId="18" xfId="0" applyFont="1" applyFill="1" applyBorder="1" applyAlignment="1">
      <alignment horizontal="center" vertical="top"/>
    </xf>
    <xf numFmtId="0" fontId="24" fillId="16" borderId="49" xfId="0" applyFont="1" applyFill="1" applyBorder="1" applyAlignment="1">
      <alignment horizontal="center" vertical="top"/>
    </xf>
    <xf numFmtId="0" fontId="24" fillId="16" borderId="50" xfId="0" applyFont="1" applyFill="1" applyBorder="1" applyAlignment="1">
      <alignment horizontal="center" vertical="top"/>
    </xf>
    <xf numFmtId="0" fontId="24" fillId="16" borderId="51" xfId="0" applyFont="1" applyFill="1" applyBorder="1" applyAlignment="1">
      <alignment horizontal="center" vertical="top"/>
    </xf>
    <xf numFmtId="0" fontId="24" fillId="16" borderId="46" xfId="0" applyFont="1" applyFill="1" applyBorder="1" applyAlignment="1">
      <alignment horizontal="center" vertical="top"/>
    </xf>
    <xf numFmtId="0" fontId="24" fillId="16" borderId="47" xfId="0" applyFont="1" applyFill="1" applyBorder="1" applyAlignment="1">
      <alignment horizontal="center" vertical="top"/>
    </xf>
    <xf numFmtId="0" fontId="24" fillId="16" borderId="48" xfId="0" applyFont="1" applyFill="1" applyBorder="1" applyAlignment="1">
      <alignment horizontal="center" vertical="top"/>
    </xf>
    <xf numFmtId="0" fontId="24" fillId="16" borderId="2" xfId="0" applyFont="1" applyFill="1" applyBorder="1" applyAlignment="1">
      <alignment horizontal="left" vertical="center" wrapText="1"/>
    </xf>
    <xf numFmtId="0" fontId="24" fillId="16" borderId="7" xfId="0" applyFont="1" applyFill="1" applyBorder="1" applyAlignment="1">
      <alignment horizontal="left" vertical="center" wrapText="1"/>
    </xf>
    <xf numFmtId="0" fontId="68" fillId="16" borderId="2" xfId="0" applyFont="1" applyFill="1" applyBorder="1" applyAlignment="1">
      <alignment horizontal="left" vertical="center" wrapText="1"/>
    </xf>
    <xf numFmtId="0" fontId="68" fillId="16" borderId="7" xfId="0" applyFont="1" applyFill="1" applyBorder="1" applyAlignment="1">
      <alignment horizontal="left" vertical="center" wrapText="1"/>
    </xf>
    <xf numFmtId="0" fontId="24" fillId="16" borderId="12" xfId="0" applyFont="1" applyFill="1" applyBorder="1" applyAlignment="1">
      <alignment horizontal="left" vertical="center" wrapText="1"/>
    </xf>
    <xf numFmtId="0" fontId="68" fillId="16" borderId="12"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12" xfId="0" applyFont="1" applyFill="1" applyBorder="1" applyAlignment="1">
      <alignment horizontal="left" vertical="center" wrapText="1"/>
    </xf>
    <xf numFmtId="0" fontId="68" fillId="0" borderId="2" xfId="0" applyFont="1" applyFill="1" applyBorder="1" applyAlignment="1">
      <alignment horizontal="left" vertical="center" wrapText="1"/>
    </xf>
    <xf numFmtId="0" fontId="68" fillId="0" borderId="7" xfId="0" applyFont="1" applyFill="1" applyBorder="1" applyAlignment="1">
      <alignment horizontal="left" vertical="center" wrapText="1"/>
    </xf>
    <xf numFmtId="0" fontId="68" fillId="0" borderId="12" xfId="0" applyFont="1" applyFill="1" applyBorder="1" applyAlignment="1">
      <alignment horizontal="left" vertical="center" wrapText="1"/>
    </xf>
    <xf numFmtId="168" fontId="24" fillId="16" borderId="16" xfId="0" applyNumberFormat="1" applyFont="1" applyFill="1" applyBorder="1" applyAlignment="1">
      <alignment horizontal="center" vertical="top"/>
    </xf>
    <xf numFmtId="168" fontId="24" fillId="16" borderId="17" xfId="0" applyNumberFormat="1" applyFont="1" applyFill="1" applyBorder="1" applyAlignment="1">
      <alignment horizontal="center" vertical="top"/>
    </xf>
    <xf numFmtId="168" fontId="24" fillId="16" borderId="18" xfId="0" applyNumberFormat="1" applyFont="1" applyFill="1" applyBorder="1" applyAlignment="1">
      <alignment horizontal="center" vertical="top"/>
    </xf>
    <xf numFmtId="168" fontId="24" fillId="16" borderId="49" xfId="0" applyNumberFormat="1" applyFont="1" applyFill="1" applyBorder="1" applyAlignment="1">
      <alignment horizontal="center" vertical="top"/>
    </xf>
    <xf numFmtId="168" fontId="24" fillId="16" borderId="50" xfId="0" applyNumberFormat="1" applyFont="1" applyFill="1" applyBorder="1" applyAlignment="1">
      <alignment horizontal="center" vertical="top"/>
    </xf>
    <xf numFmtId="168" fontId="24" fillId="16" borderId="51" xfId="0" applyNumberFormat="1" applyFont="1" applyFill="1" applyBorder="1" applyAlignment="1">
      <alignment horizontal="center" vertical="top"/>
    </xf>
    <xf numFmtId="0" fontId="24" fillId="16" borderId="38" xfId="0" applyFont="1" applyFill="1" applyBorder="1" applyAlignment="1">
      <alignment horizontal="left" vertical="center"/>
    </xf>
    <xf numFmtId="0" fontId="24" fillId="16" borderId="39" xfId="0" applyFont="1" applyFill="1" applyBorder="1" applyAlignment="1">
      <alignment horizontal="left" vertical="center"/>
    </xf>
    <xf numFmtId="0" fontId="24" fillId="16" borderId="41" xfId="0" applyFont="1" applyFill="1" applyBorder="1" applyAlignment="1">
      <alignment horizontal="left" vertical="center"/>
    </xf>
    <xf numFmtId="0" fontId="24" fillId="16" borderId="44" xfId="0" applyFont="1" applyFill="1" applyBorder="1" applyAlignment="1">
      <alignment horizontal="left" vertical="center"/>
    </xf>
    <xf numFmtId="0" fontId="24" fillId="16" borderId="24" xfId="0" applyFont="1" applyFill="1" applyBorder="1" applyAlignment="1">
      <alignment horizontal="left" vertical="center"/>
    </xf>
    <xf numFmtId="0" fontId="24" fillId="16" borderId="29" xfId="0" applyFont="1" applyFill="1" applyBorder="1" applyAlignment="1">
      <alignment horizontal="left" vertical="center"/>
    </xf>
    <xf numFmtId="168" fontId="24" fillId="16" borderId="46" xfId="0" applyNumberFormat="1" applyFont="1" applyFill="1" applyBorder="1" applyAlignment="1">
      <alignment horizontal="center" vertical="top"/>
    </xf>
    <xf numFmtId="168" fontId="24" fillId="16" borderId="47" xfId="0" applyNumberFormat="1" applyFont="1" applyFill="1" applyBorder="1" applyAlignment="1">
      <alignment horizontal="center" vertical="top"/>
    </xf>
    <xf numFmtId="168" fontId="24" fillId="16" borderId="48" xfId="0" applyNumberFormat="1" applyFont="1" applyFill="1" applyBorder="1" applyAlignment="1">
      <alignment horizontal="center" vertical="top"/>
    </xf>
    <xf numFmtId="0" fontId="24" fillId="16" borderId="35" xfId="0" applyFont="1" applyFill="1" applyBorder="1" applyAlignment="1">
      <alignment horizontal="left" vertical="center" wrapText="1"/>
    </xf>
    <xf numFmtId="0" fontId="24" fillId="16" borderId="19" xfId="0" applyFont="1" applyFill="1" applyBorder="1" applyAlignment="1">
      <alignment horizontal="left" vertical="center" wrapText="1"/>
    </xf>
    <xf numFmtId="2" fontId="24" fillId="0" borderId="16" xfId="0" applyNumberFormat="1" applyFont="1" applyBorder="1" applyAlignment="1">
      <alignment horizontal="left" wrapText="1"/>
    </xf>
    <xf numFmtId="2" fontId="24" fillId="0" borderId="18" xfId="0" applyNumberFormat="1" applyFont="1" applyBorder="1" applyAlignment="1">
      <alignment horizontal="left" wrapText="1"/>
    </xf>
    <xf numFmtId="2" fontId="24" fillId="0" borderId="16" xfId="0" applyNumberFormat="1" applyFont="1" applyBorder="1" applyAlignment="1">
      <alignment wrapText="1"/>
    </xf>
    <xf numFmtId="2" fontId="24" fillId="0" borderId="18" xfId="0" applyNumberFormat="1" applyFont="1" applyBorder="1" applyAlignment="1">
      <alignment wrapText="1"/>
    </xf>
    <xf numFmtId="0" fontId="24" fillId="5" borderId="9" xfId="15" applyFont="1" applyFill="1" applyBorder="1" applyAlignment="1">
      <alignment horizontal="left"/>
    </xf>
    <xf numFmtId="8" fontId="24" fillId="0" borderId="16" xfId="0" applyNumberFormat="1" applyFont="1" applyFill="1" applyBorder="1" applyAlignment="1">
      <alignment horizontal="left"/>
    </xf>
    <xf numFmtId="8" fontId="24" fillId="0" borderId="18" xfId="0" applyNumberFormat="1" applyFont="1" applyFill="1" applyBorder="1" applyAlignment="1">
      <alignment horizontal="left"/>
    </xf>
    <xf numFmtId="0" fontId="24" fillId="5" borderId="14" xfId="15" applyFont="1" applyFill="1" applyBorder="1" applyAlignment="1">
      <alignment horizontal="left"/>
    </xf>
    <xf numFmtId="0" fontId="24" fillId="11" borderId="18" xfId="0" applyFont="1" applyFill="1" applyBorder="1" applyAlignment="1">
      <alignment horizontal="left"/>
    </xf>
    <xf numFmtId="8" fontId="24" fillId="0" borderId="16" xfId="0" applyNumberFormat="1" applyFont="1" applyBorder="1" applyAlignment="1">
      <alignment horizontal="left"/>
    </xf>
    <xf numFmtId="8" fontId="24" fillId="0" borderId="18" xfId="0" applyNumberFormat="1" applyFont="1" applyBorder="1" applyAlignment="1">
      <alignment horizontal="left"/>
    </xf>
    <xf numFmtId="0" fontId="24" fillId="0" borderId="17" xfId="0" applyFont="1" applyBorder="1" applyAlignment="1">
      <alignment horizontal="center" vertical="center" wrapText="1"/>
    </xf>
    <xf numFmtId="0" fontId="24" fillId="0" borderId="18" xfId="0" applyFont="1" applyBorder="1" applyAlignment="1">
      <alignment horizontal="center" vertical="center" wrapText="1"/>
    </xf>
    <xf numFmtId="2" fontId="24" fillId="0" borderId="16" xfId="0" applyNumberFormat="1" applyFont="1" applyFill="1" applyBorder="1" applyAlignment="1">
      <alignment horizontal="left" wrapText="1"/>
    </xf>
    <xf numFmtId="2" fontId="24" fillId="0" borderId="18" xfId="0" applyNumberFormat="1" applyFont="1" applyFill="1" applyBorder="1" applyAlignment="1">
      <alignment horizontal="left" wrapText="1"/>
    </xf>
    <xf numFmtId="0" fontId="24" fillId="5" borderId="38" xfId="15" applyFont="1" applyFill="1" applyBorder="1" applyAlignment="1">
      <alignment horizontal="left" vertical="center" wrapText="1"/>
    </xf>
    <xf numFmtId="0" fontId="24" fillId="5" borderId="39" xfId="15" applyFont="1" applyFill="1" applyBorder="1" applyAlignment="1">
      <alignment horizontal="left" vertical="center" wrapText="1"/>
    </xf>
    <xf numFmtId="0" fontId="24" fillId="5" borderId="41" xfId="15" applyFont="1" applyFill="1" applyBorder="1" applyAlignment="1">
      <alignment horizontal="left" vertical="center" wrapText="1"/>
    </xf>
    <xf numFmtId="0" fontId="24" fillId="5" borderId="44" xfId="15" applyFont="1" applyFill="1" applyBorder="1" applyAlignment="1">
      <alignment horizontal="left" vertical="center" wrapText="1"/>
    </xf>
    <xf numFmtId="0" fontId="24" fillId="5" borderId="24" xfId="15" applyFont="1" applyFill="1" applyBorder="1" applyAlignment="1">
      <alignment horizontal="left" vertical="center" wrapText="1"/>
    </xf>
    <xf numFmtId="0" fontId="24" fillId="5" borderId="29" xfId="15" applyFont="1" applyFill="1" applyBorder="1" applyAlignment="1">
      <alignment horizontal="left" vertical="center" wrapText="1"/>
    </xf>
    <xf numFmtId="0" fontId="24" fillId="5" borderId="4" xfId="15" applyFont="1" applyFill="1" applyBorder="1" applyAlignment="1">
      <alignment horizontal="left"/>
    </xf>
    <xf numFmtId="0" fontId="24" fillId="0" borderId="9" xfId="15" applyFont="1" applyBorder="1" applyAlignment="1">
      <alignment horizontal="left" vertical="center" wrapText="1"/>
    </xf>
    <xf numFmtId="2" fontId="24" fillId="0" borderId="16" xfId="0" applyNumberFormat="1" applyFont="1" applyFill="1" applyBorder="1" applyAlignment="1">
      <alignment wrapText="1"/>
    </xf>
    <xf numFmtId="2" fontId="24" fillId="0" borderId="18" xfId="0" applyNumberFormat="1" applyFont="1" applyFill="1" applyBorder="1" applyAlignment="1">
      <alignment wrapText="1"/>
    </xf>
    <xf numFmtId="0" fontId="0" fillId="0" borderId="9" xfId="15" applyFont="1" applyBorder="1" applyAlignment="1">
      <alignment horizontal="left" vertical="center" wrapText="1"/>
    </xf>
    <xf numFmtId="0" fontId="24" fillId="5" borderId="4" xfId="15" applyFont="1" applyFill="1" applyBorder="1" applyAlignment="1">
      <alignment horizontal="center"/>
    </xf>
    <xf numFmtId="0" fontId="24" fillId="5" borderId="9" xfId="15" applyFont="1" applyFill="1" applyBorder="1" applyAlignment="1">
      <alignment horizontal="center"/>
    </xf>
    <xf numFmtId="0" fontId="24" fillId="5" borderId="14" xfId="15" applyFont="1" applyFill="1" applyBorder="1" applyAlignment="1">
      <alignment horizontal="center"/>
    </xf>
    <xf numFmtId="0" fontId="65" fillId="5" borderId="38" xfId="15" applyFont="1" applyFill="1" applyBorder="1" applyAlignment="1">
      <alignment horizontal="left" vertical="center" wrapText="1"/>
    </xf>
    <xf numFmtId="0" fontId="65" fillId="5" borderId="39" xfId="15" applyFont="1" applyFill="1" applyBorder="1" applyAlignment="1">
      <alignment horizontal="left" vertical="center" wrapText="1"/>
    </xf>
    <xf numFmtId="0" fontId="65" fillId="5" borderId="41" xfId="15" applyFont="1" applyFill="1" applyBorder="1" applyAlignment="1">
      <alignment horizontal="left" vertical="center" wrapText="1"/>
    </xf>
    <xf numFmtId="0" fontId="24" fillId="5" borderId="4" xfId="15" applyFont="1" applyFill="1" applyBorder="1" applyAlignment="1">
      <alignment horizontal="left" vertical="center"/>
    </xf>
    <xf numFmtId="0" fontId="24" fillId="5" borderId="27" xfId="15" applyFont="1" applyFill="1" applyBorder="1" applyAlignment="1">
      <alignment horizontal="left" vertical="center"/>
    </xf>
    <xf numFmtId="0" fontId="24" fillId="5" borderId="9" xfId="15" applyFont="1" applyFill="1" applyBorder="1" applyAlignment="1">
      <alignment horizontal="left" vertical="center"/>
    </xf>
    <xf numFmtId="0" fontId="24" fillId="5" borderId="19" xfId="15" applyFont="1" applyFill="1" applyBorder="1" applyAlignment="1">
      <alignment horizontal="left" vertical="center"/>
    </xf>
    <xf numFmtId="0" fontId="24" fillId="5" borderId="14" xfId="15" applyFont="1" applyFill="1" applyBorder="1" applyAlignment="1">
      <alignment horizontal="left" vertical="center"/>
    </xf>
    <xf numFmtId="0" fontId="24" fillId="0" borderId="0" xfId="0" applyFont="1" applyAlignment="1">
      <alignment vertical="center"/>
    </xf>
    <xf numFmtId="0" fontId="58" fillId="0" borderId="9" xfId="15" applyFont="1" applyBorder="1" applyAlignment="1">
      <alignment horizontal="left" vertical="center" wrapText="1"/>
    </xf>
    <xf numFmtId="0" fontId="65" fillId="0" borderId="9" xfId="15" applyFont="1" applyBorder="1" applyAlignment="1">
      <alignment horizontal="left" vertical="center" wrapText="1"/>
    </xf>
    <xf numFmtId="0" fontId="24" fillId="0" borderId="9" xfId="0"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0" borderId="17" xfId="0" applyFont="1" applyFill="1" applyBorder="1" applyAlignment="1">
      <alignment horizontal="center" vertical="center" wrapText="1"/>
    </xf>
    <xf numFmtId="0" fontId="24" fillId="0" borderId="17" xfId="0" applyFont="1" applyFill="1" applyBorder="1" applyAlignment="1">
      <alignment vertical="center" wrapText="1"/>
    </xf>
    <xf numFmtId="0" fontId="24" fillId="0" borderId="18" xfId="0" applyFont="1" applyFill="1" applyBorder="1" applyAlignment="1">
      <alignment vertical="center" wrapText="1"/>
    </xf>
    <xf numFmtId="165" fontId="24" fillId="0" borderId="19" xfId="0" applyNumberFormat="1" applyFont="1" applyFill="1" applyBorder="1" applyAlignment="1">
      <alignment horizontal="left" vertical="center" wrapText="1"/>
    </xf>
    <xf numFmtId="165" fontId="24" fillId="0" borderId="27" xfId="0" applyNumberFormat="1" applyFont="1" applyFill="1" applyBorder="1" applyAlignment="1">
      <alignment horizontal="left" vertical="center" wrapText="1"/>
    </xf>
    <xf numFmtId="7" fontId="24" fillId="0" borderId="16" xfId="2" applyNumberFormat="1" applyFont="1" applyFill="1" applyBorder="1" applyAlignment="1">
      <alignment horizontal="center" wrapText="1"/>
    </xf>
    <xf numFmtId="0" fontId="24" fillId="0" borderId="17" xfId="0" applyFont="1" applyFill="1" applyBorder="1" applyAlignment="1">
      <alignment wrapText="1"/>
    </xf>
    <xf numFmtId="0" fontId="24" fillId="0" borderId="18" xfId="0" applyFont="1" applyFill="1" applyBorder="1" applyAlignment="1">
      <alignment wrapText="1"/>
    </xf>
    <xf numFmtId="0" fontId="24" fillId="0" borderId="18" xfId="0" applyFont="1" applyFill="1" applyBorder="1" applyAlignment="1">
      <alignment horizontal="center" vertical="center" wrapText="1"/>
    </xf>
    <xf numFmtId="165" fontId="1" fillId="0" borderId="19" xfId="0" applyNumberFormat="1" applyFont="1" applyFill="1" applyBorder="1" applyAlignment="1">
      <alignment horizontal="left" vertical="center" wrapText="1"/>
    </xf>
    <xf numFmtId="0" fontId="1" fillId="0" borderId="27" xfId="0" applyFont="1" applyFill="1" applyBorder="1" applyAlignment="1">
      <alignment horizontal="left" vertical="center" wrapText="1"/>
    </xf>
    <xf numFmtId="169" fontId="24" fillId="0" borderId="16" xfId="1" applyNumberFormat="1" applyFont="1" applyFill="1" applyBorder="1" applyAlignment="1">
      <alignment horizontal="center" vertical="center" wrapText="1"/>
    </xf>
    <xf numFmtId="169" fontId="24" fillId="0" borderId="17" xfId="1" applyNumberFormat="1" applyFont="1" applyFill="1" applyBorder="1" applyAlignment="1">
      <alignment horizontal="center" vertical="center" wrapText="1"/>
    </xf>
    <xf numFmtId="169" fontId="24" fillId="0" borderId="18" xfId="1" applyNumberFormat="1" applyFont="1" applyFill="1" applyBorder="1" applyAlignment="1">
      <alignment horizontal="center" vertical="center" wrapText="1"/>
    </xf>
    <xf numFmtId="0" fontId="24" fillId="12" borderId="22" xfId="0" applyFont="1" applyFill="1" applyBorder="1" applyAlignment="1">
      <alignment horizontal="center" vertical="center" wrapText="1"/>
    </xf>
    <xf numFmtId="0" fontId="24" fillId="0" borderId="28" xfId="0" applyFont="1" applyBorder="1" applyAlignment="1">
      <alignment horizontal="center" vertical="center" wrapText="1"/>
    </xf>
    <xf numFmtId="0" fontId="24" fillId="0" borderId="23" xfId="0" applyFont="1" applyBorder="1" applyAlignment="1">
      <alignment horizontal="center" vertical="center" wrapText="1"/>
    </xf>
    <xf numFmtId="168" fontId="24" fillId="0" borderId="9" xfId="6" applyNumberFormat="1" applyFont="1" applyFill="1" applyBorder="1" applyAlignment="1">
      <alignment horizontal="left" vertical="top" wrapText="1"/>
    </xf>
    <xf numFmtId="165" fontId="24" fillId="0" borderId="9" xfId="0" applyNumberFormat="1" applyFont="1" applyFill="1" applyBorder="1" applyAlignment="1">
      <alignment horizontal="left" vertical="center" wrapText="1"/>
    </xf>
    <xf numFmtId="165" fontId="1" fillId="0" borderId="9" xfId="0" applyNumberFormat="1" applyFont="1" applyFill="1" applyBorder="1" applyAlignment="1">
      <alignment horizontal="left" vertical="center" wrapText="1"/>
    </xf>
    <xf numFmtId="0" fontId="1" fillId="0" borderId="9" xfId="0" applyFont="1" applyFill="1" applyBorder="1" applyAlignment="1">
      <alignment horizontal="left" vertical="center" wrapText="1"/>
    </xf>
    <xf numFmtId="0" fontId="0" fillId="0" borderId="9" xfId="0" applyBorder="1" applyAlignment="1">
      <alignment horizontal="left" vertical="center" wrapText="1"/>
    </xf>
    <xf numFmtId="0" fontId="24" fillId="12" borderId="23" xfId="6" applyFont="1" applyFill="1" applyBorder="1" applyAlignment="1">
      <alignment horizontal="left" vertical="center" wrapText="1"/>
    </xf>
    <xf numFmtId="0" fontId="24" fillId="0" borderId="26" xfId="0" applyFont="1" applyBorder="1" applyAlignment="1">
      <alignment horizontal="left" vertical="center" wrapText="1"/>
    </xf>
    <xf numFmtId="0" fontId="24" fillId="12" borderId="23" xfId="6" applyFont="1" applyFill="1" applyBorder="1" applyAlignment="1">
      <alignment horizontal="center" vertical="center" wrapText="1"/>
    </xf>
    <xf numFmtId="0" fontId="24" fillId="0" borderId="26" xfId="0" applyFont="1" applyBorder="1" applyAlignment="1">
      <alignment horizontal="center" vertical="center" wrapText="1"/>
    </xf>
    <xf numFmtId="0" fontId="24" fillId="12" borderId="22" xfId="6" applyFont="1" applyFill="1" applyBorder="1" applyAlignment="1">
      <alignment horizontal="left" vertical="center" wrapText="1"/>
    </xf>
    <xf numFmtId="0" fontId="24" fillId="0" borderId="23" xfId="0" applyFont="1" applyBorder="1" applyAlignment="1">
      <alignment horizontal="left" vertical="center" wrapText="1"/>
    </xf>
    <xf numFmtId="0" fontId="24" fillId="0" borderId="25" xfId="0" applyFont="1" applyBorder="1" applyAlignment="1">
      <alignment horizontal="left" vertical="center" wrapText="1"/>
    </xf>
    <xf numFmtId="168" fontId="24" fillId="0" borderId="14" xfId="6" applyNumberFormat="1" applyFont="1" applyFill="1" applyBorder="1" applyAlignment="1">
      <alignment horizontal="left" vertical="top" wrapText="1"/>
    </xf>
    <xf numFmtId="0" fontId="24" fillId="0" borderId="14" xfId="0" applyFont="1" applyFill="1" applyBorder="1" applyAlignment="1"/>
    <xf numFmtId="168" fontId="24" fillId="0" borderId="27" xfId="6" applyNumberFormat="1" applyFont="1" applyFill="1" applyBorder="1" applyAlignment="1">
      <alignment horizontal="left" vertical="top" wrapText="1"/>
    </xf>
    <xf numFmtId="0" fontId="24" fillId="0" borderId="27" xfId="0" applyFont="1" applyFill="1" applyBorder="1" applyAlignment="1"/>
    <xf numFmtId="168" fontId="24" fillId="0" borderId="16" xfId="6" applyNumberFormat="1" applyFont="1" applyFill="1" applyBorder="1" applyAlignment="1">
      <alignment horizontal="left" vertical="top" wrapText="1"/>
    </xf>
    <xf numFmtId="168" fontId="24" fillId="0" borderId="18" xfId="6" applyNumberFormat="1" applyFont="1" applyFill="1" applyBorder="1" applyAlignment="1">
      <alignment horizontal="left" vertical="top" wrapText="1"/>
    </xf>
    <xf numFmtId="168" fontId="24" fillId="0" borderId="19" xfId="6" applyNumberFormat="1" applyFont="1" applyFill="1" applyBorder="1" applyAlignment="1">
      <alignment horizontal="left" vertical="top" wrapText="1"/>
    </xf>
    <xf numFmtId="0" fontId="24" fillId="0" borderId="19" xfId="0" applyFont="1" applyFill="1" applyBorder="1" applyAlignment="1"/>
    <xf numFmtId="168" fontId="24" fillId="0" borderId="4" xfId="6" applyNumberFormat="1" applyFont="1" applyFill="1" applyBorder="1" applyAlignment="1">
      <alignment horizontal="left" vertical="top" wrapText="1"/>
    </xf>
    <xf numFmtId="0" fontId="24" fillId="0" borderId="4" xfId="0" applyFont="1" applyFill="1" applyBorder="1" applyAlignment="1"/>
    <xf numFmtId="0" fontId="24" fillId="0" borderId="9" xfId="0" applyFont="1" applyBorder="1" applyAlignment="1"/>
    <xf numFmtId="0" fontId="24" fillId="0" borderId="27" xfId="0" applyFont="1" applyBorder="1" applyAlignment="1">
      <alignment horizontal="center" vertical="center" wrapText="1"/>
    </xf>
    <xf numFmtId="3" fontId="24" fillId="0" borderId="9" xfId="0" applyNumberFormat="1" applyFont="1" applyFill="1" applyBorder="1" applyAlignment="1">
      <alignment horizontal="left" vertical="center" wrapText="1"/>
    </xf>
    <xf numFmtId="0" fontId="24" fillId="0" borderId="9" xfId="15" applyFont="1" applyFill="1" applyBorder="1" applyAlignment="1">
      <alignment wrapText="1"/>
    </xf>
    <xf numFmtId="0" fontId="43" fillId="0" borderId="9" xfId="15" applyFont="1" applyFill="1" applyBorder="1" applyAlignment="1">
      <alignment wrapText="1"/>
    </xf>
    <xf numFmtId="0" fontId="24" fillId="5" borderId="9" xfId="15" applyFont="1" applyFill="1" applyBorder="1" applyAlignment="1">
      <alignment wrapText="1"/>
    </xf>
    <xf numFmtId="0" fontId="43" fillId="0" borderId="9" xfId="15" applyFont="1" applyBorder="1" applyAlignment="1"/>
    <xf numFmtId="0" fontId="43" fillId="0" borderId="9" xfId="15" applyFont="1" applyBorder="1" applyAlignment="1">
      <alignment wrapText="1"/>
    </xf>
    <xf numFmtId="0" fontId="24" fillId="0" borderId="9" xfId="15" applyFont="1" applyFill="1" applyBorder="1" applyAlignment="1"/>
    <xf numFmtId="165" fontId="24" fillId="0" borderId="9" xfId="13" applyNumberFormat="1" applyFont="1" applyFill="1" applyBorder="1" applyAlignment="1">
      <alignment vertical="center" wrapText="1"/>
    </xf>
    <xf numFmtId="0" fontId="24" fillId="0" borderId="19" xfId="0" applyFont="1" applyFill="1" applyBorder="1" applyAlignment="1">
      <alignment horizontal="left" vertical="center" wrapText="1"/>
    </xf>
    <xf numFmtId="0" fontId="24" fillId="0" borderId="27" xfId="0" applyFont="1" applyFill="1" applyBorder="1" applyAlignment="1">
      <alignment horizontal="left" vertical="center" wrapText="1"/>
    </xf>
    <xf numFmtId="0" fontId="24" fillId="0" borderId="19" xfId="15" applyFont="1" applyBorder="1" applyAlignment="1">
      <alignment horizontal="left" vertical="center" wrapText="1"/>
    </xf>
    <xf numFmtId="0" fontId="24" fillId="0" borderId="27" xfId="15" applyFont="1" applyBorder="1" applyAlignment="1">
      <alignment horizontal="left" vertical="center" wrapText="1"/>
    </xf>
    <xf numFmtId="0" fontId="24" fillId="0" borderId="16" xfId="15" applyFont="1" applyBorder="1" applyAlignment="1">
      <alignment wrapText="1"/>
    </xf>
    <xf numFmtId="0" fontId="24" fillId="0" borderId="18" xfId="15" applyFont="1" applyBorder="1" applyAlignment="1">
      <alignment wrapText="1"/>
    </xf>
    <xf numFmtId="165" fontId="24" fillId="0" borderId="9" xfId="13" applyNumberFormat="1" applyFont="1" applyFill="1" applyBorder="1" applyAlignment="1">
      <alignment horizontal="left" vertical="center" wrapText="1"/>
    </xf>
    <xf numFmtId="0" fontId="1" fillId="0" borderId="19" xfId="0" applyFont="1" applyFill="1" applyBorder="1" applyAlignment="1">
      <alignment horizontal="left" vertical="center" wrapText="1"/>
    </xf>
    <xf numFmtId="165" fontId="24" fillId="0" borderId="17" xfId="13" applyNumberFormat="1" applyFont="1" applyFill="1" applyBorder="1" applyAlignment="1">
      <alignment horizontal="left" vertical="center" wrapText="1"/>
    </xf>
    <xf numFmtId="0" fontId="24" fillId="0" borderId="9" xfId="15" applyFont="1" applyBorder="1" applyAlignment="1">
      <alignment wrapText="1"/>
    </xf>
    <xf numFmtId="0" fontId="24" fillId="12" borderId="9" xfId="0" applyFont="1" applyFill="1" applyBorder="1" applyAlignment="1">
      <alignment vertical="center" wrapText="1"/>
    </xf>
    <xf numFmtId="0" fontId="65" fillId="0" borderId="19" xfId="15" applyFont="1" applyFill="1" applyBorder="1" applyAlignment="1">
      <alignment horizontal="left" vertical="center"/>
    </xf>
    <xf numFmtId="0" fontId="65" fillId="0" borderId="24" xfId="15" applyFont="1" applyFill="1" applyBorder="1" applyAlignment="1">
      <alignment horizontal="left" vertical="center"/>
    </xf>
    <xf numFmtId="0" fontId="65" fillId="0" borderId="27" xfId="15" applyFont="1" applyFill="1" applyBorder="1" applyAlignment="1">
      <alignment horizontal="left" vertical="center"/>
    </xf>
    <xf numFmtId="0" fontId="58" fillId="0" borderId="19" xfId="15" applyFont="1" applyBorder="1" applyAlignment="1">
      <alignment horizontal="left" vertical="center"/>
    </xf>
    <xf numFmtId="0" fontId="58" fillId="0" borderId="24" xfId="15" applyFont="1" applyBorder="1" applyAlignment="1">
      <alignment horizontal="left" vertical="center"/>
    </xf>
    <xf numFmtId="0" fontId="58" fillId="0" borderId="27" xfId="15" applyFont="1" applyBorder="1" applyAlignment="1">
      <alignment horizontal="left" vertical="center"/>
    </xf>
    <xf numFmtId="0" fontId="43" fillId="0" borderId="16" xfId="15" applyFont="1" applyFill="1" applyBorder="1" applyAlignment="1">
      <alignment wrapText="1"/>
    </xf>
    <xf numFmtId="0" fontId="43" fillId="0" borderId="18" xfId="15" applyFont="1" applyFill="1" applyBorder="1" applyAlignment="1">
      <alignment wrapText="1"/>
    </xf>
    <xf numFmtId="0" fontId="24" fillId="0" borderId="16" xfId="0" applyFont="1" applyFill="1" applyBorder="1" applyAlignment="1">
      <alignment vertical="center" wrapText="1"/>
    </xf>
    <xf numFmtId="3" fontId="24" fillId="0" borderId="16" xfId="0" applyNumberFormat="1" applyFont="1" applyFill="1" applyBorder="1" applyAlignment="1">
      <alignment horizontal="left" vertical="center" wrapText="1"/>
    </xf>
    <xf numFmtId="3" fontId="24" fillId="0" borderId="18" xfId="0" applyNumberFormat="1" applyFont="1" applyFill="1" applyBorder="1" applyAlignment="1">
      <alignment horizontal="left" vertical="center" wrapText="1"/>
    </xf>
    <xf numFmtId="165" fontId="24" fillId="0" borderId="16" xfId="7" applyNumberFormat="1" applyFont="1" applyFill="1" applyBorder="1" applyAlignment="1">
      <alignment vertical="center" wrapText="1"/>
    </xf>
    <xf numFmtId="165" fontId="24" fillId="0" borderId="17" xfId="7" applyNumberFormat="1" applyFont="1" applyFill="1" applyBorder="1" applyAlignment="1">
      <alignment vertical="center" wrapText="1"/>
    </xf>
    <xf numFmtId="165" fontId="24" fillId="0" borderId="18" xfId="7" applyNumberFormat="1" applyFont="1" applyFill="1" applyBorder="1" applyAlignment="1">
      <alignment vertical="center" wrapText="1"/>
    </xf>
    <xf numFmtId="0" fontId="24" fillId="0" borderId="16" xfId="0" applyFont="1" applyFill="1" applyBorder="1" applyAlignment="1">
      <alignment horizontal="left" vertical="center" wrapText="1"/>
    </xf>
    <xf numFmtId="0" fontId="24" fillId="0" borderId="18" xfId="0" applyFont="1" applyFill="1" applyBorder="1" applyAlignment="1">
      <alignment horizontal="left" vertical="center" wrapText="1"/>
    </xf>
    <xf numFmtId="0" fontId="43" fillId="5" borderId="16" xfId="15" applyFont="1" applyFill="1" applyBorder="1" applyAlignment="1"/>
    <xf numFmtId="0" fontId="43" fillId="5" borderId="18" xfId="15" applyFont="1" applyFill="1" applyBorder="1" applyAlignment="1"/>
    <xf numFmtId="0" fontId="24" fillId="5" borderId="16" xfId="0" applyFont="1" applyFill="1" applyBorder="1" applyAlignment="1">
      <alignment vertical="center" wrapText="1"/>
    </xf>
    <xf numFmtId="0" fontId="24" fillId="5" borderId="17" xfId="0" applyFont="1" applyFill="1" applyBorder="1" applyAlignment="1">
      <alignment vertical="center" wrapText="1"/>
    </xf>
    <xf numFmtId="0" fontId="24" fillId="5" borderId="18" xfId="0" applyFont="1" applyFill="1" applyBorder="1" applyAlignment="1">
      <alignment vertical="center" wrapText="1"/>
    </xf>
    <xf numFmtId="0" fontId="24" fillId="5" borderId="16" xfId="0" applyFont="1" applyFill="1" applyBorder="1" applyAlignment="1">
      <alignment horizontal="left" vertical="center" wrapText="1"/>
    </xf>
    <xf numFmtId="0" fontId="24" fillId="5" borderId="18" xfId="0" applyFont="1" applyFill="1" applyBorder="1" applyAlignment="1">
      <alignment horizontal="left" vertical="center" wrapText="1"/>
    </xf>
    <xf numFmtId="0" fontId="43" fillId="5" borderId="16" xfId="15" applyFont="1" applyFill="1" applyBorder="1" applyAlignment="1">
      <alignment wrapText="1"/>
    </xf>
    <xf numFmtId="0" fontId="43" fillId="5" borderId="18" xfId="15" applyFont="1" applyFill="1" applyBorder="1" applyAlignment="1">
      <alignment wrapText="1"/>
    </xf>
    <xf numFmtId="0" fontId="24" fillId="0" borderId="16" xfId="15" applyFont="1" applyFill="1" applyBorder="1" applyAlignment="1">
      <alignment wrapText="1"/>
    </xf>
    <xf numFmtId="0" fontId="24" fillId="0" borderId="18" xfId="15" applyFont="1" applyFill="1" applyBorder="1" applyAlignment="1">
      <alignment wrapText="1"/>
    </xf>
    <xf numFmtId="165" fontId="24" fillId="0" borderId="21" xfId="13" applyNumberFormat="1" applyFont="1" applyFill="1" applyBorder="1" applyAlignment="1">
      <alignment vertical="center" wrapText="1"/>
    </xf>
    <xf numFmtId="165" fontId="24" fillId="0" borderId="0" xfId="13" applyNumberFormat="1" applyFont="1" applyFill="1" applyBorder="1" applyAlignment="1">
      <alignment vertical="center" wrapText="1"/>
    </xf>
    <xf numFmtId="0" fontId="24" fillId="0" borderId="9" xfId="15" applyFont="1" applyFill="1" applyBorder="1" applyAlignment="1">
      <alignment horizontal="left" vertical="center" wrapText="1"/>
    </xf>
    <xf numFmtId="0" fontId="24" fillId="0" borderId="19" xfId="15" applyFont="1" applyFill="1" applyBorder="1" applyAlignment="1">
      <alignment horizontal="left" vertical="center" wrapText="1"/>
    </xf>
    <xf numFmtId="0" fontId="24" fillId="0" borderId="27" xfId="15" applyFont="1" applyFill="1" applyBorder="1" applyAlignment="1">
      <alignment horizontal="left" vertical="center" wrapText="1"/>
    </xf>
    <xf numFmtId="165" fontId="24" fillId="0" borderId="16" xfId="13" applyNumberFormat="1" applyFont="1" applyFill="1" applyBorder="1" applyAlignment="1">
      <alignment vertical="center" wrapText="1"/>
    </xf>
    <xf numFmtId="165" fontId="24" fillId="0" borderId="17" xfId="13" applyNumberFormat="1" applyFont="1" applyFill="1" applyBorder="1" applyAlignment="1">
      <alignment vertical="center" wrapText="1"/>
    </xf>
    <xf numFmtId="165" fontId="24" fillId="0" borderId="18" xfId="13" applyNumberFormat="1" applyFont="1" applyFill="1" applyBorder="1" applyAlignment="1">
      <alignment vertical="center" wrapText="1"/>
    </xf>
    <xf numFmtId="165" fontId="0" fillId="0" borderId="9" xfId="0" applyNumberFormat="1" applyFont="1" applyFill="1" applyBorder="1" applyAlignment="1">
      <alignment horizontal="left" vertical="center" wrapText="1"/>
    </xf>
    <xf numFmtId="0" fontId="0" fillId="0" borderId="9" xfId="0" applyFont="1" applyFill="1" applyBorder="1" applyAlignment="1">
      <alignment horizontal="left" vertical="center" wrapText="1"/>
    </xf>
    <xf numFmtId="165" fontId="24" fillId="0" borderId="17" xfId="7" applyNumberFormat="1" applyFont="1" applyFill="1" applyBorder="1" applyAlignment="1">
      <alignment horizontal="left" vertical="center" wrapText="1"/>
    </xf>
    <xf numFmtId="165" fontId="65" fillId="0" borderId="9" xfId="15" applyNumberFormat="1" applyFont="1" applyFill="1" applyBorder="1" applyAlignment="1">
      <alignment horizontal="left" vertical="center"/>
    </xf>
    <xf numFmtId="0" fontId="43" fillId="0" borderId="9" xfId="15" applyFont="1" applyBorder="1" applyAlignment="1">
      <alignment horizontal="left" vertical="center" wrapText="1"/>
    </xf>
    <xf numFmtId="0" fontId="43" fillId="0" borderId="16" xfId="15" applyFont="1" applyBorder="1" applyAlignment="1">
      <alignment wrapText="1"/>
    </xf>
    <xf numFmtId="0" fontId="43" fillId="0" borderId="18" xfId="15" applyFont="1" applyBorder="1" applyAlignment="1">
      <alignment wrapText="1"/>
    </xf>
    <xf numFmtId="0" fontId="24" fillId="0" borderId="16" xfId="0" applyFont="1" applyBorder="1" applyAlignment="1">
      <alignment horizontal="left" vertical="center" wrapText="1"/>
    </xf>
    <xf numFmtId="0" fontId="24" fillId="0" borderId="18" xfId="0" applyFont="1" applyBorder="1" applyAlignment="1">
      <alignment horizontal="left" vertical="center" wrapText="1"/>
    </xf>
    <xf numFmtId="0" fontId="43" fillId="0" borderId="16" xfId="15" applyFont="1" applyFill="1" applyBorder="1" applyAlignment="1">
      <alignment horizontal="left"/>
    </xf>
    <xf numFmtId="0" fontId="43" fillId="0" borderId="17" xfId="15" applyFont="1" applyFill="1" applyBorder="1" applyAlignment="1">
      <alignment horizontal="left"/>
    </xf>
    <xf numFmtId="0" fontId="43" fillId="0" borderId="18" xfId="15" applyFont="1" applyFill="1" applyBorder="1" applyAlignment="1">
      <alignment horizontal="left"/>
    </xf>
    <xf numFmtId="165" fontId="24" fillId="0" borderId="25" xfId="7" applyNumberFormat="1" applyFont="1" applyFill="1" applyBorder="1" applyAlignment="1">
      <alignment vertical="center" wrapText="1"/>
    </xf>
    <xf numFmtId="165" fontId="24" fillId="0" borderId="56" xfId="7" applyNumberFormat="1" applyFont="1" applyFill="1" applyBorder="1" applyAlignment="1">
      <alignment vertical="center" wrapText="1"/>
    </xf>
    <xf numFmtId="165" fontId="24" fillId="0" borderId="19" xfId="13" applyNumberFormat="1" applyFont="1" applyFill="1" applyBorder="1" applyAlignment="1">
      <alignment horizontal="left" vertical="center" wrapText="1"/>
    </xf>
    <xf numFmtId="165" fontId="24" fillId="0" borderId="24" xfId="13" applyNumberFormat="1" applyFont="1" applyFill="1" applyBorder="1" applyAlignment="1">
      <alignment horizontal="left" vertical="center" wrapText="1"/>
    </xf>
    <xf numFmtId="165" fontId="24" fillId="0" borderId="27" xfId="13" applyNumberFormat="1" applyFont="1" applyFill="1" applyBorder="1" applyAlignment="1">
      <alignment horizontal="left" vertical="center" wrapText="1"/>
    </xf>
    <xf numFmtId="165" fontId="1" fillId="0" borderId="19" xfId="13" applyNumberFormat="1" applyFont="1" applyFill="1" applyBorder="1" applyAlignment="1">
      <alignment horizontal="left" vertical="center" wrapText="1"/>
    </xf>
    <xf numFmtId="165" fontId="1" fillId="0" borderId="24" xfId="13" applyNumberFormat="1" applyFont="1" applyFill="1" applyBorder="1" applyAlignment="1">
      <alignment horizontal="left" vertical="center" wrapText="1"/>
    </xf>
    <xf numFmtId="165" fontId="1" fillId="0" borderId="27" xfId="13" applyNumberFormat="1" applyFont="1" applyFill="1" applyBorder="1" applyAlignment="1">
      <alignment horizontal="left" vertical="center" wrapText="1"/>
    </xf>
    <xf numFmtId="165" fontId="24" fillId="0" borderId="16" xfId="13" applyNumberFormat="1" applyFont="1" applyFill="1" applyBorder="1" applyAlignment="1">
      <alignment horizontal="center" vertical="center" wrapText="1"/>
    </xf>
    <xf numFmtId="0" fontId="24" fillId="12" borderId="28" xfId="0" applyFont="1" applyFill="1" applyBorder="1" applyAlignment="1">
      <alignment horizontal="center" vertical="center" wrapText="1"/>
    </xf>
    <xf numFmtId="0" fontId="24" fillId="12" borderId="23" xfId="0" applyFont="1" applyFill="1" applyBorder="1" applyAlignment="1">
      <alignment horizontal="center" vertical="center" wrapText="1"/>
    </xf>
    <xf numFmtId="9" fontId="24" fillId="0" borderId="9" xfId="3" applyFont="1" applyFill="1" applyBorder="1" applyAlignment="1">
      <alignment horizontal="left" vertical="center" wrapText="1"/>
    </xf>
    <xf numFmtId="165" fontId="24" fillId="0" borderId="9" xfId="13" applyNumberFormat="1" applyFont="1" applyFill="1" applyBorder="1" applyAlignment="1">
      <alignment horizontal="center" vertical="center" wrapText="1"/>
    </xf>
    <xf numFmtId="165" fontId="1" fillId="0" borderId="9" xfId="13" applyNumberFormat="1" applyFont="1" applyFill="1" applyBorder="1" applyAlignment="1">
      <alignment horizontal="left" vertical="center" wrapText="1"/>
    </xf>
    <xf numFmtId="165" fontId="24" fillId="0" borderId="17" xfId="13" applyNumberFormat="1" applyFont="1" applyFill="1" applyBorder="1" applyAlignment="1">
      <alignment horizontal="center" vertical="center" wrapText="1"/>
    </xf>
    <xf numFmtId="165" fontId="24" fillId="0" borderId="18" xfId="13" applyNumberFormat="1" applyFont="1" applyFill="1" applyBorder="1" applyAlignment="1">
      <alignment horizontal="center" vertical="center" wrapText="1"/>
    </xf>
    <xf numFmtId="165" fontId="24" fillId="0" borderId="19" xfId="15" applyNumberFormat="1" applyFont="1" applyFill="1" applyBorder="1" applyAlignment="1">
      <alignment horizontal="left" vertical="center"/>
    </xf>
    <xf numFmtId="0" fontId="24" fillId="0" borderId="24" xfId="15" applyFont="1" applyFill="1" applyBorder="1" applyAlignment="1">
      <alignment horizontal="left" vertical="center"/>
    </xf>
    <xf numFmtId="0" fontId="24" fillId="0" borderId="27" xfId="15" applyFont="1" applyFill="1" applyBorder="1" applyAlignment="1">
      <alignment horizontal="left" vertical="center"/>
    </xf>
    <xf numFmtId="0" fontId="0" fillId="0" borderId="19" xfId="15" applyFont="1" applyBorder="1" applyAlignment="1">
      <alignment horizontal="left" vertical="center" wrapText="1"/>
    </xf>
    <xf numFmtId="0" fontId="1" fillId="0" borderId="24" xfId="15" applyFont="1" applyBorder="1" applyAlignment="1">
      <alignment horizontal="left" vertical="center" wrapText="1"/>
    </xf>
    <xf numFmtId="0" fontId="0" fillId="0" borderId="24" xfId="0" applyBorder="1" applyAlignment="1">
      <alignment horizontal="left" vertical="center" wrapText="1"/>
    </xf>
    <xf numFmtId="0" fontId="0" fillId="0" borderId="27" xfId="0" applyBorder="1" applyAlignment="1">
      <alignment horizontal="left" vertical="center" wrapText="1"/>
    </xf>
    <xf numFmtId="0" fontId="24" fillId="0" borderId="19" xfId="15" applyFont="1" applyFill="1" applyBorder="1" applyAlignment="1">
      <alignment horizontal="left" vertical="center"/>
    </xf>
    <xf numFmtId="0" fontId="24" fillId="0" borderId="9" xfId="0" applyFont="1" applyFill="1" applyBorder="1" applyAlignment="1">
      <alignment vertical="center" wrapText="1"/>
    </xf>
    <xf numFmtId="0" fontId="24" fillId="0" borderId="24" xfId="15" applyFont="1" applyBorder="1" applyAlignment="1">
      <alignment horizontal="left" vertical="center" wrapText="1"/>
    </xf>
    <xf numFmtId="0" fontId="0" fillId="0" borderId="24" xfId="15" applyFont="1" applyBorder="1" applyAlignment="1">
      <alignment horizontal="left" vertical="center" wrapText="1"/>
    </xf>
    <xf numFmtId="0" fontId="0" fillId="0" borderId="27" xfId="15" applyFont="1" applyBorder="1" applyAlignment="1">
      <alignment horizontal="left" vertical="center" wrapText="1"/>
    </xf>
    <xf numFmtId="0" fontId="24" fillId="5" borderId="16" xfId="15" applyFont="1" applyFill="1" applyBorder="1" applyAlignment="1">
      <alignment wrapText="1"/>
    </xf>
    <xf numFmtId="0" fontId="24" fillId="0" borderId="22" xfId="15" applyFont="1" applyFill="1" applyBorder="1" applyAlignment="1">
      <alignment wrapText="1"/>
    </xf>
    <xf numFmtId="0" fontId="24" fillId="0" borderId="28" xfId="15" applyFont="1" applyFill="1" applyBorder="1" applyAlignment="1">
      <alignment wrapText="1"/>
    </xf>
    <xf numFmtId="0" fontId="24" fillId="0" borderId="0" xfId="15" applyFont="1" applyBorder="1" applyAlignment="1">
      <alignment horizontal="left" vertical="center" wrapText="1"/>
    </xf>
    <xf numFmtId="0" fontId="65" fillId="0" borderId="19" xfId="15" applyFont="1" applyBorder="1" applyAlignment="1">
      <alignment horizontal="left" vertical="center"/>
    </xf>
    <xf numFmtId="0" fontId="65" fillId="0" borderId="24" xfId="15" applyFont="1" applyBorder="1" applyAlignment="1">
      <alignment horizontal="left" vertical="center"/>
    </xf>
    <xf numFmtId="0" fontId="65" fillId="0" borderId="21" xfId="15" applyFont="1" applyBorder="1" applyAlignment="1">
      <alignment horizontal="left" vertical="center"/>
    </xf>
    <xf numFmtId="0" fontId="65" fillId="0" borderId="27" xfId="15" applyFont="1" applyBorder="1" applyAlignment="1">
      <alignment horizontal="left" vertical="center"/>
    </xf>
    <xf numFmtId="0" fontId="65" fillId="0" borderId="21" xfId="15" applyFont="1" applyFill="1" applyBorder="1" applyAlignment="1">
      <alignment horizontal="left" vertical="center"/>
    </xf>
    <xf numFmtId="0" fontId="58" fillId="5" borderId="19" xfId="15" applyFont="1" applyFill="1" applyBorder="1" applyAlignment="1">
      <alignment horizontal="left" vertical="center"/>
    </xf>
    <xf numFmtId="0" fontId="58" fillId="5" borderId="24" xfId="15" applyFont="1" applyFill="1" applyBorder="1" applyAlignment="1">
      <alignment horizontal="left" vertical="center"/>
    </xf>
    <xf numFmtId="0" fontId="58" fillId="5" borderId="27" xfId="15" applyFont="1" applyFill="1" applyBorder="1" applyAlignment="1">
      <alignment horizontal="left" vertical="center"/>
    </xf>
    <xf numFmtId="0" fontId="24" fillId="0" borderId="19" xfId="15" applyFont="1" applyBorder="1" applyAlignment="1">
      <alignment horizontal="left" vertical="center"/>
    </xf>
    <xf numFmtId="0" fontId="24" fillId="0" borderId="24" xfId="15" applyFont="1" applyBorder="1" applyAlignment="1">
      <alignment horizontal="left" vertical="center"/>
    </xf>
    <xf numFmtId="0" fontId="65" fillId="0" borderId="9" xfId="15" applyFont="1" applyFill="1" applyBorder="1" applyAlignment="1">
      <alignment horizontal="left" vertical="center"/>
    </xf>
    <xf numFmtId="0" fontId="24" fillId="0" borderId="0" xfId="15" applyFont="1" applyBorder="1" applyAlignment="1">
      <alignment horizontal="center" vertical="center" wrapText="1"/>
    </xf>
    <xf numFmtId="0" fontId="24" fillId="0" borderId="66" xfId="15" applyFont="1" applyBorder="1" applyAlignment="1">
      <alignment horizontal="center" vertical="center" wrapText="1"/>
    </xf>
    <xf numFmtId="0" fontId="24" fillId="0" borderId="33" xfId="15" applyFont="1" applyBorder="1" applyAlignment="1">
      <alignment horizontal="center" vertical="center" wrapText="1"/>
    </xf>
    <xf numFmtId="165" fontId="24" fillId="5" borderId="19" xfId="13" applyNumberFormat="1" applyFont="1" applyFill="1" applyBorder="1" applyAlignment="1">
      <alignment horizontal="left" vertical="center" wrapText="1"/>
    </xf>
    <xf numFmtId="0" fontId="0" fillId="5" borderId="24" xfId="0" applyFill="1" applyBorder="1" applyAlignment="1">
      <alignment horizontal="left" vertical="center" wrapText="1"/>
    </xf>
    <xf numFmtId="0" fontId="0" fillId="5" borderId="27" xfId="0" applyFill="1" applyBorder="1" applyAlignment="1">
      <alignment horizontal="left" vertical="center" wrapText="1"/>
    </xf>
    <xf numFmtId="0" fontId="24" fillId="0" borderId="24" xfId="0" applyFont="1" applyFill="1" applyBorder="1" applyAlignment="1">
      <alignment horizontal="left" vertical="center" wrapText="1"/>
    </xf>
    <xf numFmtId="0" fontId="24" fillId="11" borderId="9" xfId="0" applyFont="1" applyFill="1" applyBorder="1" applyAlignment="1">
      <alignment horizontal="left"/>
    </xf>
    <xf numFmtId="165" fontId="24" fillId="0" borderId="25" xfId="13" applyNumberFormat="1" applyFont="1" applyFill="1" applyBorder="1" applyAlignment="1">
      <alignment horizontal="left" vertical="center" wrapText="1"/>
    </xf>
    <xf numFmtId="0" fontId="17" fillId="0" borderId="0" xfId="6" applyFont="1" applyFill="1" applyBorder="1" applyAlignment="1">
      <alignment vertical="center" wrapText="1"/>
    </xf>
    <xf numFmtId="0" fontId="36" fillId="0" borderId="0" xfId="0" applyFont="1" applyFill="1" applyBorder="1" applyAlignment="1">
      <alignment vertical="center" wrapText="1"/>
    </xf>
    <xf numFmtId="0" fontId="0" fillId="0" borderId="0" xfId="0" applyFill="1" applyBorder="1" applyAlignment="1">
      <alignment vertical="center" wrapText="1"/>
    </xf>
    <xf numFmtId="0" fontId="24" fillId="12" borderId="18" xfId="0" applyFont="1" applyFill="1" applyBorder="1" applyAlignment="1">
      <alignment horizontal="left" vertical="center" wrapText="1"/>
    </xf>
    <xf numFmtId="0" fontId="24" fillId="12" borderId="9" xfId="0" applyFont="1" applyFill="1" applyBorder="1" applyAlignment="1">
      <alignment horizontal="left" vertical="center" wrapText="1"/>
    </xf>
    <xf numFmtId="0" fontId="24" fillId="0" borderId="18" xfId="0" applyFont="1" applyBorder="1" applyAlignment="1">
      <alignment vertical="center" wrapText="1"/>
    </xf>
    <xf numFmtId="165" fontId="24" fillId="0" borderId="16" xfId="7" applyNumberFormat="1" applyFont="1" applyFill="1" applyBorder="1" applyAlignment="1">
      <alignment horizontal="center"/>
    </xf>
    <xf numFmtId="171" fontId="24" fillId="0" borderId="16" xfId="13" applyNumberFormat="1" applyFont="1" applyFill="1" applyBorder="1" applyAlignment="1">
      <alignment horizontal="center"/>
    </xf>
    <xf numFmtId="3" fontId="24" fillId="0" borderId="9" xfId="0" applyNumberFormat="1" applyFont="1" applyBorder="1" applyAlignment="1">
      <alignment horizontal="left" vertical="center" wrapText="1"/>
    </xf>
    <xf numFmtId="3" fontId="24" fillId="5" borderId="9" xfId="0" applyNumberFormat="1" applyFont="1" applyFill="1" applyBorder="1" applyAlignment="1">
      <alignment horizontal="left" vertical="center" wrapText="1"/>
    </xf>
    <xf numFmtId="0" fontId="44" fillId="0" borderId="19" xfId="15" applyFont="1" applyFill="1" applyBorder="1" applyAlignment="1">
      <alignment horizontal="left" vertical="center" wrapText="1"/>
    </xf>
    <xf numFmtId="0" fontId="24" fillId="0" borderId="24" xfId="0" applyFont="1" applyBorder="1" applyAlignment="1">
      <alignment horizontal="left" vertical="center" wrapText="1"/>
    </xf>
    <xf numFmtId="0" fontId="24" fillId="0" borderId="27" xfId="0" applyFont="1" applyBorder="1" applyAlignment="1">
      <alignment horizontal="left" vertical="center" wrapText="1"/>
    </xf>
    <xf numFmtId="168" fontId="24" fillId="0" borderId="16" xfId="6" applyNumberFormat="1" applyFont="1" applyBorder="1" applyAlignment="1">
      <alignment horizontal="left" vertical="center" wrapText="1"/>
    </xf>
    <xf numFmtId="168" fontId="24" fillId="0" borderId="18" xfId="6" applyNumberFormat="1" applyFont="1" applyBorder="1" applyAlignment="1">
      <alignment horizontal="left" vertical="center" wrapText="1"/>
    </xf>
    <xf numFmtId="165" fontId="24" fillId="5" borderId="19" xfId="15" applyNumberFormat="1" applyFont="1" applyFill="1" applyBorder="1" applyAlignment="1">
      <alignment horizontal="left" vertical="center" wrapText="1"/>
    </xf>
    <xf numFmtId="0" fontId="43" fillId="5" borderId="9" xfId="15" applyFont="1" applyFill="1" applyBorder="1" applyAlignment="1">
      <alignment horizontal="left" vertical="center"/>
    </xf>
    <xf numFmtId="0" fontId="43" fillId="5" borderId="9" xfId="15" applyFont="1" applyFill="1" applyBorder="1" applyAlignment="1">
      <alignment horizontal="left"/>
    </xf>
    <xf numFmtId="165" fontId="24" fillId="5" borderId="9" xfId="15" applyNumberFormat="1" applyFont="1" applyFill="1" applyBorder="1" applyAlignment="1">
      <alignment horizontal="left" vertical="center" wrapText="1"/>
    </xf>
    <xf numFmtId="0" fontId="24" fillId="5" borderId="9" xfId="15" applyFont="1" applyFill="1" applyBorder="1" applyAlignment="1">
      <alignment horizontal="left" vertical="center" wrapText="1"/>
    </xf>
    <xf numFmtId="0" fontId="24" fillId="0" borderId="9" xfId="0" applyFont="1" applyBorder="1" applyAlignment="1">
      <alignment horizontal="left" wrapText="1"/>
    </xf>
    <xf numFmtId="0" fontId="44" fillId="5" borderId="9" xfId="15" applyFont="1" applyFill="1" applyBorder="1" applyAlignment="1">
      <alignment horizontal="left" vertical="center" wrapText="1"/>
    </xf>
    <xf numFmtId="0" fontId="24" fillId="5" borderId="0" xfId="15" applyFont="1" applyFill="1" applyBorder="1" applyAlignment="1">
      <alignment horizontal="center" vertical="center" wrapText="1"/>
    </xf>
    <xf numFmtId="0" fontId="24" fillId="12" borderId="19" xfId="6" applyFont="1" applyFill="1" applyBorder="1" applyAlignment="1">
      <alignment horizontal="left" vertical="center" wrapText="1"/>
    </xf>
    <xf numFmtId="0" fontId="24" fillId="0" borderId="19" xfId="0" applyFont="1" applyBorder="1" applyAlignment="1"/>
    <xf numFmtId="0" fontId="44" fillId="5" borderId="9" xfId="15" applyFont="1" applyFill="1" applyBorder="1" applyAlignment="1">
      <alignment horizontal="left" vertical="center"/>
    </xf>
    <xf numFmtId="165" fontId="65" fillId="0" borderId="19" xfId="15" applyNumberFormat="1" applyFont="1" applyFill="1" applyBorder="1" applyAlignment="1">
      <alignment horizontal="left" vertical="center"/>
    </xf>
    <xf numFmtId="0" fontId="24" fillId="0" borderId="24" xfId="0" applyFont="1" applyBorder="1" applyAlignment="1">
      <alignment horizontal="left" vertical="center"/>
    </xf>
    <xf numFmtId="0" fontId="24" fillId="0" borderId="27" xfId="0" applyFont="1" applyBorder="1" applyAlignment="1">
      <alignment horizontal="left" vertical="center"/>
    </xf>
    <xf numFmtId="165" fontId="24" fillId="0" borderId="19" xfId="7" applyNumberFormat="1" applyFont="1" applyFill="1" applyBorder="1" applyAlignment="1">
      <alignment horizontal="left" vertical="center" wrapText="1"/>
    </xf>
    <xf numFmtId="165" fontId="65" fillId="0" borderId="9" xfId="15" applyNumberFormat="1" applyFont="1" applyBorder="1" applyAlignment="1">
      <alignment horizontal="left" vertical="center"/>
    </xf>
    <xf numFmtId="0" fontId="65" fillId="0" borderId="9" xfId="15" applyFont="1" applyBorder="1" applyAlignment="1">
      <alignment horizontal="left" vertical="center"/>
    </xf>
    <xf numFmtId="168" fontId="0" fillId="0" borderId="9" xfId="6" applyNumberFormat="1" applyFont="1" applyBorder="1" applyAlignment="1">
      <alignment horizontal="left" vertical="top" wrapText="1"/>
    </xf>
    <xf numFmtId="0" fontId="0" fillId="0" borderId="0" xfId="0" applyAlignment="1">
      <alignment horizontal="left" wrapText="1"/>
    </xf>
    <xf numFmtId="0" fontId="0" fillId="0" borderId="0" xfId="0" applyAlignment="1">
      <alignment wrapText="1"/>
    </xf>
  </cellXfs>
  <cellStyles count="17">
    <cellStyle name="Bad" xfId="4" builtinId="27"/>
    <cellStyle name="Comma" xfId="1" builtinId="3"/>
    <cellStyle name="Comma 2 4" xfId="9"/>
    <cellStyle name="Currency" xfId="2" builtinId="4"/>
    <cellStyle name="Currency 2 2 2 5" xfId="10"/>
    <cellStyle name="Hyperlink" xfId="16" builtinId="8"/>
    <cellStyle name="Input" xfId="5" builtinId="20"/>
    <cellStyle name="Neutral 2" xfId="14"/>
    <cellStyle name="Normal" xfId="0" builtinId="0"/>
    <cellStyle name="Normal 2 2 2 2 33" xfId="13"/>
    <cellStyle name="Normal 2 4 21" xfId="7"/>
    <cellStyle name="Normal 20 11" xfId="6"/>
    <cellStyle name="Normal 3 40" xfId="12"/>
    <cellStyle name="Normal 3 56" xfId="15"/>
    <cellStyle name="Percent" xfId="3" builtinId="5"/>
    <cellStyle name="Percent 2 2" xfId="11"/>
    <cellStyle name="Percent 8 12" xfId="8"/>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9.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3</xdr:col>
      <xdr:colOff>34018</xdr:colOff>
      <xdr:row>30</xdr:row>
      <xdr:rowOff>11453</xdr:rowOff>
    </xdr:from>
    <xdr:to>
      <xdr:col>4</xdr:col>
      <xdr:colOff>4340678</xdr:colOff>
      <xdr:row>33</xdr:row>
      <xdr:rowOff>104320</xdr:rowOff>
    </xdr:to>
    <mc:AlternateContent xmlns:mc="http://schemas.openxmlformats.org/markup-compatibility/2006" xmlns:a14="http://schemas.microsoft.com/office/drawing/2010/main">
      <mc:Choice Requires="a14">
        <xdr:sp macro="" textlink="">
          <xdr:nvSpPr>
            <xdr:cNvPr id="2" name="TextBox 1"/>
            <xdr:cNvSpPr txBox="1"/>
          </xdr:nvSpPr>
          <xdr:spPr>
            <a:xfrm>
              <a:off x="2205718" y="8526803"/>
              <a:ext cx="5363935" cy="664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b="0" i="1" baseline="0">
                                <a:solidFill>
                                  <a:schemeClr val="tx1"/>
                                </a:solidFill>
                                <a:effectLst/>
                                <a:latin typeface="Book Antiqua" panose="02040602050305030304" pitchFamily="18" charset="0"/>
                                <a:ea typeface="+mn-ea"/>
                                <a:cs typeface="+mn-cs"/>
                              </a:rPr>
                              <m:t>Hours</m:t>
                            </m:r>
                            <m:r>
                              <m:rPr>
                                <m:nor/>
                              </m:rPr>
                              <a:rPr lang="en-US" sz="1400" b="0" i="1" baseline="0">
                                <a:solidFill>
                                  <a:schemeClr val="tx1"/>
                                </a:solidFill>
                                <a:effectLst/>
                                <a:latin typeface="Book Antiqua" panose="02040602050305030304" pitchFamily="18" charset="0"/>
                                <a:ea typeface="+mn-ea"/>
                                <a:cs typeface="+mn-cs"/>
                              </a:rPr>
                              <m:t> ∗ </m:t>
                            </m:r>
                            <m:r>
                              <m:rPr>
                                <m:nor/>
                              </m:rPr>
                              <a:rPr lang="en-US" sz="1100" i="1" baseline="0">
                                <a:solidFill>
                                  <a:schemeClr val="tx1"/>
                                </a:solidFill>
                                <a:effectLst/>
                                <a:latin typeface="+mn-lt"/>
                                <a:ea typeface="+mn-ea"/>
                                <a:cs typeface="+mn-cs"/>
                              </a:rPr>
                              <m:t>WHF</m:t>
                            </m:r>
                            <m:r>
                              <m:rPr>
                                <m:nor/>
                              </m:rPr>
                              <a:rPr lang="en-US" sz="1100" b="0" i="1" baseline="0">
                                <a:solidFill>
                                  <a:schemeClr val="tx1"/>
                                </a:solidFill>
                                <a:effectLst/>
                                <a:latin typeface="+mn-lt"/>
                                <a:ea typeface="+mn-ea"/>
                                <a:cs typeface="+mn-cs"/>
                              </a:rPr>
                              <m:t>e</m:t>
                            </m:r>
                            <m:r>
                              <m:rPr>
                                <m:nor/>
                              </m:rPr>
                              <a:rPr lang="en-US" sz="1100" b="0" i="1" baseline="0">
                                <a:solidFill>
                                  <a:schemeClr val="tx1"/>
                                </a:solidFill>
                                <a:effectLst/>
                                <a:latin typeface="+mn-lt"/>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2" name="TextBox 1"/>
            <xdr:cNvSpPr txBox="1"/>
          </xdr:nvSpPr>
          <xdr:spPr>
            <a:xfrm>
              <a:off x="2205718" y="8526803"/>
              <a:ext cx="5363935" cy="664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a:t>
              </a:r>
              <a:r>
                <a:rPr lang="en-US" sz="1400" b="0" i="0" baseline="0">
                  <a:solidFill>
                    <a:schemeClr val="tx1"/>
                  </a:solidFill>
                  <a:effectLst/>
                  <a:latin typeface="Book Antiqua" panose="02040602050305030304" pitchFamily="18" charset="0"/>
                  <a:ea typeface="+mn-ea"/>
                  <a:cs typeface="+mn-cs"/>
                </a:rPr>
                <a:t>Hours ∗ </a:t>
              </a:r>
              <a:r>
                <a:rPr lang="en-US" sz="1100" i="0" baseline="0">
                  <a:solidFill>
                    <a:schemeClr val="tx1"/>
                  </a:solidFill>
                  <a:effectLst/>
                  <a:latin typeface="+mn-lt"/>
                  <a:ea typeface="+mn-ea"/>
                  <a:cs typeface="+mn-cs"/>
                </a:rPr>
                <a:t>WHF</a:t>
              </a:r>
              <a:r>
                <a:rPr lang="en-US" sz="1100" b="0" i="0" baseline="0">
                  <a:solidFill>
                    <a:schemeClr val="tx1"/>
                  </a:solidFill>
                  <a:effectLst/>
                  <a:latin typeface="+mn-lt"/>
                  <a:ea typeface="+mn-ea"/>
                  <a:cs typeface="+mn-cs"/>
                </a:rPr>
                <a:t>e ∗ </a:t>
              </a:r>
              <a:r>
                <a:rPr lang="en-US" sz="1400" i="0" baseline="0">
                  <a:solidFill>
                    <a:schemeClr val="tx1"/>
                  </a:solidFill>
                  <a:effectLst/>
                  <a:latin typeface="Book Antiqua" panose="02040602050305030304" pitchFamily="18" charset="0"/>
                  <a:ea typeface="+mn-ea"/>
                  <a:cs typeface="+mn-cs"/>
                </a:rPr>
                <a:t>ISR </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735013</xdr:colOff>
      <xdr:row>112</xdr:row>
      <xdr:rowOff>142869</xdr:rowOff>
    </xdr:from>
    <xdr:to>
      <xdr:col>5</xdr:col>
      <xdr:colOff>137972</xdr:colOff>
      <xdr:row>114</xdr:row>
      <xdr:rowOff>50255</xdr:rowOff>
    </xdr:to>
    <mc:AlternateContent xmlns:mc="http://schemas.openxmlformats.org/markup-compatibility/2006" xmlns:a14="http://schemas.microsoft.com/office/drawing/2010/main">
      <mc:Choice Requires="a14">
        <xdr:sp macro="" textlink="">
          <xdr:nvSpPr>
            <xdr:cNvPr id="3" name="TextBox 2"/>
            <xdr:cNvSpPr txBox="1"/>
          </xdr:nvSpPr>
          <xdr:spPr>
            <a:xfrm>
              <a:off x="2906713" y="25222194"/>
              <a:ext cx="5279884" cy="2883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oMath>
              </a14:m>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Choice>
      <mc:Fallback xmlns="">
        <xdr:sp macro="" textlink="">
          <xdr:nvSpPr>
            <xdr:cNvPr id="3" name="TextBox 2"/>
            <xdr:cNvSpPr txBox="1"/>
          </xdr:nvSpPr>
          <xdr:spPr>
            <a:xfrm>
              <a:off x="2906713" y="25222194"/>
              <a:ext cx="5279884" cy="2883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Fallback>
    </mc:AlternateContent>
    <xdr:clientData/>
  </xdr:twoCellAnchor>
  <xdr:twoCellAnchor>
    <xdr:from>
      <xdr:col>3</xdr:col>
      <xdr:colOff>754824</xdr:colOff>
      <xdr:row>115</xdr:row>
      <xdr:rowOff>95247</xdr:rowOff>
    </xdr:from>
    <xdr:to>
      <xdr:col>6</xdr:col>
      <xdr:colOff>603715</xdr:colOff>
      <xdr:row>117</xdr:row>
      <xdr:rowOff>152572</xdr:rowOff>
    </xdr:to>
    <mc:AlternateContent xmlns:mc="http://schemas.openxmlformats.org/markup-compatibility/2006" xmlns:a14="http://schemas.microsoft.com/office/drawing/2010/main">
      <mc:Choice Requires="a14">
        <xdr:sp macro="" textlink="">
          <xdr:nvSpPr>
            <xdr:cNvPr id="4" name="TextBox 3"/>
            <xdr:cNvSpPr txBox="1"/>
          </xdr:nvSpPr>
          <xdr:spPr>
            <a:xfrm>
              <a:off x="2926524" y="25746072"/>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 name="TextBox 3"/>
            <xdr:cNvSpPr txBox="1"/>
          </xdr:nvSpPr>
          <xdr:spPr>
            <a:xfrm>
              <a:off x="2926524" y="25746072"/>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90149</xdr:colOff>
      <xdr:row>33</xdr:row>
      <xdr:rowOff>115661</xdr:rowOff>
    </xdr:from>
    <xdr:to>
      <xdr:col>5</xdr:col>
      <xdr:colOff>932461</xdr:colOff>
      <xdr:row>35</xdr:row>
      <xdr:rowOff>172986</xdr:rowOff>
    </xdr:to>
    <mc:AlternateContent xmlns:mc="http://schemas.openxmlformats.org/markup-compatibility/2006" xmlns:a14="http://schemas.microsoft.com/office/drawing/2010/main">
      <mc:Choice Requires="a14">
        <xdr:sp macro="" textlink="">
          <xdr:nvSpPr>
            <xdr:cNvPr id="5" name="TextBox 4"/>
            <xdr:cNvSpPr txBox="1"/>
          </xdr:nvSpPr>
          <xdr:spPr>
            <a:xfrm>
              <a:off x="2261849" y="9202511"/>
              <a:ext cx="6719237"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 name="TextBox 4"/>
            <xdr:cNvSpPr txBox="1"/>
          </xdr:nvSpPr>
          <xdr:spPr>
            <a:xfrm>
              <a:off x="2261849" y="9202511"/>
              <a:ext cx="6719237"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145</xdr:row>
      <xdr:rowOff>95247</xdr:rowOff>
    </xdr:from>
    <xdr:to>
      <xdr:col>6</xdr:col>
      <xdr:colOff>603715</xdr:colOff>
      <xdr:row>147</xdr:row>
      <xdr:rowOff>152572</xdr:rowOff>
    </xdr:to>
    <mc:AlternateContent xmlns:mc="http://schemas.openxmlformats.org/markup-compatibility/2006" xmlns:a14="http://schemas.microsoft.com/office/drawing/2010/main">
      <mc:Choice Requires="a14">
        <xdr:sp macro="" textlink="">
          <xdr:nvSpPr>
            <xdr:cNvPr id="6" name="TextBox 5"/>
            <xdr:cNvSpPr txBox="1"/>
          </xdr:nvSpPr>
          <xdr:spPr>
            <a:xfrm>
              <a:off x="2926524" y="31680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xdr:cNvSpPr txBox="1"/>
          </xdr:nvSpPr>
          <xdr:spPr>
            <a:xfrm>
              <a:off x="2926524" y="31680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719417</xdr:colOff>
      <xdr:row>143</xdr:row>
      <xdr:rowOff>69476</xdr:rowOff>
    </xdr:from>
    <xdr:to>
      <xdr:col>4</xdr:col>
      <xdr:colOff>4615571</xdr:colOff>
      <xdr:row>144</xdr:row>
      <xdr:rowOff>129889</xdr:rowOff>
    </xdr:to>
    <mc:AlternateContent xmlns:mc="http://schemas.openxmlformats.org/markup-compatibility/2006" xmlns:a14="http://schemas.microsoft.com/office/drawing/2010/main">
      <mc:Choice Requires="a14">
        <xdr:sp macro="" textlink="">
          <xdr:nvSpPr>
            <xdr:cNvPr id="7" name="TextBox 6"/>
            <xdr:cNvSpPr txBox="1"/>
          </xdr:nvSpPr>
          <xdr:spPr>
            <a:xfrm>
              <a:off x="2891117" y="31273376"/>
              <a:ext cx="4953429" cy="25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xdr:cNvSpPr txBox="1"/>
          </xdr:nvSpPr>
          <xdr:spPr>
            <a:xfrm>
              <a:off x="2891117" y="31273376"/>
              <a:ext cx="4953429" cy="25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754824</xdr:colOff>
      <xdr:row>168</xdr:row>
      <xdr:rowOff>95247</xdr:rowOff>
    </xdr:from>
    <xdr:to>
      <xdr:col>6</xdr:col>
      <xdr:colOff>603715</xdr:colOff>
      <xdr:row>170</xdr:row>
      <xdr:rowOff>152572</xdr:rowOff>
    </xdr:to>
    <mc:AlternateContent xmlns:mc="http://schemas.openxmlformats.org/markup-compatibility/2006" xmlns:a14="http://schemas.microsoft.com/office/drawing/2010/main">
      <mc:Choice Requires="a14">
        <xdr:sp macro="" textlink="">
          <xdr:nvSpPr>
            <xdr:cNvPr id="8" name="TextBox 7"/>
            <xdr:cNvSpPr txBox="1"/>
          </xdr:nvSpPr>
          <xdr:spPr>
            <a:xfrm>
              <a:off x="2926524" y="368236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xdr:cNvSpPr txBox="1"/>
          </xdr:nvSpPr>
          <xdr:spPr>
            <a:xfrm>
              <a:off x="2926524" y="368236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739588</xdr:colOff>
      <xdr:row>165</xdr:row>
      <xdr:rowOff>67236</xdr:rowOff>
    </xdr:from>
    <xdr:to>
      <xdr:col>4</xdr:col>
      <xdr:colOff>5304864</xdr:colOff>
      <xdr:row>168</xdr:row>
      <xdr:rowOff>62754</xdr:rowOff>
    </xdr:to>
    <xdr:pic>
      <xdr:nvPicPr>
        <xdr:cNvPr id="9" name="Picture 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11288" y="36224136"/>
          <a:ext cx="5136776" cy="5670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894362</xdr:colOff>
      <xdr:row>165</xdr:row>
      <xdr:rowOff>27214</xdr:rowOff>
    </xdr:from>
    <xdr:to>
      <xdr:col>11</xdr:col>
      <xdr:colOff>1003591</xdr:colOff>
      <xdr:row>170</xdr:row>
      <xdr:rowOff>17689</xdr:rowOff>
    </xdr:to>
    <xdr:pic>
      <xdr:nvPicPr>
        <xdr:cNvPr id="10" name="Picture 9"/>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33862" y="36184114"/>
          <a:ext cx="5024129"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816428</xdr:colOff>
      <xdr:row>164</xdr:row>
      <xdr:rowOff>176894</xdr:rowOff>
    </xdr:from>
    <xdr:to>
      <xdr:col>19</xdr:col>
      <xdr:colOff>20410</xdr:colOff>
      <xdr:row>170</xdr:row>
      <xdr:rowOff>24494</xdr:rowOff>
    </xdr:to>
    <xdr:pic>
      <xdr:nvPicPr>
        <xdr:cNvPr id="11" name="Picture 10"/>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056803" y="36143294"/>
          <a:ext cx="5461907" cy="99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754824</xdr:colOff>
      <xdr:row>189</xdr:row>
      <xdr:rowOff>95247</xdr:rowOff>
    </xdr:from>
    <xdr:to>
      <xdr:col>6</xdr:col>
      <xdr:colOff>603715</xdr:colOff>
      <xdr:row>191</xdr:row>
      <xdr:rowOff>152572</xdr:rowOff>
    </xdr:to>
    <mc:AlternateContent xmlns:mc="http://schemas.openxmlformats.org/markup-compatibility/2006" xmlns:a14="http://schemas.microsoft.com/office/drawing/2010/main">
      <mc:Choice Requires="a14">
        <xdr:sp macro="" textlink="">
          <xdr:nvSpPr>
            <xdr:cNvPr id="12" name="TextBox 11"/>
            <xdr:cNvSpPr txBox="1"/>
          </xdr:nvSpPr>
          <xdr:spPr>
            <a:xfrm>
              <a:off x="2926524" y="41205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2" name="TextBox 11"/>
            <xdr:cNvSpPr txBox="1"/>
          </xdr:nvSpPr>
          <xdr:spPr>
            <a:xfrm>
              <a:off x="2926524" y="41205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719418</xdr:colOff>
      <xdr:row>185</xdr:row>
      <xdr:rowOff>28655</xdr:rowOff>
    </xdr:from>
    <xdr:to>
      <xdr:col>4</xdr:col>
      <xdr:colOff>3196400</xdr:colOff>
      <xdr:row>189</xdr:row>
      <xdr:rowOff>122873</xdr:rowOff>
    </xdr:to>
    <mc:AlternateContent xmlns:mc="http://schemas.openxmlformats.org/markup-compatibility/2006" xmlns:a14="http://schemas.microsoft.com/office/drawing/2010/main">
      <mc:Choice Requires="a14">
        <xdr:sp macro="" textlink="">
          <xdr:nvSpPr>
            <xdr:cNvPr id="13" name="TextBox 12"/>
            <xdr:cNvSpPr txBox="1"/>
          </xdr:nvSpPr>
          <xdr:spPr>
            <a:xfrm>
              <a:off x="2891118" y="40376555"/>
              <a:ext cx="3534257" cy="8562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𝑄</m:t>
                        </m:r>
                      </m:e>
                      <m:sub>
                        <m:r>
                          <a:rPr lang="en-US" sz="1600" b="0" i="1">
                            <a:latin typeface="Cambria Math" panose="02040503050406030204" pitchFamily="18" charset="0"/>
                            <a:ea typeface="Cambria Math" panose="02040503050406030204" pitchFamily="18" charset="0"/>
                          </a:rPr>
                          <m:t>𝑃𝑜𝑜𝑙𝐻𝑒𝑎𝑡𝑖𝑛𝑔</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eqArr>
                          <m:eqArrPr>
                            <m:ctrlPr>
                              <a:rPr lang="en-US" sz="1600" b="0" i="1">
                                <a:latin typeface="Cambria Math" panose="02040503050406030204" pitchFamily="18" charset="0"/>
                                <a:ea typeface="Cambria Math" panose="02040503050406030204" pitchFamily="18" charset="0"/>
                              </a:rPr>
                            </m:ctrlPr>
                          </m:eqArrPr>
                          <m:e>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𝐸𝐸</m:t>
                                    </m:r>
                                  </m:sub>
                                </m:sSub>
                              </m:den>
                            </m:f>
                          </m:e>
                          <m:e/>
                        </m:eqArr>
                      </m:e>
                    </m:d>
                  </m:oMath>
                </m:oMathPara>
              </a14:m>
              <a:endParaRPr lang="en-US" sz="1600" b="0"/>
            </a:p>
          </xdr:txBody>
        </xdr:sp>
      </mc:Choice>
      <mc:Fallback xmlns="">
        <xdr:sp macro="" textlink="">
          <xdr:nvSpPr>
            <xdr:cNvPr id="13" name="TextBox 12"/>
            <xdr:cNvSpPr txBox="1"/>
          </xdr:nvSpPr>
          <xdr:spPr>
            <a:xfrm>
              <a:off x="2891118" y="40376555"/>
              <a:ext cx="3534257" cy="8562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b="0" i="0">
                  <a:latin typeface="Cambria Math" panose="02040503050406030204" pitchFamily="18" charset="0"/>
                  <a:ea typeface="Cambria Math" panose="02040503050406030204" pitchFamily="18" charset="0"/>
                </a:rPr>
                <a:t>∆𝑘𝑊ℎ=𝑄_𝑃𝑜𝑜𝑙𝐻𝑒𝑎𝑡𝑖𝑛𝑔∗(█(1/〖𝐸𝑓𝑓〗_𝐵𝑎𝑠𝑒 −1/〖𝐸𝑓𝑓〗_𝐸𝐸 @))</a:t>
              </a:r>
              <a:endParaRPr lang="en-US" sz="1600" b="0"/>
            </a:p>
          </xdr:txBody>
        </xdr:sp>
      </mc:Fallback>
    </mc:AlternateContent>
    <xdr:clientData/>
  </xdr:twoCellAnchor>
  <xdr:twoCellAnchor>
    <xdr:from>
      <xdr:col>3</xdr:col>
      <xdr:colOff>754824</xdr:colOff>
      <xdr:row>206</xdr:row>
      <xdr:rowOff>95247</xdr:rowOff>
    </xdr:from>
    <xdr:to>
      <xdr:col>6</xdr:col>
      <xdr:colOff>603715</xdr:colOff>
      <xdr:row>208</xdr:row>
      <xdr:rowOff>152572</xdr:rowOff>
    </xdr:to>
    <mc:AlternateContent xmlns:mc="http://schemas.openxmlformats.org/markup-compatibility/2006" xmlns:a14="http://schemas.microsoft.com/office/drawing/2010/main">
      <mc:Choice Requires="a14">
        <xdr:sp macro="" textlink="">
          <xdr:nvSpPr>
            <xdr:cNvPr id="14" name="TextBox 13"/>
            <xdr:cNvSpPr txBox="1"/>
          </xdr:nvSpPr>
          <xdr:spPr>
            <a:xfrm>
              <a:off x="2926524" y="448246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448246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203</xdr:row>
      <xdr:rowOff>155121</xdr:rowOff>
    </xdr:from>
    <xdr:to>
      <xdr:col>4</xdr:col>
      <xdr:colOff>923120</xdr:colOff>
      <xdr:row>205</xdr:row>
      <xdr:rowOff>56784</xdr:rowOff>
    </xdr:to>
    <mc:AlternateContent xmlns:mc="http://schemas.openxmlformats.org/markup-compatibility/2006" xmlns:a14="http://schemas.microsoft.com/office/drawing/2010/main">
      <mc:Choice Requires="a14">
        <xdr:sp macro="" textlink="">
          <xdr:nvSpPr>
            <xdr:cNvPr id="15" name="TextBox 14"/>
            <xdr:cNvSpPr txBox="1"/>
          </xdr:nvSpPr>
          <xdr:spPr>
            <a:xfrm>
              <a:off x="2911927" y="44313021"/>
              <a:ext cx="1240168" cy="2826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44313021"/>
              <a:ext cx="1240168" cy="2826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754824</xdr:colOff>
      <xdr:row>220</xdr:row>
      <xdr:rowOff>95247</xdr:rowOff>
    </xdr:from>
    <xdr:to>
      <xdr:col>6</xdr:col>
      <xdr:colOff>603715</xdr:colOff>
      <xdr:row>222</xdr:row>
      <xdr:rowOff>152572</xdr:rowOff>
    </xdr:to>
    <mc:AlternateContent xmlns:mc="http://schemas.openxmlformats.org/markup-compatibility/2006" xmlns:a14="http://schemas.microsoft.com/office/drawing/2010/main">
      <mc:Choice Requires="a14">
        <xdr:sp macro="" textlink="">
          <xdr:nvSpPr>
            <xdr:cNvPr id="16" name="TextBox 15"/>
            <xdr:cNvSpPr txBox="1"/>
          </xdr:nvSpPr>
          <xdr:spPr>
            <a:xfrm>
              <a:off x="2926524" y="478726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6" name="TextBox 15"/>
            <xdr:cNvSpPr txBox="1"/>
          </xdr:nvSpPr>
          <xdr:spPr>
            <a:xfrm>
              <a:off x="2926524" y="478726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239</xdr:row>
      <xdr:rowOff>95247</xdr:rowOff>
    </xdr:from>
    <xdr:to>
      <xdr:col>6</xdr:col>
      <xdr:colOff>603715</xdr:colOff>
      <xdr:row>241</xdr:row>
      <xdr:rowOff>152572</xdr:rowOff>
    </xdr:to>
    <mc:AlternateContent xmlns:mc="http://schemas.openxmlformats.org/markup-compatibility/2006" xmlns:a14="http://schemas.microsoft.com/office/drawing/2010/main">
      <mc:Choice Requires="a14">
        <xdr:sp macro="" textlink="">
          <xdr:nvSpPr>
            <xdr:cNvPr id="17" name="TextBox 16"/>
            <xdr:cNvSpPr txBox="1"/>
          </xdr:nvSpPr>
          <xdr:spPr>
            <a:xfrm>
              <a:off x="2926524" y="51873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7" name="TextBox 16"/>
            <xdr:cNvSpPr txBox="1"/>
          </xdr:nvSpPr>
          <xdr:spPr>
            <a:xfrm>
              <a:off x="2926524" y="51873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761999</xdr:colOff>
      <xdr:row>236</xdr:row>
      <xdr:rowOff>163287</xdr:rowOff>
    </xdr:from>
    <xdr:to>
      <xdr:col>4</xdr:col>
      <xdr:colOff>3637222</xdr:colOff>
      <xdr:row>238</xdr:row>
      <xdr:rowOff>12247</xdr:rowOff>
    </xdr:to>
    <xdr:pic>
      <xdr:nvPicPr>
        <xdr:cNvPr id="18" name="Picture 17"/>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699" y="51369687"/>
          <a:ext cx="3932498" cy="229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4503964</xdr:colOff>
      <xdr:row>235</xdr:row>
      <xdr:rowOff>186417</xdr:rowOff>
    </xdr:from>
    <xdr:to>
      <xdr:col>15</xdr:col>
      <xdr:colOff>127918</xdr:colOff>
      <xdr:row>238</xdr:row>
      <xdr:rowOff>84159</xdr:rowOff>
    </xdr:to>
    <mc:AlternateContent xmlns:mc="http://schemas.openxmlformats.org/markup-compatibility/2006" xmlns:a14="http://schemas.microsoft.com/office/drawing/2010/main">
      <mc:Choice Requires="a14">
        <xdr:sp macro="" textlink="">
          <xdr:nvSpPr>
            <xdr:cNvPr id="19" name="TextBox 18"/>
            <xdr:cNvSpPr txBox="1"/>
          </xdr:nvSpPr>
          <xdr:spPr>
            <a:xfrm>
              <a:off x="7732939" y="51202317"/>
              <a:ext cx="12692754" cy="4692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𝐼𝑑𝑙𝑒𝐸𝑛𝑒𝑟𝑔𝑦</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r>
                              <a:rPr lang="en-US" sz="1100" b="0" i="1">
                                <a:latin typeface="Cambria Math" panose="02040503050406030204" pitchFamily="18" charset="0"/>
                                <a:ea typeface="Cambria Math" panose="02040503050406030204" pitchFamily="18" charset="0"/>
                              </a:rPr>
                              <m:t>𝑆𝑡𝑒𝑎𝑚𝑀𝑜𝑑𝑒</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𝐼𝑑𝑙𝑒𝑅𝑎𝑡𝑒</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𝑆𝑡𝑒𝑎𝑚𝑀𝑜𝑑𝑒</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𝐸𝐹𝑂𝑂𝐷</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𝐸𝑓𝑓</m:t>
                                    </m:r>
                                  </m:e>
                                  <m:sub>
                                    <m:r>
                                      <a:rPr lang="en-US" sz="1100" b="0" i="1">
                                        <a:latin typeface="Cambria Math" panose="02040503050406030204" pitchFamily="18" charset="0"/>
                                        <a:ea typeface="Cambria Math" panose="02040503050406030204" pitchFamily="18" charset="0"/>
                                      </a:rPr>
                                      <m:t>𝐵𝑎𝑠𝑒</m:t>
                                    </m:r>
                                  </m:sub>
                                </m:sSub>
                              </m:den>
                            </m:f>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𝐻𝑜𝑢𝑟𝑠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𝐹𝑜𝑜𝑑𝐶𝑜𝑜𝑘𝑒𝑑</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den>
                            </m:f>
                          </m:e>
                        </m:d>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r>
                              <a:rPr lang="en-US" sz="1100" b="0" i="1">
                                <a:solidFill>
                                  <a:schemeClr val="tx1"/>
                                </a:solidFill>
                                <a:effectLst/>
                                <a:latin typeface="Cambria Math" panose="02040503050406030204" pitchFamily="18" charset="0"/>
                                <a:ea typeface="+mn-ea"/>
                                <a:cs typeface="+mn-cs"/>
                              </a:rPr>
                              <m:t>𝑆𝑡𝑒𝑎𝑚𝑀𝑜𝑑𝑒</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𝐼𝑑𝑙𝑒𝑅𝑎𝑡𝑒</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𝑆𝑡𝑒𝑎𝑚𝑀𝑜𝑑𝑒</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𝐹𝑜𝑜𝑑𝐶𝑜𝑜𝑘𝑒𝑑</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den>
                            </m:f>
                          </m:e>
                        </m:d>
                      </m:e>
                    </m:d>
                  </m:oMath>
                </m:oMathPara>
              </a14:m>
              <a:endParaRPr lang="en-US" sz="1100"/>
            </a:p>
          </xdr:txBody>
        </xdr:sp>
      </mc:Choice>
      <mc:Fallback xmlns="">
        <xdr:sp macro="" textlink="">
          <xdr:nvSpPr>
            <xdr:cNvPr id="19" name="TextBox 18"/>
            <xdr:cNvSpPr txBox="1"/>
          </xdr:nvSpPr>
          <xdr:spPr>
            <a:xfrm>
              <a:off x="7732939" y="51202317"/>
              <a:ext cx="12692754" cy="4692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𝐼𝑑𝑙𝑒𝐸𝑛𝑒𝑟𝑔𝑦=((1−𝑆𝑡𝑒𝑎𝑚𝑀𝑜𝑑𝑒)∗(〖𝐼𝑑𝑙𝑒𝑅𝑎𝑡𝑒〗_𝐵𝑎𝑠𝑒+𝑆𝑡𝑒𝑎𝑚𝑀𝑜𝑑𝑒∗〖𝑃𝑟𝑜𝑑𝑢𝑐𝑡𝑖𝑜𝑛〗_𝐵𝑎𝑠𝑒∗𝑃𝑎𝑛𝑠∗𝐸𝐹𝑂𝑂𝐷/〖𝐸𝑓𝑓〗_𝐵𝑎𝑠𝑒 )∗(𝐻𝑜𝑢𝑟𝑠−𝐹𝑜𝑜𝑑𝐶𝑜𝑜𝑘𝑒𝑑/(〖𝑃𝑟𝑜𝑑𝑢𝑐𝑡𝑖𝑜𝑛〗_𝐵𝑎𝑠𝑒∗𝑃𝑎𝑛𝑠)))−(</a:t>
              </a:r>
              <a:r>
                <a:rPr lang="en-US" sz="1100" b="0" i="0">
                  <a:solidFill>
                    <a:schemeClr val="tx1"/>
                  </a:solidFill>
                  <a:effectLst/>
                  <a:latin typeface="Cambria Math" panose="02040503050406030204" pitchFamily="18" charset="0"/>
                  <a:ea typeface="+mn-ea"/>
                  <a:cs typeface="+mn-cs"/>
                </a:rPr>
                <a:t>(1−𝑆𝑡𝑒𝑎𝑚𝑀𝑜𝑑𝑒)∗(〖𝐼𝑑𝑙𝑒𝑅𝑎𝑡𝑒〗_𝐸𝑆𝑇𝐴𝑅+𝑆𝑡𝑒𝑎𝑚𝑀𝑜𝑑𝑒∗〖𝑃𝑟𝑜𝑑𝑢𝑐𝑡𝑖𝑜𝑛〗_𝐸𝑆𝑇𝐴𝑅∗𝑃𝑎𝑛𝑠∗𝐸𝐹𝑂𝑂𝐷/〖𝐸𝑓𝑓〗_𝐸𝑆𝑇𝐴𝑅 )∗(𝐻𝑜𝑢𝑟𝑠−𝐹𝑜𝑜𝑑𝐶𝑜𝑜𝑘𝑒𝑑/(〖𝑃𝑟𝑜𝑑𝑢𝑐𝑡𝑖𝑜𝑛〗_𝐸𝑆𝑇𝐴𝑅∗𝑃𝑎𝑛𝑠)))</a:t>
              </a:r>
              <a:endParaRPr lang="en-US" sz="1100"/>
            </a:p>
          </xdr:txBody>
        </xdr:sp>
      </mc:Fallback>
    </mc:AlternateContent>
    <xdr:clientData/>
  </xdr:twoCellAnchor>
  <xdr:twoCellAnchor>
    <xdr:from>
      <xdr:col>4</xdr:col>
      <xdr:colOff>4501243</xdr:colOff>
      <xdr:row>239</xdr:row>
      <xdr:rowOff>6123</xdr:rowOff>
    </xdr:from>
    <xdr:to>
      <xdr:col>6</xdr:col>
      <xdr:colOff>743951</xdr:colOff>
      <xdr:row>241</xdr:row>
      <xdr:rowOff>14012</xdr:rowOff>
    </xdr:to>
    <mc:AlternateContent xmlns:mc="http://schemas.openxmlformats.org/markup-compatibility/2006" xmlns:a14="http://schemas.microsoft.com/office/drawing/2010/main">
      <mc:Choice Requires="a14">
        <xdr:sp macro="" textlink="">
          <xdr:nvSpPr>
            <xdr:cNvPr id="20" name="TextBox 19"/>
            <xdr:cNvSpPr txBox="1"/>
          </xdr:nvSpPr>
          <xdr:spPr>
            <a:xfrm>
              <a:off x="7730218" y="51784023"/>
              <a:ext cx="2310133" cy="3888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𝐶𝑜𝑜𝑘𝑖𝑛𝑔𝐸𝑛𝑒𝑟𝑔𝑦</m:t>
                    </m:r>
                    <m:r>
                      <a:rPr lang="en-US" sz="1100" b="0" i="1">
                        <a:latin typeface="Cambria Math" panose="02040503050406030204" pitchFamily="18" charset="0"/>
                        <a:ea typeface="Cambria Math" panose="02040503050406030204" pitchFamily="18" charset="0"/>
                      </a:rPr>
                      <m:t>=</m:t>
                    </m:r>
                    <m:d>
                      <m:dPr>
                        <m:ctrlPr>
                          <a:rPr lang="en-US" sz="110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𝐵𝑎𝑠𝑒</m:t>
                                </m:r>
                              </m:sub>
                            </m:sSub>
                          </m:den>
                        </m:f>
                      </m:e>
                    </m:d>
                    <m:r>
                      <a:rPr lang="en-US" sz="1100" b="0" i="1">
                        <a:latin typeface="Cambria Math" panose="02040503050406030204" pitchFamily="18" charset="0"/>
                      </a:rPr>
                      <m:t>−</m:t>
                    </m:r>
                    <m:d>
                      <m:dPr>
                        <m:ctrlPr>
                          <a:rPr lang="en-US" sz="1100" b="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oMath>
                </m:oMathPara>
              </a14:m>
              <a:endParaRPr lang="en-US" sz="1100"/>
            </a:p>
          </xdr:txBody>
        </xdr:sp>
      </mc:Choice>
      <mc:Fallback xmlns="">
        <xdr:sp macro="" textlink="">
          <xdr:nvSpPr>
            <xdr:cNvPr id="20" name="TextBox 19"/>
            <xdr:cNvSpPr txBox="1"/>
          </xdr:nvSpPr>
          <xdr:spPr>
            <a:xfrm>
              <a:off x="7730218" y="51784023"/>
              <a:ext cx="2310133" cy="3888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𝐶𝑜𝑜𝑘𝑖𝑛𝑔𝐸𝑛𝑒𝑟𝑔𝑦=</a:t>
              </a:r>
              <a:r>
                <a:rPr lang="en-US" sz="1100" i="0">
                  <a:latin typeface="Cambria Math" panose="02040503050406030204" pitchFamily="18" charset="0"/>
                </a:rPr>
                <a:t>(</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〖𝐸𝑓𝑓〗_𝐵𝑎𝑠𝑒 )</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〖𝐸𝑓𝑓〗_𝐸𝑆𝑇𝐴𝑅 )</a:t>
              </a:r>
              <a:endParaRPr lang="en-US" sz="1100"/>
            </a:p>
          </xdr:txBody>
        </xdr:sp>
      </mc:Fallback>
    </mc:AlternateContent>
    <xdr:clientData/>
  </xdr:twoCellAnchor>
  <xdr:twoCellAnchor>
    <xdr:from>
      <xdr:col>3</xdr:col>
      <xdr:colOff>754824</xdr:colOff>
      <xdr:row>260</xdr:row>
      <xdr:rowOff>95247</xdr:rowOff>
    </xdr:from>
    <xdr:to>
      <xdr:col>6</xdr:col>
      <xdr:colOff>603715</xdr:colOff>
      <xdr:row>262</xdr:row>
      <xdr:rowOff>152572</xdr:rowOff>
    </xdr:to>
    <mc:AlternateContent xmlns:mc="http://schemas.openxmlformats.org/markup-compatibility/2006" xmlns:a14="http://schemas.microsoft.com/office/drawing/2010/main">
      <mc:Choice Requires="a14">
        <xdr:sp macro="" textlink="">
          <xdr:nvSpPr>
            <xdr:cNvPr id="21" name="TextBox 20"/>
            <xdr:cNvSpPr txBox="1"/>
          </xdr:nvSpPr>
          <xdr:spPr>
            <a:xfrm>
              <a:off x="2926524" y="56445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56445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258</xdr:row>
      <xdr:rowOff>13607</xdr:rowOff>
    </xdr:from>
    <xdr:to>
      <xdr:col>4</xdr:col>
      <xdr:colOff>4432149</xdr:colOff>
      <xdr:row>259</xdr:row>
      <xdr:rowOff>53068</xdr:rowOff>
    </xdr:to>
    <xdr:pic>
      <xdr:nvPicPr>
        <xdr:cNvPr id="22" name="Picture 21"/>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700" y="55982507"/>
          <a:ext cx="4727424" cy="2299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115289</xdr:colOff>
      <xdr:row>278</xdr:row>
      <xdr:rowOff>122461</xdr:rowOff>
    </xdr:from>
    <xdr:to>
      <xdr:col>5</xdr:col>
      <xdr:colOff>1882787</xdr:colOff>
      <xdr:row>281</xdr:row>
      <xdr:rowOff>16500</xdr:rowOff>
    </xdr:to>
    <mc:AlternateContent xmlns:mc="http://schemas.openxmlformats.org/markup-compatibility/2006" xmlns:a14="http://schemas.microsoft.com/office/drawing/2010/main">
      <mc:Choice Requires="a14">
        <xdr:sp macro="" textlink="">
          <xdr:nvSpPr>
            <xdr:cNvPr id="23" name="TextBox 22"/>
            <xdr:cNvSpPr txBox="1"/>
          </xdr:nvSpPr>
          <xdr:spPr>
            <a:xfrm>
              <a:off x="2286989" y="60472861"/>
              <a:ext cx="7006248" cy="465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60472861"/>
              <a:ext cx="7006248" cy="465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293</xdr:row>
      <xdr:rowOff>95247</xdr:rowOff>
    </xdr:from>
    <xdr:to>
      <xdr:col>6</xdr:col>
      <xdr:colOff>603715</xdr:colOff>
      <xdr:row>295</xdr:row>
      <xdr:rowOff>152572</xdr:rowOff>
    </xdr:to>
    <mc:AlternateContent xmlns:mc="http://schemas.openxmlformats.org/markup-compatibility/2006" xmlns:a14="http://schemas.microsoft.com/office/drawing/2010/main">
      <mc:Choice Requires="a14">
        <xdr:sp macro="" textlink="">
          <xdr:nvSpPr>
            <xdr:cNvPr id="24" name="TextBox 23"/>
            <xdr:cNvSpPr txBox="1"/>
          </xdr:nvSpPr>
          <xdr:spPr>
            <a:xfrm>
              <a:off x="2926524" y="63684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63684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290</xdr:row>
      <xdr:rowOff>148317</xdr:rowOff>
    </xdr:from>
    <xdr:to>
      <xdr:col>6</xdr:col>
      <xdr:colOff>789214</xdr:colOff>
      <xdr:row>293</xdr:row>
      <xdr:rowOff>43633</xdr:rowOff>
    </xdr:to>
    <mc:AlternateContent xmlns:mc="http://schemas.openxmlformats.org/markup-compatibility/2006" xmlns:a14="http://schemas.microsoft.com/office/drawing/2010/main">
      <mc:Choice Requires="a14">
        <xdr:sp macro="" textlink="">
          <xdr:nvSpPr>
            <xdr:cNvPr id="25" name="TextBox 24"/>
            <xdr:cNvSpPr txBox="1"/>
          </xdr:nvSpPr>
          <xdr:spPr>
            <a:xfrm>
              <a:off x="2871106" y="63165717"/>
              <a:ext cx="7214508" cy="4668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𝐵𝐻𝑃</m:t>
                        </m:r>
                      </m:num>
                      <m:den>
                        <m:r>
                          <a:rPr lang="en-US" sz="1400" b="0" i="1">
                            <a:latin typeface="Cambria Math" panose="02040503050406030204" pitchFamily="18" charset="0"/>
                            <a:ea typeface="Cambria Math" panose="02040503050406030204" pitchFamily="18" charset="0"/>
                          </a:rPr>
                          <m:t>𝐸𝐸𝐹𝑖</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oMath>
                </m:oMathPara>
              </a14:m>
              <a:endParaRPr lang="en-US" sz="1400"/>
            </a:p>
          </xdr:txBody>
        </xdr:sp>
      </mc:Choice>
      <mc:Fallback xmlns="">
        <xdr:sp macro="" textlink="">
          <xdr:nvSpPr>
            <xdr:cNvPr id="25" name="TextBox 24"/>
            <xdr:cNvSpPr txBox="1"/>
          </xdr:nvSpPr>
          <xdr:spPr>
            <a:xfrm>
              <a:off x="2871106" y="63165717"/>
              <a:ext cx="7214508" cy="4668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𝑘𝑊ℎ=𝐵𝐻𝑃/𝐸𝐸𝐹𝑖∗𝐻𝑜𝑢𝑟𝑠∗𝐸𝑆𝐹</a:t>
              </a:r>
              <a:endParaRPr lang="en-US" sz="1400"/>
            </a:p>
          </xdr:txBody>
        </xdr:sp>
      </mc:Fallback>
    </mc:AlternateContent>
    <xdr:clientData/>
  </xdr:twoCellAnchor>
  <xdr:twoCellAnchor>
    <xdr:from>
      <xdr:col>3</xdr:col>
      <xdr:colOff>754824</xdr:colOff>
      <xdr:row>308</xdr:row>
      <xdr:rowOff>95248</xdr:rowOff>
    </xdr:from>
    <xdr:to>
      <xdr:col>6</xdr:col>
      <xdr:colOff>603715</xdr:colOff>
      <xdr:row>309</xdr:row>
      <xdr:rowOff>108858</xdr:rowOff>
    </xdr:to>
    <mc:AlternateContent xmlns:mc="http://schemas.openxmlformats.org/markup-compatibility/2006" xmlns:a14="http://schemas.microsoft.com/office/drawing/2010/main">
      <mc:Choice Requires="a14">
        <xdr:sp macro="" textlink="">
          <xdr:nvSpPr>
            <xdr:cNvPr id="26" name="TextBox 25"/>
            <xdr:cNvSpPr txBox="1"/>
          </xdr:nvSpPr>
          <xdr:spPr>
            <a:xfrm>
              <a:off x="2926524" y="66922648"/>
              <a:ext cx="6973591" cy="204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66922648"/>
              <a:ext cx="6973591" cy="204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304</xdr:row>
      <xdr:rowOff>93890</xdr:rowOff>
    </xdr:from>
    <xdr:to>
      <xdr:col>11</xdr:col>
      <xdr:colOff>979714</xdr:colOff>
      <xdr:row>307</xdr:row>
      <xdr:rowOff>139118</xdr:rowOff>
    </xdr:to>
    <mc:AlternateContent xmlns:mc="http://schemas.openxmlformats.org/markup-compatibility/2006" xmlns:a14="http://schemas.microsoft.com/office/drawing/2010/main">
      <mc:Choice Requires="a14">
        <xdr:sp macro="" textlink="">
          <xdr:nvSpPr>
            <xdr:cNvPr id="27" name="TextBox 26"/>
            <xdr:cNvSpPr txBox="1"/>
          </xdr:nvSpPr>
          <xdr:spPr>
            <a:xfrm>
              <a:off x="2871106" y="66159290"/>
              <a:ext cx="14263008" cy="6167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latin typeface="Cambria Math" panose="02040503050406030204" pitchFamily="18" charset="0"/>
                        <a:ea typeface="Cambria Math" panose="02040503050406030204" pitchFamily="18" charset="0"/>
                      </a:rPr>
                      <m:t>∆</m:t>
                    </m:r>
                    <m:sSub>
                      <m:sSubPr>
                        <m:ctrlPr>
                          <a:rPr lang="en-US" sz="160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𝑡𝑜𝑡𝑎𝑙</m:t>
                        </m:r>
                      </m:sub>
                    </m:sSub>
                    <m:r>
                      <a:rPr lang="en-US" sz="1600" b="0" i="1">
                        <a:latin typeface="Cambria Math" panose="02040503050406030204" pitchFamily="18" charset="0"/>
                        <a:ea typeface="Cambria Math" panose="02040503050406030204" pitchFamily="18" charset="0"/>
                      </a:rPr>
                      <m:t>=</m:t>
                    </m:r>
                    <m:d>
                      <m:dPr>
                        <m:begChr m:val="["/>
                        <m:endChr m:val="]"/>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.746∗</m:t>
                            </m:r>
                            <m:r>
                              <a:rPr lang="en-US" sz="1600" b="0" i="1">
                                <a:latin typeface="Cambria Math" panose="02040503050406030204" pitchFamily="18" charset="0"/>
                                <a:ea typeface="Cambria Math" panose="02040503050406030204" pitchFamily="18" charset="0"/>
                              </a:rPr>
                              <m:t>𝐻𝑃</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𝐿𝐹</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𝜂</m:t>
                                    </m:r>
                                  </m:e>
                                  <m:sub>
                                    <m:r>
                                      <a:rPr lang="en-US" sz="1600" b="0" i="1">
                                        <a:latin typeface="Cambria Math" panose="02040503050406030204" pitchFamily="18" charset="0"/>
                                        <a:ea typeface="Cambria Math" panose="02040503050406030204" pitchFamily="18" charset="0"/>
                                      </a:rPr>
                                      <m:t>𝑚𝑜𝑡𝑜𝑟</m:t>
                                    </m:r>
                                  </m:sub>
                                </m:sSub>
                              </m:den>
                            </m:f>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𝑅𝐻𝑅𝑆</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𝐵𝑎𝑠𝑒</m:t>
                            </m:r>
                          </m:sub>
                        </m:sSub>
                        <m:r>
                          <a:rPr lang="en-US" sz="1200" b="0" i="1">
                            <a:solidFill>
                              <a:schemeClr val="tx1"/>
                            </a:solidFill>
                            <a:effectLst/>
                            <a:latin typeface="Cambria Math" panose="02040503050406030204" pitchFamily="18" charset="0"/>
                            <a:ea typeface="+mn-ea"/>
                            <a:cs typeface="+mn-cs"/>
                          </a:rPr>
                          <m:t>)−(</m:t>
                        </m:r>
                        <m:d>
                          <m:dPr>
                            <m:ctrlPr>
                              <a:rPr lang="en-US" sz="1200" b="0" i="1">
                                <a:solidFill>
                                  <a:schemeClr val="tx1"/>
                                </a:solidFill>
                                <a:effectLst/>
                                <a:latin typeface="Cambria Math" panose="02040503050406030204" pitchFamily="18" charset="0"/>
                                <a:ea typeface="+mn-ea"/>
                                <a:cs typeface="+mn-cs"/>
                              </a:rPr>
                            </m:ctrlPr>
                          </m:dPr>
                          <m:e>
                            <m:r>
                              <a:rPr lang="en-US" sz="1200" b="0" i="1">
                                <a:solidFill>
                                  <a:schemeClr val="tx1"/>
                                </a:solidFill>
                                <a:effectLst/>
                                <a:latin typeface="Cambria Math" panose="02040503050406030204" pitchFamily="18" charset="0"/>
                                <a:ea typeface="+mn-ea"/>
                                <a:cs typeface="+mn-cs"/>
                              </a:rPr>
                              <m:t>.746∗</m:t>
                            </m:r>
                            <m:r>
                              <a:rPr lang="en-US" sz="1200" b="0" i="1">
                                <a:solidFill>
                                  <a:schemeClr val="tx1"/>
                                </a:solidFill>
                                <a:effectLst/>
                                <a:latin typeface="Cambria Math" panose="02040503050406030204" pitchFamily="18" charset="0"/>
                                <a:ea typeface="+mn-ea"/>
                                <a:cs typeface="+mn-cs"/>
                              </a:rPr>
                              <m:t>𝐻𝑃</m:t>
                            </m:r>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𝐿𝐹</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𝜂</m:t>
                                    </m:r>
                                  </m:e>
                                  <m:sub>
                                    <m:r>
                                      <a:rPr lang="en-US" sz="1200" b="0" i="1">
                                        <a:solidFill>
                                          <a:schemeClr val="tx1"/>
                                        </a:solidFill>
                                        <a:effectLst/>
                                        <a:latin typeface="Cambria Math" panose="02040503050406030204" pitchFamily="18" charset="0"/>
                                        <a:ea typeface="+mn-ea"/>
                                        <a:cs typeface="+mn-cs"/>
                                      </a:rPr>
                                      <m:t>𝑚𝑜𝑡𝑜𝑟</m:t>
                                    </m:r>
                                  </m:sub>
                                </m:sSub>
                              </m:den>
                            </m:f>
                          </m:e>
                        </m:d>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𝑅𝐻𝑅𝑆</m:t>
                            </m:r>
                          </m:e>
                          <m:sub>
                            <m:r>
                              <a:rPr lang="en-US" sz="1200" b="0" i="1">
                                <a:solidFill>
                                  <a:schemeClr val="tx1"/>
                                </a:solidFill>
                                <a:effectLst/>
                                <a:latin typeface="Cambria Math" panose="02040503050406030204" pitchFamily="18" charset="0"/>
                                <a:ea typeface="+mn-ea"/>
                                <a:cs typeface="+mn-cs"/>
                              </a:rPr>
                              <m:t>𝑏𝑎𝑠𝑒</m:t>
                            </m:r>
                          </m:sub>
                        </m:sSub>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𝐸𝑓𝑓</m:t>
                            </m:r>
                          </m:sub>
                        </m:sSub>
                        <m:r>
                          <a:rPr lang="en-US" sz="1200" b="0" i="1">
                            <a:solidFill>
                              <a:schemeClr val="tx1"/>
                            </a:solidFill>
                            <a:effectLst/>
                            <a:latin typeface="Cambria Math" panose="02040503050406030204" pitchFamily="18" charset="0"/>
                            <a:ea typeface="+mn-ea"/>
                            <a:cs typeface="+mn-cs"/>
                          </a:rPr>
                          <m:t>)</m:t>
                        </m:r>
                      </m:e>
                    </m:d>
                    <m:r>
                      <a:rPr lang="en-US" sz="1600" b="0" i="1">
                        <a:latin typeface="Cambria Math" panose="02040503050406030204" pitchFamily="18" charset="0"/>
                        <a:ea typeface="Cambria Math" panose="02040503050406030204" pitchFamily="18" charset="0"/>
                      </a:rPr>
                      <m:t>∗(1+</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𝐼𝐸</m:t>
                        </m:r>
                      </m:e>
                      <m:sub>
                        <m:r>
                          <a:rPr lang="en-US" sz="1600" b="0" i="1">
                            <a:latin typeface="Cambria Math" panose="02040503050406030204" pitchFamily="18" charset="0"/>
                            <a:ea typeface="Cambria Math" panose="02040503050406030204" pitchFamily="18" charset="0"/>
                          </a:rPr>
                          <m:t>𝑒𝑛𝑒𝑟𝑔𝑦</m:t>
                        </m:r>
                      </m:sub>
                    </m:sSub>
                    <m:r>
                      <a:rPr lang="en-US" sz="1600" b="0" i="1">
                        <a:latin typeface="Cambria Math" panose="02040503050406030204" pitchFamily="18" charset="0"/>
                        <a:ea typeface="Cambria Math" panose="02040503050406030204" pitchFamily="18" charset="0"/>
                      </a:rPr>
                      <m:t>)</m:t>
                    </m:r>
                  </m:oMath>
                </m:oMathPara>
              </a14:m>
              <a:endParaRPr lang="en-US" sz="1050"/>
            </a:p>
          </xdr:txBody>
        </xdr:sp>
      </mc:Choice>
      <mc:Fallback xmlns="">
        <xdr:sp macro="" textlink="">
          <xdr:nvSpPr>
            <xdr:cNvPr id="27" name="TextBox 26"/>
            <xdr:cNvSpPr txBox="1"/>
          </xdr:nvSpPr>
          <xdr:spPr>
            <a:xfrm>
              <a:off x="2871106" y="66159290"/>
              <a:ext cx="14263008" cy="6167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𝑘𝑊ℎ〗_𝑡𝑜𝑡𝑎𝑙=[((.746∗𝐻𝑃∗𝐿𝐹/𝜂_𝑚𝑜𝑡𝑜𝑟 )∗〖𝑅𝐻𝑅𝑆〗_𝐵𝑎𝑠𝑒∗</a:t>
              </a:r>
              <a:r>
                <a:rPr lang="en-US" sz="1200" b="0" i="0">
                  <a:solidFill>
                    <a:schemeClr val="tx1"/>
                  </a:solidFill>
                  <a:effectLst/>
                  <a:latin typeface="Cambria Math" panose="02040503050406030204" pitchFamily="18" charset="0"/>
                  <a:ea typeface="+mn-ea"/>
                  <a:cs typeface="+mn-cs"/>
                </a:rPr>
                <a:t>〖𝐶𝑜𝑛𝑡𝑟𝑜𝑙𝑇𝑦𝑝𝑒𝐹𝑎𝑐𝑡𝑜𝑟〗_𝐵𝑎𝑠𝑒)−((.746∗𝐻𝑃∗𝐿𝐹/𝜂_𝑚𝑜𝑡𝑜𝑟 )∗〖𝑅𝐻𝑅𝑆〗_𝑏𝑎𝑠𝑒∗〖𝐶𝑜𝑛𝑡𝑟𝑜𝑙𝑇𝑦𝑝𝑒𝐹𝑎𝑐𝑡𝑜𝑟〗_𝐸𝑓𝑓)]</a:t>
              </a:r>
              <a:r>
                <a:rPr lang="en-US" sz="1600" b="0" i="0">
                  <a:latin typeface="Cambria Math" panose="02040503050406030204" pitchFamily="18" charset="0"/>
                  <a:ea typeface="Cambria Math" panose="02040503050406030204" pitchFamily="18" charset="0"/>
                </a:rPr>
                <a:t>∗(1+〖𝐼𝐸〗_𝑒𝑛𝑒𝑟𝑔𝑦)</a:t>
              </a:r>
              <a:endParaRPr lang="en-US" sz="1050"/>
            </a:p>
          </xdr:txBody>
        </xdr:sp>
      </mc:Fallback>
    </mc:AlternateContent>
    <xdr:clientData/>
  </xdr:twoCellAnchor>
  <xdr:twoCellAnchor>
    <xdr:from>
      <xdr:col>3</xdr:col>
      <xdr:colOff>754824</xdr:colOff>
      <xdr:row>343</xdr:row>
      <xdr:rowOff>13604</xdr:rowOff>
    </xdr:from>
    <xdr:to>
      <xdr:col>6</xdr:col>
      <xdr:colOff>603715</xdr:colOff>
      <xdr:row>344</xdr:row>
      <xdr:rowOff>136071</xdr:rowOff>
    </xdr:to>
    <mc:AlternateContent xmlns:mc="http://schemas.openxmlformats.org/markup-compatibility/2006" xmlns:a14="http://schemas.microsoft.com/office/drawing/2010/main">
      <mc:Choice Requires="a14">
        <xdr:sp macro="" textlink="">
          <xdr:nvSpPr>
            <xdr:cNvPr id="28" name="TextBox 27"/>
            <xdr:cNvSpPr txBox="1"/>
          </xdr:nvSpPr>
          <xdr:spPr>
            <a:xfrm>
              <a:off x="2926524" y="73918079"/>
              <a:ext cx="6973591" cy="3129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73918079"/>
              <a:ext cx="6973591" cy="3129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781049</xdr:colOff>
      <xdr:row>339</xdr:row>
      <xdr:rowOff>175532</xdr:rowOff>
    </xdr:from>
    <xdr:to>
      <xdr:col>4</xdr:col>
      <xdr:colOff>3625824</xdr:colOff>
      <xdr:row>342</xdr:row>
      <xdr:rowOff>119825</xdr:rowOff>
    </xdr:to>
    <mc:AlternateContent xmlns:mc="http://schemas.openxmlformats.org/markup-compatibility/2006" xmlns:a14="http://schemas.microsoft.com/office/drawing/2010/main">
      <mc:Choice Requires="a14">
        <xdr:sp macro="" textlink="">
          <xdr:nvSpPr>
            <xdr:cNvPr id="29" name="TextBox 28"/>
            <xdr:cNvSpPr txBox="1"/>
          </xdr:nvSpPr>
          <xdr:spPr>
            <a:xfrm>
              <a:off x="2952749" y="73318007"/>
              <a:ext cx="3902050"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xdr:cNvSpPr txBox="1"/>
          </xdr:nvSpPr>
          <xdr:spPr>
            <a:xfrm>
              <a:off x="2952749" y="73318007"/>
              <a:ext cx="3902050"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5</xdr:col>
      <xdr:colOff>122464</xdr:colOff>
      <xdr:row>340</xdr:row>
      <xdr:rowOff>0</xdr:rowOff>
    </xdr:from>
    <xdr:to>
      <xdr:col>7</xdr:col>
      <xdr:colOff>300687</xdr:colOff>
      <xdr:row>342</xdr:row>
      <xdr:rowOff>134793</xdr:rowOff>
    </xdr:to>
    <mc:AlternateContent xmlns:mc="http://schemas.openxmlformats.org/markup-compatibility/2006" xmlns:a14="http://schemas.microsoft.com/office/drawing/2010/main">
      <mc:Choice Requires="a14">
        <xdr:sp macro="" textlink="">
          <xdr:nvSpPr>
            <xdr:cNvPr id="30" name="TextBox 29"/>
            <xdr:cNvSpPr txBox="1"/>
          </xdr:nvSpPr>
          <xdr:spPr>
            <a:xfrm>
              <a:off x="8171089" y="73332975"/>
              <a:ext cx="3369098"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xdr:cNvSpPr txBox="1"/>
          </xdr:nvSpPr>
          <xdr:spPr>
            <a:xfrm>
              <a:off x="8171089" y="73332975"/>
              <a:ext cx="3369098"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𝑘𝑊ℎ=(𝑘𝐵𝑡𝑢/ℎ𝑟)∗[(1/〖𝐸𝐸𝑅〗_𝑏𝑎𝑠𝑒 )−(1/〖𝐸𝐸𝑅〗_𝑒𝑒 )]∗𝐸𝐹𝐿𝐻</a:t>
              </a:r>
              <a:endParaRPr lang="en-US" sz="1100"/>
            </a:p>
          </xdr:txBody>
        </xdr:sp>
      </mc:Fallback>
    </mc:AlternateContent>
    <xdr:clientData/>
  </xdr:twoCellAnchor>
  <xdr:twoCellAnchor>
    <xdr:from>
      <xdr:col>3</xdr:col>
      <xdr:colOff>754824</xdr:colOff>
      <xdr:row>365</xdr:row>
      <xdr:rowOff>95247</xdr:rowOff>
    </xdr:from>
    <xdr:to>
      <xdr:col>6</xdr:col>
      <xdr:colOff>603715</xdr:colOff>
      <xdr:row>367</xdr:row>
      <xdr:rowOff>152572</xdr:rowOff>
    </xdr:to>
    <mc:AlternateContent xmlns:mc="http://schemas.openxmlformats.org/markup-compatibility/2006" xmlns:a14="http://schemas.microsoft.com/office/drawing/2010/main">
      <mc:Choice Requires="a14">
        <xdr:sp macro="" textlink="">
          <xdr:nvSpPr>
            <xdr:cNvPr id="31" name="TextBox 30"/>
            <xdr:cNvSpPr txBox="1"/>
          </xdr:nvSpPr>
          <xdr:spPr>
            <a:xfrm>
              <a:off x="2926524" y="78762222"/>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78762222"/>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384</xdr:row>
      <xdr:rowOff>95247</xdr:rowOff>
    </xdr:from>
    <xdr:to>
      <xdr:col>6</xdr:col>
      <xdr:colOff>603715</xdr:colOff>
      <xdr:row>386</xdr:row>
      <xdr:rowOff>152572</xdr:rowOff>
    </xdr:to>
    <mc:AlternateContent xmlns:mc="http://schemas.openxmlformats.org/markup-compatibility/2006" xmlns:a14="http://schemas.microsoft.com/office/drawing/2010/main">
      <mc:Choice Requires="a14">
        <xdr:sp macro="" textlink="">
          <xdr:nvSpPr>
            <xdr:cNvPr id="32" name="TextBox 31"/>
            <xdr:cNvSpPr txBox="1"/>
          </xdr:nvSpPr>
          <xdr:spPr>
            <a:xfrm>
              <a:off x="2926524" y="82762722"/>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xdr:cNvSpPr txBox="1"/>
          </xdr:nvSpPr>
          <xdr:spPr>
            <a:xfrm>
              <a:off x="2926524" y="82762722"/>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136071</xdr:colOff>
      <xdr:row>362</xdr:row>
      <xdr:rowOff>27214</xdr:rowOff>
    </xdr:from>
    <xdr:to>
      <xdr:col>7</xdr:col>
      <xdr:colOff>1041738</xdr:colOff>
      <xdr:row>364</xdr:row>
      <xdr:rowOff>162007</xdr:rowOff>
    </xdr:to>
    <mc:AlternateContent xmlns:mc="http://schemas.openxmlformats.org/markup-compatibility/2006" xmlns:a14="http://schemas.microsoft.com/office/drawing/2010/main">
      <mc:Choice Requires="a14">
        <xdr:sp macro="" textlink="">
          <xdr:nvSpPr>
            <xdr:cNvPr id="33" name="TextBox 32"/>
            <xdr:cNvSpPr txBox="1"/>
          </xdr:nvSpPr>
          <xdr:spPr>
            <a:xfrm>
              <a:off x="8184696" y="78122689"/>
              <a:ext cx="4096542"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xdr:cNvSpPr txBox="1"/>
          </xdr:nvSpPr>
          <xdr:spPr>
            <a:xfrm>
              <a:off x="8184696" y="78122689"/>
              <a:ext cx="4096542"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5</xdr:col>
      <xdr:colOff>108857</xdr:colOff>
      <xdr:row>364</xdr:row>
      <xdr:rowOff>176893</xdr:rowOff>
    </xdr:from>
    <xdr:to>
      <xdr:col>7</xdr:col>
      <xdr:colOff>1065179</xdr:colOff>
      <xdr:row>367</xdr:row>
      <xdr:rowOff>89436</xdr:rowOff>
    </xdr:to>
    <mc:AlternateContent xmlns:mc="http://schemas.openxmlformats.org/markup-compatibility/2006" xmlns:a14="http://schemas.microsoft.com/office/drawing/2010/main">
      <mc:Choice Requires="a14">
        <xdr:sp macro="" textlink="">
          <xdr:nvSpPr>
            <xdr:cNvPr id="34" name="TextBox 33"/>
            <xdr:cNvSpPr txBox="1"/>
          </xdr:nvSpPr>
          <xdr:spPr>
            <a:xfrm>
              <a:off x="8157482" y="78653368"/>
              <a:ext cx="4147197"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xdr:cNvSpPr txBox="1"/>
          </xdr:nvSpPr>
          <xdr:spPr>
            <a:xfrm>
              <a:off x="8157482" y="78653368"/>
              <a:ext cx="4147197"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3</xdr:col>
      <xdr:colOff>726621</xdr:colOff>
      <xdr:row>363</xdr:row>
      <xdr:rowOff>5443</xdr:rowOff>
    </xdr:from>
    <xdr:to>
      <xdr:col>4</xdr:col>
      <xdr:colOff>1847143</xdr:colOff>
      <xdr:row>364</xdr:row>
      <xdr:rowOff>65856</xdr:rowOff>
    </xdr:to>
    <mc:AlternateContent xmlns:mc="http://schemas.openxmlformats.org/markup-compatibility/2006" xmlns:a14="http://schemas.microsoft.com/office/drawing/2010/main">
      <mc:Choice Requires="a14">
        <xdr:sp macro="" textlink="">
          <xdr:nvSpPr>
            <xdr:cNvPr id="35" name="TextBox 34"/>
            <xdr:cNvSpPr txBox="1"/>
          </xdr:nvSpPr>
          <xdr:spPr>
            <a:xfrm>
              <a:off x="2898321" y="78291418"/>
              <a:ext cx="2177797" cy="25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78291418"/>
              <a:ext cx="2177797" cy="25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9</xdr:col>
      <xdr:colOff>152400</xdr:colOff>
      <xdr:row>362</xdr:row>
      <xdr:rowOff>16328</xdr:rowOff>
    </xdr:from>
    <xdr:to>
      <xdr:col>11</xdr:col>
      <xdr:colOff>1550639</xdr:colOff>
      <xdr:row>364</xdr:row>
      <xdr:rowOff>151121</xdr:rowOff>
    </xdr:to>
    <mc:AlternateContent xmlns:mc="http://schemas.openxmlformats.org/markup-compatibility/2006" xmlns:a14="http://schemas.microsoft.com/office/drawing/2010/main">
      <mc:Choice Requires="a14">
        <xdr:sp macro="" textlink="">
          <xdr:nvSpPr>
            <xdr:cNvPr id="36" name="TextBox 35"/>
            <xdr:cNvSpPr txBox="1"/>
          </xdr:nvSpPr>
          <xdr:spPr>
            <a:xfrm>
              <a:off x="14039850" y="78111803"/>
              <a:ext cx="336991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xdr:cNvSpPr txBox="1"/>
          </xdr:nvSpPr>
          <xdr:spPr>
            <a:xfrm>
              <a:off x="14039850" y="78111803"/>
              <a:ext cx="336991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9</xdr:col>
      <xdr:colOff>136071</xdr:colOff>
      <xdr:row>364</xdr:row>
      <xdr:rowOff>149678</xdr:rowOff>
    </xdr:from>
    <xdr:to>
      <xdr:col>12</xdr:col>
      <xdr:colOff>479023</xdr:colOff>
      <xdr:row>367</xdr:row>
      <xdr:rowOff>62221</xdr:rowOff>
    </xdr:to>
    <mc:AlternateContent xmlns:mc="http://schemas.openxmlformats.org/markup-compatibility/2006" xmlns:a14="http://schemas.microsoft.com/office/drawing/2010/main">
      <mc:Choice Requires="a14">
        <xdr:sp macro="" textlink="">
          <xdr:nvSpPr>
            <xdr:cNvPr id="37" name="TextBox 36"/>
            <xdr:cNvSpPr txBox="1"/>
          </xdr:nvSpPr>
          <xdr:spPr>
            <a:xfrm>
              <a:off x="14023521" y="78626153"/>
              <a:ext cx="3867202"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xdr:cNvSpPr txBox="1"/>
          </xdr:nvSpPr>
          <xdr:spPr>
            <a:xfrm>
              <a:off x="14023521" y="78626153"/>
              <a:ext cx="3867202"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3</xdr:col>
      <xdr:colOff>740227</xdr:colOff>
      <xdr:row>381</xdr:row>
      <xdr:rowOff>182336</xdr:rowOff>
    </xdr:from>
    <xdr:to>
      <xdr:col>4</xdr:col>
      <xdr:colOff>2888401</xdr:colOff>
      <xdr:row>383</xdr:row>
      <xdr:rowOff>52249</xdr:rowOff>
    </xdr:to>
    <mc:AlternateContent xmlns:mc="http://schemas.openxmlformats.org/markup-compatibility/2006" xmlns:a14="http://schemas.microsoft.com/office/drawing/2010/main">
      <mc:Choice Requires="a14">
        <xdr:sp macro="" textlink="">
          <xdr:nvSpPr>
            <xdr:cNvPr id="38" name="TextBox 37"/>
            <xdr:cNvSpPr txBox="1"/>
          </xdr:nvSpPr>
          <xdr:spPr>
            <a:xfrm>
              <a:off x="2911927" y="82278311"/>
              <a:ext cx="3205449" cy="25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xdr:cNvSpPr txBox="1"/>
          </xdr:nvSpPr>
          <xdr:spPr>
            <a:xfrm>
              <a:off x="2911927" y="82278311"/>
              <a:ext cx="3205449" cy="25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5</xdr:col>
      <xdr:colOff>5443</xdr:colOff>
      <xdr:row>187</xdr:row>
      <xdr:rowOff>87086</xdr:rowOff>
    </xdr:from>
    <xdr:to>
      <xdr:col>6</xdr:col>
      <xdr:colOff>1307053</xdr:colOff>
      <xdr:row>188</xdr:row>
      <xdr:rowOff>161605</xdr:rowOff>
    </xdr:to>
    <mc:AlternateContent xmlns:mc="http://schemas.openxmlformats.org/markup-compatibility/2006" xmlns:a14="http://schemas.microsoft.com/office/drawing/2010/main">
      <mc:Choice Requires="a14">
        <xdr:sp macro="" textlink="">
          <xdr:nvSpPr>
            <xdr:cNvPr id="39" name="TextBox 38"/>
            <xdr:cNvSpPr txBox="1"/>
          </xdr:nvSpPr>
          <xdr:spPr>
            <a:xfrm>
              <a:off x="8054068" y="40815986"/>
              <a:ext cx="2549385" cy="265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53.075∗</m:t>
                        </m:r>
                        <m:r>
                          <a:rPr lang="en-US" sz="1400" b="0" i="1">
                            <a:latin typeface="Cambria Math" panose="02040503050406030204" pitchFamily="18" charset="0"/>
                          </a:rPr>
                          <m:t>𝑆𝑄𝐹𝑇</m:t>
                        </m:r>
                      </m:e>
                    </m:d>
                    <m:r>
                      <a:rPr lang="en-US" sz="1400" b="0" i="1">
                        <a:latin typeface="Cambria Math" panose="02040503050406030204" pitchFamily="18" charset="0"/>
                      </a:rPr>
                      <m:t>+1631.1</m:t>
                    </m:r>
                  </m:oMath>
                </m:oMathPara>
              </a14:m>
              <a:endParaRPr lang="en-US" sz="1100"/>
            </a:p>
          </xdr:txBody>
        </xdr:sp>
      </mc:Choice>
      <mc:Fallback xmlns="">
        <xdr:sp macro="" textlink="">
          <xdr:nvSpPr>
            <xdr:cNvPr id="39" name="TextBox 38"/>
            <xdr:cNvSpPr txBox="1"/>
          </xdr:nvSpPr>
          <xdr:spPr>
            <a:xfrm>
              <a:off x="8054068" y="40815986"/>
              <a:ext cx="2549385" cy="265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𝑄_𝑃𝑜𝑜𝑙𝐻𝑒𝑎𝑡𝑖𝑛𝑔=[53.075∗𝑆𝑄𝐹𝑇]+1631.1</a:t>
              </a:r>
              <a:endParaRPr lang="en-US" sz="1100"/>
            </a:p>
          </xdr:txBody>
        </xdr:sp>
      </mc:Fallback>
    </mc:AlternateContent>
    <xdr:clientData/>
  </xdr:twoCellAnchor>
  <xdr:twoCellAnchor>
    <xdr:from>
      <xdr:col>7</xdr:col>
      <xdr:colOff>13607</xdr:colOff>
      <xdr:row>187</xdr:row>
      <xdr:rowOff>40822</xdr:rowOff>
    </xdr:from>
    <xdr:to>
      <xdr:col>9</xdr:col>
      <xdr:colOff>691956</xdr:colOff>
      <xdr:row>188</xdr:row>
      <xdr:rowOff>115341</xdr:rowOff>
    </xdr:to>
    <mc:AlternateContent xmlns:mc="http://schemas.openxmlformats.org/markup-compatibility/2006" xmlns:a14="http://schemas.microsoft.com/office/drawing/2010/main">
      <mc:Choice Requires="a14">
        <xdr:sp macro="" textlink="">
          <xdr:nvSpPr>
            <xdr:cNvPr id="40" name="TextBox 39"/>
            <xdr:cNvSpPr txBox="1"/>
          </xdr:nvSpPr>
          <xdr:spPr>
            <a:xfrm>
              <a:off x="11253107" y="40769722"/>
              <a:ext cx="3326299" cy="265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8.079∗</m:t>
                        </m:r>
                        <m:r>
                          <a:rPr lang="en-US" sz="1400" b="0" i="1">
                            <a:latin typeface="Cambria Math" panose="02040503050406030204" pitchFamily="18" charset="0"/>
                          </a:rPr>
                          <m:t>𝑆𝑄𝐹𝑇</m:t>
                        </m:r>
                      </m:e>
                    </m:d>
                    <m:r>
                      <a:rPr lang="en-US" sz="1400" b="0" i="1">
                        <a:latin typeface="Cambria Math" panose="02040503050406030204" pitchFamily="18" charset="0"/>
                      </a:rPr>
                      <m:t>+1295.4</m:t>
                    </m:r>
                  </m:oMath>
                </m:oMathPara>
              </a14:m>
              <a:endParaRPr lang="en-US" sz="1100"/>
            </a:p>
          </xdr:txBody>
        </xdr:sp>
      </mc:Choice>
      <mc:Fallback xmlns="">
        <xdr:sp macro="" textlink="">
          <xdr:nvSpPr>
            <xdr:cNvPr id="40" name="TextBox 39"/>
            <xdr:cNvSpPr txBox="1"/>
          </xdr:nvSpPr>
          <xdr:spPr>
            <a:xfrm>
              <a:off x="11253107" y="40769722"/>
              <a:ext cx="3326299" cy="265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𝑄_𝑃𝑜𝑜𝑙𝐻𝑒𝑎𝑡𝑖𝑛𝑔=[8.079∗𝑆𝑄𝐹𝑇]+1295.4</a:t>
              </a:r>
              <a:endParaRPr lang="en-US" sz="1100"/>
            </a:p>
          </xdr:txBody>
        </xdr:sp>
      </mc:Fallback>
    </mc:AlternateContent>
    <xdr:clientData/>
  </xdr:twoCellAnchor>
  <xdr:twoCellAnchor>
    <xdr:from>
      <xdr:col>3</xdr:col>
      <xdr:colOff>726621</xdr:colOff>
      <xdr:row>218</xdr:row>
      <xdr:rowOff>46264</xdr:rowOff>
    </xdr:from>
    <xdr:to>
      <xdr:col>4</xdr:col>
      <xdr:colOff>1316035</xdr:colOff>
      <xdr:row>219</xdr:row>
      <xdr:rowOff>106677</xdr:rowOff>
    </xdr:to>
    <mc:AlternateContent xmlns:mc="http://schemas.openxmlformats.org/markup-compatibility/2006" xmlns:a14="http://schemas.microsoft.com/office/drawing/2010/main">
      <mc:Choice Requires="a14">
        <xdr:sp macro="" textlink="">
          <xdr:nvSpPr>
            <xdr:cNvPr id="41" name="TextBox 40"/>
            <xdr:cNvSpPr txBox="1"/>
          </xdr:nvSpPr>
          <xdr:spPr>
            <a:xfrm>
              <a:off x="2898321" y="47442664"/>
              <a:ext cx="1646689" cy="25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∗.746</m:t>
                    </m:r>
                  </m:oMath>
                </m:oMathPara>
              </a14:m>
              <a:endParaRPr lang="en-US" sz="1100"/>
            </a:p>
          </xdr:txBody>
        </xdr:sp>
      </mc:Choice>
      <mc:Fallback xmlns="">
        <xdr:sp macro="" textlink="">
          <xdr:nvSpPr>
            <xdr:cNvPr id="41" name="TextBox 40"/>
            <xdr:cNvSpPr txBox="1"/>
          </xdr:nvSpPr>
          <xdr:spPr>
            <a:xfrm>
              <a:off x="2898321" y="47442664"/>
              <a:ext cx="1646689" cy="25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𝑘𝑊ℎ=𝐻𝑟𝑠∗𝐻𝑃∗.746</a:t>
              </a:r>
              <a:endParaRPr lang="en-US" sz="1100"/>
            </a:p>
          </xdr:txBody>
        </xdr:sp>
      </mc:Fallback>
    </mc:AlternateContent>
    <xdr:clientData/>
  </xdr:twoCellAnchor>
  <xdr:twoCellAnchor>
    <xdr:from>
      <xdr:col>5</xdr:col>
      <xdr:colOff>0</xdr:colOff>
      <xdr:row>312</xdr:row>
      <xdr:rowOff>0</xdr:rowOff>
    </xdr:from>
    <xdr:to>
      <xdr:col>5</xdr:col>
      <xdr:colOff>1476375</xdr:colOff>
      <xdr:row>313</xdr:row>
      <xdr:rowOff>0</xdr:rowOff>
    </xdr:to>
    <xdr:pic>
      <xdr:nvPicPr>
        <xdr:cNvPr id="42" name="Picture 41"/>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048625" y="67598925"/>
          <a:ext cx="12477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726621</xdr:colOff>
      <xdr:row>310</xdr:row>
      <xdr:rowOff>19050</xdr:rowOff>
    </xdr:from>
    <xdr:to>
      <xdr:col>9</xdr:col>
      <xdr:colOff>144173</xdr:colOff>
      <xdr:row>313</xdr:row>
      <xdr:rowOff>48895</xdr:rowOff>
    </xdr:to>
    <mc:AlternateContent xmlns:mc="http://schemas.openxmlformats.org/markup-compatibility/2006" xmlns:a14="http://schemas.microsoft.com/office/drawing/2010/main">
      <mc:Choice Requires="a14">
        <xdr:sp macro="" textlink="">
          <xdr:nvSpPr>
            <xdr:cNvPr id="43" name="TextBox 42"/>
            <xdr:cNvSpPr txBox="1"/>
          </xdr:nvSpPr>
          <xdr:spPr>
            <a:xfrm>
              <a:off x="10023021" y="67227450"/>
              <a:ext cx="4008602" cy="6108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023021" y="67227450"/>
              <a:ext cx="4008602" cy="6108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6</xdr:col>
      <xdr:colOff>742950</xdr:colOff>
      <xdr:row>314</xdr:row>
      <xdr:rowOff>89808</xdr:rowOff>
    </xdr:from>
    <xdr:to>
      <xdr:col>9</xdr:col>
      <xdr:colOff>341962</xdr:colOff>
      <xdr:row>317</xdr:row>
      <xdr:rowOff>135528</xdr:rowOff>
    </xdr:to>
    <mc:AlternateContent xmlns:mc="http://schemas.openxmlformats.org/markup-compatibility/2006" xmlns:a14="http://schemas.microsoft.com/office/drawing/2010/main">
      <mc:Choice Requires="a14">
        <xdr:sp macro="" textlink="">
          <xdr:nvSpPr>
            <xdr:cNvPr id="44" name="TextBox 43"/>
            <xdr:cNvSpPr txBox="1"/>
          </xdr:nvSpPr>
          <xdr:spPr>
            <a:xfrm>
              <a:off x="10039350" y="68069733"/>
              <a:ext cx="4190062" cy="6172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039350" y="68069733"/>
              <a:ext cx="4190062" cy="6172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3</xdr:col>
      <xdr:colOff>99674</xdr:colOff>
      <xdr:row>71</xdr:row>
      <xdr:rowOff>142876</xdr:rowOff>
    </xdr:from>
    <xdr:to>
      <xdr:col>4</xdr:col>
      <xdr:colOff>292554</xdr:colOff>
      <xdr:row>73</xdr:row>
      <xdr:rowOff>15876</xdr:rowOff>
    </xdr:to>
    <mc:AlternateContent xmlns:mc="http://schemas.openxmlformats.org/markup-compatibility/2006" xmlns:a14="http://schemas.microsoft.com/office/drawing/2010/main">
      <mc:Choice Requires="a14">
        <xdr:sp macro="" textlink="">
          <xdr:nvSpPr>
            <xdr:cNvPr id="45" name="TextBox 44"/>
            <xdr:cNvSpPr txBox="1"/>
          </xdr:nvSpPr>
          <xdr:spPr>
            <a:xfrm>
              <a:off x="2271374" y="16954501"/>
              <a:ext cx="1250155"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5" name="TextBox 44"/>
            <xdr:cNvSpPr txBox="1"/>
          </xdr:nvSpPr>
          <xdr:spPr>
            <a:xfrm>
              <a:off x="2271374" y="16954501"/>
              <a:ext cx="1250155"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100692</xdr:colOff>
      <xdr:row>68</xdr:row>
      <xdr:rowOff>182336</xdr:rowOff>
    </xdr:from>
    <xdr:to>
      <xdr:col>4</xdr:col>
      <xdr:colOff>2252265</xdr:colOff>
      <xdr:row>70</xdr:row>
      <xdr:rowOff>20499</xdr:rowOff>
    </xdr:to>
    <mc:AlternateContent xmlns:mc="http://schemas.openxmlformats.org/markup-compatibility/2006" xmlns:a14="http://schemas.microsoft.com/office/drawing/2010/main">
      <mc:Choice Requires="a14">
        <xdr:sp macro="" textlink="">
          <xdr:nvSpPr>
            <xdr:cNvPr id="46" name="TextBox 45"/>
            <xdr:cNvSpPr txBox="1"/>
          </xdr:nvSpPr>
          <xdr:spPr>
            <a:xfrm>
              <a:off x="2272392" y="16422461"/>
              <a:ext cx="3208848"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𝐶𝑜𝑛𝑡𝑟𝑜𝑙𝑙𝑒𝑑</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𝑊𝐻𝐹𝑒</m:t>
                    </m:r>
                  </m:oMath>
                </m:oMathPara>
              </a14:m>
              <a:endParaRPr lang="en-US" sz="1100"/>
            </a:p>
          </xdr:txBody>
        </xdr:sp>
      </mc:Choice>
      <mc:Fallback xmlns="">
        <xdr:sp macro="" textlink="">
          <xdr:nvSpPr>
            <xdr:cNvPr id="46" name="TextBox 45"/>
            <xdr:cNvSpPr txBox="1"/>
          </xdr:nvSpPr>
          <xdr:spPr>
            <a:xfrm>
              <a:off x="2272392" y="16422461"/>
              <a:ext cx="3208848"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a:p>
          </xdr:txBody>
        </xdr:sp>
      </mc:Fallback>
    </mc:AlternateContent>
    <xdr:clientData/>
  </xdr:twoCellAnchor>
  <xdr:twoCellAnchor>
    <xdr:from>
      <xdr:col>3</xdr:col>
      <xdr:colOff>20037</xdr:colOff>
      <xdr:row>403</xdr:row>
      <xdr:rowOff>149675</xdr:rowOff>
    </xdr:from>
    <xdr:to>
      <xdr:col>6</xdr:col>
      <xdr:colOff>86643</xdr:colOff>
      <xdr:row>406</xdr:row>
      <xdr:rowOff>43714</xdr:rowOff>
    </xdr:to>
    <mc:AlternateContent xmlns:mc="http://schemas.openxmlformats.org/markup-compatibility/2006" xmlns:a14="http://schemas.microsoft.com/office/drawing/2010/main">
      <mc:Choice Requires="a14">
        <xdr:sp macro="" textlink="">
          <xdr:nvSpPr>
            <xdr:cNvPr id="47" name="TextBox 46"/>
            <xdr:cNvSpPr txBox="1"/>
          </xdr:nvSpPr>
          <xdr:spPr>
            <a:xfrm>
              <a:off x="2191737" y="86817650"/>
              <a:ext cx="7191306" cy="465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7" name="TextBox 46"/>
            <xdr:cNvSpPr txBox="1"/>
          </xdr:nvSpPr>
          <xdr:spPr>
            <a:xfrm>
              <a:off x="2191737" y="86817650"/>
              <a:ext cx="7191306" cy="465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853621</xdr:colOff>
      <xdr:row>400</xdr:row>
      <xdr:rowOff>67431</xdr:rowOff>
    </xdr:from>
    <xdr:to>
      <xdr:col>10</xdr:col>
      <xdr:colOff>901096</xdr:colOff>
      <xdr:row>403</xdr:row>
      <xdr:rowOff>6220</xdr:rowOff>
    </xdr:to>
    <mc:AlternateContent xmlns:mc="http://schemas.openxmlformats.org/markup-compatibility/2006" xmlns:a14="http://schemas.microsoft.com/office/drawing/2010/main">
      <mc:Choice Requires="a14">
        <xdr:sp macro="" textlink="">
          <xdr:nvSpPr>
            <xdr:cNvPr id="48" name="TextBox 47"/>
            <xdr:cNvSpPr txBox="1"/>
          </xdr:nvSpPr>
          <xdr:spPr>
            <a:xfrm>
              <a:off x="1882321" y="86163906"/>
              <a:ext cx="13944450"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𝐶𝑎𝑝𝑎𝑐𝑖𝑡𝑦</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𝑀𝐸𝐹𝑏𝑎𝑠𝑒</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𝐶𝑊𝑏𝑎𝑠𝑒</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𝐷𝐻𝑊𝑏𝑎𝑠𝑒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𝐷𝐻𝑊</m:t>
                                    </m:r>
                                  </m:sub>
                                </m:sSub>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𝐷𝑟𝑦𝑒𝑟𝑏𝑎𝑠𝑒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𝐷𝑟𝑦𝑒𝑟</m:t>
                                    </m:r>
                                  </m:sub>
                                </m:sSub>
                              </m:e>
                            </m:d>
                          </m:e>
                        </m:d>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𝐶𝑎𝑝𝑎𝑐𝑖𝑡𝑦</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𝑀𝐸𝐹𝑒𝑓𝑓</m:t>
                                </m:r>
                              </m:den>
                            </m:f>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𝑁𝑐𝑦𝑐𝑙𝑒𝑠</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𝐶𝑊𝑒𝑓𝑓</m:t>
                            </m:r>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𝐷𝐻𝑊𝑒𝑓𝑓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𝐷𝐻𝑊</m:t>
                                    </m:r>
                                  </m:sub>
                                </m:sSub>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𝐷𝑟𝑦𝑒𝑟𝑒𝑓𝑓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𝐷𝑟𝑦𝑒𝑟</m:t>
                                    </m:r>
                                  </m:sub>
                                </m:sSub>
                              </m:e>
                            </m:d>
                          </m:e>
                        </m:d>
                      </m:e>
                    </m:d>
                  </m:oMath>
                </m:oMathPara>
              </a14:m>
              <a:endParaRPr lang="en-US" sz="1100"/>
            </a:p>
          </xdr:txBody>
        </xdr:sp>
      </mc:Choice>
      <mc:Fallback xmlns="">
        <xdr:sp macro="" textlink="">
          <xdr:nvSpPr>
            <xdr:cNvPr id="48" name="TextBox 47"/>
            <xdr:cNvSpPr txBox="1"/>
          </xdr:nvSpPr>
          <xdr:spPr>
            <a:xfrm>
              <a:off x="1882321" y="86163906"/>
              <a:ext cx="13944450"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𝑘𝑊ℎ=[(𝐶𝑎𝑝𝑎𝑐𝑖𝑡𝑦∗1/𝑀𝐸𝐹𝑏𝑎𝑠𝑒∗𝑁𝑐𝑦𝑐𝑙𝑒𝑠)∗(%𝐶𝑊𝑏𝑎𝑠𝑒+(%𝐷𝐻𝑊𝑏𝑎𝑠𝑒∗〖%𝐸𝑙𝑒𝑐𝑡𝑟𝑖𝑐〗_𝐷𝐻𝑊 )+(%𝐷𝑟𝑦𝑒𝑟𝑏𝑎𝑠𝑒∗〖%𝐸𝑙𝑒𝑐𝑡𝑟𝑖𝑐〗_𝐷𝑟𝑦𝑒𝑟 ))]−[</a:t>
              </a:r>
              <a:r>
                <a:rPr lang="en-US" sz="1100" b="0" i="0">
                  <a:solidFill>
                    <a:schemeClr val="tx1"/>
                  </a:solidFill>
                  <a:effectLst/>
                  <a:latin typeface="Cambria Math" panose="02040503050406030204" pitchFamily="18" charset="0"/>
                  <a:ea typeface="+mn-ea"/>
                  <a:cs typeface="+mn-cs"/>
                </a:rPr>
                <a:t>(𝐶𝑎𝑝𝑎𝑐𝑖𝑡𝑦∗1/𝑀𝐸𝐹𝑒𝑓𝑓∗𝑁𝑐𝑦𝑐𝑙𝑒𝑠)∗(%𝐶𝑊𝑒𝑓𝑓+(%𝐷𝐻𝑊𝑒𝑓𝑓∗〖%𝐸𝑙𝑒𝑐𝑡𝑟𝑖𝑐〗_𝐷𝐻𝑊 )+(%𝐷𝑟𝑦𝑒𝑟𝑒𝑓𝑓∗〖%𝐸𝑙𝑒𝑐𝑡𝑟𝑖𝑐〗_𝐷𝑟𝑦𝑒𝑟 ))]</a:t>
              </a:r>
              <a:endParaRPr lang="en-US" sz="1100"/>
            </a:p>
          </xdr:txBody>
        </xdr:sp>
      </mc:Fallback>
    </mc:AlternateContent>
    <xdr:clientData/>
  </xdr:twoCellAnchor>
  <xdr:twoCellAnchor>
    <xdr:from>
      <xdr:col>3</xdr:col>
      <xdr:colOff>27214</xdr:colOff>
      <xdr:row>424</xdr:row>
      <xdr:rowOff>190497</xdr:rowOff>
    </xdr:from>
    <xdr:to>
      <xdr:col>4</xdr:col>
      <xdr:colOff>2292804</xdr:colOff>
      <xdr:row>427</xdr:row>
      <xdr:rowOff>84536</xdr:rowOff>
    </xdr:to>
    <mc:AlternateContent xmlns:mc="http://schemas.openxmlformats.org/markup-compatibility/2006" xmlns:a14="http://schemas.microsoft.com/office/drawing/2010/main">
      <mc:Choice Requires="a14">
        <xdr:sp macro="" textlink="">
          <xdr:nvSpPr>
            <xdr:cNvPr id="49" name="TextBox 48"/>
            <xdr:cNvSpPr txBox="1"/>
          </xdr:nvSpPr>
          <xdr:spPr>
            <a:xfrm>
              <a:off x="2198914" y="91239972"/>
              <a:ext cx="3322865" cy="465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9" name="TextBox 48"/>
            <xdr:cNvSpPr txBox="1"/>
          </xdr:nvSpPr>
          <xdr:spPr>
            <a:xfrm>
              <a:off x="2198914" y="91239972"/>
              <a:ext cx="3322865" cy="465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54429</xdr:colOff>
      <xdr:row>421</xdr:row>
      <xdr:rowOff>108253</xdr:rowOff>
    </xdr:from>
    <xdr:to>
      <xdr:col>4</xdr:col>
      <xdr:colOff>4095750</xdr:colOff>
      <xdr:row>424</xdr:row>
      <xdr:rowOff>47042</xdr:rowOff>
    </xdr:to>
    <mc:AlternateContent xmlns:mc="http://schemas.openxmlformats.org/markup-compatibility/2006" xmlns:a14="http://schemas.microsoft.com/office/drawing/2010/main">
      <mc:Choice Requires="a14">
        <xdr:sp macro="" textlink="">
          <xdr:nvSpPr>
            <xdr:cNvPr id="50" name="TextBox 49"/>
            <xdr:cNvSpPr txBox="1"/>
          </xdr:nvSpPr>
          <xdr:spPr>
            <a:xfrm>
              <a:off x="2226129" y="90586228"/>
              <a:ext cx="5098596"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𝐶𝐸𝐹𝑏𝑎𝑠𝑒</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𝐶𝐸𝐹𝑒𝑓𝑓</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oMath>
                </m:oMathPara>
              </a14:m>
              <a:endParaRPr lang="en-US" sz="1100"/>
            </a:p>
          </xdr:txBody>
        </xdr:sp>
      </mc:Choice>
      <mc:Fallback xmlns="">
        <xdr:sp macro="" textlink="">
          <xdr:nvSpPr>
            <xdr:cNvPr id="50" name="TextBox 49"/>
            <xdr:cNvSpPr txBox="1"/>
          </xdr:nvSpPr>
          <xdr:spPr>
            <a:xfrm>
              <a:off x="2226129" y="90586228"/>
              <a:ext cx="5098596"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𝑘𝑊ℎ=(𝐿𝑜𝑎𝑑/𝐶𝐸𝐹𝑏𝑎𝑠𝑒−𝐿𝑜𝑎𝑑/𝐶𝐸𝐹𝑒𝑓𝑓)∗𝑁𝑐𝑦𝑐𝑙𝑒𝑠∗%𝐸𝑙𝑒𝑐𝑡𝑟𝑖𝑐</a:t>
              </a:r>
              <a:endParaRPr lang="en-US" sz="1100"/>
            </a:p>
          </xdr:txBody>
        </xdr:sp>
      </mc:Fallback>
    </mc:AlternateContent>
    <xdr:clientData/>
  </xdr:twoCellAnchor>
  <xdr:twoCellAnchor>
    <xdr:from>
      <xdr:col>3</xdr:col>
      <xdr:colOff>27213</xdr:colOff>
      <xdr:row>450</xdr:row>
      <xdr:rowOff>108855</xdr:rowOff>
    </xdr:from>
    <xdr:to>
      <xdr:col>4</xdr:col>
      <xdr:colOff>2457449</xdr:colOff>
      <xdr:row>453</xdr:row>
      <xdr:rowOff>2894</xdr:rowOff>
    </xdr:to>
    <mc:AlternateContent xmlns:mc="http://schemas.openxmlformats.org/markup-compatibility/2006" xmlns:a14="http://schemas.microsoft.com/office/drawing/2010/main">
      <mc:Choice Requires="a14">
        <xdr:sp macro="" textlink="">
          <xdr:nvSpPr>
            <xdr:cNvPr id="51" name="TextBox 50"/>
            <xdr:cNvSpPr txBox="1"/>
          </xdr:nvSpPr>
          <xdr:spPr>
            <a:xfrm>
              <a:off x="2198913" y="96492330"/>
              <a:ext cx="3487511" cy="465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96492330"/>
              <a:ext cx="3487511" cy="465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81641</xdr:colOff>
      <xdr:row>447</xdr:row>
      <xdr:rowOff>85575</xdr:rowOff>
    </xdr:from>
    <xdr:to>
      <xdr:col>4</xdr:col>
      <xdr:colOff>4544784</xdr:colOff>
      <xdr:row>450</xdr:row>
      <xdr:rowOff>24364</xdr:rowOff>
    </xdr:to>
    <mc:AlternateContent xmlns:mc="http://schemas.openxmlformats.org/markup-compatibility/2006" xmlns:a14="http://schemas.microsoft.com/office/drawing/2010/main">
      <mc:Choice Requires="a14">
        <xdr:sp macro="" textlink="">
          <xdr:nvSpPr>
            <xdr:cNvPr id="52" name="TextBox 51"/>
            <xdr:cNvSpPr txBox="1"/>
          </xdr:nvSpPr>
          <xdr:spPr>
            <a:xfrm flipH="1">
              <a:off x="2253341" y="95897550"/>
              <a:ext cx="5520418"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95897550"/>
              <a:ext cx="5520418"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95249</xdr:colOff>
      <xdr:row>476</xdr:row>
      <xdr:rowOff>122461</xdr:rowOff>
    </xdr:from>
    <xdr:to>
      <xdr:col>4</xdr:col>
      <xdr:colOff>2865664</xdr:colOff>
      <xdr:row>478</xdr:row>
      <xdr:rowOff>179786</xdr:rowOff>
    </xdr:to>
    <mc:AlternateContent xmlns:mc="http://schemas.openxmlformats.org/markup-compatibility/2006" xmlns:a14="http://schemas.microsoft.com/office/drawing/2010/main">
      <mc:Choice Requires="a14">
        <xdr:sp macro="" textlink="">
          <xdr:nvSpPr>
            <xdr:cNvPr id="53" name="TextBox 52"/>
            <xdr:cNvSpPr txBox="1"/>
          </xdr:nvSpPr>
          <xdr:spPr>
            <a:xfrm>
              <a:off x="2266949" y="101839936"/>
              <a:ext cx="382769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101839936"/>
              <a:ext cx="382769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176893</xdr:colOff>
      <xdr:row>473</xdr:row>
      <xdr:rowOff>96157</xdr:rowOff>
    </xdr:from>
    <xdr:to>
      <xdr:col>5</xdr:col>
      <xdr:colOff>979714</xdr:colOff>
      <xdr:row>476</xdr:row>
      <xdr:rowOff>34946</xdr:rowOff>
    </xdr:to>
    <mc:AlternateContent xmlns:mc="http://schemas.openxmlformats.org/markup-compatibility/2006" xmlns:a14="http://schemas.microsoft.com/office/drawing/2010/main">
      <mc:Choice Requires="a14">
        <xdr:sp macro="" textlink="">
          <xdr:nvSpPr>
            <xdr:cNvPr id="54" name="TextBox 53"/>
            <xdr:cNvSpPr txBox="1"/>
          </xdr:nvSpPr>
          <xdr:spPr>
            <a:xfrm flipH="1">
              <a:off x="2348593" y="101242132"/>
              <a:ext cx="6679746"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n-US" sz="1400" b="0" i="0">
                            <a:latin typeface="Cambria Math" panose="02040503050406030204" pitchFamily="18" charset="0"/>
                            <a:ea typeface="Cambria Math" panose="02040503050406030204" pitchFamily="18" charset="0"/>
                          </a:rPr>
                          <m:t>SCFM</m:t>
                        </m:r>
                        <m:r>
                          <a:rPr lang="en-US" sz="1400" b="0" i="0">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𝑆𝐶𝐹𝑀</m:t>
                            </m:r>
                            <m:r>
                              <a:rPr lang="en-US" sz="1400" b="0" i="1">
                                <a:latin typeface="Cambria Math" panose="02040503050406030204" pitchFamily="18" charset="0"/>
                                <a:ea typeface="Cambria Math" panose="02040503050406030204" pitchFamily="18" charset="0"/>
                              </a:rPr>
                              <m:t>%</m:t>
                            </m:r>
                          </m:e>
                          <m:sub>
                            <m:r>
                              <a:rPr lang="en-US" sz="1400" b="0" i="1">
                                <a:latin typeface="Cambria Math" panose="02040503050406030204" pitchFamily="18" charset="0"/>
                                <a:ea typeface="Cambria Math" panose="02040503050406030204" pitchFamily="18" charset="0"/>
                              </a:rPr>
                              <m:t>𝑟𝑒𝑑𝑢𝑐𝑒𝑑</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m:t>
                        </m:r>
                      </m:num>
                      <m:den>
                        <m:r>
                          <a:rPr lang="en-US" sz="1400" b="0" i="1">
                            <a:latin typeface="Cambria Math" panose="02040503050406030204" pitchFamily="18" charset="0"/>
                            <a:ea typeface="Cambria Math" panose="02040503050406030204" pitchFamily="18" charset="0"/>
                          </a:rPr>
                          <m:t>𝐶𝐹𝑀</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𝑈𝑠𝑒</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4" name="TextBox 53"/>
            <xdr:cNvSpPr txBox="1"/>
          </xdr:nvSpPr>
          <xdr:spPr>
            <a:xfrm flipH="1">
              <a:off x="2348593" y="101242132"/>
              <a:ext cx="6679746"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𝑘𝑊ℎ=(SCFM∗〖𝑆𝐶𝐹𝑀%〗_𝑟𝑒𝑑𝑢𝑐𝑒𝑑 )∗𝑘𝑊/𝐶𝐹𝑀∗%𝑈𝑠𝑒∗𝐻𝑜𝑢𝑟𝑠</a:t>
              </a:r>
              <a:endParaRPr lang="en-US" sz="1100"/>
            </a:p>
          </xdr:txBody>
        </xdr:sp>
      </mc:Fallback>
    </mc:AlternateContent>
    <xdr:clientData/>
  </xdr:twoCellAnchor>
  <xdr:twoCellAnchor>
    <xdr:from>
      <xdr:col>2</xdr:col>
      <xdr:colOff>0</xdr:colOff>
      <xdr:row>496</xdr:row>
      <xdr:rowOff>95247</xdr:rowOff>
    </xdr:from>
    <xdr:to>
      <xdr:col>2</xdr:col>
      <xdr:colOff>0</xdr:colOff>
      <xdr:row>498</xdr:row>
      <xdr:rowOff>152572</xdr:rowOff>
    </xdr:to>
    <mc:AlternateContent xmlns:mc="http://schemas.openxmlformats.org/markup-compatibility/2006" xmlns:a14="http://schemas.microsoft.com/office/drawing/2010/main">
      <mc:Choice Requires="a14">
        <xdr:sp macro="" textlink="">
          <xdr:nvSpPr>
            <xdr:cNvPr id="55" name="TextBox 54"/>
            <xdr:cNvSpPr txBox="1"/>
          </xdr:nvSpPr>
          <xdr:spPr>
            <a:xfrm>
              <a:off x="1028700" y="1060037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1060037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68035</xdr:colOff>
      <xdr:row>493</xdr:row>
      <xdr:rowOff>132443</xdr:rowOff>
    </xdr:from>
    <xdr:to>
      <xdr:col>6</xdr:col>
      <xdr:colOff>1224642</xdr:colOff>
      <xdr:row>496</xdr:row>
      <xdr:rowOff>71232</xdr:rowOff>
    </xdr:to>
    <mc:AlternateContent xmlns:mc="http://schemas.openxmlformats.org/markup-compatibility/2006" xmlns:a14="http://schemas.microsoft.com/office/drawing/2010/main">
      <mc:Choice Requires="a14">
        <xdr:sp macro="" textlink="">
          <xdr:nvSpPr>
            <xdr:cNvPr id="56" name="TextBox 55"/>
            <xdr:cNvSpPr txBox="1"/>
          </xdr:nvSpPr>
          <xdr:spPr>
            <a:xfrm flipH="1">
              <a:off x="2239735" y="105469418"/>
              <a:ext cx="8281307"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105469418"/>
              <a:ext cx="8281307"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515</xdr:row>
      <xdr:rowOff>155864</xdr:rowOff>
    </xdr:from>
    <xdr:to>
      <xdr:col>2</xdr:col>
      <xdr:colOff>0</xdr:colOff>
      <xdr:row>517</xdr:row>
      <xdr:rowOff>103910</xdr:rowOff>
    </xdr:to>
    <mc:AlternateContent xmlns:mc="http://schemas.openxmlformats.org/markup-compatibility/2006" xmlns:a14="http://schemas.microsoft.com/office/drawing/2010/main">
      <mc:Choice Requires="a14">
        <xdr:sp macro="" textlink="">
          <xdr:nvSpPr>
            <xdr:cNvPr id="57" name="TextBox 56"/>
            <xdr:cNvSpPr txBox="1"/>
          </xdr:nvSpPr>
          <xdr:spPr>
            <a:xfrm>
              <a:off x="1028700" y="110064839"/>
              <a:ext cx="0" cy="3290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7" name="TextBox 56"/>
            <xdr:cNvSpPr txBox="1"/>
          </xdr:nvSpPr>
          <xdr:spPr>
            <a:xfrm>
              <a:off x="1028700" y="110064839"/>
              <a:ext cx="0" cy="3290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511</xdr:row>
      <xdr:rowOff>75458</xdr:rowOff>
    </xdr:from>
    <xdr:to>
      <xdr:col>23</xdr:col>
      <xdr:colOff>503464</xdr:colOff>
      <xdr:row>516</xdr:row>
      <xdr:rowOff>95250</xdr:rowOff>
    </xdr:to>
    <mc:AlternateContent xmlns:mc="http://schemas.openxmlformats.org/markup-compatibility/2006" xmlns:a14="http://schemas.microsoft.com/office/drawing/2010/main">
      <mc:Choice Requires="a14">
        <xdr:sp macro="" textlink="">
          <xdr:nvSpPr>
            <xdr:cNvPr id="58" name="TextBox 57"/>
            <xdr:cNvSpPr txBox="1"/>
          </xdr:nvSpPr>
          <xdr:spPr>
            <a:xfrm>
              <a:off x="2266949" y="109222433"/>
              <a:ext cx="32688440" cy="9722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𝐹𝑜𝑜𝑑𝐶𝑜𝑜𝑘𝑒𝑑</m:t>
                                </m:r>
                              </m:e>
                              <m:sub>
                                <m:r>
                                  <a:rPr lang="en-US" sz="1400" b="0" i="1">
                                    <a:latin typeface="Cambria Math" panose="02040503050406030204" pitchFamily="18" charset="0"/>
                                  </a:rPr>
                                  <m:t>𝐸𝑙𝑒𝑐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400" b="0" i="1">
                                <a:latin typeface="Cambria Math" panose="02040503050406030204" pitchFamily="18" charset="0"/>
                              </a:rPr>
                              <m:t>∗%</m:t>
                            </m:r>
                            <m:r>
                              <a:rPr lang="en-US" sz="1400" b="0" i="1">
                                <a:latin typeface="Cambria Math" panose="02040503050406030204" pitchFamily="18" charset="0"/>
                              </a:rPr>
                              <m:t>𝐶𝑜𝑛𝑣</m:t>
                            </m:r>
                          </m:e>
                        </m:d>
                        <m:r>
                          <a:rPr lang="en-US" sz="1400" b="0" i="1">
                            <a:latin typeface="Cambria Math" panose="02040503050406030204" pitchFamily="18" charset="0"/>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58" name="TextBox 57"/>
            <xdr:cNvSpPr txBox="1"/>
          </xdr:nvSpPr>
          <xdr:spPr>
            <a:xfrm>
              <a:off x="2266949" y="109222433"/>
              <a:ext cx="32688440" cy="9722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[(〖𝐹𝑜𝑜𝑑𝐶𝑜𝑜𝑘𝑒𝑑〗_𝐸𝑙𝑒𝑐∗(</a:t>
              </a:r>
              <a:r>
                <a:rPr lang="en-US" sz="1100" b="0" i="0">
                  <a:solidFill>
                    <a:schemeClr val="tx1"/>
                  </a:solidFill>
                  <a:effectLst/>
                  <a:latin typeface="Cambria Math" panose="02040503050406030204" pitchFamily="18" charset="0"/>
                  <a:ea typeface="+mn-ea"/>
                  <a:cs typeface="+mn-cs"/>
                </a:rPr>
                <a:t>〖𝐸𝐹𝑂𝑂𝐷〗_𝐶𝑜𝑛𝑣𝐸𝑙𝑒𝑐/〖𝐸𝑙𝑒𝑐𝐸𝐹𝐹〗_𝐶𝑜𝑛𝑣𝐵𝑎𝑠𝑒 −〖𝐸𝐹𝑂𝑂𝐷〗_𝐶𝑜𝑛𝑣𝐸𝑙𝑒𝑐/〖𝐸𝑙𝑒𝑐𝐸𝐹𝐹〗_𝐶𝑜𝑛𝑣𝐸𝐸 )</a:t>
              </a:r>
              <a:r>
                <a:rPr lang="en-US" sz="1400" b="0" i="0">
                  <a:latin typeface="Cambria Math" panose="02040503050406030204" pitchFamily="18" charset="0"/>
                </a:rPr>
                <a:t>∗%𝐶𝑜𝑛𝑣)+</a:t>
              </a:r>
              <a:r>
                <a:rPr lang="en-US" sz="1100" b="0" i="0">
                  <a:solidFill>
                    <a:schemeClr val="tx1"/>
                  </a:solidFill>
                  <a:effectLst/>
                  <a:latin typeface="Cambria Math" panose="02040503050406030204" pitchFamily="18" charset="0"/>
                  <a:ea typeface="+mn-ea"/>
                  <a:cs typeface="+mn-cs"/>
                </a:rPr>
                <a:t>(〖𝐹𝑜𝑜𝑑𝐶𝑜𝑜𝑘𝑒𝑑〗_𝐸𝑙𝑒𝑐∗(〖𝐸𝐹𝑂𝑂𝐷〗_𝑆𝑡𝑒𝑎𝑚𝐸𝑙𝑒𝑐/〖𝐸𝑙𝑒𝑐𝐸𝐹𝐹〗_𝑆𝑡𝑒𝑎𝑚𝐵𝑎𝑠𝑒 −〖𝐸𝐹𝑂𝑂𝐷〗_𝑆𝑡𝑒𝑎𝑚𝐸𝑙𝑒𝑐/〖𝐸𝑙𝑒𝑐𝐸𝐹𝐹〗_𝑆𝑡𝑒𝑎𝑚𝐸𝐸 )∗%𝑆𝑡𝑒𝑎𝑚)+((〖𝐸𝑙𝑒𝑐𝐼𝐷𝐿𝐸〗_𝐶𝑜𝑛𝑣𝐵𝑎𝑠𝑒∗((𝐻𝑜𝑢𝑟𝑠−〖𝐹𝑜𝑜𝑑𝐶𝑜𝑜𝑘𝑒𝑑〗_𝐸𝑙𝑒𝑐/〖𝐸𝑙𝑒𝑐𝑃𝐶〗_𝐶𝑜𝑛𝑣𝐵𝑎𝑠𝑒 )∗%𝐶𝑜𝑛𝑣))−(〖𝐸𝑙𝑒𝑐𝐼𝐷𝐿𝐸〗_𝐶𝑜𝑛𝑣𝐸𝐸∗((𝐻𝑜𝑢𝑟𝑠−〖𝐹𝑜𝑜𝑑𝐶𝑜𝑜𝑘𝑒𝑑〗_𝐸𝑙𝑒𝑐/〖𝐸𝑙𝑒𝑐𝑃𝐶〗_𝐶𝑜𝑛𝑣𝐸𝐸 )∗%𝐶𝑜𝑛𝑣)))+((〖𝐸𝑙𝑒𝑐𝐼𝐷𝐿𝐸〗_𝑆𝑡𝑒𝑎𝑚𝐵𝑎𝑠𝑒∗((𝐻𝑜𝑢𝑟𝑠−〖𝐹𝑜𝑜𝑑𝐶𝑜𝑜𝑘𝑒𝑑〗_𝐸𝑙𝑒𝑐/〖𝐸𝑙𝑒𝑐𝑃𝐶〗_𝑆𝑡𝑒𝑎𝑚𝐵𝑎𝑠𝑒 )∗%𝑆𝑡𝑒𝑎𝑚))−(〖𝐸𝑙𝑒𝑐𝐼𝐷𝐿𝐸〗_𝑆𝑡𝑒𝑎𝑚𝐸𝐸∗((𝐻𝑜𝑢𝑟𝑠−〖𝐹𝑜𝑜𝑑𝐶𝑜𝑜𝑘𝑒𝑑〗_𝐸𝑙𝑒𝑐/〖𝐸𝑙𝑒𝑐𝑃𝐶〗_𝑆𝑡𝑒𝑎𝑚𝐸𝐸 )∗%𝑆𝑡𝑒𝑎𝑚)))]</a:t>
              </a:r>
              <a:r>
                <a:rPr lang="en-US" sz="1400" b="0" i="0">
                  <a:latin typeface="Cambria Math" panose="02040503050406030204" pitchFamily="18" charset="0"/>
                </a:rPr>
                <a:t>∗𝐷𝑎𝑦𝑠/1000</a:t>
              </a:r>
              <a:endParaRPr lang="en-US" sz="1400"/>
            </a:p>
          </xdr:txBody>
        </xdr:sp>
      </mc:Fallback>
    </mc:AlternateContent>
    <xdr:clientData/>
  </xdr:twoCellAnchor>
  <xdr:twoCellAnchor>
    <xdr:from>
      <xdr:col>2</xdr:col>
      <xdr:colOff>0</xdr:colOff>
      <xdr:row>536</xdr:row>
      <xdr:rowOff>95247</xdr:rowOff>
    </xdr:from>
    <xdr:to>
      <xdr:col>2</xdr:col>
      <xdr:colOff>0</xdr:colOff>
      <xdr:row>538</xdr:row>
      <xdr:rowOff>152572</xdr:rowOff>
    </xdr:to>
    <mc:AlternateContent xmlns:mc="http://schemas.openxmlformats.org/markup-compatibility/2006" xmlns:a14="http://schemas.microsoft.com/office/drawing/2010/main">
      <mc:Choice Requires="a14">
        <xdr:sp macro="" textlink="">
          <xdr:nvSpPr>
            <xdr:cNvPr id="59" name="TextBox 58"/>
            <xdr:cNvSpPr txBox="1"/>
          </xdr:nvSpPr>
          <xdr:spPr>
            <a:xfrm>
              <a:off x="1028700" y="1147667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9" name="TextBox 58"/>
            <xdr:cNvSpPr txBox="1"/>
          </xdr:nvSpPr>
          <xdr:spPr>
            <a:xfrm>
              <a:off x="1028700" y="1147667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1088572</xdr:colOff>
      <xdr:row>534</xdr:row>
      <xdr:rowOff>9072</xdr:rowOff>
    </xdr:from>
    <xdr:to>
      <xdr:col>16</xdr:col>
      <xdr:colOff>476250</xdr:colOff>
      <xdr:row>538</xdr:row>
      <xdr:rowOff>104322</xdr:rowOff>
    </xdr:to>
    <mc:AlternateContent xmlns:mc="http://schemas.openxmlformats.org/markup-compatibility/2006" xmlns:a14="http://schemas.microsoft.com/office/drawing/2010/main">
      <mc:Choice Requires="a14">
        <xdr:sp macro="" textlink="">
          <xdr:nvSpPr>
            <xdr:cNvPr id="60" name="TextBox 59"/>
            <xdr:cNvSpPr txBox="1"/>
          </xdr:nvSpPr>
          <xdr:spPr>
            <a:xfrm>
              <a:off x="2117272" y="114299547"/>
              <a:ext cx="19304453" cy="857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0" name="TextBox 59"/>
            <xdr:cNvSpPr txBox="1"/>
          </xdr:nvSpPr>
          <xdr:spPr>
            <a:xfrm>
              <a:off x="2117272" y="114299547"/>
              <a:ext cx="19304453" cy="857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554</xdr:row>
      <xdr:rowOff>95247</xdr:rowOff>
    </xdr:from>
    <xdr:to>
      <xdr:col>2</xdr:col>
      <xdr:colOff>0</xdr:colOff>
      <xdr:row>556</xdr:row>
      <xdr:rowOff>152572</xdr:rowOff>
    </xdr:to>
    <mc:AlternateContent xmlns:mc="http://schemas.openxmlformats.org/markup-compatibility/2006" xmlns:a14="http://schemas.microsoft.com/office/drawing/2010/main">
      <mc:Choice Requires="a14">
        <xdr:sp macro="" textlink="">
          <xdr:nvSpPr>
            <xdr:cNvPr id="61" name="TextBox 60"/>
            <xdr:cNvSpPr txBox="1"/>
          </xdr:nvSpPr>
          <xdr:spPr>
            <a:xfrm>
              <a:off x="1028700" y="1185767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1" name="TextBox 60"/>
            <xdr:cNvSpPr txBox="1"/>
          </xdr:nvSpPr>
          <xdr:spPr>
            <a:xfrm>
              <a:off x="1028700" y="1185767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1115785</xdr:colOff>
      <xdr:row>551</xdr:row>
      <xdr:rowOff>145143</xdr:rowOff>
    </xdr:from>
    <xdr:to>
      <xdr:col>17</xdr:col>
      <xdr:colOff>421821</xdr:colOff>
      <xdr:row>556</xdr:row>
      <xdr:rowOff>49893</xdr:rowOff>
    </xdr:to>
    <mc:AlternateContent xmlns:mc="http://schemas.openxmlformats.org/markup-compatibility/2006" xmlns:a14="http://schemas.microsoft.com/office/drawing/2010/main">
      <mc:Choice Requires="a14">
        <xdr:sp macro="" textlink="">
          <xdr:nvSpPr>
            <xdr:cNvPr id="62" name="TextBox 61"/>
            <xdr:cNvSpPr txBox="1"/>
          </xdr:nvSpPr>
          <xdr:spPr>
            <a:xfrm>
              <a:off x="2144485" y="118055118"/>
              <a:ext cx="20451536" cy="857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2" name="TextBox 61"/>
            <xdr:cNvSpPr txBox="1"/>
          </xdr:nvSpPr>
          <xdr:spPr>
            <a:xfrm>
              <a:off x="2144485" y="118055118"/>
              <a:ext cx="20451536" cy="857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571</xdr:row>
      <xdr:rowOff>95247</xdr:rowOff>
    </xdr:from>
    <xdr:to>
      <xdr:col>2</xdr:col>
      <xdr:colOff>0</xdr:colOff>
      <xdr:row>573</xdr:row>
      <xdr:rowOff>152572</xdr:rowOff>
    </xdr:to>
    <mc:AlternateContent xmlns:mc="http://schemas.openxmlformats.org/markup-compatibility/2006" xmlns:a14="http://schemas.microsoft.com/office/drawing/2010/main">
      <mc:Choice Requires="a14">
        <xdr:sp macro="" textlink="">
          <xdr:nvSpPr>
            <xdr:cNvPr id="63" name="TextBox 62"/>
            <xdr:cNvSpPr txBox="1"/>
          </xdr:nvSpPr>
          <xdr:spPr>
            <a:xfrm>
              <a:off x="1028700" y="122196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3" name="TextBox 62"/>
            <xdr:cNvSpPr txBox="1"/>
          </xdr:nvSpPr>
          <xdr:spPr>
            <a:xfrm>
              <a:off x="1028700" y="122196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86590</xdr:colOff>
      <xdr:row>568</xdr:row>
      <xdr:rowOff>135248</xdr:rowOff>
    </xdr:from>
    <xdr:to>
      <xdr:col>16</xdr:col>
      <xdr:colOff>64201</xdr:colOff>
      <xdr:row>573</xdr:row>
      <xdr:rowOff>112569</xdr:rowOff>
    </xdr:to>
    <mc:AlternateContent xmlns:mc="http://schemas.openxmlformats.org/markup-compatibility/2006" xmlns:a14="http://schemas.microsoft.com/office/drawing/2010/main">
      <mc:Choice Requires="a14">
        <xdr:sp macro="" textlink="">
          <xdr:nvSpPr>
            <xdr:cNvPr id="64" name="TextBox 63"/>
            <xdr:cNvSpPr txBox="1"/>
          </xdr:nvSpPr>
          <xdr:spPr>
            <a:xfrm>
              <a:off x="2258290" y="121664723"/>
              <a:ext cx="18751386" cy="9298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4" name="TextBox 63"/>
            <xdr:cNvSpPr txBox="1"/>
          </xdr:nvSpPr>
          <xdr:spPr>
            <a:xfrm>
              <a:off x="2258290" y="121664723"/>
              <a:ext cx="18751386" cy="9298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[(((〖𝐸𝑙𝑒𝑐𝐼𝑑𝑙𝑒〗_𝐵𝑎𝑠𝑒∗𝑊𝑖𝑑𝑡ℎ∗𝐷𝑒𝑝𝑡ℎ)∗(𝐻𝑜𝑢𝑟𝑠−𝐹𝑜𝑜𝑑𝐶𝑜𝑜𝑘𝑒𝑑/〖𝐸𝑙𝑒𝑐𝑃𝐶〗_𝐵𝑎𝑠𝑒 ))−((〖𝐸𝑙𝑒𝑐𝐼𝑑𝑙𝑒〗_𝐸𝑆𝑇𝐴𝑅∗𝑊𝑖𝑑𝑡ℎ∗𝐷𝑒𝑝𝑡ℎ)∗(𝐻𝑜𝑢𝑟𝑠−𝐹𝑜𝑜𝑑𝐶𝑜𝑜𝑘𝑒𝑑/〖𝐸𝑙𝑒𝑐𝑃𝐶〗_𝐸𝑆𝑇𝐴𝑅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)−(𝐹𝑜𝑜𝑑𝐶𝑜𝑜𝑘𝑒𝑑∗〖𝐸𝐹𝑂𝑂𝐷〗_𝐸𝑙𝑒𝑐/〖𝐸𝑙𝑒𝑐𝐸𝑓𝑓〗_𝐸𝑆𝐴𝑅 ))]∗𝐷𝑎𝑦𝑠/1000</a:t>
              </a:r>
              <a:endParaRPr lang="en-US" sz="1400"/>
            </a:p>
          </xdr:txBody>
        </xdr:sp>
      </mc:Fallback>
    </mc:AlternateContent>
    <xdr:clientData/>
  </xdr:twoCellAnchor>
  <xdr:twoCellAnchor>
    <xdr:from>
      <xdr:col>2</xdr:col>
      <xdr:colOff>0</xdr:colOff>
      <xdr:row>587</xdr:row>
      <xdr:rowOff>95247</xdr:rowOff>
    </xdr:from>
    <xdr:to>
      <xdr:col>2</xdr:col>
      <xdr:colOff>0</xdr:colOff>
      <xdr:row>589</xdr:row>
      <xdr:rowOff>152572</xdr:rowOff>
    </xdr:to>
    <mc:AlternateContent xmlns:mc="http://schemas.openxmlformats.org/markup-compatibility/2006" xmlns:a14="http://schemas.microsoft.com/office/drawing/2010/main">
      <mc:Choice Requires="a14">
        <xdr:sp macro="" textlink="">
          <xdr:nvSpPr>
            <xdr:cNvPr id="65" name="TextBox 64"/>
            <xdr:cNvSpPr txBox="1"/>
          </xdr:nvSpPr>
          <xdr:spPr>
            <a:xfrm>
              <a:off x="1028700" y="125625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125625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54428</xdr:colOff>
      <xdr:row>585</xdr:row>
      <xdr:rowOff>173594</xdr:rowOff>
    </xdr:from>
    <xdr:to>
      <xdr:col>4</xdr:col>
      <xdr:colOff>4104408</xdr:colOff>
      <xdr:row>588</xdr:row>
      <xdr:rowOff>82879</xdr:rowOff>
    </xdr:to>
    <mc:AlternateContent xmlns:mc="http://schemas.openxmlformats.org/markup-compatibility/2006" xmlns:a14="http://schemas.microsoft.com/office/drawing/2010/main">
      <mc:Choice Requires="a14">
        <xdr:sp macro="" textlink="">
          <xdr:nvSpPr>
            <xdr:cNvPr id="66" name="TextBox 65"/>
            <xdr:cNvSpPr txBox="1"/>
          </xdr:nvSpPr>
          <xdr:spPr>
            <a:xfrm>
              <a:off x="2226128" y="125322569"/>
              <a:ext cx="5107255" cy="480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sSub>
                      <m:sSubPr>
                        <m:ctrlPr>
                          <a:rPr lang="en-US" sz="1400" b="0" i="1">
                            <a:latin typeface="Cambria Math" panose="02040503050406030204" pitchFamily="18" charset="0"/>
                          </a:rPr>
                        </m:ctrlPr>
                      </m:sSubPr>
                      <m:e>
                        <m:r>
                          <a:rPr lang="en-US" sz="1400" b="0" i="1">
                            <a:latin typeface="Cambria Math" panose="02040503050406030204" pitchFamily="18" charset="0"/>
                          </a:rPr>
                          <m:t>𝐻𝑃</m:t>
                        </m:r>
                      </m:e>
                      <m:sub>
                        <m:r>
                          <a:rPr lang="en-US" sz="1400" b="0" i="1">
                            <a:latin typeface="Cambria Math" panose="02040503050406030204" pitchFamily="18" charset="0"/>
                          </a:rPr>
                          <m:t>𝑒𝑥h𝑎𝑢𝑠𝑡</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𝑘𝑊</m:t>
                        </m:r>
                      </m:e>
                      <m:sub>
                        <m:r>
                          <a:rPr lang="en-US" sz="1400" b="0" i="1">
                            <a:latin typeface="Cambria Math" panose="02040503050406030204" pitchFamily="18" charset="0"/>
                          </a:rPr>
                          <m:t>𝑆𝑎𝑣𝑖𝑛𝑔𝑠</m:t>
                        </m:r>
                      </m:sub>
                    </m:sSub>
                    <m:r>
                      <a:rPr lang="en-US" sz="1400" b="0" i="1">
                        <a:latin typeface="Cambria Math" panose="02040503050406030204" pitchFamily="18" charset="0"/>
                      </a:rPr>
                      <m:t>∗</m:t>
                    </m:r>
                    <m:r>
                      <a:rPr lang="en-US" sz="1400" b="0" i="1">
                        <a:latin typeface="Cambria Math" panose="02040503050406030204" pitchFamily="18" charset="0"/>
                      </a:rPr>
                      <m:t>𝐻𝑜𝑢𝑟𝑠</m:t>
                    </m:r>
                    <m:r>
                      <a:rPr lang="en-US" sz="1400" b="0" i="1">
                        <a:latin typeface="Cambria Math" panose="02040503050406030204" pitchFamily="18" charset="0"/>
                      </a:rPr>
                      <m:t>∗</m:t>
                    </m:r>
                    <m:r>
                      <a:rPr lang="en-US" sz="1400" b="0" i="1">
                        <a:latin typeface="Cambria Math" panose="02040503050406030204" pitchFamily="18" charset="0"/>
                      </a:rPr>
                      <m:t>𝐷𝑎𝑦𝑠</m:t>
                    </m:r>
                  </m:oMath>
                </m:oMathPara>
              </a14:m>
              <a:endParaRPr lang="en-US" sz="1400"/>
            </a:p>
          </xdr:txBody>
        </xdr:sp>
      </mc:Choice>
      <mc:Fallback xmlns="">
        <xdr:sp macro="" textlink="">
          <xdr:nvSpPr>
            <xdr:cNvPr id="66" name="TextBox 65"/>
            <xdr:cNvSpPr txBox="1"/>
          </xdr:nvSpPr>
          <xdr:spPr>
            <a:xfrm>
              <a:off x="2226128" y="125322569"/>
              <a:ext cx="5107255" cy="480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〖𝐻𝑃〗_𝑒𝑥ℎ𝑎𝑢𝑠𝑡∗〖𝑘𝑊〗_𝑆𝑎𝑣𝑖𝑛𝑔𝑠∗𝐻𝑜𝑢𝑟𝑠∗𝐷𝑎𝑦𝑠</a:t>
              </a:r>
              <a:endParaRPr lang="en-US" sz="1400"/>
            </a:p>
          </xdr:txBody>
        </xdr:sp>
      </mc:Fallback>
    </mc:AlternateContent>
    <xdr:clientData/>
  </xdr:twoCellAnchor>
  <xdr:twoCellAnchor>
    <xdr:from>
      <xdr:col>2</xdr:col>
      <xdr:colOff>0</xdr:colOff>
      <xdr:row>603</xdr:row>
      <xdr:rowOff>95247</xdr:rowOff>
    </xdr:from>
    <xdr:to>
      <xdr:col>2</xdr:col>
      <xdr:colOff>0</xdr:colOff>
      <xdr:row>605</xdr:row>
      <xdr:rowOff>152572</xdr:rowOff>
    </xdr:to>
    <mc:AlternateContent xmlns:mc="http://schemas.openxmlformats.org/markup-compatibility/2006" xmlns:a14="http://schemas.microsoft.com/office/drawing/2010/main">
      <mc:Choice Requires="a14">
        <xdr:sp macro="" textlink="">
          <xdr:nvSpPr>
            <xdr:cNvPr id="67" name="TextBox 66"/>
            <xdr:cNvSpPr txBox="1"/>
          </xdr:nvSpPr>
          <xdr:spPr>
            <a:xfrm>
              <a:off x="1028700" y="129054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7" name="TextBox 66"/>
            <xdr:cNvSpPr txBox="1"/>
          </xdr:nvSpPr>
          <xdr:spPr>
            <a:xfrm>
              <a:off x="1028700" y="129054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4081</xdr:colOff>
      <xdr:row>600</xdr:row>
      <xdr:rowOff>36286</xdr:rowOff>
    </xdr:from>
    <xdr:to>
      <xdr:col>5</xdr:col>
      <xdr:colOff>669470</xdr:colOff>
      <xdr:row>602</xdr:row>
      <xdr:rowOff>136071</xdr:rowOff>
    </xdr:to>
    <mc:AlternateContent xmlns:mc="http://schemas.openxmlformats.org/markup-compatibility/2006" xmlns:a14="http://schemas.microsoft.com/office/drawing/2010/main">
      <mc:Choice Requires="a14">
        <xdr:sp macro="" textlink="">
          <xdr:nvSpPr>
            <xdr:cNvPr id="68" name="TextBox 67"/>
            <xdr:cNvSpPr txBox="1"/>
          </xdr:nvSpPr>
          <xdr:spPr>
            <a:xfrm flipH="1">
              <a:off x="2175781" y="128423761"/>
              <a:ext cx="6542314" cy="480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 ∗8.33∗1∗</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𝑜𝑢𝑡</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𝑖𝑛</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f>
                          <m:fPr>
                            <m:type m:val="lin"/>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𝐸𝐹𝐹</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𝐸𝑙𝑒𝑐</m:t>
                            </m:r>
                          </m:den>
                        </m:f>
                      </m:num>
                      <m:den>
                        <m:r>
                          <a:rPr lang="en-US" sz="1400" b="0" i="1">
                            <a:latin typeface="Cambria Math" panose="02040503050406030204" pitchFamily="18" charset="0"/>
                            <a:ea typeface="Cambria Math" panose="02040503050406030204" pitchFamily="18" charset="0"/>
                          </a:rPr>
                          <m:t>3413</m:t>
                        </m:r>
                      </m:den>
                    </m:f>
                  </m:oMath>
                </m:oMathPara>
              </a14:m>
              <a:endParaRPr lang="en-US" sz="1400"/>
            </a:p>
          </xdr:txBody>
        </xdr:sp>
      </mc:Choice>
      <mc:Fallback xmlns="">
        <xdr:sp macro="" textlink="">
          <xdr:nvSpPr>
            <xdr:cNvPr id="68" name="TextBox 67"/>
            <xdr:cNvSpPr txBox="1"/>
          </xdr:nvSpPr>
          <xdr:spPr>
            <a:xfrm flipH="1">
              <a:off x="2175781" y="128423761"/>
              <a:ext cx="6542314" cy="480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∆𝐺𝑎𝑙𝑙𝑜𝑛𝑠 ∗8.33∗1∗(𝑇_𝑜𝑢𝑡−𝑇_𝑖𝑛 )∗(1∕〖𝐸𝐹𝐹_𝐸𝑙𝑒𝑐〗)/3413</a:t>
              </a:r>
              <a:endParaRPr lang="en-US" sz="1400"/>
            </a:p>
          </xdr:txBody>
        </xdr:sp>
      </mc:Fallback>
    </mc:AlternateContent>
    <xdr:clientData/>
  </xdr:twoCellAnchor>
  <xdr:twoCellAnchor>
    <xdr:from>
      <xdr:col>3</xdr:col>
      <xdr:colOff>24740</xdr:colOff>
      <xdr:row>603</xdr:row>
      <xdr:rowOff>92650</xdr:rowOff>
    </xdr:from>
    <xdr:to>
      <xdr:col>16</xdr:col>
      <xdr:colOff>872201</xdr:colOff>
      <xdr:row>604</xdr:row>
      <xdr:rowOff>150231</xdr:rowOff>
    </xdr:to>
    <mc:AlternateContent xmlns:mc="http://schemas.openxmlformats.org/markup-compatibility/2006" xmlns:a14="http://schemas.microsoft.com/office/drawing/2010/main">
      <mc:Choice Requires="a14">
        <xdr:sp macro="" textlink="">
          <xdr:nvSpPr>
            <xdr:cNvPr id="69" name="TextBox 68"/>
            <xdr:cNvSpPr txBox="1"/>
          </xdr:nvSpPr>
          <xdr:spPr>
            <a:xfrm>
              <a:off x="2196440" y="129051625"/>
              <a:ext cx="19621236" cy="2480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𝑒𝑓𝑓</m:t>
                            </m:r>
                          </m:sub>
                        </m:sSub>
                      </m:e>
                    </m:d>
                    <m:r>
                      <a:rPr lang="en-US" sz="1400" b="0" i="1">
                        <a:latin typeface="Cambria Math" panose="02040503050406030204" pitchFamily="18" charset="0"/>
                        <a:ea typeface="Cambria Math" panose="02040503050406030204" pitchFamily="18" charset="0"/>
                      </a:rPr>
                      <m:t>∗60∗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𝐻𝑂𝑈𝑅𝑆</m:t>
                        </m:r>
                      </m:e>
                      <m:sub>
                        <m:r>
                          <a:rPr lang="en-US" sz="1400" b="0" i="1">
                            <a:latin typeface="Cambria Math" panose="02040503050406030204" pitchFamily="18" charset="0"/>
                            <a:ea typeface="Cambria Math" panose="02040503050406030204" pitchFamily="18" charset="0"/>
                          </a:rPr>
                          <m:t>𝑑𝑎𝑦</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𝐷𝐴𝑌𝑆</m:t>
                        </m:r>
                      </m:e>
                      <m:sub>
                        <m:r>
                          <a:rPr lang="en-US" sz="1400" b="0" i="1">
                            <a:latin typeface="Cambria Math" panose="02040503050406030204" pitchFamily="18" charset="0"/>
                            <a:ea typeface="Cambria Math" panose="02040503050406030204" pitchFamily="18" charset="0"/>
                          </a:rPr>
                          <m:t>𝑦𝑒𝑎𝑟</m:t>
                        </m:r>
                      </m:sub>
                    </m:sSub>
                  </m:oMath>
                </m:oMathPara>
              </a14:m>
              <a:endParaRPr lang="en-US" sz="1400"/>
            </a:p>
          </xdr:txBody>
        </xdr:sp>
      </mc:Choice>
      <mc:Fallback xmlns="">
        <xdr:sp macro="" textlink="">
          <xdr:nvSpPr>
            <xdr:cNvPr id="69" name="TextBox 68"/>
            <xdr:cNvSpPr txBox="1"/>
          </xdr:nvSpPr>
          <xdr:spPr>
            <a:xfrm>
              <a:off x="2196440" y="129051625"/>
              <a:ext cx="19621236" cy="2480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𝐺𝑎𝑙𝑙𝑜𝑛𝑠=(〖𝐹𝐿𝑂〗_𝑏𝑎𝑠𝑒−〖𝐹𝐿𝑂〗_𝑒𝑓𝑓 )∗60∗〖𝐻𝑂𝑈𝑅𝑆〗_𝑑𝑎𝑦∗〖𝐷𝐴𝑌𝑆〗_𝑦𝑒𝑎𝑟</a:t>
              </a:r>
              <a:endParaRPr lang="en-US" sz="1400"/>
            </a:p>
          </xdr:txBody>
        </xdr:sp>
      </mc:Fallback>
    </mc:AlternateContent>
    <xdr:clientData/>
  </xdr:twoCellAnchor>
  <xdr:twoCellAnchor>
    <xdr:from>
      <xdr:col>2</xdr:col>
      <xdr:colOff>0</xdr:colOff>
      <xdr:row>619</xdr:row>
      <xdr:rowOff>95247</xdr:rowOff>
    </xdr:from>
    <xdr:to>
      <xdr:col>2</xdr:col>
      <xdr:colOff>0</xdr:colOff>
      <xdr:row>621</xdr:row>
      <xdr:rowOff>152572</xdr:rowOff>
    </xdr:to>
    <mc:AlternateContent xmlns:mc="http://schemas.openxmlformats.org/markup-compatibility/2006" xmlns:a14="http://schemas.microsoft.com/office/drawing/2010/main">
      <mc:Choice Requires="a14">
        <xdr:sp macro="" textlink="">
          <xdr:nvSpPr>
            <xdr:cNvPr id="70" name="TextBox 69"/>
            <xdr:cNvSpPr txBox="1"/>
          </xdr:nvSpPr>
          <xdr:spPr>
            <a:xfrm>
              <a:off x="1028700" y="132483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0" name="TextBox 69"/>
            <xdr:cNvSpPr txBox="1"/>
          </xdr:nvSpPr>
          <xdr:spPr>
            <a:xfrm>
              <a:off x="1028700" y="132483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51954</xdr:colOff>
      <xdr:row>617</xdr:row>
      <xdr:rowOff>144729</xdr:rowOff>
    </xdr:from>
    <xdr:to>
      <xdr:col>5</xdr:col>
      <xdr:colOff>1056409</xdr:colOff>
      <xdr:row>620</xdr:row>
      <xdr:rowOff>84486</xdr:rowOff>
    </xdr:to>
    <mc:AlternateContent xmlns:mc="http://schemas.openxmlformats.org/markup-compatibility/2006" xmlns:a14="http://schemas.microsoft.com/office/drawing/2010/main">
      <mc:Choice Requires="a14">
        <xdr:sp macro="" textlink="">
          <xdr:nvSpPr>
            <xdr:cNvPr id="71" name="TextBox 70"/>
            <xdr:cNvSpPr txBox="1"/>
          </xdr:nvSpPr>
          <xdr:spPr>
            <a:xfrm>
              <a:off x="2223654" y="132151704"/>
              <a:ext cx="6881380" cy="5112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0">
                        <a:latin typeface="Cambria Math" panose="02040503050406030204" pitchFamily="18" charset="0"/>
                        <a:ea typeface="Cambria Math" panose="02040503050406030204" pitchFamily="18" charset="0"/>
                      </a:rPr>
                      <m:t>%</m:t>
                    </m:r>
                    <m:r>
                      <m:rPr>
                        <m:sty m:val="p"/>
                      </m:rPr>
                      <a:rPr lang="en-US" sz="1400" b="0" i="0">
                        <a:latin typeface="Cambria Math" panose="02040503050406030204" pitchFamily="18" charset="0"/>
                        <a:ea typeface="Cambria Math" panose="02040503050406030204" pitchFamily="18" charset="0"/>
                      </a:rPr>
                      <m:t>ElectricDHW</m:t>
                    </m:r>
                    <m:r>
                      <a:rPr lang="en-US" sz="1400" b="0" i="0">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𝑙𝑜𝑤</m:t>
                                    </m:r>
                                  </m:sub>
                                </m:sSub>
                              </m:e>
                            </m:d>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𝑈𝑠𝑎𝑔𝑒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𝐸𝑃𝐺</m:t>
                        </m:r>
                      </m:e>
                      <m:sub>
                        <m:r>
                          <a:rPr lang="en-US" sz="1400" b="0" i="1">
                            <a:latin typeface="Cambria Math" panose="02040503050406030204" pitchFamily="18" charset="0"/>
                            <a:ea typeface="Cambria Math" panose="02040503050406030204" pitchFamily="18" charset="0"/>
                          </a:rPr>
                          <m:t>𝑒𝑙𝑒𝑐𝑡𝑟𝑖𝑐</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71" name="TextBox 70"/>
            <xdr:cNvSpPr txBox="1"/>
          </xdr:nvSpPr>
          <xdr:spPr>
            <a:xfrm>
              <a:off x="2223654" y="132151704"/>
              <a:ext cx="6881380" cy="5112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𝑘𝑊ℎ=%ElectricDHW∗(((〖𝐺𝑃𝑀〗_𝑏𝑎𝑠𝑒−〖𝐺𝑃𝑀〗_𝑙𝑜𝑤 ))/〖𝐺𝑃𝑀〗_𝑏𝑎𝑠𝑒 )∗𝑈𝑠𝑎𝑔𝑒∗〖𝐸𝑃𝐺〗_𝑒𝑙𝑒𝑐𝑡𝑟𝑖𝑐∗𝐼𝑆𝑅</a:t>
              </a:r>
              <a:endParaRPr lang="en-US" sz="1400"/>
            </a:p>
          </xdr:txBody>
        </xdr:sp>
      </mc:Fallback>
    </mc:AlternateContent>
    <xdr:clientData/>
  </xdr:twoCellAnchor>
  <xdr:twoCellAnchor>
    <xdr:from>
      <xdr:col>6</xdr:col>
      <xdr:colOff>12246</xdr:colOff>
      <xdr:row>617</xdr:row>
      <xdr:rowOff>161924</xdr:rowOff>
    </xdr:from>
    <xdr:to>
      <xdr:col>11</xdr:col>
      <xdr:colOff>1251856</xdr:colOff>
      <xdr:row>619</xdr:row>
      <xdr:rowOff>130534</xdr:rowOff>
    </xdr:to>
    <mc:AlternateContent xmlns:mc="http://schemas.openxmlformats.org/markup-compatibility/2006" xmlns:a14="http://schemas.microsoft.com/office/drawing/2010/main">
      <mc:Choice Requires="a14">
        <xdr:sp macro="" textlink="">
          <xdr:nvSpPr>
            <xdr:cNvPr id="72" name="TextBox 71"/>
            <xdr:cNvSpPr txBox="1"/>
          </xdr:nvSpPr>
          <xdr:spPr>
            <a:xfrm>
              <a:off x="9308646" y="132168899"/>
              <a:ext cx="8097610" cy="349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𝐸𝑃𝐺</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8.33∗1∗</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𝑚𝑖𝑥𝑒𝑑</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𝑠𝑢𝑝𝑝𝑙𝑦</m:t>
                                </m:r>
                              </m:sub>
                            </m:sSub>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𝑅𝐸</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∗3412</m:t>
                        </m:r>
                      </m:e>
                    </m:d>
                  </m:oMath>
                </m:oMathPara>
              </a14:m>
              <a:endParaRPr lang="en-US" sz="1100"/>
            </a:p>
          </xdr:txBody>
        </xdr:sp>
      </mc:Choice>
      <mc:Fallback xmlns="">
        <xdr:sp macro="" textlink="">
          <xdr:nvSpPr>
            <xdr:cNvPr id="72" name="TextBox 71"/>
            <xdr:cNvSpPr txBox="1"/>
          </xdr:nvSpPr>
          <xdr:spPr>
            <a:xfrm>
              <a:off x="9308646" y="132168899"/>
              <a:ext cx="8097610" cy="349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𝐸𝑃𝐺〗_𝑒𝑙𝑒𝑐𝑡𝑟𝑖𝑐=(8.33∗1∗(〖𝑊𝑎𝑡𝑒𝑟𝑇𝑒𝑚𝑝〗_𝑚𝑖𝑥𝑒𝑑−〖𝑊𝑎𝑡𝑒𝑟𝑇𝑒𝑚𝑝〗_𝑠𝑢𝑝𝑝𝑙𝑦 ))/(〖𝑅𝐸〗_𝑒𝑙𝑒𝑐𝑡𝑟𝑖𝑐∗3412)</a:t>
              </a:r>
              <a:endParaRPr lang="en-US" sz="1100"/>
            </a:p>
          </xdr:txBody>
        </xdr:sp>
      </mc:Fallback>
    </mc:AlternateContent>
    <xdr:clientData/>
  </xdr:twoCellAnchor>
  <xdr:twoCellAnchor>
    <xdr:from>
      <xdr:col>2</xdr:col>
      <xdr:colOff>0</xdr:colOff>
      <xdr:row>635</xdr:row>
      <xdr:rowOff>95247</xdr:rowOff>
    </xdr:from>
    <xdr:to>
      <xdr:col>2</xdr:col>
      <xdr:colOff>0</xdr:colOff>
      <xdr:row>637</xdr:row>
      <xdr:rowOff>152572</xdr:rowOff>
    </xdr:to>
    <mc:AlternateContent xmlns:mc="http://schemas.openxmlformats.org/markup-compatibility/2006" xmlns:a14="http://schemas.microsoft.com/office/drawing/2010/main">
      <mc:Choice Requires="a14">
        <xdr:sp macro="" textlink="">
          <xdr:nvSpPr>
            <xdr:cNvPr id="73" name="TextBox 72"/>
            <xdr:cNvSpPr txBox="1"/>
          </xdr:nvSpPr>
          <xdr:spPr>
            <a:xfrm>
              <a:off x="1028700" y="135912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3" name="TextBox 72"/>
            <xdr:cNvSpPr txBox="1"/>
          </xdr:nvSpPr>
          <xdr:spPr>
            <a:xfrm>
              <a:off x="1028700" y="135912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2720</xdr:colOff>
      <xdr:row>633</xdr:row>
      <xdr:rowOff>122464</xdr:rowOff>
    </xdr:from>
    <xdr:to>
      <xdr:col>4</xdr:col>
      <xdr:colOff>1428749</xdr:colOff>
      <xdr:row>635</xdr:row>
      <xdr:rowOff>164733</xdr:rowOff>
    </xdr:to>
    <mc:AlternateContent xmlns:mc="http://schemas.openxmlformats.org/markup-compatibility/2006" xmlns:a14="http://schemas.microsoft.com/office/drawing/2010/main">
      <mc:Choice Requires="a14">
        <xdr:sp macro="" textlink="">
          <xdr:nvSpPr>
            <xdr:cNvPr id="74" name="TextBox 73"/>
            <xdr:cNvSpPr txBox="1"/>
          </xdr:nvSpPr>
          <xdr:spPr>
            <a:xfrm flipH="1">
              <a:off x="2174420" y="135558439"/>
              <a:ext cx="2483304" cy="42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0">
                        <a:latin typeface="Cambria Math" panose="02040503050406030204" pitchFamily="18" charset="0"/>
                        <a:ea typeface="Cambria Math" panose="02040503050406030204" pitchFamily="18" charset="0"/>
                      </a:rPr>
                      <m:t>=651</m:t>
                    </m:r>
                  </m:oMath>
                </m:oMathPara>
              </a14:m>
              <a:endParaRPr lang="en-US" sz="1400"/>
            </a:p>
          </xdr:txBody>
        </xdr:sp>
      </mc:Choice>
      <mc:Fallback xmlns="">
        <xdr:sp macro="" textlink="">
          <xdr:nvSpPr>
            <xdr:cNvPr id="74" name="TextBox 73"/>
            <xdr:cNvSpPr txBox="1"/>
          </xdr:nvSpPr>
          <xdr:spPr>
            <a:xfrm flipH="1">
              <a:off x="2174420" y="135558439"/>
              <a:ext cx="2483304" cy="42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𝑘𝑊ℎ=651</a:t>
              </a:r>
              <a:endParaRPr lang="en-US" sz="1400"/>
            </a:p>
          </xdr:txBody>
        </xdr:sp>
      </mc:Fallback>
    </mc:AlternateContent>
    <xdr:clientData/>
  </xdr:twoCellAnchor>
  <xdr:twoCellAnchor>
    <xdr:from>
      <xdr:col>2</xdr:col>
      <xdr:colOff>0</xdr:colOff>
      <xdr:row>651</xdr:row>
      <xdr:rowOff>95247</xdr:rowOff>
    </xdr:from>
    <xdr:to>
      <xdr:col>2</xdr:col>
      <xdr:colOff>0</xdr:colOff>
      <xdr:row>653</xdr:row>
      <xdr:rowOff>152572</xdr:rowOff>
    </xdr:to>
    <mc:AlternateContent xmlns:mc="http://schemas.openxmlformats.org/markup-compatibility/2006" xmlns:a14="http://schemas.microsoft.com/office/drawing/2010/main">
      <mc:Choice Requires="a14">
        <xdr:sp macro="" textlink="">
          <xdr:nvSpPr>
            <xdr:cNvPr id="75" name="TextBox 74"/>
            <xdr:cNvSpPr txBox="1"/>
          </xdr:nvSpPr>
          <xdr:spPr>
            <a:xfrm>
              <a:off x="1028700" y="139341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5" name="TextBox 74"/>
            <xdr:cNvSpPr txBox="1"/>
          </xdr:nvSpPr>
          <xdr:spPr>
            <a:xfrm>
              <a:off x="1028700" y="139341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0</xdr:colOff>
      <xdr:row>649</xdr:row>
      <xdr:rowOff>108856</xdr:rowOff>
    </xdr:from>
    <xdr:to>
      <xdr:col>5</xdr:col>
      <xdr:colOff>462643</xdr:colOff>
      <xdr:row>652</xdr:row>
      <xdr:rowOff>9308</xdr:rowOff>
    </xdr:to>
    <mc:AlternateContent xmlns:mc="http://schemas.openxmlformats.org/markup-compatibility/2006" xmlns:a14="http://schemas.microsoft.com/office/drawing/2010/main">
      <mc:Choice Requires="a14">
        <xdr:sp macro="" textlink="">
          <xdr:nvSpPr>
            <xdr:cNvPr id="76" name="TextBox 75"/>
            <xdr:cNvSpPr txBox="1"/>
          </xdr:nvSpPr>
          <xdr:spPr>
            <a:xfrm flipH="1">
              <a:off x="2171700" y="138973831"/>
              <a:ext cx="6339568" cy="4719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𝑆𝑞𝑓𝑡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𝐹𝑎𝑐𝑡𝑜𝑟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𝑃𝐹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𝑒𝑥𝑖𝑠𝑡</m:t>
                            </m:r>
                          </m:sub>
                        </m:sSub>
                      </m:den>
                    </m:f>
                  </m:oMath>
                </m:oMathPara>
              </a14:m>
              <a:endParaRPr lang="en-US" sz="1400"/>
            </a:p>
          </xdr:txBody>
        </xdr:sp>
      </mc:Choice>
      <mc:Fallback xmlns="">
        <xdr:sp macro="" textlink="">
          <xdr:nvSpPr>
            <xdr:cNvPr id="76" name="TextBox 75"/>
            <xdr:cNvSpPr txBox="1"/>
          </xdr:nvSpPr>
          <xdr:spPr>
            <a:xfrm flipH="1">
              <a:off x="2171700" y="138973831"/>
              <a:ext cx="6339568" cy="4719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𝑘𝑊ℎ=(𝑆𝑞𝑓𝑡∗𝑆𝑎𝑣𝑖𝑛𝑔𝑠 𝐹𝑎𝑐𝑡𝑜𝑟∗𝑃𝐹)/〖𝐸𝐸𝑅〗_𝑒𝑥𝑖𝑠𝑡 </a:t>
              </a:r>
              <a:endParaRPr lang="en-US" sz="1400"/>
            </a:p>
          </xdr:txBody>
        </xdr:sp>
      </mc:Fallback>
    </mc:AlternateContent>
    <xdr:clientData/>
  </xdr:twoCellAnchor>
  <xdr:twoCellAnchor>
    <xdr:from>
      <xdr:col>2</xdr:col>
      <xdr:colOff>0</xdr:colOff>
      <xdr:row>669</xdr:row>
      <xdr:rowOff>95247</xdr:rowOff>
    </xdr:from>
    <xdr:to>
      <xdr:col>2</xdr:col>
      <xdr:colOff>0</xdr:colOff>
      <xdr:row>671</xdr:row>
      <xdr:rowOff>152572</xdr:rowOff>
    </xdr:to>
    <mc:AlternateContent xmlns:mc="http://schemas.openxmlformats.org/markup-compatibility/2006" xmlns:a14="http://schemas.microsoft.com/office/drawing/2010/main">
      <mc:Choice Requires="a14">
        <xdr:sp macro="" textlink="">
          <xdr:nvSpPr>
            <xdr:cNvPr id="77" name="TextBox 76"/>
            <xdr:cNvSpPr txBox="1"/>
          </xdr:nvSpPr>
          <xdr:spPr>
            <a:xfrm>
              <a:off x="1028700" y="143151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143151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272142</xdr:colOff>
      <xdr:row>667</xdr:row>
      <xdr:rowOff>13003</xdr:rowOff>
    </xdr:from>
    <xdr:to>
      <xdr:col>4</xdr:col>
      <xdr:colOff>4857749</xdr:colOff>
      <xdr:row>669</xdr:row>
      <xdr:rowOff>142292</xdr:rowOff>
    </xdr:to>
    <mc:AlternateContent xmlns:mc="http://schemas.openxmlformats.org/markup-compatibility/2006" xmlns:a14="http://schemas.microsoft.com/office/drawing/2010/main">
      <mc:Choice Requires="a14">
        <xdr:sp macro="" textlink="">
          <xdr:nvSpPr>
            <xdr:cNvPr id="78" name="TextBox 77"/>
            <xdr:cNvSpPr txBox="1"/>
          </xdr:nvSpPr>
          <xdr:spPr>
            <a:xfrm flipH="1">
              <a:off x="1300842" y="142687978"/>
              <a:ext cx="6747782"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xdr:cNvSpPr txBox="1"/>
          </xdr:nvSpPr>
          <xdr:spPr>
            <a:xfrm flipH="1">
              <a:off x="1300842" y="142687978"/>
              <a:ext cx="6747782"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687</xdr:row>
      <xdr:rowOff>95247</xdr:rowOff>
    </xdr:from>
    <xdr:to>
      <xdr:col>2</xdr:col>
      <xdr:colOff>0</xdr:colOff>
      <xdr:row>689</xdr:row>
      <xdr:rowOff>152572</xdr:rowOff>
    </xdr:to>
    <mc:AlternateContent xmlns:mc="http://schemas.openxmlformats.org/markup-compatibility/2006" xmlns:a14="http://schemas.microsoft.com/office/drawing/2010/main">
      <mc:Choice Requires="a14">
        <xdr:sp macro="" textlink="">
          <xdr:nvSpPr>
            <xdr:cNvPr id="79" name="TextBox 78"/>
            <xdr:cNvSpPr txBox="1"/>
          </xdr:nvSpPr>
          <xdr:spPr>
            <a:xfrm>
              <a:off x="1028700" y="1469993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1469993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108857</xdr:colOff>
      <xdr:row>685</xdr:row>
      <xdr:rowOff>40822</xdr:rowOff>
    </xdr:from>
    <xdr:to>
      <xdr:col>5</xdr:col>
      <xdr:colOff>190500</xdr:colOff>
      <xdr:row>687</xdr:row>
      <xdr:rowOff>96941</xdr:rowOff>
    </xdr:to>
    <mc:AlternateContent xmlns:mc="http://schemas.openxmlformats.org/markup-compatibility/2006" xmlns:a14="http://schemas.microsoft.com/office/drawing/2010/main">
      <mc:Choice Requires="a14">
        <xdr:sp macro="" textlink="">
          <xdr:nvSpPr>
            <xdr:cNvPr id="80" name="TextBox 79"/>
            <xdr:cNvSpPr txBox="1"/>
          </xdr:nvSpPr>
          <xdr:spPr>
            <a:xfrm flipH="1">
              <a:off x="2280557" y="146563897"/>
              <a:ext cx="5958568" cy="4371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146563897"/>
              <a:ext cx="5958568" cy="4371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704</xdr:row>
      <xdr:rowOff>95247</xdr:rowOff>
    </xdr:from>
    <xdr:to>
      <xdr:col>2</xdr:col>
      <xdr:colOff>0</xdr:colOff>
      <xdr:row>706</xdr:row>
      <xdr:rowOff>152572</xdr:rowOff>
    </xdr:to>
    <mc:AlternateContent xmlns:mc="http://schemas.openxmlformats.org/markup-compatibility/2006" xmlns:a14="http://schemas.microsoft.com/office/drawing/2010/main">
      <mc:Choice Requires="a14">
        <xdr:sp macro="" textlink="">
          <xdr:nvSpPr>
            <xdr:cNvPr id="81" name="TextBox 80"/>
            <xdr:cNvSpPr txBox="1"/>
          </xdr:nvSpPr>
          <xdr:spPr>
            <a:xfrm>
              <a:off x="1028700" y="1508093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1" name="TextBox 80"/>
            <xdr:cNvSpPr txBox="1"/>
          </xdr:nvSpPr>
          <xdr:spPr>
            <a:xfrm>
              <a:off x="1028700" y="1508093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700</xdr:row>
      <xdr:rowOff>63500</xdr:rowOff>
    </xdr:from>
    <xdr:to>
      <xdr:col>2</xdr:col>
      <xdr:colOff>0</xdr:colOff>
      <xdr:row>704</xdr:row>
      <xdr:rowOff>158750</xdr:rowOff>
    </xdr:to>
    <mc:AlternateContent xmlns:mc="http://schemas.openxmlformats.org/markup-compatibility/2006" xmlns:a14="http://schemas.microsoft.com/office/drawing/2010/main">
      <mc:Choice Requires="a14">
        <xdr:sp macro="" textlink="">
          <xdr:nvSpPr>
            <xdr:cNvPr id="82" name="TextBox 81"/>
            <xdr:cNvSpPr txBox="1"/>
          </xdr:nvSpPr>
          <xdr:spPr>
            <a:xfrm>
              <a:off x="1028700" y="150015575"/>
              <a:ext cx="0" cy="857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sSub>
                      <m:sSubPr>
                        <m:ctrlPr>
                          <a:rPr lang="en-US" sz="2000" b="0" i="1">
                            <a:latin typeface="Cambria Math" panose="02040503050406030204" pitchFamily="18" charset="0"/>
                            <a:ea typeface="Cambria Math" panose="02040503050406030204" pitchFamily="18" charset="0"/>
                          </a:rPr>
                        </m:ctrlPr>
                      </m:sSubPr>
                      <m:e>
                        <m:r>
                          <a:rPr lang="en-US" sz="1200" b="0" i="1">
                            <a:solidFill>
                              <a:schemeClr val="tx1"/>
                            </a:solidFill>
                            <a:effectLst/>
                            <a:latin typeface="Cambria Math" panose="02040503050406030204" pitchFamily="18" charset="0"/>
                            <a:ea typeface="+mn-ea"/>
                            <a:cs typeface="+mn-cs"/>
                          </a:rPr>
                          <m:t>𝑘𝑊h</m:t>
                        </m:r>
                      </m:e>
                      <m:sub>
                        <m:r>
                          <a:rPr lang="en-US" sz="2000" b="0" i="1">
                            <a:latin typeface="Cambria Math" panose="02040503050406030204" pitchFamily="18" charset="0"/>
                            <a:ea typeface="Cambria Math" panose="02040503050406030204" pitchFamily="18" charset="0"/>
                          </a:rPr>
                          <m:t>𝑓𝑖𝑟𝑠𝑡</m:t>
                        </m:r>
                        <m:r>
                          <a:rPr lang="en-US" sz="2000" b="0" i="1">
                            <a:latin typeface="Cambria Math" panose="02040503050406030204" pitchFamily="18" charset="0"/>
                            <a:ea typeface="Cambria Math" panose="02040503050406030204" pitchFamily="18" charset="0"/>
                          </a:rPr>
                          <m:t> 5</m:t>
                        </m:r>
                      </m:sub>
                    </m:sSub>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f>
                          <m:fPr>
                            <m:type m:val="lin"/>
                            <m:ctrlPr>
                              <a:rPr lang="en-US" sz="1600" b="0" i="1">
                                <a:solidFill>
                                  <a:schemeClr val="tx1"/>
                                </a:solidFill>
                                <a:effectLst/>
                                <a:latin typeface="Cambria Math" panose="02040503050406030204" pitchFamily="18" charset="0"/>
                                <a:ea typeface="+mn-ea"/>
                                <a:cs typeface="+mn-cs"/>
                              </a:rPr>
                            </m:ctrlPr>
                          </m:fPr>
                          <m:num>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𝑘𝐵𝑡𝑢</m:t>
                                </m:r>
                              </m:e>
                              <m:sub>
                                <m:r>
                                  <a:rPr lang="en-US" sz="1600" b="0" i="1">
                                    <a:solidFill>
                                      <a:schemeClr val="tx1"/>
                                    </a:solidFill>
                                    <a:effectLst/>
                                    <a:latin typeface="Cambria Math" panose="02040503050406030204" pitchFamily="18" charset="0"/>
                                    <a:ea typeface="+mn-ea"/>
                                    <a:cs typeface="+mn-cs"/>
                                  </a:rPr>
                                  <m:t>𝑐𝑜𝑜𝑙</m:t>
                                </m:r>
                              </m:sub>
                            </m:sSub>
                          </m:num>
                          <m:den>
                            <m:r>
                              <a:rPr lang="en-US" sz="1600" b="0" i="1">
                                <a:solidFill>
                                  <a:schemeClr val="tx1"/>
                                </a:solidFill>
                                <a:effectLst/>
                                <a:latin typeface="Cambria Math" panose="02040503050406030204" pitchFamily="18" charset="0"/>
                                <a:ea typeface="+mn-ea"/>
                                <a:cs typeface="+mn-cs"/>
                              </a:rPr>
                              <m:t>h𝑟</m:t>
                            </m:r>
                          </m:den>
                        </m:f>
                        <m:r>
                          <a:rPr lang="en-US" sz="1600" b="0" i="1">
                            <a:solidFill>
                              <a:schemeClr val="tx1"/>
                            </a:solidFill>
                            <a:effectLst/>
                            <a:latin typeface="Cambria Math" panose="02040503050406030204" pitchFamily="18" charset="0"/>
                            <a:ea typeface="+mn-ea"/>
                            <a:cs typeface="+mn-cs"/>
                          </a:rPr>
                          <m:t>∗</m:t>
                        </m:r>
                        <m:d>
                          <m:dPr>
                            <m:ctrlPr>
                              <a:rPr lang="en-US" sz="1600" b="0" i="1">
                                <a:solidFill>
                                  <a:schemeClr val="tx1"/>
                                </a:solidFill>
                                <a:effectLst/>
                                <a:latin typeface="Cambria Math" panose="02040503050406030204" pitchFamily="18" charset="0"/>
                                <a:ea typeface="+mn-ea"/>
                                <a:cs typeface="+mn-cs"/>
                              </a:rPr>
                            </m:ctrlPr>
                          </m:dPr>
                          <m:e>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𝑒𝑥𝑖𝑠𝑡</m:t>
                                    </m:r>
                                  </m:sub>
                                </m:sSub>
                              </m:den>
                            </m:f>
                            <m:r>
                              <a:rPr lang="en-US" sz="1600" b="0" i="1">
                                <a:solidFill>
                                  <a:schemeClr val="tx1"/>
                                </a:solidFill>
                                <a:effectLst/>
                                <a:latin typeface="Cambria Math" panose="02040503050406030204" pitchFamily="18" charset="0"/>
                                <a:ea typeface="+mn-ea"/>
                                <a:cs typeface="+mn-cs"/>
                              </a:rPr>
                              <m:t>−</m:t>
                            </m:r>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𝑒𝑒</m:t>
                                    </m:r>
                                  </m:sub>
                                </m:sSub>
                              </m:den>
                            </m:f>
                          </m:e>
                        </m:d>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𝐸𝐹𝐿𝐻</m:t>
                            </m:r>
                          </m:e>
                          <m:sub>
                            <m:r>
                              <a:rPr lang="en-US" sz="1600" b="0" i="1">
                                <a:solidFill>
                                  <a:schemeClr val="tx1"/>
                                </a:solidFill>
                                <a:effectLst/>
                                <a:latin typeface="Cambria Math" panose="02040503050406030204" pitchFamily="18" charset="0"/>
                                <a:ea typeface="+mn-ea"/>
                                <a:cs typeface="+mn-cs"/>
                              </a:rPr>
                              <m:t>𝑐𝑜𝑜𝑙</m:t>
                            </m:r>
                          </m:sub>
                        </m:sSub>
                      </m:e>
                    </m:d>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f>
                              <m:fPr>
                                <m:type m:val="lin"/>
                                <m:ctrlPr>
                                  <a:rPr lang="en-US" sz="1200" b="0" i="1">
                                    <a:solidFill>
                                      <a:schemeClr val="tx1"/>
                                    </a:solidFill>
                                    <a:effectLst/>
                                    <a:latin typeface="Cambria Math" panose="02040503050406030204" pitchFamily="18" charset="0"/>
                                    <a:ea typeface="+mn-ea"/>
                                    <a:cs typeface="+mn-cs"/>
                                  </a:rPr>
                                </m:ctrlPr>
                              </m:fPr>
                              <m:num>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𝑘𝐵𝑡𝑢</m:t>
                                    </m:r>
                                  </m:e>
                                  <m:sub>
                                    <m:r>
                                      <a:rPr lang="en-US" sz="1200" b="0" i="1">
                                        <a:solidFill>
                                          <a:schemeClr val="tx1"/>
                                        </a:solidFill>
                                        <a:effectLst/>
                                        <a:latin typeface="Cambria Math" panose="02040503050406030204" pitchFamily="18" charset="0"/>
                                        <a:ea typeface="+mn-ea"/>
                                        <a:cs typeface="+mn-cs"/>
                                      </a:rPr>
                                      <m:t>h𝑒𝑎𝑡</m:t>
                                    </m:r>
                                  </m:sub>
                                </m:sSub>
                              </m:num>
                              <m:den>
                                <m:r>
                                  <a:rPr lang="en-US" sz="1200" b="0" i="1">
                                    <a:solidFill>
                                      <a:schemeClr val="tx1"/>
                                    </a:solidFill>
                                    <a:effectLst/>
                                    <a:latin typeface="Cambria Math" panose="02040503050406030204" pitchFamily="18" charset="0"/>
                                    <a:ea typeface="+mn-ea"/>
                                    <a:cs typeface="+mn-cs"/>
                                  </a:rPr>
                                  <m:t>h𝑟</m:t>
                                </m:r>
                              </m:den>
                            </m:f>
                          </m:num>
                          <m:den>
                            <m:r>
                              <a:rPr lang="en-US" sz="2000" b="0" i="1">
                                <a:latin typeface="Cambria Math" panose="02040503050406030204" pitchFamily="18" charset="0"/>
                              </a:rPr>
                              <m:t>3.412</m:t>
                            </m:r>
                          </m:den>
                        </m:f>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𝑒𝑥𝑖𝑠𝑡</m:t>
                                    </m:r>
                                  </m:sub>
                                </m:sSub>
                              </m:den>
                            </m:f>
                            <m:r>
                              <a:rPr lang="en-US" sz="2000" b="0" i="1">
                                <a:latin typeface="Cambria Math" panose="02040503050406030204" pitchFamily="18" charset="0"/>
                              </a:rPr>
                              <m:t>−</m:t>
                            </m:r>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𝑒𝑒</m:t>
                                    </m:r>
                                  </m:sub>
                                </m:sSub>
                              </m:den>
                            </m:f>
                          </m:e>
                        </m:d>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𝐸𝐹𝐿𝐻</m:t>
                            </m:r>
                          </m:e>
                          <m:sub>
                            <m:r>
                              <a:rPr lang="en-US" sz="2000" b="0" i="1">
                                <a:latin typeface="Cambria Math" panose="02040503050406030204" pitchFamily="18" charset="0"/>
                              </a:rPr>
                              <m:t>h𝑒𝑎𝑡</m:t>
                            </m:r>
                          </m:sub>
                        </m:sSub>
                      </m:e>
                    </m:d>
                  </m:oMath>
                </m:oMathPara>
              </a14:m>
              <a:endParaRPr lang="en-US" sz="1800"/>
            </a:p>
          </xdr:txBody>
        </xdr:sp>
      </mc:Choice>
      <mc:Fallback xmlns="">
        <xdr:sp macro="" textlink="">
          <xdr:nvSpPr>
            <xdr:cNvPr id="82" name="TextBox 81"/>
            <xdr:cNvSpPr txBox="1"/>
          </xdr:nvSpPr>
          <xdr:spPr>
            <a:xfrm>
              <a:off x="1028700" y="150015575"/>
              <a:ext cx="0" cy="857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𝑘𝑊ℎ</a:t>
              </a:r>
              <a:r>
                <a:rPr lang="en-US" sz="2000" b="0" i="0">
                  <a:solidFill>
                    <a:schemeClr val="tx1"/>
                  </a:solidFill>
                  <a:effectLst/>
                  <a:latin typeface="Cambria Math" panose="02040503050406030204" pitchFamily="18" charset="0"/>
                  <a:ea typeface="Cambria Math" panose="02040503050406030204" pitchFamily="18" charset="0"/>
                  <a:cs typeface="+mn-cs"/>
                </a:rPr>
                <a:t>〗_(</a:t>
              </a:r>
              <a:r>
                <a:rPr lang="en-US" sz="2000" b="0" i="0">
                  <a:latin typeface="Cambria Math" panose="02040503050406030204" pitchFamily="18" charset="0"/>
                  <a:ea typeface="Cambria Math" panose="02040503050406030204" pitchFamily="18" charset="0"/>
                </a:rPr>
                <a:t>𝑓𝑖𝑟𝑠𝑡 5)</a:t>
              </a:r>
              <a:r>
                <a:rPr lang="en-US" sz="2000" i="0">
                  <a:latin typeface="Cambria Math" panose="02040503050406030204" pitchFamily="18" charset="0"/>
                </a:rPr>
                <a:t>=</a:t>
              </a:r>
              <a:r>
                <a:rPr lang="en-US" sz="2000" b="0" i="0">
                  <a:latin typeface="Cambria Math" panose="02040503050406030204" pitchFamily="18" charset="0"/>
                </a:rPr>
                <a:t> (</a:t>
              </a:r>
              <a:r>
                <a:rPr lang="en-US" sz="1600" b="0" i="0">
                  <a:solidFill>
                    <a:schemeClr val="tx1"/>
                  </a:solidFill>
                  <a:effectLst/>
                  <a:latin typeface="Cambria Math" panose="02040503050406030204" pitchFamily="18" charset="0"/>
                  <a:ea typeface="+mn-ea"/>
                  <a:cs typeface="+mn-cs"/>
                </a:rPr>
                <a:t>〖𝑘𝐵𝑡𝑢〗_𝑐𝑜𝑜𝑙∕ℎ𝑟∗(1/〖𝐸𝐸𝑅〗_𝑒𝑥𝑖𝑠𝑡 −1/〖𝐸𝐸𝑅〗_𝑒𝑒 )∗〖𝐸𝐹𝐿𝐻〗_𝑐𝑜𝑜𝑙 )</a:t>
              </a:r>
              <a:r>
                <a:rPr lang="en-US" sz="2000" b="0" i="0">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〖𝑘𝐵𝑡𝑢〗_ℎ𝑒𝑎𝑡∕ℎ𝑟</a:t>
              </a:r>
              <a:r>
                <a:rPr lang="en-US" sz="2000" b="0" i="0">
                  <a:solidFill>
                    <a:schemeClr val="tx1"/>
                  </a:solidFill>
                  <a:effectLst/>
                  <a:latin typeface="Cambria Math" panose="02040503050406030204" pitchFamily="18" charset="0"/>
                  <a:ea typeface="+mn-ea"/>
                  <a:cs typeface="+mn-cs"/>
                </a:rPr>
                <a:t>)/</a:t>
              </a:r>
              <a:r>
                <a:rPr lang="en-US" sz="2000" b="0" i="0">
                  <a:latin typeface="Cambria Math" panose="02040503050406030204" pitchFamily="18" charset="0"/>
                </a:rPr>
                <a:t>3.412∗(1/〖𝐶𝑂𝑃〗_𝑒𝑥𝑖𝑠𝑡 −1/〖𝐶𝑂𝑃〗_𝑒𝑒 )∗〖𝐸𝐹𝐿𝐻〗_ℎ𝑒𝑎𝑡 )</a:t>
              </a:r>
              <a:endParaRPr lang="en-US" sz="1800"/>
            </a:p>
          </xdr:txBody>
        </xdr:sp>
      </mc:Fallback>
    </mc:AlternateContent>
    <xdr:clientData/>
  </xdr:twoCellAnchor>
  <xdr:twoCellAnchor>
    <xdr:from>
      <xdr:col>3</xdr:col>
      <xdr:colOff>40822</xdr:colOff>
      <xdr:row>701</xdr:row>
      <xdr:rowOff>81643</xdr:rowOff>
    </xdr:from>
    <xdr:to>
      <xdr:col>14</xdr:col>
      <xdr:colOff>353787</xdr:colOff>
      <xdr:row>705</xdr:row>
      <xdr:rowOff>108857</xdr:rowOff>
    </xdr:to>
    <mc:AlternateContent xmlns:mc="http://schemas.openxmlformats.org/markup-compatibility/2006" xmlns:a14="http://schemas.microsoft.com/office/drawing/2010/main">
      <mc:Choice Requires="a14">
        <xdr:sp macro="" textlink="">
          <xdr:nvSpPr>
            <xdr:cNvPr id="83" name="TextBox 82"/>
            <xdr:cNvSpPr txBox="1"/>
          </xdr:nvSpPr>
          <xdr:spPr>
            <a:xfrm>
              <a:off x="2212522" y="150224218"/>
              <a:ext cx="17296040" cy="7892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100" b="0" i="1">
                            <a:solidFill>
                              <a:schemeClr val="tx1"/>
                            </a:solidFill>
                            <a:effectLst/>
                            <a:latin typeface="Cambria Math" panose="02040503050406030204" pitchFamily="18" charset="0"/>
                            <a:ea typeface="+mn-ea"/>
                            <a:cs typeface="+mn-cs"/>
                          </a:rPr>
                          <m:t>𝑘𝑊h</m:t>
                        </m:r>
                      </m:e>
                      <m:sub>
                        <m:r>
                          <a:rPr lang="en-US" sz="1800" b="0" i="1">
                            <a:latin typeface="Cambria Math" panose="02040503050406030204" pitchFamily="18" charset="0"/>
                            <a:ea typeface="Cambria Math" panose="02040503050406030204" pitchFamily="18" charset="0"/>
                          </a:rPr>
                          <m:t>𝑛𝑒𝑥𝑡</m:t>
                        </m:r>
                        <m:r>
                          <a:rPr lang="en-US" sz="1800" b="0" i="1">
                            <a:latin typeface="Cambria Math" panose="02040503050406030204" pitchFamily="18" charset="0"/>
                            <a:ea typeface="Cambria Math" panose="02040503050406030204" pitchFamily="18" charset="0"/>
                          </a:rPr>
                          <m:t> 10</m:t>
                        </m:r>
                      </m:sub>
                    </m:sSub>
                    <m:r>
                      <a:rPr lang="en-US" sz="1800" i="1">
                        <a:latin typeface="Cambria Math" panose="02040503050406030204" pitchFamily="18" charset="0"/>
                      </a:rPr>
                      <m:t>=</m:t>
                    </m:r>
                    <m:r>
                      <a:rPr lang="en-US" sz="1800" b="0" i="1">
                        <a:latin typeface="Cambria Math" panose="02040503050406030204" pitchFamily="18" charset="0"/>
                      </a:rPr>
                      <m:t> </m:t>
                    </m:r>
                    <m:d>
                      <m:dPr>
                        <m:ctrlPr>
                          <a:rPr lang="en-US" sz="1800" b="0" i="1">
                            <a:latin typeface="Cambria Math" panose="02040503050406030204" pitchFamily="18" charset="0"/>
                          </a:rPr>
                        </m:ctrlPr>
                      </m:dPr>
                      <m:e>
                        <m:f>
                          <m:fPr>
                            <m:type m:val="lin"/>
                            <m:ctrlPr>
                              <a:rPr lang="en-US" sz="1400" b="0" i="1">
                                <a:solidFill>
                                  <a:schemeClr val="tx1"/>
                                </a:solidFill>
                                <a:effectLst/>
                                <a:latin typeface="Cambria Math" panose="02040503050406030204" pitchFamily="18" charset="0"/>
                                <a:ea typeface="+mn-ea"/>
                                <a:cs typeface="+mn-cs"/>
                              </a:rPr>
                            </m:ctrlPr>
                          </m:fPr>
                          <m:num>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𝑘𝐵𝑡𝑢</m:t>
                                </m:r>
                              </m:e>
                              <m:sub>
                                <m:r>
                                  <a:rPr lang="en-US" sz="1400" b="0" i="1">
                                    <a:solidFill>
                                      <a:schemeClr val="tx1"/>
                                    </a:solidFill>
                                    <a:effectLst/>
                                    <a:latin typeface="Cambria Math" panose="02040503050406030204" pitchFamily="18" charset="0"/>
                                    <a:ea typeface="+mn-ea"/>
                                    <a:cs typeface="+mn-cs"/>
                                  </a:rPr>
                                  <m:t>𝑐𝑜𝑜𝑙</m:t>
                                </m:r>
                              </m:sub>
                            </m:sSub>
                          </m:num>
                          <m:den>
                            <m:r>
                              <a:rPr lang="en-US" sz="1400" b="0" i="1">
                                <a:solidFill>
                                  <a:schemeClr val="tx1"/>
                                </a:solidFill>
                                <a:effectLst/>
                                <a:latin typeface="Cambria Math" panose="02040503050406030204" pitchFamily="18" charset="0"/>
                                <a:ea typeface="+mn-ea"/>
                                <a:cs typeface="+mn-cs"/>
                              </a:rPr>
                              <m:t>h𝑟</m:t>
                            </m:r>
                          </m:den>
                        </m:f>
                        <m:r>
                          <a:rPr lang="en-US" sz="1400" b="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𝑏𝑎𝑠𝑒</m:t>
                                    </m:r>
                                  </m:sub>
                                </m:sSub>
                              </m:den>
                            </m:f>
                            <m:r>
                              <a:rPr lang="en-US" sz="1400" b="0" i="1">
                                <a:solidFill>
                                  <a:schemeClr val="tx1"/>
                                </a:solidFill>
                                <a:effectLst/>
                                <a:latin typeface="Cambria Math" panose="02040503050406030204" pitchFamily="18" charset="0"/>
                                <a:ea typeface="+mn-ea"/>
                                <a:cs typeface="+mn-cs"/>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𝑒𝑒</m:t>
                                    </m:r>
                                  </m:sub>
                                </m:sSub>
                              </m:den>
                            </m:f>
                          </m:e>
                        </m:d>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𝐸𝐹𝐿𝐻</m:t>
                            </m:r>
                          </m:e>
                          <m:sub>
                            <m:r>
                              <a:rPr lang="en-US" sz="1400" b="0" i="1">
                                <a:solidFill>
                                  <a:schemeClr val="tx1"/>
                                </a:solidFill>
                                <a:effectLst/>
                                <a:latin typeface="Cambria Math" panose="02040503050406030204" pitchFamily="18" charset="0"/>
                                <a:ea typeface="+mn-ea"/>
                                <a:cs typeface="+mn-cs"/>
                              </a:rPr>
                              <m:t>𝑐𝑜𝑜𝑙</m:t>
                            </m:r>
                          </m:sub>
                        </m:sSub>
                      </m:e>
                    </m:d>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f>
                              <m:fPr>
                                <m:type m:val="lin"/>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𝑘𝐵𝑡𝑢</m:t>
                                    </m:r>
                                  </m:e>
                                  <m:sub>
                                    <m:r>
                                      <a:rPr lang="en-US" sz="1100" b="0" i="1">
                                        <a:solidFill>
                                          <a:schemeClr val="tx1"/>
                                        </a:solidFill>
                                        <a:effectLst/>
                                        <a:latin typeface="Cambria Math" panose="02040503050406030204" pitchFamily="18" charset="0"/>
                                        <a:ea typeface="+mn-ea"/>
                                        <a:cs typeface="+mn-cs"/>
                                      </a:rPr>
                                      <m:t>h𝑒𝑎𝑡</m:t>
                                    </m:r>
                                  </m:sub>
                                </m:sSub>
                              </m:num>
                              <m:den>
                                <m:r>
                                  <a:rPr lang="en-US" sz="1100" b="0" i="1">
                                    <a:solidFill>
                                      <a:schemeClr val="tx1"/>
                                    </a:solidFill>
                                    <a:effectLst/>
                                    <a:latin typeface="Cambria Math" panose="02040503050406030204" pitchFamily="18" charset="0"/>
                                    <a:ea typeface="+mn-ea"/>
                                    <a:cs typeface="+mn-cs"/>
                                  </a:rPr>
                                  <m:t>h𝑟</m:t>
                                </m:r>
                              </m:den>
                            </m:f>
                          </m:num>
                          <m:den>
                            <m:r>
                              <a:rPr lang="en-US" sz="1800" b="0" i="1">
                                <a:latin typeface="Cambria Math" panose="02040503050406030204" pitchFamily="18" charset="0"/>
                              </a:rPr>
                              <m:t>3.412</m:t>
                            </m:r>
                          </m:den>
                        </m:f>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𝑏𝑎𝑠𝑒</m:t>
                                    </m:r>
                                  </m:sub>
                                </m:sSub>
                              </m:den>
                            </m:f>
                            <m:r>
                              <a:rPr lang="en-US" sz="1800" b="0" i="1">
                                <a:latin typeface="Cambria Math" panose="02040503050406030204" pitchFamily="18" charset="0"/>
                              </a:rPr>
                              <m:t>−</m:t>
                            </m:r>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𝑒𝑒</m:t>
                                    </m:r>
                                  </m:sub>
                                </m:sSub>
                              </m:den>
                            </m:f>
                          </m:e>
                        </m:d>
                        <m:r>
                          <a:rPr lang="en-US" sz="1800" b="0" i="1">
                            <a:latin typeface="Cambria Math" panose="02040503050406030204" pitchFamily="18" charset="0"/>
                          </a:rPr>
                          <m:t>∗</m:t>
                        </m:r>
                        <m:sSub>
                          <m:sSubPr>
                            <m:ctrlPr>
                              <a:rPr lang="en-US" sz="1800" b="0" i="1">
                                <a:latin typeface="Cambria Math" panose="02040503050406030204" pitchFamily="18" charset="0"/>
                              </a:rPr>
                            </m:ctrlPr>
                          </m:sSubPr>
                          <m:e>
                            <m:r>
                              <a:rPr lang="en-US" sz="1800" b="0" i="1">
                                <a:latin typeface="Cambria Math" panose="02040503050406030204" pitchFamily="18" charset="0"/>
                              </a:rPr>
                              <m:t>𝐸𝐹𝐿𝐻</m:t>
                            </m:r>
                          </m:e>
                          <m:sub>
                            <m:r>
                              <a:rPr lang="en-US" sz="1800" b="0" i="1">
                                <a:latin typeface="Cambria Math" panose="02040503050406030204" pitchFamily="18" charset="0"/>
                              </a:rPr>
                              <m:t>h𝑒𝑎𝑡</m:t>
                            </m:r>
                          </m:sub>
                        </m:sSub>
                      </m:e>
                    </m:d>
                  </m:oMath>
                </m:oMathPara>
              </a14:m>
              <a:endParaRPr lang="en-US" sz="1600"/>
            </a:p>
          </xdr:txBody>
        </xdr:sp>
      </mc:Choice>
      <mc:Fallback xmlns="">
        <xdr:sp macro="" textlink="">
          <xdr:nvSpPr>
            <xdr:cNvPr id="83" name="TextBox 82"/>
            <xdr:cNvSpPr txBox="1"/>
          </xdr:nvSpPr>
          <xdr:spPr>
            <a:xfrm>
              <a:off x="2212522" y="150224218"/>
              <a:ext cx="17296040" cy="7892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latin typeface="Cambria Math" panose="02040503050406030204" pitchFamily="18" charset="0"/>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𝑘𝑊ℎ</a:t>
              </a:r>
              <a:r>
                <a:rPr lang="en-US" sz="1800" b="0" i="0">
                  <a:solidFill>
                    <a:schemeClr val="tx1"/>
                  </a:solidFill>
                  <a:effectLst/>
                  <a:latin typeface="Cambria Math" panose="02040503050406030204" pitchFamily="18" charset="0"/>
                  <a:ea typeface="Cambria Math" panose="02040503050406030204" pitchFamily="18" charset="0"/>
                  <a:cs typeface="+mn-cs"/>
                </a:rPr>
                <a:t>〗_(</a:t>
              </a:r>
              <a:r>
                <a:rPr lang="en-US" sz="1800" b="0" i="0">
                  <a:latin typeface="Cambria Math" panose="02040503050406030204" pitchFamily="18" charset="0"/>
                  <a:ea typeface="Cambria Math" panose="02040503050406030204" pitchFamily="18" charset="0"/>
                </a:rPr>
                <a:t>𝑛𝑒𝑥𝑡 10)</a:t>
              </a:r>
              <a:r>
                <a:rPr lang="en-US" sz="1800" i="0">
                  <a:latin typeface="Cambria Math" panose="02040503050406030204" pitchFamily="18" charset="0"/>
                </a:rPr>
                <a:t>=</a:t>
              </a:r>
              <a:r>
                <a:rPr lang="en-US" sz="1800" b="0" i="0">
                  <a:latin typeface="Cambria Math" panose="02040503050406030204" pitchFamily="18" charset="0"/>
                </a:rPr>
                <a:t> (</a:t>
              </a:r>
              <a:r>
                <a:rPr lang="en-US" sz="1400" b="0" i="0">
                  <a:solidFill>
                    <a:schemeClr val="tx1"/>
                  </a:solidFill>
                  <a:effectLst/>
                  <a:latin typeface="Cambria Math" panose="02040503050406030204" pitchFamily="18" charset="0"/>
                  <a:ea typeface="+mn-ea"/>
                  <a:cs typeface="+mn-cs"/>
                </a:rPr>
                <a:t>〖𝑘𝐵𝑡𝑢〗_𝑐𝑜𝑜𝑙∕ℎ𝑟∗(1/〖𝐸𝐸𝑅〗_𝑏𝑎𝑠𝑒 −1/〖𝐸𝐸𝑅〗_𝑒𝑒 )∗〖𝐸𝐹𝐿𝐻〗_𝑐𝑜𝑜𝑙 )</a:t>
              </a:r>
              <a:r>
                <a:rPr lang="en-US" sz="18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〖𝑘𝐵𝑡𝑢〗_ℎ𝑒𝑎𝑡∕ℎ𝑟</a:t>
              </a:r>
              <a:r>
                <a:rPr lang="en-US" sz="1800" b="0" i="0">
                  <a:solidFill>
                    <a:schemeClr val="tx1"/>
                  </a:solidFill>
                  <a:effectLst/>
                  <a:latin typeface="Cambria Math" panose="02040503050406030204" pitchFamily="18" charset="0"/>
                  <a:ea typeface="+mn-ea"/>
                  <a:cs typeface="+mn-cs"/>
                </a:rPr>
                <a:t>)/</a:t>
              </a:r>
              <a:r>
                <a:rPr lang="en-US" sz="1800" b="0" i="0">
                  <a:latin typeface="Cambria Math" panose="02040503050406030204" pitchFamily="18" charset="0"/>
                </a:rPr>
                <a:t>3.412∗(1/〖𝐶𝑂𝑃〗_𝑏𝑎𝑠𝑒 −1/〖𝐶𝑂𝑃〗_𝑒𝑒 )∗〖𝐸𝐹𝐿𝐻〗_ℎ𝑒𝑎𝑡 )</a:t>
              </a:r>
              <a:endParaRPr lang="en-US" sz="1600"/>
            </a:p>
          </xdr:txBody>
        </xdr:sp>
      </mc:Fallback>
    </mc:AlternateContent>
    <xdr:clientData/>
  </xdr:twoCellAnchor>
  <xdr:twoCellAnchor>
    <xdr:from>
      <xdr:col>3</xdr:col>
      <xdr:colOff>122465</xdr:colOff>
      <xdr:row>720</xdr:row>
      <xdr:rowOff>136069</xdr:rowOff>
    </xdr:from>
    <xdr:to>
      <xdr:col>6</xdr:col>
      <xdr:colOff>1006929</xdr:colOff>
      <xdr:row>723</xdr:row>
      <xdr:rowOff>2894</xdr:rowOff>
    </xdr:to>
    <mc:AlternateContent xmlns:mc="http://schemas.openxmlformats.org/markup-compatibility/2006" xmlns:a14="http://schemas.microsoft.com/office/drawing/2010/main">
      <mc:Choice Requires="a14">
        <xdr:sp macro="" textlink="">
          <xdr:nvSpPr>
            <xdr:cNvPr id="84" name="TextBox 83"/>
            <xdr:cNvSpPr txBox="1"/>
          </xdr:nvSpPr>
          <xdr:spPr>
            <a:xfrm flipH="1">
              <a:off x="2294165" y="154469644"/>
              <a:ext cx="8009164"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4" name="TextBox 83"/>
            <xdr:cNvSpPr txBox="1"/>
          </xdr:nvSpPr>
          <xdr:spPr>
            <a:xfrm flipH="1">
              <a:off x="2294165" y="154469644"/>
              <a:ext cx="8009164"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719</xdr:row>
      <xdr:rowOff>145143</xdr:rowOff>
    </xdr:from>
    <xdr:to>
      <xdr:col>2</xdr:col>
      <xdr:colOff>0</xdr:colOff>
      <xdr:row>721</xdr:row>
      <xdr:rowOff>122464</xdr:rowOff>
    </xdr:to>
    <mc:AlternateContent xmlns:mc="http://schemas.openxmlformats.org/markup-compatibility/2006" xmlns:a14="http://schemas.microsoft.com/office/drawing/2010/main">
      <mc:Choice Requires="a14">
        <xdr:sp macro="" textlink="">
          <xdr:nvSpPr>
            <xdr:cNvPr id="85" name="TextBox 84"/>
            <xdr:cNvSpPr txBox="1"/>
          </xdr:nvSpPr>
          <xdr:spPr>
            <a:xfrm>
              <a:off x="1028700" y="154288218"/>
              <a:ext cx="0" cy="3583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r>
                      <a:rPr lang="en-US" sz="2000" b="0" i="1">
                        <a:latin typeface="Cambria Math" panose="02040503050406030204" pitchFamily="18" charset="0"/>
                        <a:ea typeface="Cambria Math" panose="02040503050406030204" pitchFamily="18" charset="0"/>
                      </a:rPr>
                      <m:t>𝑘𝑊h</m:t>
                    </m:r>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𝐵𝑎𝑠𝑒</m:t>
                            </m:r>
                          </m:sub>
                        </m:sSub>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𝐸𝑆𝑇𝐴𝑅</m:t>
                            </m:r>
                          </m:sub>
                        </m:sSub>
                      </m:e>
                    </m:d>
                    <m:r>
                      <a:rPr lang="en-US" sz="2000" b="0" i="1">
                        <a:latin typeface="Cambria Math" panose="02040503050406030204" pitchFamily="18" charset="0"/>
                      </a:rPr>
                      <m:t>∗</m:t>
                    </m:r>
                    <m:r>
                      <a:rPr lang="en-US" sz="2000" b="0" i="1">
                        <a:latin typeface="Cambria Math" panose="02040503050406030204" pitchFamily="18" charset="0"/>
                      </a:rPr>
                      <m:t>𝐷𝑎𝑦𝑠</m:t>
                    </m:r>
                  </m:oMath>
                </m:oMathPara>
              </a14:m>
              <a:endParaRPr lang="en-US" sz="1800"/>
            </a:p>
          </xdr:txBody>
        </xdr:sp>
      </mc:Choice>
      <mc:Fallback xmlns="">
        <xdr:sp macro="" textlink="">
          <xdr:nvSpPr>
            <xdr:cNvPr id="85" name="TextBox 84"/>
            <xdr:cNvSpPr txBox="1"/>
          </xdr:nvSpPr>
          <xdr:spPr>
            <a:xfrm>
              <a:off x="1028700" y="154288218"/>
              <a:ext cx="0" cy="3583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∆𝑘𝑊ℎ</a:t>
              </a:r>
              <a:r>
                <a:rPr lang="en-US" sz="2000" i="0">
                  <a:latin typeface="Cambria Math" panose="02040503050406030204" pitchFamily="18" charset="0"/>
                </a:rPr>
                <a:t>=</a:t>
              </a:r>
              <a:r>
                <a:rPr lang="en-US" sz="2000" b="0" i="0">
                  <a:latin typeface="Cambria Math" panose="02040503050406030204" pitchFamily="18" charset="0"/>
                </a:rPr>
                <a:t> (〖𝑘𝑊ℎ〗_𝐵𝑎𝑠𝑒−〖𝑘𝑊ℎ〗_𝐸𝑆𝑇𝐴𝑅 )∗𝐷𝑎𝑦𝑠</a:t>
              </a:r>
              <a:endParaRPr lang="en-US" sz="1800"/>
            </a:p>
          </xdr:txBody>
        </xdr:sp>
      </mc:Fallback>
    </mc:AlternateContent>
    <xdr:clientData/>
  </xdr:twoCellAnchor>
  <xdr:twoCellAnchor>
    <xdr:from>
      <xdr:col>2</xdr:col>
      <xdr:colOff>0</xdr:colOff>
      <xdr:row>739</xdr:row>
      <xdr:rowOff>95247</xdr:rowOff>
    </xdr:from>
    <xdr:to>
      <xdr:col>2</xdr:col>
      <xdr:colOff>0</xdr:colOff>
      <xdr:row>741</xdr:row>
      <xdr:rowOff>152572</xdr:rowOff>
    </xdr:to>
    <mc:AlternateContent xmlns:mc="http://schemas.openxmlformats.org/markup-compatibility/2006" xmlns:a14="http://schemas.microsoft.com/office/drawing/2010/main">
      <mc:Choice Requires="a14">
        <xdr:sp macro="" textlink="">
          <xdr:nvSpPr>
            <xdr:cNvPr id="86" name="TextBox 85"/>
            <xdr:cNvSpPr txBox="1"/>
          </xdr:nvSpPr>
          <xdr:spPr>
            <a:xfrm>
              <a:off x="1028700" y="1584293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6" name="TextBox 85"/>
            <xdr:cNvSpPr txBox="1"/>
          </xdr:nvSpPr>
          <xdr:spPr>
            <a:xfrm>
              <a:off x="1028700" y="1584293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737</xdr:row>
      <xdr:rowOff>122464</xdr:rowOff>
    </xdr:from>
    <xdr:to>
      <xdr:col>4</xdr:col>
      <xdr:colOff>4721678</xdr:colOff>
      <xdr:row>739</xdr:row>
      <xdr:rowOff>96699</xdr:rowOff>
    </xdr:to>
    <mc:AlternateContent xmlns:mc="http://schemas.openxmlformats.org/markup-compatibility/2006" xmlns:a14="http://schemas.microsoft.com/office/drawing/2010/main">
      <mc:Choice Requires="a14">
        <xdr:sp macro="" textlink="">
          <xdr:nvSpPr>
            <xdr:cNvPr id="87" name="TextBox 86"/>
            <xdr:cNvSpPr txBox="1"/>
          </xdr:nvSpPr>
          <xdr:spPr>
            <a:xfrm flipH="1">
              <a:off x="2266949" y="158075539"/>
              <a:ext cx="5683704" cy="355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𝑝𝑒𝑟</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𝑚𝑜𝑡𝑜𝑟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𝑚𝑜𝑡𝑜𝑟𝑠</m:t>
                    </m:r>
                  </m:oMath>
                </m:oMathPara>
              </a14:m>
              <a:endParaRPr lang="en-US" sz="1400"/>
            </a:p>
          </xdr:txBody>
        </xdr:sp>
      </mc:Choice>
      <mc:Fallback xmlns="">
        <xdr:sp macro="" textlink="">
          <xdr:nvSpPr>
            <xdr:cNvPr id="87" name="TextBox 86"/>
            <xdr:cNvSpPr txBox="1"/>
          </xdr:nvSpPr>
          <xdr:spPr>
            <a:xfrm flipH="1">
              <a:off x="2266949" y="158075539"/>
              <a:ext cx="5683704" cy="355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𝑘𝑊ℎ=𝑆𝑎𝑣𝑖𝑛𝑔𝑠 𝑝𝑒𝑟 𝑚𝑜𝑡𝑜𝑟∗𝑚𝑜𝑡𝑜𝑟𝑠</a:t>
              </a:r>
              <a:endParaRPr lang="en-US" sz="1400"/>
            </a:p>
          </xdr:txBody>
        </xdr:sp>
      </mc:Fallback>
    </mc:AlternateContent>
    <xdr:clientData/>
  </xdr:twoCellAnchor>
  <xdr:twoCellAnchor>
    <xdr:from>
      <xdr:col>3</xdr:col>
      <xdr:colOff>95250</xdr:colOff>
      <xdr:row>275</xdr:row>
      <xdr:rowOff>27214</xdr:rowOff>
    </xdr:from>
    <xdr:to>
      <xdr:col>6</xdr:col>
      <xdr:colOff>1008290</xdr:colOff>
      <xdr:row>278</xdr:row>
      <xdr:rowOff>110218</xdr:rowOff>
    </xdr:to>
    <mc:AlternateContent xmlns:mc="http://schemas.openxmlformats.org/markup-compatibility/2006" xmlns:a14="http://schemas.microsoft.com/office/drawing/2010/main">
      <mc:Choice Requires="a14">
        <xdr:sp macro="" textlink="">
          <xdr:nvSpPr>
            <xdr:cNvPr id="88" name="TextBox 87"/>
            <xdr:cNvSpPr txBox="1"/>
          </xdr:nvSpPr>
          <xdr:spPr>
            <a:xfrm>
              <a:off x="2266950" y="59806114"/>
              <a:ext cx="8037740" cy="65450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𝐸𝑓𝑓</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𝐸𝐹𝐿𝐻</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𝐵𝑡𝑢h</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𝐸𝑆𝐹</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e>
                    </m:d>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𝐸𝐹𝐿𝐻</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f>
                          <m:f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𝐵𝑡𝑢h</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num>
                          <m:den>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𝜂</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∗3412</m:t>
                            </m:r>
                          </m:den>
                        </m:f>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𝐸𝑆𝐹</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e>
                    </m:d>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88" name="TextBox 87"/>
            <xdr:cNvSpPr txBox="1"/>
          </xdr:nvSpPr>
          <xdr:spPr>
            <a:xfrm>
              <a:off x="2266950" y="59806114"/>
              <a:ext cx="8037740" cy="65450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1/𝐸𝑓𝑓∗〖𝐸𝐹𝐿𝐻〗_𝐶𝑜𝑜𝑙∗〖𝐵𝑡𝑢ℎ〗_𝐶𝑜𝑜𝑙/1000∗〖𝐸𝑆𝐹〗_𝐶𝑜𝑜𝑙 )</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+(〖𝐸𝐹𝐿𝐻〗_𝐻𝐸𝐴𝑇∗〖𝐵𝑡𝑢ℎ〗_𝐻𝐸𝐴𝑇/(𝜂_𝐻𝐸𝐴𝑇∗3412)∗〖𝐸𝑆𝐹〗_𝐻𝐸𝐴𝑇 )</a:t>
              </a: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oneCellAnchor>
    <xdr:from>
      <xdr:col>26</xdr:col>
      <xdr:colOff>2269331</xdr:colOff>
      <xdr:row>5</xdr:row>
      <xdr:rowOff>0</xdr:rowOff>
    </xdr:from>
    <xdr:ext cx="65" cy="172227"/>
    <xdr:sp macro="" textlink="">
      <xdr:nvSpPr>
        <xdr:cNvPr id="89" name="TextBox 88">
          <a:extLst>
            <a:ext uri="{FF2B5EF4-FFF2-40B4-BE49-F238E27FC236}">
              <a16:creationId xmlns:a16="http://schemas.microsoft.com/office/drawing/2014/main" id="{6A85CCD3-9CE8-4F1D-A6E1-71E1121F1F1B}"/>
            </a:ext>
          </a:extLst>
        </xdr:cNvPr>
        <xdr:cNvSpPr txBox="1"/>
      </xdr:nvSpPr>
      <xdr:spPr>
        <a:xfrm>
          <a:off x="38407181" y="183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xdr:row>
      <xdr:rowOff>0</xdr:rowOff>
    </xdr:from>
    <xdr:ext cx="65" cy="172227"/>
    <xdr:sp macro="" textlink="">
      <xdr:nvSpPr>
        <xdr:cNvPr id="90" name="TextBox 89">
          <a:extLst>
            <a:ext uri="{FF2B5EF4-FFF2-40B4-BE49-F238E27FC236}">
              <a16:creationId xmlns:a16="http://schemas.microsoft.com/office/drawing/2014/main" id="{C98CAA05-1DBF-4691-93F9-3AB08514FFE1}"/>
            </a:ext>
          </a:extLst>
        </xdr:cNvPr>
        <xdr:cNvSpPr txBox="1"/>
      </xdr:nvSpPr>
      <xdr:spPr>
        <a:xfrm>
          <a:off x="38407181" y="183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xdr:row>
      <xdr:rowOff>0</xdr:rowOff>
    </xdr:from>
    <xdr:ext cx="65" cy="172227"/>
    <xdr:sp macro="" textlink="">
      <xdr:nvSpPr>
        <xdr:cNvPr id="91" name="TextBox 90">
          <a:extLst>
            <a:ext uri="{FF2B5EF4-FFF2-40B4-BE49-F238E27FC236}">
              <a16:creationId xmlns:a16="http://schemas.microsoft.com/office/drawing/2014/main" id="{6A85CCD3-9CE8-4F1D-A6E1-71E1121F1F1B}"/>
            </a:ext>
          </a:extLst>
        </xdr:cNvPr>
        <xdr:cNvSpPr txBox="1"/>
      </xdr:nvSpPr>
      <xdr:spPr>
        <a:xfrm>
          <a:off x="38407181" y="1933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xdr:row>
      <xdr:rowOff>0</xdr:rowOff>
    </xdr:from>
    <xdr:ext cx="65" cy="172227"/>
    <xdr:sp macro="" textlink="">
      <xdr:nvSpPr>
        <xdr:cNvPr id="92" name="TextBox 91">
          <a:extLst>
            <a:ext uri="{FF2B5EF4-FFF2-40B4-BE49-F238E27FC236}">
              <a16:creationId xmlns:a16="http://schemas.microsoft.com/office/drawing/2014/main" id="{C98CAA05-1DBF-4691-93F9-3AB08514FFE1}"/>
            </a:ext>
          </a:extLst>
        </xdr:cNvPr>
        <xdr:cNvSpPr txBox="1"/>
      </xdr:nvSpPr>
      <xdr:spPr>
        <a:xfrm>
          <a:off x="38407181" y="1933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135</xdr:row>
      <xdr:rowOff>0</xdr:rowOff>
    </xdr:from>
    <xdr:ext cx="65" cy="172227"/>
    <xdr:sp macro="" textlink="">
      <xdr:nvSpPr>
        <xdr:cNvPr id="93" name="TextBox 92">
          <a:extLst>
            <a:ext uri="{FF2B5EF4-FFF2-40B4-BE49-F238E27FC236}">
              <a16:creationId xmlns:a16="http://schemas.microsoft.com/office/drawing/2014/main" id="{6A85CCD3-9CE8-4F1D-A6E1-71E1121F1F1B}"/>
            </a:ext>
          </a:extLst>
        </xdr:cNvPr>
        <xdr:cNvSpPr txBox="1"/>
      </xdr:nvSpPr>
      <xdr:spPr>
        <a:xfrm>
          <a:off x="38407181" y="29489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135</xdr:row>
      <xdr:rowOff>0</xdr:rowOff>
    </xdr:from>
    <xdr:ext cx="65" cy="172227"/>
    <xdr:sp macro="" textlink="">
      <xdr:nvSpPr>
        <xdr:cNvPr id="94" name="TextBox 93">
          <a:extLst>
            <a:ext uri="{FF2B5EF4-FFF2-40B4-BE49-F238E27FC236}">
              <a16:creationId xmlns:a16="http://schemas.microsoft.com/office/drawing/2014/main" id="{C98CAA05-1DBF-4691-93F9-3AB08514FFE1}"/>
            </a:ext>
          </a:extLst>
        </xdr:cNvPr>
        <xdr:cNvSpPr txBox="1"/>
      </xdr:nvSpPr>
      <xdr:spPr>
        <a:xfrm>
          <a:off x="38407181" y="29489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155</xdr:row>
      <xdr:rowOff>0</xdr:rowOff>
    </xdr:from>
    <xdr:ext cx="65" cy="172227"/>
    <xdr:sp macro="" textlink="">
      <xdr:nvSpPr>
        <xdr:cNvPr id="95" name="TextBox 94">
          <a:extLst>
            <a:ext uri="{FF2B5EF4-FFF2-40B4-BE49-F238E27FC236}">
              <a16:creationId xmlns:a16="http://schemas.microsoft.com/office/drawing/2014/main" id="{6A85CCD3-9CE8-4F1D-A6E1-71E1121F1F1B}"/>
            </a:ext>
          </a:extLst>
        </xdr:cNvPr>
        <xdr:cNvSpPr txBox="1"/>
      </xdr:nvSpPr>
      <xdr:spPr>
        <a:xfrm>
          <a:off x="38407181" y="3406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155</xdr:row>
      <xdr:rowOff>0</xdr:rowOff>
    </xdr:from>
    <xdr:ext cx="65" cy="172227"/>
    <xdr:sp macro="" textlink="">
      <xdr:nvSpPr>
        <xdr:cNvPr id="96" name="TextBox 95">
          <a:extLst>
            <a:ext uri="{FF2B5EF4-FFF2-40B4-BE49-F238E27FC236}">
              <a16:creationId xmlns:a16="http://schemas.microsoft.com/office/drawing/2014/main" id="{C98CAA05-1DBF-4691-93F9-3AB08514FFE1}"/>
            </a:ext>
          </a:extLst>
        </xdr:cNvPr>
        <xdr:cNvSpPr txBox="1"/>
      </xdr:nvSpPr>
      <xdr:spPr>
        <a:xfrm>
          <a:off x="38407181" y="3406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179</xdr:row>
      <xdr:rowOff>0</xdr:rowOff>
    </xdr:from>
    <xdr:ext cx="65" cy="172227"/>
    <xdr:sp macro="" textlink="">
      <xdr:nvSpPr>
        <xdr:cNvPr id="97" name="TextBox 96">
          <a:extLst>
            <a:ext uri="{FF2B5EF4-FFF2-40B4-BE49-F238E27FC236}">
              <a16:creationId xmlns:a16="http://schemas.microsoft.com/office/drawing/2014/main" id="{6A85CCD3-9CE8-4F1D-A6E1-71E1121F1F1B}"/>
            </a:ext>
          </a:extLst>
        </xdr:cNvPr>
        <xdr:cNvSpPr txBox="1"/>
      </xdr:nvSpPr>
      <xdr:spPr>
        <a:xfrm>
          <a:off x="38407181" y="3901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179</xdr:row>
      <xdr:rowOff>0</xdr:rowOff>
    </xdr:from>
    <xdr:ext cx="65" cy="172227"/>
    <xdr:sp macro="" textlink="">
      <xdr:nvSpPr>
        <xdr:cNvPr id="98" name="TextBox 97">
          <a:extLst>
            <a:ext uri="{FF2B5EF4-FFF2-40B4-BE49-F238E27FC236}">
              <a16:creationId xmlns:a16="http://schemas.microsoft.com/office/drawing/2014/main" id="{C98CAA05-1DBF-4691-93F9-3AB08514FFE1}"/>
            </a:ext>
          </a:extLst>
        </xdr:cNvPr>
        <xdr:cNvSpPr txBox="1"/>
      </xdr:nvSpPr>
      <xdr:spPr>
        <a:xfrm>
          <a:off x="38407181" y="3901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197</xdr:row>
      <xdr:rowOff>0</xdr:rowOff>
    </xdr:from>
    <xdr:ext cx="65" cy="172227"/>
    <xdr:sp macro="" textlink="">
      <xdr:nvSpPr>
        <xdr:cNvPr id="99" name="TextBox 98">
          <a:extLst>
            <a:ext uri="{FF2B5EF4-FFF2-40B4-BE49-F238E27FC236}">
              <a16:creationId xmlns:a16="http://schemas.microsoft.com/office/drawing/2014/main" id="{6A85CCD3-9CE8-4F1D-A6E1-71E1121F1F1B}"/>
            </a:ext>
          </a:extLst>
        </xdr:cNvPr>
        <xdr:cNvSpPr txBox="1"/>
      </xdr:nvSpPr>
      <xdr:spPr>
        <a:xfrm>
          <a:off x="38407181" y="4282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197</xdr:row>
      <xdr:rowOff>0</xdr:rowOff>
    </xdr:from>
    <xdr:ext cx="65" cy="172227"/>
    <xdr:sp macro="" textlink="">
      <xdr:nvSpPr>
        <xdr:cNvPr id="100" name="TextBox 99">
          <a:extLst>
            <a:ext uri="{FF2B5EF4-FFF2-40B4-BE49-F238E27FC236}">
              <a16:creationId xmlns:a16="http://schemas.microsoft.com/office/drawing/2014/main" id="{C98CAA05-1DBF-4691-93F9-3AB08514FFE1}"/>
            </a:ext>
          </a:extLst>
        </xdr:cNvPr>
        <xdr:cNvSpPr txBox="1"/>
      </xdr:nvSpPr>
      <xdr:spPr>
        <a:xfrm>
          <a:off x="38407181" y="4282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227</xdr:row>
      <xdr:rowOff>0</xdr:rowOff>
    </xdr:from>
    <xdr:ext cx="65" cy="172227"/>
    <xdr:sp macro="" textlink="">
      <xdr:nvSpPr>
        <xdr:cNvPr id="101" name="TextBox 100">
          <a:extLst>
            <a:ext uri="{FF2B5EF4-FFF2-40B4-BE49-F238E27FC236}">
              <a16:creationId xmlns:a16="http://schemas.microsoft.com/office/drawing/2014/main" id="{6A85CCD3-9CE8-4F1D-A6E1-71E1121F1F1B}"/>
            </a:ext>
          </a:extLst>
        </xdr:cNvPr>
        <xdr:cNvSpPr txBox="1"/>
      </xdr:nvSpPr>
      <xdr:spPr>
        <a:xfrm>
          <a:off x="38407181" y="493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227</xdr:row>
      <xdr:rowOff>0</xdr:rowOff>
    </xdr:from>
    <xdr:ext cx="65" cy="172227"/>
    <xdr:sp macro="" textlink="">
      <xdr:nvSpPr>
        <xdr:cNvPr id="102" name="TextBox 101">
          <a:extLst>
            <a:ext uri="{FF2B5EF4-FFF2-40B4-BE49-F238E27FC236}">
              <a16:creationId xmlns:a16="http://schemas.microsoft.com/office/drawing/2014/main" id="{C98CAA05-1DBF-4691-93F9-3AB08514FFE1}"/>
            </a:ext>
          </a:extLst>
        </xdr:cNvPr>
        <xdr:cNvSpPr txBox="1"/>
      </xdr:nvSpPr>
      <xdr:spPr>
        <a:xfrm>
          <a:off x="38407181" y="493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249</xdr:row>
      <xdr:rowOff>0</xdr:rowOff>
    </xdr:from>
    <xdr:ext cx="65" cy="172227"/>
    <xdr:sp macro="" textlink="">
      <xdr:nvSpPr>
        <xdr:cNvPr id="103" name="TextBox 102">
          <a:extLst>
            <a:ext uri="{FF2B5EF4-FFF2-40B4-BE49-F238E27FC236}">
              <a16:creationId xmlns:a16="http://schemas.microsoft.com/office/drawing/2014/main" id="{6A85CCD3-9CE8-4F1D-A6E1-71E1121F1F1B}"/>
            </a:ext>
          </a:extLst>
        </xdr:cNvPr>
        <xdr:cNvSpPr txBox="1"/>
      </xdr:nvSpPr>
      <xdr:spPr>
        <a:xfrm>
          <a:off x="38407181" y="540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249</xdr:row>
      <xdr:rowOff>0</xdr:rowOff>
    </xdr:from>
    <xdr:ext cx="65" cy="172227"/>
    <xdr:sp macro="" textlink="">
      <xdr:nvSpPr>
        <xdr:cNvPr id="104" name="TextBox 103">
          <a:extLst>
            <a:ext uri="{FF2B5EF4-FFF2-40B4-BE49-F238E27FC236}">
              <a16:creationId xmlns:a16="http://schemas.microsoft.com/office/drawing/2014/main" id="{C98CAA05-1DBF-4691-93F9-3AB08514FFE1}"/>
            </a:ext>
          </a:extLst>
        </xdr:cNvPr>
        <xdr:cNvSpPr txBox="1"/>
      </xdr:nvSpPr>
      <xdr:spPr>
        <a:xfrm>
          <a:off x="38407181" y="540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269</xdr:row>
      <xdr:rowOff>0</xdr:rowOff>
    </xdr:from>
    <xdr:ext cx="65" cy="172227"/>
    <xdr:sp macro="" textlink="">
      <xdr:nvSpPr>
        <xdr:cNvPr id="105" name="TextBox 104">
          <a:extLst>
            <a:ext uri="{FF2B5EF4-FFF2-40B4-BE49-F238E27FC236}">
              <a16:creationId xmlns:a16="http://schemas.microsoft.com/office/drawing/2014/main" id="{6A85CCD3-9CE8-4F1D-A6E1-71E1121F1F1B}"/>
            </a:ext>
          </a:extLst>
        </xdr:cNvPr>
        <xdr:cNvSpPr txBox="1"/>
      </xdr:nvSpPr>
      <xdr:spPr>
        <a:xfrm>
          <a:off x="38407181" y="5825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269</xdr:row>
      <xdr:rowOff>0</xdr:rowOff>
    </xdr:from>
    <xdr:ext cx="65" cy="172227"/>
    <xdr:sp macro="" textlink="">
      <xdr:nvSpPr>
        <xdr:cNvPr id="106" name="TextBox 105">
          <a:extLst>
            <a:ext uri="{FF2B5EF4-FFF2-40B4-BE49-F238E27FC236}">
              <a16:creationId xmlns:a16="http://schemas.microsoft.com/office/drawing/2014/main" id="{C98CAA05-1DBF-4691-93F9-3AB08514FFE1}"/>
            </a:ext>
          </a:extLst>
        </xdr:cNvPr>
        <xdr:cNvSpPr txBox="1"/>
      </xdr:nvSpPr>
      <xdr:spPr>
        <a:xfrm>
          <a:off x="38407181" y="5825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391</xdr:row>
      <xdr:rowOff>0</xdr:rowOff>
    </xdr:from>
    <xdr:ext cx="65" cy="172227"/>
    <xdr:sp macro="" textlink="">
      <xdr:nvSpPr>
        <xdr:cNvPr id="107" name="TextBox 106">
          <a:extLst>
            <a:ext uri="{FF2B5EF4-FFF2-40B4-BE49-F238E27FC236}">
              <a16:creationId xmlns:a16="http://schemas.microsoft.com/office/drawing/2014/main" id="{6A85CCD3-9CE8-4F1D-A6E1-71E1121F1F1B}"/>
            </a:ext>
          </a:extLst>
        </xdr:cNvPr>
        <xdr:cNvSpPr txBox="1"/>
      </xdr:nvSpPr>
      <xdr:spPr>
        <a:xfrm>
          <a:off x="38407181" y="84191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391</xdr:row>
      <xdr:rowOff>0</xdr:rowOff>
    </xdr:from>
    <xdr:ext cx="65" cy="172227"/>
    <xdr:sp macro="" textlink="">
      <xdr:nvSpPr>
        <xdr:cNvPr id="108" name="TextBox 107">
          <a:extLst>
            <a:ext uri="{FF2B5EF4-FFF2-40B4-BE49-F238E27FC236}">
              <a16:creationId xmlns:a16="http://schemas.microsoft.com/office/drawing/2014/main" id="{C98CAA05-1DBF-4691-93F9-3AB08514FFE1}"/>
            </a:ext>
          </a:extLst>
        </xdr:cNvPr>
        <xdr:cNvSpPr txBox="1"/>
      </xdr:nvSpPr>
      <xdr:spPr>
        <a:xfrm>
          <a:off x="38407181" y="84191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09" name="TextBox 108">
          <a:extLst>
            <a:ext uri="{FF2B5EF4-FFF2-40B4-BE49-F238E27FC236}">
              <a16:creationId xmlns:a16="http://schemas.microsoft.com/office/drawing/2014/main" id="{6A85CCD3-9CE8-4F1D-A6E1-71E1121F1F1B}"/>
            </a:ext>
          </a:extLst>
        </xdr:cNvPr>
        <xdr:cNvSpPr txBox="1"/>
      </xdr:nvSpPr>
      <xdr:spPr>
        <a:xfrm>
          <a:off x="38407181" y="93335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0" name="TextBox 109">
          <a:extLst>
            <a:ext uri="{FF2B5EF4-FFF2-40B4-BE49-F238E27FC236}">
              <a16:creationId xmlns:a16="http://schemas.microsoft.com/office/drawing/2014/main" id="{C98CAA05-1DBF-4691-93F9-3AB08514FFE1}"/>
            </a:ext>
          </a:extLst>
        </xdr:cNvPr>
        <xdr:cNvSpPr txBox="1"/>
      </xdr:nvSpPr>
      <xdr:spPr>
        <a:xfrm>
          <a:off x="38407181" y="93335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503</xdr:row>
      <xdr:rowOff>0</xdr:rowOff>
    </xdr:from>
    <xdr:ext cx="65" cy="172227"/>
    <xdr:sp macro="" textlink="">
      <xdr:nvSpPr>
        <xdr:cNvPr id="111" name="TextBox 110">
          <a:extLst>
            <a:ext uri="{FF2B5EF4-FFF2-40B4-BE49-F238E27FC236}">
              <a16:creationId xmlns:a16="http://schemas.microsoft.com/office/drawing/2014/main" id="{6A85CCD3-9CE8-4F1D-A6E1-71E1121F1F1B}"/>
            </a:ext>
          </a:extLst>
        </xdr:cNvPr>
        <xdr:cNvSpPr txBox="1"/>
      </xdr:nvSpPr>
      <xdr:spPr>
        <a:xfrm>
          <a:off x="38407181" y="107432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503</xdr:row>
      <xdr:rowOff>0</xdr:rowOff>
    </xdr:from>
    <xdr:ext cx="65" cy="172227"/>
    <xdr:sp macro="" textlink="">
      <xdr:nvSpPr>
        <xdr:cNvPr id="112" name="TextBox 111">
          <a:extLst>
            <a:ext uri="{FF2B5EF4-FFF2-40B4-BE49-F238E27FC236}">
              <a16:creationId xmlns:a16="http://schemas.microsoft.com/office/drawing/2014/main" id="{C98CAA05-1DBF-4691-93F9-3AB08514FFE1}"/>
            </a:ext>
          </a:extLst>
        </xdr:cNvPr>
        <xdr:cNvSpPr txBox="1"/>
      </xdr:nvSpPr>
      <xdr:spPr>
        <a:xfrm>
          <a:off x="38407181" y="107432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526</xdr:row>
      <xdr:rowOff>0</xdr:rowOff>
    </xdr:from>
    <xdr:ext cx="65" cy="172227"/>
    <xdr:sp macro="" textlink="">
      <xdr:nvSpPr>
        <xdr:cNvPr id="113" name="TextBox 112">
          <a:extLst>
            <a:ext uri="{FF2B5EF4-FFF2-40B4-BE49-F238E27FC236}">
              <a16:creationId xmlns:a16="http://schemas.microsoft.com/office/drawing/2014/main" id="{6A85CCD3-9CE8-4F1D-A6E1-71E1121F1F1B}"/>
            </a:ext>
          </a:extLst>
        </xdr:cNvPr>
        <xdr:cNvSpPr txBox="1"/>
      </xdr:nvSpPr>
      <xdr:spPr>
        <a:xfrm>
          <a:off x="38407181" y="11257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526</xdr:row>
      <xdr:rowOff>0</xdr:rowOff>
    </xdr:from>
    <xdr:ext cx="65" cy="172227"/>
    <xdr:sp macro="" textlink="">
      <xdr:nvSpPr>
        <xdr:cNvPr id="114" name="TextBox 113">
          <a:extLst>
            <a:ext uri="{FF2B5EF4-FFF2-40B4-BE49-F238E27FC236}">
              <a16:creationId xmlns:a16="http://schemas.microsoft.com/office/drawing/2014/main" id="{C98CAA05-1DBF-4691-93F9-3AB08514FFE1}"/>
            </a:ext>
          </a:extLst>
        </xdr:cNvPr>
        <xdr:cNvSpPr txBox="1"/>
      </xdr:nvSpPr>
      <xdr:spPr>
        <a:xfrm>
          <a:off x="38407181" y="11257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544</xdr:row>
      <xdr:rowOff>0</xdr:rowOff>
    </xdr:from>
    <xdr:ext cx="65" cy="172227"/>
    <xdr:sp macro="" textlink="">
      <xdr:nvSpPr>
        <xdr:cNvPr id="115" name="TextBox 114">
          <a:extLst>
            <a:ext uri="{FF2B5EF4-FFF2-40B4-BE49-F238E27FC236}">
              <a16:creationId xmlns:a16="http://schemas.microsoft.com/office/drawing/2014/main" id="{6A85CCD3-9CE8-4F1D-A6E1-71E1121F1F1B}"/>
            </a:ext>
          </a:extLst>
        </xdr:cNvPr>
        <xdr:cNvSpPr txBox="1"/>
      </xdr:nvSpPr>
      <xdr:spPr>
        <a:xfrm>
          <a:off x="38407181" y="11638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544</xdr:row>
      <xdr:rowOff>0</xdr:rowOff>
    </xdr:from>
    <xdr:ext cx="65" cy="172227"/>
    <xdr:sp macro="" textlink="">
      <xdr:nvSpPr>
        <xdr:cNvPr id="116" name="TextBox 115">
          <a:extLst>
            <a:ext uri="{FF2B5EF4-FFF2-40B4-BE49-F238E27FC236}">
              <a16:creationId xmlns:a16="http://schemas.microsoft.com/office/drawing/2014/main" id="{C98CAA05-1DBF-4691-93F9-3AB08514FFE1}"/>
            </a:ext>
          </a:extLst>
        </xdr:cNvPr>
        <xdr:cNvSpPr txBox="1"/>
      </xdr:nvSpPr>
      <xdr:spPr>
        <a:xfrm>
          <a:off x="38407181" y="11638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562</xdr:row>
      <xdr:rowOff>0</xdr:rowOff>
    </xdr:from>
    <xdr:ext cx="65" cy="172227"/>
    <xdr:sp macro="" textlink="">
      <xdr:nvSpPr>
        <xdr:cNvPr id="117" name="TextBox 116">
          <a:extLst>
            <a:ext uri="{FF2B5EF4-FFF2-40B4-BE49-F238E27FC236}">
              <a16:creationId xmlns:a16="http://schemas.microsoft.com/office/drawing/2014/main" id="{6A85CCD3-9CE8-4F1D-A6E1-71E1121F1F1B}"/>
            </a:ext>
          </a:extLst>
        </xdr:cNvPr>
        <xdr:cNvSpPr txBox="1"/>
      </xdr:nvSpPr>
      <xdr:spPr>
        <a:xfrm>
          <a:off x="38407181" y="12019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562</xdr:row>
      <xdr:rowOff>0</xdr:rowOff>
    </xdr:from>
    <xdr:ext cx="65" cy="172227"/>
    <xdr:sp macro="" textlink="">
      <xdr:nvSpPr>
        <xdr:cNvPr id="118" name="TextBox 117">
          <a:extLst>
            <a:ext uri="{FF2B5EF4-FFF2-40B4-BE49-F238E27FC236}">
              <a16:creationId xmlns:a16="http://schemas.microsoft.com/office/drawing/2014/main" id="{C98CAA05-1DBF-4691-93F9-3AB08514FFE1}"/>
            </a:ext>
          </a:extLst>
        </xdr:cNvPr>
        <xdr:cNvSpPr txBox="1"/>
      </xdr:nvSpPr>
      <xdr:spPr>
        <a:xfrm>
          <a:off x="38407181" y="12019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578</xdr:row>
      <xdr:rowOff>0</xdr:rowOff>
    </xdr:from>
    <xdr:ext cx="65" cy="172227"/>
    <xdr:sp macro="" textlink="">
      <xdr:nvSpPr>
        <xdr:cNvPr id="119" name="TextBox 118">
          <a:extLst>
            <a:ext uri="{FF2B5EF4-FFF2-40B4-BE49-F238E27FC236}">
              <a16:creationId xmlns:a16="http://schemas.microsoft.com/office/drawing/2014/main" id="{6A85CCD3-9CE8-4F1D-A6E1-71E1121F1F1B}"/>
            </a:ext>
          </a:extLst>
        </xdr:cNvPr>
        <xdr:cNvSpPr txBox="1"/>
      </xdr:nvSpPr>
      <xdr:spPr>
        <a:xfrm>
          <a:off x="38407181" y="123624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578</xdr:row>
      <xdr:rowOff>0</xdr:rowOff>
    </xdr:from>
    <xdr:ext cx="65" cy="172227"/>
    <xdr:sp macro="" textlink="">
      <xdr:nvSpPr>
        <xdr:cNvPr id="120" name="TextBox 119">
          <a:extLst>
            <a:ext uri="{FF2B5EF4-FFF2-40B4-BE49-F238E27FC236}">
              <a16:creationId xmlns:a16="http://schemas.microsoft.com/office/drawing/2014/main" id="{C98CAA05-1DBF-4691-93F9-3AB08514FFE1}"/>
            </a:ext>
          </a:extLst>
        </xdr:cNvPr>
        <xdr:cNvSpPr txBox="1"/>
      </xdr:nvSpPr>
      <xdr:spPr>
        <a:xfrm>
          <a:off x="38407181" y="123624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594</xdr:row>
      <xdr:rowOff>0</xdr:rowOff>
    </xdr:from>
    <xdr:ext cx="65" cy="172227"/>
    <xdr:sp macro="" textlink="">
      <xdr:nvSpPr>
        <xdr:cNvPr id="121" name="TextBox 120">
          <a:extLst>
            <a:ext uri="{FF2B5EF4-FFF2-40B4-BE49-F238E27FC236}">
              <a16:creationId xmlns:a16="http://schemas.microsoft.com/office/drawing/2014/main" id="{6A85CCD3-9CE8-4F1D-A6E1-71E1121F1F1B}"/>
            </a:ext>
          </a:extLst>
        </xdr:cNvPr>
        <xdr:cNvSpPr txBox="1"/>
      </xdr:nvSpPr>
      <xdr:spPr>
        <a:xfrm>
          <a:off x="38407181" y="127053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594</xdr:row>
      <xdr:rowOff>0</xdr:rowOff>
    </xdr:from>
    <xdr:ext cx="65" cy="172227"/>
    <xdr:sp macro="" textlink="">
      <xdr:nvSpPr>
        <xdr:cNvPr id="122" name="TextBox 121">
          <a:extLst>
            <a:ext uri="{FF2B5EF4-FFF2-40B4-BE49-F238E27FC236}">
              <a16:creationId xmlns:a16="http://schemas.microsoft.com/office/drawing/2014/main" id="{C98CAA05-1DBF-4691-93F9-3AB08514FFE1}"/>
            </a:ext>
          </a:extLst>
        </xdr:cNvPr>
        <xdr:cNvSpPr txBox="1"/>
      </xdr:nvSpPr>
      <xdr:spPr>
        <a:xfrm>
          <a:off x="38407181" y="127053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610</xdr:row>
      <xdr:rowOff>0</xdr:rowOff>
    </xdr:from>
    <xdr:ext cx="65" cy="172227"/>
    <xdr:sp macro="" textlink="">
      <xdr:nvSpPr>
        <xdr:cNvPr id="123" name="TextBox 122">
          <a:extLst>
            <a:ext uri="{FF2B5EF4-FFF2-40B4-BE49-F238E27FC236}">
              <a16:creationId xmlns:a16="http://schemas.microsoft.com/office/drawing/2014/main" id="{6A85CCD3-9CE8-4F1D-A6E1-71E1121F1F1B}"/>
            </a:ext>
          </a:extLst>
        </xdr:cNvPr>
        <xdr:cNvSpPr txBox="1"/>
      </xdr:nvSpPr>
      <xdr:spPr>
        <a:xfrm>
          <a:off x="38407181" y="130482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610</xdr:row>
      <xdr:rowOff>0</xdr:rowOff>
    </xdr:from>
    <xdr:ext cx="65" cy="172227"/>
    <xdr:sp macro="" textlink="">
      <xdr:nvSpPr>
        <xdr:cNvPr id="124" name="TextBox 123">
          <a:extLst>
            <a:ext uri="{FF2B5EF4-FFF2-40B4-BE49-F238E27FC236}">
              <a16:creationId xmlns:a16="http://schemas.microsoft.com/office/drawing/2014/main" id="{C98CAA05-1DBF-4691-93F9-3AB08514FFE1}"/>
            </a:ext>
          </a:extLst>
        </xdr:cNvPr>
        <xdr:cNvSpPr txBox="1"/>
      </xdr:nvSpPr>
      <xdr:spPr>
        <a:xfrm>
          <a:off x="38407181" y="130482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626</xdr:row>
      <xdr:rowOff>0</xdr:rowOff>
    </xdr:from>
    <xdr:ext cx="65" cy="172227"/>
    <xdr:sp macro="" textlink="">
      <xdr:nvSpPr>
        <xdr:cNvPr id="125" name="TextBox 124">
          <a:extLst>
            <a:ext uri="{FF2B5EF4-FFF2-40B4-BE49-F238E27FC236}">
              <a16:creationId xmlns:a16="http://schemas.microsoft.com/office/drawing/2014/main" id="{6A85CCD3-9CE8-4F1D-A6E1-71E1121F1F1B}"/>
            </a:ext>
          </a:extLst>
        </xdr:cNvPr>
        <xdr:cNvSpPr txBox="1"/>
      </xdr:nvSpPr>
      <xdr:spPr>
        <a:xfrm>
          <a:off x="38407181" y="13391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626</xdr:row>
      <xdr:rowOff>0</xdr:rowOff>
    </xdr:from>
    <xdr:ext cx="65" cy="172227"/>
    <xdr:sp macro="" textlink="">
      <xdr:nvSpPr>
        <xdr:cNvPr id="126" name="TextBox 125">
          <a:extLst>
            <a:ext uri="{FF2B5EF4-FFF2-40B4-BE49-F238E27FC236}">
              <a16:creationId xmlns:a16="http://schemas.microsoft.com/office/drawing/2014/main" id="{C98CAA05-1DBF-4691-93F9-3AB08514FFE1}"/>
            </a:ext>
          </a:extLst>
        </xdr:cNvPr>
        <xdr:cNvSpPr txBox="1"/>
      </xdr:nvSpPr>
      <xdr:spPr>
        <a:xfrm>
          <a:off x="38407181" y="13391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7" name="TextBox 126">
          <a:extLst>
            <a:ext uri="{FF2B5EF4-FFF2-40B4-BE49-F238E27FC236}">
              <a16:creationId xmlns:a16="http://schemas.microsoft.com/office/drawing/2014/main" id="{6A85CCD3-9CE8-4F1D-A6E1-71E1121F1F1B}"/>
            </a:ext>
          </a:extLst>
        </xdr:cNvPr>
        <xdr:cNvSpPr txBox="1"/>
      </xdr:nvSpPr>
      <xdr:spPr>
        <a:xfrm>
          <a:off x="38407181" y="137340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8" name="TextBox 127">
          <a:extLst>
            <a:ext uri="{FF2B5EF4-FFF2-40B4-BE49-F238E27FC236}">
              <a16:creationId xmlns:a16="http://schemas.microsoft.com/office/drawing/2014/main" id="{C98CAA05-1DBF-4691-93F9-3AB08514FFE1}"/>
            </a:ext>
          </a:extLst>
        </xdr:cNvPr>
        <xdr:cNvSpPr txBox="1"/>
      </xdr:nvSpPr>
      <xdr:spPr>
        <a:xfrm>
          <a:off x="38407181" y="137340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658</xdr:row>
      <xdr:rowOff>0</xdr:rowOff>
    </xdr:from>
    <xdr:ext cx="65" cy="172227"/>
    <xdr:sp macro="" textlink="">
      <xdr:nvSpPr>
        <xdr:cNvPr id="129" name="TextBox 128">
          <a:extLst>
            <a:ext uri="{FF2B5EF4-FFF2-40B4-BE49-F238E27FC236}">
              <a16:creationId xmlns:a16="http://schemas.microsoft.com/office/drawing/2014/main" id="{6A85CCD3-9CE8-4F1D-A6E1-71E1121F1F1B}"/>
            </a:ext>
          </a:extLst>
        </xdr:cNvPr>
        <xdr:cNvSpPr txBox="1"/>
      </xdr:nvSpPr>
      <xdr:spPr>
        <a:xfrm>
          <a:off x="38407181" y="140769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658</xdr:row>
      <xdr:rowOff>0</xdr:rowOff>
    </xdr:from>
    <xdr:ext cx="65" cy="172227"/>
    <xdr:sp macro="" textlink="">
      <xdr:nvSpPr>
        <xdr:cNvPr id="130" name="TextBox 129">
          <a:extLst>
            <a:ext uri="{FF2B5EF4-FFF2-40B4-BE49-F238E27FC236}">
              <a16:creationId xmlns:a16="http://schemas.microsoft.com/office/drawing/2014/main" id="{C98CAA05-1DBF-4691-93F9-3AB08514FFE1}"/>
            </a:ext>
          </a:extLst>
        </xdr:cNvPr>
        <xdr:cNvSpPr txBox="1"/>
      </xdr:nvSpPr>
      <xdr:spPr>
        <a:xfrm>
          <a:off x="38407181" y="140769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678</xdr:row>
      <xdr:rowOff>0</xdr:rowOff>
    </xdr:from>
    <xdr:ext cx="65" cy="172227"/>
    <xdr:sp macro="" textlink="">
      <xdr:nvSpPr>
        <xdr:cNvPr id="131" name="TextBox 130">
          <a:extLst>
            <a:ext uri="{FF2B5EF4-FFF2-40B4-BE49-F238E27FC236}">
              <a16:creationId xmlns:a16="http://schemas.microsoft.com/office/drawing/2014/main" id="{6A85CCD3-9CE8-4F1D-A6E1-71E1121F1F1B}"/>
            </a:ext>
          </a:extLst>
        </xdr:cNvPr>
        <xdr:cNvSpPr txBox="1"/>
      </xdr:nvSpPr>
      <xdr:spPr>
        <a:xfrm>
          <a:off x="38407181" y="144960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678</xdr:row>
      <xdr:rowOff>0</xdr:rowOff>
    </xdr:from>
    <xdr:ext cx="65" cy="172227"/>
    <xdr:sp macro="" textlink="">
      <xdr:nvSpPr>
        <xdr:cNvPr id="132" name="TextBox 131">
          <a:extLst>
            <a:ext uri="{FF2B5EF4-FFF2-40B4-BE49-F238E27FC236}">
              <a16:creationId xmlns:a16="http://schemas.microsoft.com/office/drawing/2014/main" id="{C98CAA05-1DBF-4691-93F9-3AB08514FFE1}"/>
            </a:ext>
          </a:extLst>
        </xdr:cNvPr>
        <xdr:cNvSpPr txBox="1"/>
      </xdr:nvSpPr>
      <xdr:spPr>
        <a:xfrm>
          <a:off x="38407181" y="144960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694</xdr:row>
      <xdr:rowOff>0</xdr:rowOff>
    </xdr:from>
    <xdr:ext cx="65" cy="172227"/>
    <xdr:sp macro="" textlink="">
      <xdr:nvSpPr>
        <xdr:cNvPr id="133" name="TextBox 132">
          <a:extLst>
            <a:ext uri="{FF2B5EF4-FFF2-40B4-BE49-F238E27FC236}">
              <a16:creationId xmlns:a16="http://schemas.microsoft.com/office/drawing/2014/main" id="{6A85CCD3-9CE8-4F1D-A6E1-71E1121F1F1B}"/>
            </a:ext>
          </a:extLst>
        </xdr:cNvPr>
        <xdr:cNvSpPr txBox="1"/>
      </xdr:nvSpPr>
      <xdr:spPr>
        <a:xfrm>
          <a:off x="38407181" y="148428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694</xdr:row>
      <xdr:rowOff>0</xdr:rowOff>
    </xdr:from>
    <xdr:ext cx="65" cy="172227"/>
    <xdr:sp macro="" textlink="">
      <xdr:nvSpPr>
        <xdr:cNvPr id="134" name="TextBox 133">
          <a:extLst>
            <a:ext uri="{FF2B5EF4-FFF2-40B4-BE49-F238E27FC236}">
              <a16:creationId xmlns:a16="http://schemas.microsoft.com/office/drawing/2014/main" id="{C98CAA05-1DBF-4691-93F9-3AB08514FFE1}"/>
            </a:ext>
          </a:extLst>
        </xdr:cNvPr>
        <xdr:cNvSpPr txBox="1"/>
      </xdr:nvSpPr>
      <xdr:spPr>
        <a:xfrm>
          <a:off x="38407181" y="148428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712</xdr:row>
      <xdr:rowOff>0</xdr:rowOff>
    </xdr:from>
    <xdr:ext cx="65" cy="172227"/>
    <xdr:sp macro="" textlink="">
      <xdr:nvSpPr>
        <xdr:cNvPr id="135" name="TextBox 134">
          <a:extLst>
            <a:ext uri="{FF2B5EF4-FFF2-40B4-BE49-F238E27FC236}">
              <a16:creationId xmlns:a16="http://schemas.microsoft.com/office/drawing/2014/main" id="{6A85CCD3-9CE8-4F1D-A6E1-71E1121F1F1B}"/>
            </a:ext>
          </a:extLst>
        </xdr:cNvPr>
        <xdr:cNvSpPr txBox="1"/>
      </xdr:nvSpPr>
      <xdr:spPr>
        <a:xfrm>
          <a:off x="38407181" y="152428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712</xdr:row>
      <xdr:rowOff>0</xdr:rowOff>
    </xdr:from>
    <xdr:ext cx="65" cy="172227"/>
    <xdr:sp macro="" textlink="">
      <xdr:nvSpPr>
        <xdr:cNvPr id="136" name="TextBox 135">
          <a:extLst>
            <a:ext uri="{FF2B5EF4-FFF2-40B4-BE49-F238E27FC236}">
              <a16:creationId xmlns:a16="http://schemas.microsoft.com/office/drawing/2014/main" id="{C98CAA05-1DBF-4691-93F9-3AB08514FFE1}"/>
            </a:ext>
          </a:extLst>
        </xdr:cNvPr>
        <xdr:cNvSpPr txBox="1"/>
      </xdr:nvSpPr>
      <xdr:spPr>
        <a:xfrm>
          <a:off x="38407181" y="152428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730</xdr:row>
      <xdr:rowOff>0</xdr:rowOff>
    </xdr:from>
    <xdr:ext cx="65" cy="172227"/>
    <xdr:sp macro="" textlink="">
      <xdr:nvSpPr>
        <xdr:cNvPr id="137" name="TextBox 136">
          <a:extLst>
            <a:ext uri="{FF2B5EF4-FFF2-40B4-BE49-F238E27FC236}">
              <a16:creationId xmlns:a16="http://schemas.microsoft.com/office/drawing/2014/main" id="{6A85CCD3-9CE8-4F1D-A6E1-71E1121F1F1B}"/>
            </a:ext>
          </a:extLst>
        </xdr:cNvPr>
        <xdr:cNvSpPr txBox="1"/>
      </xdr:nvSpPr>
      <xdr:spPr>
        <a:xfrm>
          <a:off x="38407181" y="156429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730</xdr:row>
      <xdr:rowOff>0</xdr:rowOff>
    </xdr:from>
    <xdr:ext cx="65" cy="172227"/>
    <xdr:sp macro="" textlink="">
      <xdr:nvSpPr>
        <xdr:cNvPr id="138" name="TextBox 137">
          <a:extLst>
            <a:ext uri="{FF2B5EF4-FFF2-40B4-BE49-F238E27FC236}">
              <a16:creationId xmlns:a16="http://schemas.microsoft.com/office/drawing/2014/main" id="{C98CAA05-1DBF-4691-93F9-3AB08514FFE1}"/>
            </a:ext>
          </a:extLst>
        </xdr:cNvPr>
        <xdr:cNvSpPr txBox="1"/>
      </xdr:nvSpPr>
      <xdr:spPr>
        <a:xfrm>
          <a:off x="38407181" y="156429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747</xdr:row>
      <xdr:rowOff>0</xdr:rowOff>
    </xdr:from>
    <xdr:ext cx="65" cy="172227"/>
    <xdr:sp macro="" textlink="">
      <xdr:nvSpPr>
        <xdr:cNvPr id="139" name="TextBox 138">
          <a:extLst>
            <a:ext uri="{FF2B5EF4-FFF2-40B4-BE49-F238E27FC236}">
              <a16:creationId xmlns:a16="http://schemas.microsoft.com/office/drawing/2014/main" id="{6A85CCD3-9CE8-4F1D-A6E1-71E1121F1F1B}"/>
            </a:ext>
          </a:extLst>
        </xdr:cNvPr>
        <xdr:cNvSpPr txBox="1"/>
      </xdr:nvSpPr>
      <xdr:spPr>
        <a:xfrm>
          <a:off x="38407181" y="160048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747</xdr:row>
      <xdr:rowOff>0</xdr:rowOff>
    </xdr:from>
    <xdr:ext cx="65" cy="172227"/>
    <xdr:sp macro="" textlink="">
      <xdr:nvSpPr>
        <xdr:cNvPr id="140" name="TextBox 139">
          <a:extLst>
            <a:ext uri="{FF2B5EF4-FFF2-40B4-BE49-F238E27FC236}">
              <a16:creationId xmlns:a16="http://schemas.microsoft.com/office/drawing/2014/main" id="{C98CAA05-1DBF-4691-93F9-3AB08514FFE1}"/>
            </a:ext>
          </a:extLst>
        </xdr:cNvPr>
        <xdr:cNvSpPr txBox="1"/>
      </xdr:nvSpPr>
      <xdr:spPr>
        <a:xfrm>
          <a:off x="38407181" y="160048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88225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88225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2618660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2618660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6A85CCD3-9CE8-4F1D-A6E1-71E1121F1F1B}"/>
            </a:ext>
          </a:extLst>
        </xdr:cNvPr>
        <xdr:cNvSpPr txBox="1"/>
      </xdr:nvSpPr>
      <xdr:spPr>
        <a:xfrm>
          <a:off x="2618660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C98CAA05-1DBF-4691-93F9-3AB08514FFE1}"/>
            </a:ext>
          </a:extLst>
        </xdr:cNvPr>
        <xdr:cNvSpPr txBox="1"/>
      </xdr:nvSpPr>
      <xdr:spPr>
        <a:xfrm>
          <a:off x="2618660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233361</xdr:colOff>
      <xdr:row>33</xdr:row>
      <xdr:rowOff>123825</xdr:rowOff>
    </xdr:from>
    <xdr:to>
      <xdr:col>7</xdr:col>
      <xdr:colOff>247650</xdr:colOff>
      <xdr:row>34</xdr:row>
      <xdr:rowOff>183778</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6782094-3EC5-4E55-83D6-3CE0F9F0B74D}"/>
                </a:ext>
              </a:extLst>
            </xdr:cNvPr>
            <xdr:cNvSpPr txBox="1"/>
          </xdr:nvSpPr>
          <xdr:spPr>
            <a:xfrm>
              <a:off x="3033711" y="7667625"/>
              <a:ext cx="799623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2" name="TextBox 1">
              <a:extLst>
                <a:ext uri="{FF2B5EF4-FFF2-40B4-BE49-F238E27FC236}">
                  <a16:creationId xmlns:a16="http://schemas.microsoft.com/office/drawing/2014/main" id="{06782094-3EC5-4E55-83D6-3CE0F9F0B74D}"/>
                </a:ext>
              </a:extLst>
            </xdr:cNvPr>
            <xdr:cNvSpPr txBox="1"/>
          </xdr:nvSpPr>
          <xdr:spPr>
            <a:xfrm>
              <a:off x="3033711" y="7667625"/>
              <a:ext cx="799623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209550</xdr:colOff>
      <xdr:row>35</xdr:row>
      <xdr:rowOff>66675</xdr:rowOff>
    </xdr:from>
    <xdr:to>
      <xdr:col>4</xdr:col>
      <xdr:colOff>1955221</xdr:colOff>
      <xdr:row>36</xdr:row>
      <xdr:rowOff>126628</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E1EC4314-9343-40B5-9831-C2724D63F023}"/>
                </a:ext>
              </a:extLst>
            </xdr:cNvPr>
            <xdr:cNvSpPr txBox="1"/>
          </xdr:nvSpPr>
          <xdr:spPr>
            <a:xfrm>
              <a:off x="3009900" y="799147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 name="TextBox 2">
              <a:extLst>
                <a:ext uri="{FF2B5EF4-FFF2-40B4-BE49-F238E27FC236}">
                  <a16:creationId xmlns:a16="http://schemas.microsoft.com/office/drawing/2014/main" id="{E1EC4314-9343-40B5-9831-C2724D63F023}"/>
                </a:ext>
              </a:extLst>
            </xdr:cNvPr>
            <xdr:cNvSpPr txBox="1"/>
          </xdr:nvSpPr>
          <xdr:spPr>
            <a:xfrm>
              <a:off x="3009900" y="799147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798511</xdr:colOff>
      <xdr:row>29</xdr:row>
      <xdr:rowOff>19050</xdr:rowOff>
    </xdr:from>
    <xdr:to>
      <xdr:col>4</xdr:col>
      <xdr:colOff>4413251</xdr:colOff>
      <xdr:row>30</xdr:row>
      <xdr:rowOff>79003</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3598861" y="68008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3598861" y="68008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2</xdr:col>
      <xdr:colOff>52386</xdr:colOff>
      <xdr:row>31</xdr:row>
      <xdr:rowOff>15875</xdr:rowOff>
    </xdr:from>
    <xdr:to>
      <xdr:col>7</xdr:col>
      <xdr:colOff>508001</xdr:colOff>
      <xdr:row>34</xdr:row>
      <xdr:rowOff>63500</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4D9E4E40-B345-40B0-8317-9CC0340BC3E3}"/>
                </a:ext>
              </a:extLst>
            </xdr:cNvPr>
            <xdr:cNvSpPr txBox="1"/>
          </xdr:nvSpPr>
          <xdr:spPr>
            <a:xfrm>
              <a:off x="1052511" y="7178675"/>
              <a:ext cx="10237790" cy="6191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 name="TextBox 4">
              <a:extLst>
                <a:ext uri="{FF2B5EF4-FFF2-40B4-BE49-F238E27FC236}">
                  <a16:creationId xmlns:a16="http://schemas.microsoft.com/office/drawing/2014/main" id="{4D9E4E40-B345-40B0-8317-9CC0340BC3E3}"/>
                </a:ext>
              </a:extLst>
            </xdr:cNvPr>
            <xdr:cNvSpPr txBox="1"/>
          </xdr:nvSpPr>
          <xdr:spPr>
            <a:xfrm>
              <a:off x="1052511" y="7178675"/>
              <a:ext cx="10237790" cy="6191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1</xdr:col>
      <xdr:colOff>74610</xdr:colOff>
      <xdr:row>33</xdr:row>
      <xdr:rowOff>28575</xdr:rowOff>
    </xdr:from>
    <xdr:to>
      <xdr:col>8</xdr:col>
      <xdr:colOff>920750</xdr:colOff>
      <xdr:row>35</xdr:row>
      <xdr:rowOff>47625</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6782094-3EC5-4E55-83D6-3CE0F9F0B74D}"/>
                </a:ext>
              </a:extLst>
            </xdr:cNvPr>
            <xdr:cNvSpPr txBox="1"/>
          </xdr:nvSpPr>
          <xdr:spPr>
            <a:xfrm>
              <a:off x="465135" y="7572375"/>
              <a:ext cx="12238040" cy="4000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6" name="TextBox 5">
              <a:extLst>
                <a:ext uri="{FF2B5EF4-FFF2-40B4-BE49-F238E27FC236}">
                  <a16:creationId xmlns:a16="http://schemas.microsoft.com/office/drawing/2014/main" id="{06782094-3EC5-4E55-83D6-3CE0F9F0B74D}"/>
                </a:ext>
              </a:extLst>
            </xdr:cNvPr>
            <xdr:cNvSpPr txBox="1"/>
          </xdr:nvSpPr>
          <xdr:spPr>
            <a:xfrm>
              <a:off x="465135" y="7572375"/>
              <a:ext cx="12238040" cy="4000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3</xdr:col>
      <xdr:colOff>34925</xdr:colOff>
      <xdr:row>35</xdr:row>
      <xdr:rowOff>34925</xdr:rowOff>
    </xdr:from>
    <xdr:to>
      <xdr:col>4</xdr:col>
      <xdr:colOff>843971</xdr:colOff>
      <xdr:row>36</xdr:row>
      <xdr:rowOff>94878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E1EC4314-9343-40B5-9831-C2724D63F023}"/>
                </a:ext>
              </a:extLst>
            </xdr:cNvPr>
            <xdr:cNvSpPr txBox="1"/>
          </xdr:nvSpPr>
          <xdr:spPr>
            <a:xfrm>
              <a:off x="1901825" y="7959725"/>
              <a:ext cx="17424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7" name="TextBox 6">
              <a:extLst>
                <a:ext uri="{FF2B5EF4-FFF2-40B4-BE49-F238E27FC236}">
                  <a16:creationId xmlns:a16="http://schemas.microsoft.com/office/drawing/2014/main" id="{E1EC4314-9343-40B5-9831-C2724D63F023}"/>
                </a:ext>
              </a:extLst>
            </xdr:cNvPr>
            <xdr:cNvSpPr txBox="1"/>
          </xdr:nvSpPr>
          <xdr:spPr>
            <a:xfrm>
              <a:off x="1901825" y="7959725"/>
              <a:ext cx="17424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8" name="TextBox 7">
          <a:extLst>
            <a:ext uri="{FF2B5EF4-FFF2-40B4-BE49-F238E27FC236}">
              <a16:creationId xmlns:a16="http://schemas.microsoft.com/office/drawing/2014/main" id="{6A85CCD3-9CE8-4F1D-A6E1-71E1121F1F1B}"/>
            </a:ext>
          </a:extLst>
        </xdr:cNvPr>
        <xdr:cNvSpPr txBox="1"/>
      </xdr:nvSpPr>
      <xdr:spPr>
        <a:xfrm>
          <a:off x="290060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9" name="TextBox 8">
          <a:extLst>
            <a:ext uri="{FF2B5EF4-FFF2-40B4-BE49-F238E27FC236}">
              <a16:creationId xmlns:a16="http://schemas.microsoft.com/office/drawing/2014/main" id="{C98CAA05-1DBF-4691-93F9-3AB08514FFE1}"/>
            </a:ext>
          </a:extLst>
        </xdr:cNvPr>
        <xdr:cNvSpPr txBox="1"/>
      </xdr:nvSpPr>
      <xdr:spPr>
        <a:xfrm>
          <a:off x="290060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2269331</xdr:colOff>
      <xdr:row>55</xdr:row>
      <xdr:rowOff>0</xdr:rowOff>
    </xdr:from>
    <xdr:ext cx="65" cy="172227"/>
    <xdr:sp macro="" textlink="">
      <xdr:nvSpPr>
        <xdr:cNvPr id="2" name="TextBox 1">
          <a:extLst>
            <a:ext uri="{FF2B5EF4-FFF2-40B4-BE49-F238E27FC236}">
              <a16:creationId xmlns:a16="http://schemas.microsoft.com/office/drawing/2014/main" id="{00000000-0008-0000-0300-000017000000}"/>
            </a:ext>
          </a:extLst>
        </xdr:cNvPr>
        <xdr:cNvSpPr txBox="1"/>
      </xdr:nvSpPr>
      <xdr:spPr>
        <a:xfrm>
          <a:off x="11403806" y="17164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55</xdr:row>
      <xdr:rowOff>0</xdr:rowOff>
    </xdr:from>
    <xdr:ext cx="65" cy="172227"/>
    <xdr:sp macro="" textlink="">
      <xdr:nvSpPr>
        <xdr:cNvPr id="3" name="TextBox 2">
          <a:extLst>
            <a:ext uri="{FF2B5EF4-FFF2-40B4-BE49-F238E27FC236}">
              <a16:creationId xmlns:a16="http://schemas.microsoft.com/office/drawing/2014/main" id="{00000000-0008-0000-0300-000019000000}"/>
            </a:ext>
          </a:extLst>
        </xdr:cNvPr>
        <xdr:cNvSpPr txBox="1"/>
      </xdr:nvSpPr>
      <xdr:spPr>
        <a:xfrm>
          <a:off x="11403806" y="17164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163</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11403806" y="44738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163</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11403806" y="44738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287109</xdr:colOff>
      <xdr:row>8</xdr:row>
      <xdr:rowOff>42029</xdr:rowOff>
    </xdr:from>
    <xdr:to>
      <xdr:col>11</xdr:col>
      <xdr:colOff>1605643</xdr:colOff>
      <xdr:row>11</xdr:row>
      <xdr:rowOff>186431</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7DCDC9E7-3AB5-4B92-9738-24C80EBBA30D}"/>
                </a:ext>
                <a:ext uri="{147F2762-F138-4A5C-976F-8EAC2B608ADB}">
                  <a16:predDERef xmlns:a16="http://schemas.microsoft.com/office/drawing/2014/main" pred="{81B71F05-C5D3-4C35-B4EE-96DE281A87C5}"/>
                </a:ext>
              </a:extLst>
            </xdr:cNvPr>
            <xdr:cNvSpPr txBox="1"/>
          </xdr:nvSpPr>
          <xdr:spPr>
            <a:xfrm>
              <a:off x="4649559" y="2480429"/>
              <a:ext cx="14739259" cy="715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f>
                                  <m:fPr>
                                    <m:ctrlPr>
                                      <a:rPr lang="en-US" sz="110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𝐵𝐴𝑆𝐸</m:t>
                                        </m:r>
                                      </m:sub>
                                    </m:sSub>
                                  </m:den>
                                </m:f>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∗1.0</m:t>
                            </m:r>
                          </m:num>
                          <m:den>
                            <m:r>
                              <a:rPr lang="en-US" sz="1400" b="0" i="1">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𝑘𝑊h</m:t>
                    </m:r>
                    <m:r>
                      <a:rPr lang="en-US" sz="1800" b="0" i="1">
                        <a:solidFill>
                          <a:sysClr val="windowText" lastClr="000000"/>
                        </a:solidFill>
                        <a:latin typeface="Cambria Math" panose="02040503050406030204" pitchFamily="18" charset="0"/>
                      </a:rPr>
                      <m:t>_</m:t>
                    </m:r>
                    <m:r>
                      <a:rPr lang="en-US" sz="1800" b="0" i="1">
                        <a:solidFill>
                          <a:sysClr val="windowText" lastClr="000000"/>
                        </a:solidFill>
                        <a:latin typeface="Cambria Math" panose="02040503050406030204" pitchFamily="18" charset="0"/>
                      </a:rPr>
                      <m:t>𝑐𝑜𝑜𝑙</m:t>
                    </m:r>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𝑘𝑊h</m:t>
                    </m:r>
                    <m:r>
                      <a:rPr lang="en-US" sz="1800" b="0" i="1">
                        <a:solidFill>
                          <a:sysClr val="windowText" lastClr="000000"/>
                        </a:solidFill>
                        <a:latin typeface="Cambria Math" panose="02040503050406030204" pitchFamily="18" charset="0"/>
                      </a:rPr>
                      <m:t>_</m:t>
                    </m:r>
                    <m:r>
                      <a:rPr lang="en-US" sz="1800" b="0" i="1">
                        <a:solidFill>
                          <a:sysClr val="windowText" lastClr="000000"/>
                        </a:solidFill>
                        <a:latin typeface="Cambria Math" panose="02040503050406030204" pitchFamily="18" charset="0"/>
                      </a:rPr>
                      <m:t>h𝑒𝑎𝑡</m:t>
                    </m:r>
                  </m:oMath>
                </m:oMathPara>
              </a14:m>
              <a:endParaRPr lang="en-US" sz="11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7DCDC9E7-3AB5-4B92-9738-24C80EBBA30D}"/>
                </a:ext>
                <a:ext uri="{147F2762-F138-4A5C-976F-8EAC2B608ADB}">
                  <a16:predDERef xmlns:a16="http://schemas.microsoft.com/office/drawing/2014/main" pred="{81B71F05-C5D3-4C35-B4EE-96DE281A87C5}"/>
                </a:ext>
              </a:extLst>
            </xdr:cNvPr>
            <xdr:cNvSpPr txBox="1"/>
          </xdr:nvSpPr>
          <xdr:spPr>
            <a:xfrm>
              <a:off x="4649559" y="2480429"/>
              <a:ext cx="14739259" cy="715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b="0" i="0" baseline="0">
                  <a:solidFill>
                    <a:schemeClr val="tx1"/>
                  </a:solidFill>
                  <a:effectLst/>
                  <a:latin typeface="Cambria Math" panose="02040503050406030204" pitchFamily="18" charset="0"/>
                  <a:ea typeface="+mn-ea"/>
                  <a:cs typeface="+mn-cs"/>
                </a:rPr>
                <a:t>1/〖𝐸𝐹〗_𝐵𝐴𝑆𝐸 −1/〖𝐸𝐹〗_𝐸𝐸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∗1.0)/</a:t>
              </a:r>
              <a:r>
                <a:rPr lang="en-US" sz="1400" b="0" i="0">
                  <a:solidFill>
                    <a:sysClr val="windowText" lastClr="000000"/>
                  </a:solidFill>
                  <a:effectLst/>
                  <a:latin typeface="Cambria Math" panose="02040503050406030204" pitchFamily="18" charset="0"/>
                  <a:ea typeface="+mn-ea"/>
                  <a:cs typeface="+mn-cs"/>
                </a:rPr>
                <a:t>3412)</a:t>
              </a:r>
              <a:r>
                <a:rPr lang="en-US" sz="1800" b="0" i="0">
                  <a:solidFill>
                    <a:sysClr val="windowText" lastClr="000000"/>
                  </a:solidFill>
                  <a:latin typeface="Cambria Math" panose="02040503050406030204" pitchFamily="18" charset="0"/>
                </a:rPr>
                <a:t>+𝑘𝑊ℎ_𝑐𝑜𝑜𝑙−𝑘𝑊ℎ_ℎ𝑒𝑎𝑡</a:t>
              </a:r>
              <a:endParaRPr lang="en-US" sz="1100" i="0">
                <a:solidFill>
                  <a:srgbClr val="00B050"/>
                </a:solidFill>
              </a:endParaRPr>
            </a:p>
          </xdr:txBody>
        </xdr:sp>
      </mc:Fallback>
    </mc:AlternateContent>
    <xdr:clientData/>
  </xdr:twoCellAnchor>
  <xdr:twoCellAnchor>
    <xdr:from>
      <xdr:col>4</xdr:col>
      <xdr:colOff>136070</xdr:colOff>
      <xdr:row>12</xdr:row>
      <xdr:rowOff>159053</xdr:rowOff>
    </xdr:from>
    <xdr:to>
      <xdr:col>11</xdr:col>
      <xdr:colOff>1714499</xdr:colOff>
      <xdr:row>16</xdr:row>
      <xdr:rowOff>141616</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86A5BA99-6F06-405B-BF67-12FBAA95758F}"/>
                </a:ext>
                <a:ext uri="{147F2762-F138-4A5C-976F-8EAC2B608ADB}">
                  <a16:predDERef xmlns:a16="http://schemas.microsoft.com/office/drawing/2014/main" pred="{7DCDC9E7-3AB5-4B92-9738-24C80EBBA30D}"/>
                </a:ext>
              </a:extLst>
            </xdr:cNvPr>
            <xdr:cNvSpPr txBox="1"/>
          </xdr:nvSpPr>
          <xdr:spPr>
            <a:xfrm>
              <a:off x="4498520" y="3359453"/>
              <a:ext cx="14894379"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𝑐𝑜𝑜𝑙</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chemeClr val="tx1"/>
                                    </a:solidFill>
                                    <a:effectLst/>
                                    <a:latin typeface="Cambria Math" panose="02040503050406030204" pitchFamily="18" charset="0"/>
                                    <a:ea typeface="+mn-ea"/>
                                    <a:cs typeface="+mn-cs"/>
                                  </a:rPr>
                                  <m:t>1</m:t>
                                </m:r>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∗53%∗</m:t>
                            </m:r>
                            <m:r>
                              <a:rPr lang="en-US" sz="1400" b="0" i="1" baseline="0">
                                <a:solidFill>
                                  <a:sysClr val="windowText" lastClr="000000"/>
                                </a:solidFill>
                                <a:effectLst/>
                                <a:latin typeface="Cambria Math" panose="02040503050406030204" pitchFamily="18" charset="0"/>
                                <a:ea typeface="+mn-ea"/>
                                <a:cs typeface="+mn-cs"/>
                              </a:rPr>
                              <m:t>𝐿𝑀</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𝐶𝑂𝑂𝐿</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𝐶𝑜𝑜𝑙</m:t>
                    </m:r>
                  </m:oMath>
                </m:oMathPara>
              </a14:m>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86A5BA99-6F06-405B-BF67-12FBAA95758F}"/>
                </a:ext>
                <a:ext uri="{147F2762-F138-4A5C-976F-8EAC2B608ADB}">
                  <a16:predDERef xmlns:a16="http://schemas.microsoft.com/office/drawing/2014/main" pred="{7DCDC9E7-3AB5-4B92-9738-24C80EBBA30D}"/>
                </a:ext>
              </a:extLst>
            </xdr:cNvPr>
            <xdr:cNvSpPr txBox="1"/>
          </xdr:nvSpPr>
          <xdr:spPr>
            <a:xfrm>
              <a:off x="4498520" y="3359453"/>
              <a:ext cx="14894379"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𝑘𝑊ℎ_𝑐𝑜𝑜𝑙</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i="0" baseline="0">
                  <a:solidFill>
                    <a:schemeClr val="tx1"/>
                  </a:solidFill>
                  <a:effectLst/>
                  <a:latin typeface="Cambria Math" panose="02040503050406030204" pitchFamily="18" charset="0"/>
                  <a:ea typeface="+mn-ea"/>
                  <a:cs typeface="+mn-cs"/>
                </a:rPr>
                <a:t>1</a:t>
              </a:r>
              <a:r>
                <a:rPr lang="en-US" sz="1100" b="0" i="0" baseline="0">
                  <a:solidFill>
                    <a:schemeClr val="tx1"/>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∗𝐿𝐹∗53%∗𝐿𝑀)/(〖𝐶𝑂𝑃〗_𝐶𝑂𝑂𝐿∗3412))</a:t>
              </a:r>
              <a:r>
                <a:rPr lang="en-US" sz="1800" b="0" i="0">
                  <a:solidFill>
                    <a:sysClr val="windowText" lastClr="000000"/>
                  </a:solidFill>
                  <a:latin typeface="Cambria Math" panose="02040503050406030204" pitchFamily="18" charset="0"/>
                </a:rPr>
                <a:t>∗%𝐶𝑜𝑜𝑙</a:t>
              </a:r>
              <a:endParaRPr lang="en-US" sz="1100" i="0">
                <a:solidFill>
                  <a:srgbClr val="00B050"/>
                </a:solidFill>
              </a:endParaRPr>
            </a:p>
          </xdr:txBody>
        </xdr:sp>
      </mc:Fallback>
    </mc:AlternateContent>
    <xdr:clientData/>
  </xdr:twoCellAnchor>
  <xdr:twoCellAnchor>
    <xdr:from>
      <xdr:col>4</xdr:col>
      <xdr:colOff>311603</xdr:colOff>
      <xdr:row>17</xdr:row>
      <xdr:rowOff>91014</xdr:rowOff>
    </xdr:from>
    <xdr:to>
      <xdr:col>11</xdr:col>
      <xdr:colOff>1986643</xdr:colOff>
      <xdr:row>21</xdr:row>
      <xdr:rowOff>73577</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43B30730-A0D0-4A2F-B4BA-BAF1E448B536}"/>
                </a:ext>
                <a:ext uri="{147F2762-F138-4A5C-976F-8EAC2B608ADB}">
                  <a16:predDERef xmlns:a16="http://schemas.microsoft.com/office/drawing/2014/main" pred="{86A5BA99-6F06-405B-BF67-12FBAA95758F}"/>
                </a:ext>
              </a:extLst>
            </xdr:cNvPr>
            <xdr:cNvSpPr txBox="1"/>
          </xdr:nvSpPr>
          <xdr:spPr>
            <a:xfrm>
              <a:off x="4674053" y="4243914"/>
              <a:ext cx="14714765"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h𝑒𝑎𝑡</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chemeClr val="tx1"/>
                                    </a:solidFill>
                                    <a:effectLst/>
                                    <a:latin typeface="Cambria Math" panose="02040503050406030204" pitchFamily="18" charset="0"/>
                                    <a:ea typeface="+mn-ea"/>
                                    <a:cs typeface="+mn-cs"/>
                                  </a:rPr>
                                  <m:t>1</m:t>
                                </m:r>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∗43%</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𝐻𝐸𝐴𝑇</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𝐸𝑙𝑒𝑐𝑡𝑟𝑖𝑐𝐻𝑒𝑎𝑡</m:t>
                    </m:r>
                  </m:oMath>
                </m:oMathPara>
              </a14:m>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43B30730-A0D0-4A2F-B4BA-BAF1E448B536}"/>
                </a:ext>
                <a:ext uri="{147F2762-F138-4A5C-976F-8EAC2B608ADB}">
                  <a16:predDERef xmlns:a16="http://schemas.microsoft.com/office/drawing/2014/main" pred="{86A5BA99-6F06-405B-BF67-12FBAA95758F}"/>
                </a:ext>
              </a:extLst>
            </xdr:cNvPr>
            <xdr:cNvSpPr txBox="1"/>
          </xdr:nvSpPr>
          <xdr:spPr>
            <a:xfrm>
              <a:off x="4674053" y="4243914"/>
              <a:ext cx="14714765"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𝑘𝑊ℎ_ℎ𝑒𝑎𝑡"</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i="0" baseline="0">
                  <a:solidFill>
                    <a:schemeClr val="tx1"/>
                  </a:solidFill>
                  <a:effectLst/>
                  <a:latin typeface="Cambria Math" panose="02040503050406030204" pitchFamily="18" charset="0"/>
                  <a:ea typeface="+mn-ea"/>
                  <a:cs typeface="+mn-cs"/>
                </a:rPr>
                <a:t>1</a:t>
              </a:r>
              <a:r>
                <a:rPr lang="en-US" sz="1100" b="0" i="0" baseline="0">
                  <a:solidFill>
                    <a:schemeClr val="tx1"/>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∗𝐿𝐹∗43%)/(〖𝐶𝑂𝑃〗_𝐻𝐸𝐴𝑇∗3412))</a:t>
              </a:r>
              <a:r>
                <a:rPr lang="en-US" sz="1800" b="0" i="0">
                  <a:solidFill>
                    <a:sysClr val="windowText" lastClr="000000"/>
                  </a:solidFill>
                  <a:latin typeface="Cambria Math" panose="02040503050406030204" pitchFamily="18" charset="0"/>
                </a:rPr>
                <a:t>∗%𝐸𝑙𝑒𝑐𝑡𝑟𝑖𝑐𝐻𝑒𝑎𝑡</a:t>
              </a:r>
              <a:endParaRPr lang="en-US" sz="1100" i="0">
                <a:solidFill>
                  <a:srgbClr val="00B050"/>
                </a:solidFill>
              </a:endParaRPr>
            </a:p>
          </xdr:txBody>
        </xdr:sp>
      </mc:Fallback>
    </mc:AlternateContent>
    <xdr:clientData/>
  </xdr:twoCellAnchor>
  <xdr:twoCellAnchor>
    <xdr:from>
      <xdr:col>4</xdr:col>
      <xdr:colOff>740388</xdr:colOff>
      <xdr:row>22</xdr:row>
      <xdr:rowOff>134470</xdr:rowOff>
    </xdr:from>
    <xdr:to>
      <xdr:col>4</xdr:col>
      <xdr:colOff>2486059</xdr:colOff>
      <xdr:row>24</xdr:row>
      <xdr:rowOff>3923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AB35A117-1BBA-4CE9-A296-FD10F3383ED4}"/>
                </a:ext>
              </a:extLst>
            </xdr:cNvPr>
            <xdr:cNvSpPr txBox="1"/>
          </xdr:nvSpPr>
          <xdr:spPr>
            <a:xfrm>
              <a:off x="5102838" y="5239870"/>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9" name="TextBox 8">
              <a:extLst>
                <a:ext uri="{FF2B5EF4-FFF2-40B4-BE49-F238E27FC236}">
                  <a16:creationId xmlns:a16="http://schemas.microsoft.com/office/drawing/2014/main" id="{AB35A117-1BBA-4CE9-A296-FD10F3383ED4}"/>
                </a:ext>
              </a:extLst>
            </xdr:cNvPr>
            <xdr:cNvSpPr txBox="1"/>
          </xdr:nvSpPr>
          <xdr:spPr>
            <a:xfrm>
              <a:off x="5102838" y="5239870"/>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750795</xdr:colOff>
      <xdr:row>70</xdr:row>
      <xdr:rowOff>170731</xdr:rowOff>
    </xdr:from>
    <xdr:to>
      <xdr:col>8</xdr:col>
      <xdr:colOff>1558636</xdr:colOff>
      <xdr:row>73</xdr:row>
      <xdr:rowOff>103909</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978BC537-B558-46D1-AA4D-49FF6B2EC01F}"/>
                </a:ext>
              </a:extLst>
            </xdr:cNvPr>
            <xdr:cNvSpPr txBox="1"/>
          </xdr:nvSpPr>
          <xdr:spPr>
            <a:xfrm>
              <a:off x="2493870" y="20573281"/>
              <a:ext cx="12361666" cy="6189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sub>
                    </m:sSub>
                    <m:r>
                      <a:rPr lang="en-US" sz="1600" i="1">
                        <a:latin typeface="Cambria Math" panose="02040503050406030204" pitchFamily="18" charset="0"/>
                      </a:rPr>
                      <m:t>=%</m:t>
                    </m:r>
                    <m:r>
                      <a:rPr lang="en-US" sz="1600" i="1">
                        <a:latin typeface="Cambria Math" panose="02040503050406030204" pitchFamily="18" charset="0"/>
                      </a:rPr>
                      <m:t>𝐸𝑙𝑒𝑐𝑡𝑟𝑖𝑐𝐻𝑒𝑎𝑡</m:t>
                    </m:r>
                    <m:r>
                      <a:rPr lang="en-US" sz="1600" i="1">
                        <a:latin typeface="Cambria Math" panose="02040503050406030204" pitchFamily="18" charset="0"/>
                      </a:rPr>
                      <m:t>∗</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𝐸𝑙𝑒𝑐𝑡𝑟𝑖𝑐</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 </m:t>
                    </m:r>
                    <m:r>
                      <a:rPr lang="en-US" sz="1600" i="1">
                        <a:latin typeface="Cambria Math" panose="02040503050406030204" pitchFamily="18" charset="0"/>
                      </a:rPr>
                      <m:t>𝐸𝑓</m:t>
                    </m:r>
                    <m:sSub>
                      <m:sSubPr>
                        <m:ctrlPr>
                          <a:rPr lang="en-US" sz="1600" i="1">
                            <a:latin typeface="Cambria Math" panose="02040503050406030204" pitchFamily="18" charset="0"/>
                          </a:rPr>
                        </m:ctrlPr>
                      </m:sSubPr>
                      <m:e>
                        <m:r>
                          <a:rPr lang="en-US" sz="1600" i="1">
                            <a:latin typeface="Cambria Math" panose="02040503050406030204" pitchFamily="18" charset="0"/>
                          </a:rPr>
                          <m:t>𝑓</m:t>
                        </m:r>
                      </m:e>
                      <m:sub>
                        <m:r>
                          <a:rPr lang="en-US" sz="1600" i="1">
                            <a:latin typeface="Cambria Math" panose="02040503050406030204" pitchFamily="18" charset="0"/>
                          </a:rPr>
                          <m:t>𝐼𝑆𝑅</m:t>
                        </m:r>
                      </m:sub>
                    </m:sSub>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i="1">
                        <a:latin typeface="Cambria Math" panose="02040503050406030204" pitchFamily="18" charset="0"/>
                      </a:rPr>
                      <m:t> ∗ </m:t>
                    </m:r>
                    <m:sSub>
                      <m:sSubPr>
                        <m:ctrlPr>
                          <a:rPr lang="en-US" sz="1600" b="0" i="1">
                            <a:latin typeface="Cambria Math" panose="02040503050406030204" pitchFamily="18" charset="0"/>
                          </a:rPr>
                        </m:ctrlPr>
                      </m:sSubPr>
                      <m:e>
                        <m:r>
                          <a:rPr lang="en-US" sz="1600" i="1">
                            <a:latin typeface="Cambria Math" panose="02040503050406030204" pitchFamily="18" charset="0"/>
                          </a:rPr>
                          <m:t>𝐹</m:t>
                        </m:r>
                      </m:e>
                      <m:sub>
                        <m:r>
                          <a:rPr lang="en-US" sz="1600" i="1">
                            <a:latin typeface="Cambria Math" panose="02040503050406030204" pitchFamily="18" charset="0"/>
                          </a:rPr>
                          <m:t>𝑒</m:t>
                        </m:r>
                      </m:sub>
                    </m:sSub>
                    <m:r>
                      <a:rPr lang="en-US" sz="1600" i="1">
                        <a:latin typeface="Cambria Math" panose="02040503050406030204" pitchFamily="18" charset="0"/>
                      </a:rPr>
                      <m:t> ∗ 29.3)</m:t>
                    </m:r>
                  </m:oMath>
                </m:oMathPara>
              </a14:m>
              <a:endParaRPr lang="en-US" sz="1600"/>
            </a:p>
          </xdr:txBody>
        </xdr:sp>
      </mc:Choice>
      <mc:Fallback xmlns="">
        <xdr:sp macro="" textlink="">
          <xdr:nvSpPr>
            <xdr:cNvPr id="10" name="TextBox 9">
              <a:extLst>
                <a:ext uri="{FF2B5EF4-FFF2-40B4-BE49-F238E27FC236}">
                  <a16:creationId xmlns:a16="http://schemas.microsoft.com/office/drawing/2014/main" id="{978BC537-B558-46D1-AA4D-49FF6B2EC01F}"/>
                </a:ext>
              </a:extLst>
            </xdr:cNvPr>
            <xdr:cNvSpPr txBox="1"/>
          </xdr:nvSpPr>
          <xdr:spPr>
            <a:xfrm>
              <a:off x="2493870" y="20573281"/>
              <a:ext cx="12361666" cy="6189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ℎ𝑒𝑎𝑡𝑖𝑛𝑔=%𝐸𝑙𝑒𝑐𝑡𝑟𝑖𝑐𝐻𝑒𝑎𝑡∗𝐻𝑒𝑎𝑡𝑖𝑛𝑔𝐶𝑜𝑛𝑠𝑢𝑚𝑝𝑡𝑖𝑜𝑛_𝐸𝑙𝑒𝑐𝑡𝑟𝑖𝑐∗𝐻𝐹∗𝐻𝑒𝑎𝑡𝑖𝑛𝑔𝑅𝑒𝑑𝑢𝑐𝑡𝑖𝑜𝑛∗ 𝐸𝑓𝑓_𝐼𝑆𝑅+(∆𝑇ℎ𝑒𝑟𝑚𝑠 ∗ 𝐹</a:t>
              </a:r>
              <a:r>
                <a:rPr lang="en-US" sz="1600" b="0" i="0">
                  <a:latin typeface="Cambria Math" panose="02040503050406030204" pitchFamily="18" charset="0"/>
                </a:rPr>
                <a:t>_</a:t>
              </a:r>
              <a:r>
                <a:rPr lang="en-US" sz="1600" i="0">
                  <a:latin typeface="Cambria Math" panose="02040503050406030204" pitchFamily="18" charset="0"/>
                </a:rPr>
                <a:t>𝑒  ∗ 29.3)</a:t>
              </a:r>
              <a:endParaRPr lang="en-US" sz="1600"/>
            </a:p>
          </xdr:txBody>
        </xdr:sp>
      </mc:Fallback>
    </mc:AlternateContent>
    <xdr:clientData/>
  </xdr:twoCellAnchor>
  <xdr:twoCellAnchor>
    <xdr:from>
      <xdr:col>3</xdr:col>
      <xdr:colOff>739587</xdr:colOff>
      <xdr:row>73</xdr:row>
      <xdr:rowOff>215347</xdr:rowOff>
    </xdr:from>
    <xdr:to>
      <xdr:col>7</xdr:col>
      <xdr:colOff>623454</xdr:colOff>
      <xdr:row>75</xdr:row>
      <xdr:rowOff>480390</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291B616B-05D1-428D-9C04-B77107500247}"/>
                </a:ext>
              </a:extLst>
            </xdr:cNvPr>
            <xdr:cNvSpPr txBox="1"/>
          </xdr:nvSpPr>
          <xdr:spPr>
            <a:xfrm>
              <a:off x="2482662" y="21303697"/>
              <a:ext cx="9542217" cy="7222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𝐴𝐶</m:t>
                    </m:r>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d>
                              <m:dPr>
                                <m:ctrlPr>
                                  <a:rPr lang="en-US" sz="1600" i="1">
                                    <a:latin typeface="Cambria Math" panose="02040503050406030204" pitchFamily="18" charset="0"/>
                                  </a:rPr>
                                </m:ctrlPr>
                              </m:dPr>
                              <m:e>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m:t>
                                    </m:r>
                                  </m:sub>
                                </m:sSub>
                                <m:r>
                                  <a:rPr lang="en-US" sz="1600" i="1">
                                    <a:latin typeface="Cambria Math" panose="02040503050406030204" pitchFamily="18" charset="0"/>
                                  </a:rPr>
                                  <m:t>∗</m:t>
                                </m:r>
                                <m:r>
                                  <a:rPr lang="en-US" sz="1600" i="1">
                                    <a:latin typeface="Cambria Math" panose="02040503050406030204" pitchFamily="18" charset="0"/>
                                  </a:rPr>
                                  <m:t>𝐶𝑎𝑝𝑎𝑐𝑖𝑡𝑦𝐶𝑜𝑜𝑙</m:t>
                                </m:r>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𝑆𝐸𝐸𝑅</m:t>
                                    </m:r>
                                  </m:den>
                                </m:f>
                              </m:e>
                            </m:d>
                          </m:num>
                          <m:den>
                            <m:r>
                              <a:rPr lang="en-US" sz="1600" i="1">
                                <a:latin typeface="Cambria Math" panose="02040503050406030204" pitchFamily="18" charset="0"/>
                              </a:rPr>
                              <m:t>1000</m:t>
                            </m:r>
                          </m:den>
                        </m:f>
                      </m:e>
                    </m:d>
                    <m:r>
                      <a:rPr lang="en-US" sz="1600" i="1">
                        <a:latin typeface="Cambria Math" panose="02040503050406030204" pitchFamily="18" charset="0"/>
                      </a:rPr>
                      <m:t> ∗ </m:t>
                    </m:r>
                    <m:r>
                      <a:rPr lang="en-US" sz="1600" i="1">
                        <a:latin typeface="Cambria Math" panose="02040503050406030204" pitchFamily="18" charset="0"/>
                      </a:rPr>
                      <m:t>𝐶𝑜𝑜𝑙𝑖𝑛𝑔𝑅𝑒𝑑𝑢𝑐𝑡𝑖𝑜𝑛</m:t>
                    </m:r>
                    <m:r>
                      <a:rPr lang="en-US" sz="1600" i="1">
                        <a:latin typeface="Cambria Math" panose="02040503050406030204" pitchFamily="18" charset="0"/>
                      </a:rPr>
                      <m:t> ∗ </m:t>
                    </m:r>
                    <m:r>
                      <a:rPr lang="en-US" sz="1600" i="1">
                        <a:latin typeface="Cambria Math" panose="02040503050406030204" pitchFamily="18" charset="0"/>
                      </a:rPr>
                      <m:t>𝐸𝑓𝑓</m:t>
                    </m:r>
                    <m:r>
                      <a:rPr lang="en-US" sz="1600" i="1">
                        <a:latin typeface="Cambria Math" panose="02040503050406030204" pitchFamily="18" charset="0"/>
                      </a:rPr>
                      <m:t>_</m:t>
                    </m:r>
                    <m:r>
                      <a:rPr lang="en-US" sz="1600" i="1">
                        <a:latin typeface="Cambria Math" panose="02040503050406030204" pitchFamily="18" charset="0"/>
                      </a:rPr>
                      <m:t>𝐼𝑆𝑅</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291B616B-05D1-428D-9C04-B77107500247}"/>
                </a:ext>
              </a:extLst>
            </xdr:cNvPr>
            <xdr:cNvSpPr txBox="1"/>
          </xdr:nvSpPr>
          <xdr:spPr>
            <a:xfrm>
              <a:off x="2482662" y="21303697"/>
              <a:ext cx="9542217" cy="7222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𝑐𝑜𝑜𝑙𝑖𝑛𝑔=%𝐴𝐶∗(((𝐸𝐹𝐿𝐻</a:t>
              </a:r>
              <a:r>
                <a:rPr lang="en-US" sz="1600" b="0" i="0">
                  <a:latin typeface="Cambria Math" panose="02040503050406030204" pitchFamily="18" charset="0"/>
                </a:rPr>
                <a:t>_</a:t>
              </a:r>
              <a:r>
                <a:rPr lang="en-US" sz="1600" i="0">
                  <a:latin typeface="Cambria Math" panose="02040503050406030204" pitchFamily="18" charset="0"/>
                </a:rPr>
                <a:t>𝑐𝑜𝑜𝑙∗𝐶𝑎𝑝𝑎𝑐𝑖𝑡𝑦𝐶𝑜𝑜𝑙∗1/𝑆𝐸𝐸𝑅))/1000)  ∗ 𝐶𝑜𝑜𝑙𝑖𝑛𝑔𝑅𝑒𝑑𝑢𝑐𝑡𝑖𝑜𝑛 ∗ 𝐸𝑓𝑓_𝐼𝑆𝑅</a:t>
              </a:r>
              <a:endParaRPr lang="en-US" sz="1600"/>
            </a:p>
          </xdr:txBody>
        </xdr:sp>
      </mc:Fallback>
    </mc:AlternateContent>
    <xdr:clientData/>
  </xdr:twoCellAnchor>
  <xdr:twoCellAnchor>
    <xdr:from>
      <xdr:col>2</xdr:col>
      <xdr:colOff>403706</xdr:colOff>
      <xdr:row>77</xdr:row>
      <xdr:rowOff>8284</xdr:rowOff>
    </xdr:from>
    <xdr:to>
      <xdr:col>6</xdr:col>
      <xdr:colOff>831274</xdr:colOff>
      <xdr:row>78</xdr:row>
      <xdr:rowOff>215348</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8ABFEAD1-643C-494F-A071-231AD9C7416E}"/>
                </a:ext>
              </a:extLst>
            </xdr:cNvPr>
            <xdr:cNvSpPr txBox="1"/>
          </xdr:nvSpPr>
          <xdr:spPr>
            <a:xfrm>
              <a:off x="1308581" y="22296784"/>
              <a:ext cx="9571568" cy="43566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b="0" i="1">
                        <a:latin typeface="Cambria Math" panose="02040503050406030204" pitchFamily="18" charset="0"/>
                      </a:rPr>
                      <m:t>=</m:t>
                    </m:r>
                    <m:r>
                      <a:rPr lang="en-US" sz="1600" i="1">
                        <a:latin typeface="Cambria Math" panose="02040503050406030204" pitchFamily="18" charset="0"/>
                      </a:rPr>
                      <m:t>%</m:t>
                    </m:r>
                    <m:r>
                      <a:rPr lang="en-US" sz="1600" i="1">
                        <a:latin typeface="Cambria Math" panose="02040503050406030204" pitchFamily="18" charset="0"/>
                      </a:rPr>
                      <m:t>𝐹𝑜𝑠𝑠𝑖𝑙𝐻𝑒𝑎𝑡</m:t>
                    </m:r>
                    <m:r>
                      <a:rPr lang="en-US" sz="1600" i="1">
                        <a:latin typeface="Cambria Math" panose="02040503050406030204" pitchFamily="18" charset="0"/>
                      </a:rPr>
                      <m:t> ∗ </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𝐺𝑎𝑠</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m:t>
                    </m:r>
                    <m:r>
                      <a:rPr lang="en-US" sz="1600" i="1">
                        <a:latin typeface="Cambria Math" panose="02040503050406030204" pitchFamily="18" charset="0"/>
                      </a:rPr>
                      <m:t>𝐸𝑓</m:t>
                    </m:r>
                    <m:sSub>
                      <m:sSubPr>
                        <m:ctrlPr>
                          <a:rPr lang="en-US" sz="1600" i="1">
                            <a:latin typeface="Cambria Math" panose="02040503050406030204" pitchFamily="18" charset="0"/>
                          </a:rPr>
                        </m:ctrlPr>
                      </m:sSubPr>
                      <m:e>
                        <m:r>
                          <a:rPr lang="en-US" sz="1600" i="1">
                            <a:latin typeface="Cambria Math" panose="02040503050406030204" pitchFamily="18" charset="0"/>
                          </a:rPr>
                          <m:t>𝑓</m:t>
                        </m:r>
                      </m:e>
                      <m:sub>
                        <m:r>
                          <a:rPr lang="en-US" sz="1600" i="1">
                            <a:latin typeface="Cambria Math" panose="02040503050406030204" pitchFamily="18" charset="0"/>
                          </a:rPr>
                          <m:t>𝐼𝑆𝑅</m:t>
                        </m:r>
                      </m:sub>
                    </m:sSub>
                    <m:r>
                      <a:rPr lang="en-US" sz="1600" i="1">
                        <a:latin typeface="Cambria Math" panose="02040503050406030204" pitchFamily="18" charset="0"/>
                      </a:rPr>
                      <m:t> </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8ABFEAD1-643C-494F-A071-231AD9C7416E}"/>
                </a:ext>
              </a:extLst>
            </xdr:cNvPr>
            <xdr:cNvSpPr txBox="1"/>
          </xdr:nvSpPr>
          <xdr:spPr>
            <a:xfrm>
              <a:off x="1308581" y="22296784"/>
              <a:ext cx="9571568" cy="43566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rPr>
                <a:t>∆𝑇ℎ𝑒𝑟𝑚𝑠</a:t>
              </a:r>
              <a:r>
                <a:rPr lang="en-US" sz="1600" b="0" i="0">
                  <a:latin typeface="Cambria Math" panose="02040503050406030204" pitchFamily="18" charset="0"/>
                </a:rPr>
                <a:t>=</a:t>
              </a:r>
              <a:r>
                <a:rPr lang="en-US" sz="1600" i="0">
                  <a:latin typeface="Cambria Math" panose="02040503050406030204" pitchFamily="18" charset="0"/>
                </a:rPr>
                <a:t>%𝐹𝑜𝑠𝑠𝑖𝑙𝐻𝑒𝑎𝑡 ∗ 𝐻𝑒𝑎𝑡𝑖𝑛𝑔𝐶𝑜𝑛𝑠𝑢𝑚𝑝𝑡𝑖𝑜𝑛_𝐺𝑎𝑠∗𝐻𝐹∗𝐻𝑒𝑎𝑡𝑖𝑛𝑔𝑅𝑒𝑑𝑢𝑐𝑡𝑖𝑜𝑛∗𝐸𝑓𝑓_𝐼𝑆𝑅  </a:t>
              </a:r>
              <a:endParaRPr lang="en-US" sz="1600"/>
            </a:p>
          </xdr:txBody>
        </xdr:sp>
      </mc:Fallback>
    </mc:AlternateContent>
    <xdr:clientData/>
  </xdr:twoCellAnchor>
  <xdr:twoCellAnchor>
    <xdr:from>
      <xdr:col>3</xdr:col>
      <xdr:colOff>1021977</xdr:colOff>
      <xdr:row>79</xdr:row>
      <xdr:rowOff>19050</xdr:rowOff>
    </xdr:from>
    <xdr:to>
      <xdr:col>4</xdr:col>
      <xdr:colOff>1585397</xdr:colOff>
      <xdr:row>80</xdr:row>
      <xdr:rowOff>95161</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9324AB00-0A68-4B83-A9C3-34FA5740552F}"/>
                </a:ext>
              </a:extLst>
            </xdr:cNvPr>
            <xdr:cNvSpPr txBox="1"/>
          </xdr:nvSpPr>
          <xdr:spPr>
            <a:xfrm>
              <a:off x="2765052" y="22764750"/>
              <a:ext cx="3182795"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 = </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𝐶𝐹</m:t>
                    </m:r>
                  </m:oMath>
                </m:oMathPara>
              </a14:m>
              <a:endParaRPr lang="en-US" sz="1600"/>
            </a:p>
          </xdr:txBody>
        </xdr:sp>
      </mc:Choice>
      <mc:Fallback xmlns="">
        <xdr:sp macro="" textlink="">
          <xdr:nvSpPr>
            <xdr:cNvPr id="13" name="TextBox 12">
              <a:extLst>
                <a:ext uri="{FF2B5EF4-FFF2-40B4-BE49-F238E27FC236}">
                  <a16:creationId xmlns:a16="http://schemas.microsoft.com/office/drawing/2014/main" id="{9324AB00-0A68-4B83-A9C3-34FA5740552F}"/>
                </a:ext>
              </a:extLst>
            </xdr:cNvPr>
            <xdr:cNvSpPr txBox="1"/>
          </xdr:nvSpPr>
          <xdr:spPr>
            <a:xfrm>
              <a:off x="2765052" y="22764750"/>
              <a:ext cx="3182795"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 = </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𝑐𝑜𝑜𝑙𝑖𝑛𝑔∗𝐶𝐹</a:t>
              </a:r>
              <a:endParaRPr lang="en-US" sz="1600"/>
            </a:p>
          </xdr:txBody>
        </xdr:sp>
      </mc:Fallback>
    </mc:AlternateContent>
    <xdr:clientData/>
  </xdr:twoCellAnchor>
  <xdr:twoCellAnchor>
    <xdr:from>
      <xdr:col>3</xdr:col>
      <xdr:colOff>1042147</xdr:colOff>
      <xdr:row>81</xdr:row>
      <xdr:rowOff>44201</xdr:rowOff>
    </xdr:from>
    <xdr:to>
      <xdr:col>4</xdr:col>
      <xdr:colOff>1041568</xdr:colOff>
      <xdr:row>82</xdr:row>
      <xdr:rowOff>104154</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654D769-4238-4F1B-8CD4-5708EB74E701}"/>
                </a:ext>
              </a:extLst>
            </xdr:cNvPr>
            <xdr:cNvSpPr txBox="1"/>
          </xdr:nvSpPr>
          <xdr:spPr>
            <a:xfrm>
              <a:off x="2785222" y="23170901"/>
              <a:ext cx="26187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14" name="TextBox 13">
              <a:extLst>
                <a:ext uri="{FF2B5EF4-FFF2-40B4-BE49-F238E27FC236}">
                  <a16:creationId xmlns:a16="http://schemas.microsoft.com/office/drawing/2014/main" id="{0654D769-4238-4F1B-8CD4-5708EB74E701}"/>
                </a:ext>
              </a:extLst>
            </xdr:cNvPr>
            <xdr:cNvSpPr txBox="1"/>
          </xdr:nvSpPr>
          <xdr:spPr>
            <a:xfrm>
              <a:off x="2785222" y="23170901"/>
              <a:ext cx="26187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2</xdr:col>
      <xdr:colOff>796365</xdr:colOff>
      <xdr:row>135</xdr:row>
      <xdr:rowOff>83419</xdr:rowOff>
    </xdr:from>
    <xdr:to>
      <xdr:col>4</xdr:col>
      <xdr:colOff>3571067</xdr:colOff>
      <xdr:row>137</xdr:row>
      <xdr:rowOff>186462</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3CD36860-B7AF-42AB-A472-066956890754}"/>
                </a:ext>
              </a:extLst>
            </xdr:cNvPr>
            <xdr:cNvSpPr txBox="1"/>
          </xdr:nvSpPr>
          <xdr:spPr>
            <a:xfrm>
              <a:off x="1701240" y="35297344"/>
              <a:ext cx="623227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𝑘𝑊h</m:t>
                            </m:r>
                          </m:num>
                          <m:den>
                            <m:r>
                              <a:rPr lang="en-US" sz="1400" b="0" i="1">
                                <a:latin typeface="Cambria Math" panose="02040503050406030204" pitchFamily="18" charset="0"/>
                              </a:rPr>
                              <m:t>𝑌𝑒𝑎𝑟</m:t>
                            </m:r>
                          </m:den>
                        </m:f>
                      </m:e>
                    </m:d>
                    <m:r>
                      <a:rPr lang="en-US" sz="1400" b="0" i="1">
                        <a:latin typeface="Cambria Math" panose="02040503050406030204" pitchFamily="18" charset="0"/>
                      </a:rPr>
                      <m:t>=</m:t>
                    </m:r>
                    <m:r>
                      <a:rPr lang="en-US" sz="1400" b="0" i="1">
                        <a:latin typeface="Cambria Math" panose="02040503050406030204" pitchFamily="18" charset="0"/>
                      </a:rPr>
                      <m:t>𝐷𝑎𝑦</m:t>
                    </m:r>
                    <m:sSub>
                      <m:sSubPr>
                        <m:ctrlPr>
                          <a:rPr lang="en-US" sz="1400" b="0" i="1">
                            <a:latin typeface="Cambria Math" panose="02040503050406030204" pitchFamily="18" charset="0"/>
                          </a:rPr>
                        </m:ctrlPr>
                      </m:sSubPr>
                      <m:e>
                        <m:r>
                          <a:rPr lang="en-US" sz="1400" b="0" i="1">
                            <a:latin typeface="Cambria Math" panose="02040503050406030204" pitchFamily="18" charset="0"/>
                          </a:rPr>
                          <m:t>𝑠</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e>
                    </m:d>
                  </m:oMath>
                </m:oMathPara>
              </a14:m>
              <a:endParaRPr lang="en-US" sz="1400"/>
            </a:p>
          </xdr:txBody>
        </xdr:sp>
      </mc:Choice>
      <mc:Fallback xmlns="">
        <xdr:sp macro="" textlink="">
          <xdr:nvSpPr>
            <xdr:cNvPr id="15" name="TextBox 14">
              <a:extLst>
                <a:ext uri="{FF2B5EF4-FFF2-40B4-BE49-F238E27FC236}">
                  <a16:creationId xmlns:a16="http://schemas.microsoft.com/office/drawing/2014/main" id="{3CD36860-B7AF-42AB-A472-066956890754}"/>
                </a:ext>
              </a:extLst>
            </xdr:cNvPr>
            <xdr:cNvSpPr txBox="1"/>
          </xdr:nvSpPr>
          <xdr:spPr>
            <a:xfrm>
              <a:off x="1701240" y="35297344"/>
              <a:ext cx="623227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𝐸𝑛𝑒𝑟𝑔𝑦 𝑆𝑎𝑣𝑖𝑛𝑔𝑠 (𝑘𝑊ℎ/𝑌𝑒𝑎𝑟)=𝐷𝑎𝑦𝑠_𝑜𝑝𝑒𝑟∗{((𝑘𝑊ℎ_𝑠𝑠)/𝐷𝑎𝑦)−((𝑘𝑊ℎ_𝑑𝑠)/𝐷𝑎𝑦)}</a:t>
              </a:r>
              <a:endParaRPr lang="en-US" sz="1400"/>
            </a:p>
          </xdr:txBody>
        </xdr:sp>
      </mc:Fallback>
    </mc:AlternateContent>
    <xdr:clientData/>
  </xdr:twoCellAnchor>
  <xdr:twoCellAnchor>
    <xdr:from>
      <xdr:col>7</xdr:col>
      <xdr:colOff>535079</xdr:colOff>
      <xdr:row>136</xdr:row>
      <xdr:rowOff>66608</xdr:rowOff>
    </xdr:from>
    <xdr:to>
      <xdr:col>10</xdr:col>
      <xdr:colOff>95249</xdr:colOff>
      <xdr:row>138</xdr:row>
      <xdr:rowOff>164661</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4DEB66B7-767E-43B5-BB17-868E67F85A73}"/>
                </a:ext>
              </a:extLst>
            </xdr:cNvPr>
            <xdr:cNvSpPr txBox="1"/>
          </xdr:nvSpPr>
          <xdr:spPr>
            <a:xfrm>
              <a:off x="11936504" y="35471033"/>
              <a:ext cx="5608545"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16" name="TextBox 15">
              <a:extLst>
                <a:ext uri="{FF2B5EF4-FFF2-40B4-BE49-F238E27FC236}">
                  <a16:creationId xmlns:a16="http://schemas.microsoft.com/office/drawing/2014/main" id="{4DEB66B7-767E-43B5-BB17-868E67F85A73}"/>
                </a:ext>
              </a:extLst>
            </xdr:cNvPr>
            <xdr:cNvSpPr txBox="1"/>
          </xdr:nvSpPr>
          <xdr:spPr>
            <a:xfrm>
              <a:off x="11936504" y="35471033"/>
              <a:ext cx="5608545"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3591486</xdr:colOff>
      <xdr:row>136</xdr:row>
      <xdr:rowOff>21414</xdr:rowOff>
    </xdr:from>
    <xdr:to>
      <xdr:col>7</xdr:col>
      <xdr:colOff>571500</xdr:colOff>
      <xdr:row>138</xdr:row>
      <xdr:rowOff>124457</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B36784DD-3015-4EEA-AFB1-F4081EB885E4}"/>
                </a:ext>
              </a:extLst>
            </xdr:cNvPr>
            <xdr:cNvSpPr txBox="1"/>
          </xdr:nvSpPr>
          <xdr:spPr>
            <a:xfrm>
              <a:off x="7953936" y="35425839"/>
              <a:ext cx="4018989"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7" name="TextBox 16">
              <a:extLst>
                <a:ext uri="{FF2B5EF4-FFF2-40B4-BE49-F238E27FC236}">
                  <a16:creationId xmlns:a16="http://schemas.microsoft.com/office/drawing/2014/main" id="{B36784DD-3015-4EEA-AFB1-F4081EB885E4}"/>
                </a:ext>
              </a:extLst>
            </xdr:cNvPr>
            <xdr:cNvSpPr txBox="1"/>
          </xdr:nvSpPr>
          <xdr:spPr>
            <a:xfrm>
              <a:off x="7953936" y="35425839"/>
              <a:ext cx="4018989"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7</xdr:col>
      <xdr:colOff>749995</xdr:colOff>
      <xdr:row>140</xdr:row>
      <xdr:rowOff>115409</xdr:rowOff>
    </xdr:from>
    <xdr:to>
      <xdr:col>9</xdr:col>
      <xdr:colOff>666750</xdr:colOff>
      <xdr:row>143</xdr:row>
      <xdr:rowOff>27952</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230D013E-1BE6-4877-8518-C992EA4CF4EB}"/>
                </a:ext>
              </a:extLst>
            </xdr:cNvPr>
            <xdr:cNvSpPr txBox="1"/>
          </xdr:nvSpPr>
          <xdr:spPr>
            <a:xfrm>
              <a:off x="12151420" y="36281834"/>
              <a:ext cx="4965005"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8" name="TextBox 17">
              <a:extLst>
                <a:ext uri="{FF2B5EF4-FFF2-40B4-BE49-F238E27FC236}">
                  <a16:creationId xmlns:a16="http://schemas.microsoft.com/office/drawing/2014/main" id="{230D013E-1BE6-4877-8518-C992EA4CF4EB}"/>
                </a:ext>
              </a:extLst>
            </xdr:cNvPr>
            <xdr:cNvSpPr txBox="1"/>
          </xdr:nvSpPr>
          <xdr:spPr>
            <a:xfrm>
              <a:off x="12151420" y="36281834"/>
              <a:ext cx="4965005"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4</xdr:col>
      <xdr:colOff>4084543</xdr:colOff>
      <xdr:row>140</xdr:row>
      <xdr:rowOff>115463</xdr:rowOff>
    </xdr:from>
    <xdr:to>
      <xdr:col>7</xdr:col>
      <xdr:colOff>136491</xdr:colOff>
      <xdr:row>143</xdr:row>
      <xdr:rowOff>28006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46E66C52-41BB-4922-971D-56943F1AE610}"/>
                </a:ext>
              </a:extLst>
            </xdr:cNvPr>
            <xdr:cNvSpPr txBox="1"/>
          </xdr:nvSpPr>
          <xdr:spPr>
            <a:xfrm>
              <a:off x="8446993" y="36281888"/>
              <a:ext cx="309092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9" name="TextBox 18">
              <a:extLst>
                <a:ext uri="{FF2B5EF4-FFF2-40B4-BE49-F238E27FC236}">
                  <a16:creationId xmlns:a16="http://schemas.microsoft.com/office/drawing/2014/main" id="{46E66C52-41BB-4922-971D-56943F1AE610}"/>
                </a:ext>
              </a:extLst>
            </xdr:cNvPr>
            <xdr:cNvSpPr txBox="1"/>
          </xdr:nvSpPr>
          <xdr:spPr>
            <a:xfrm>
              <a:off x="8446993" y="36281888"/>
              <a:ext cx="309092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3</xdr:col>
      <xdr:colOff>33616</xdr:colOff>
      <xdr:row>140</xdr:row>
      <xdr:rowOff>120464</xdr:rowOff>
    </xdr:from>
    <xdr:to>
      <xdr:col>4</xdr:col>
      <xdr:colOff>144162</xdr:colOff>
      <xdr:row>141</xdr:row>
      <xdr:rowOff>180417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71B48871-FD61-4336-9092-E2E57261CDC7}"/>
                </a:ext>
              </a:extLst>
            </xdr:cNvPr>
            <xdr:cNvSpPr txBox="1"/>
          </xdr:nvSpPr>
          <xdr:spPr>
            <a:xfrm>
              <a:off x="1776691" y="36286889"/>
              <a:ext cx="272992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71B48871-FD61-4336-9092-E2E57261CDC7}"/>
                </a:ext>
              </a:extLst>
            </xdr:cNvPr>
            <xdr:cNvSpPr txBox="1"/>
          </xdr:nvSpPr>
          <xdr:spPr>
            <a:xfrm>
              <a:off x="1776691" y="36286889"/>
              <a:ext cx="272992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16623</xdr:colOff>
      <xdr:row>177</xdr:row>
      <xdr:rowOff>176306</xdr:rowOff>
    </xdr:from>
    <xdr:to>
      <xdr:col>4</xdr:col>
      <xdr:colOff>1626722</xdr:colOff>
      <xdr:row>179</xdr:row>
      <xdr:rowOff>45759</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7300B6F1-0E46-41A5-8962-3617188BDDAA}"/>
                </a:ext>
              </a:extLst>
            </xdr:cNvPr>
            <xdr:cNvSpPr txBox="1"/>
          </xdr:nvSpPr>
          <xdr:spPr>
            <a:xfrm>
              <a:off x="1759698" y="47963231"/>
              <a:ext cx="4229474"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𝐸𝑅𝑃</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𝐵𝑎𝑠𝑒𝑙𝑖𝑛𝑒𝐸𝑛𝑒𝑟𝑔𝑦𝐴𝑉</m:t>
                    </m:r>
                  </m:oMath>
                </m:oMathPara>
              </a14:m>
              <a:endParaRPr lang="en-US" sz="1600"/>
            </a:p>
          </xdr:txBody>
        </xdr:sp>
      </mc:Choice>
      <mc:Fallback xmlns="">
        <xdr:sp macro="" textlink="">
          <xdr:nvSpPr>
            <xdr:cNvPr id="21" name="TextBox 20">
              <a:extLst>
                <a:ext uri="{FF2B5EF4-FFF2-40B4-BE49-F238E27FC236}">
                  <a16:creationId xmlns:a16="http://schemas.microsoft.com/office/drawing/2014/main" id="{7300B6F1-0E46-41A5-8962-3617188BDDAA}"/>
                </a:ext>
              </a:extLst>
            </xdr:cNvPr>
            <xdr:cNvSpPr txBox="1"/>
          </xdr:nvSpPr>
          <xdr:spPr>
            <a:xfrm>
              <a:off x="1759698" y="47963231"/>
              <a:ext cx="4229474"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𝑘𝑊ℎ=𝐸𝑅𝑃∗𝐵𝑎𝑠𝑒𝑙𝑖𝑛𝑒𝐸𝑛𝑒𝑟𝑔𝑦𝐴𝑉</a:t>
              </a:r>
              <a:endParaRPr lang="en-US" sz="1600"/>
            </a:p>
          </xdr:txBody>
        </xdr:sp>
      </mc:Fallback>
    </mc:AlternateContent>
    <xdr:clientData/>
  </xdr:twoCellAnchor>
  <xdr:twoCellAnchor>
    <xdr:from>
      <xdr:col>3</xdr:col>
      <xdr:colOff>1434353</xdr:colOff>
      <xdr:row>200</xdr:row>
      <xdr:rowOff>56029</xdr:rowOff>
    </xdr:from>
    <xdr:to>
      <xdr:col>7</xdr:col>
      <xdr:colOff>1437409</xdr:colOff>
      <xdr:row>202</xdr:row>
      <xdr:rowOff>155863</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47A5F19F-9BED-401E-A617-9040139406EC}"/>
                </a:ext>
              </a:extLst>
            </xdr:cNvPr>
            <xdr:cNvSpPr txBox="1"/>
          </xdr:nvSpPr>
          <xdr:spPr>
            <a:xfrm>
              <a:off x="3166171" y="50503893"/>
              <a:ext cx="9666602" cy="4808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𝑌𝑒𝑎𝑟</m:t>
                            </m:r>
                          </m:sub>
                        </m:sSub>
                      </m:e>
                    </m:d>
                    <m:r>
                      <a:rPr lang="en-US" sz="1400" b="0" i="1">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d>
                          <m:dPr>
                            <m:begChr m:val="{"/>
                            <m:endChr m:val="}"/>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𝐶𝐴𝐷𝑅</m:t>
                            </m:r>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1</m:t>
                                </m:r>
                                <m:r>
                                  <a:rPr lang="en-US" sz="1400" b="0" i="1">
                                    <a:solidFill>
                                      <a:sysClr val="windowText" lastClr="000000"/>
                                    </a:solidFill>
                                    <a:latin typeface="Cambria Math" panose="02040503050406030204" pitchFamily="18" charset="0"/>
                                  </a:rPr>
                                  <m:t>𝐸𝑓</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𝑓</m:t>
                                    </m:r>
                                  </m:e>
                                  <m:sub>
                                    <m:r>
                                      <a:rPr lang="en-US" sz="1400" b="0" i="1">
                                        <a:solidFill>
                                          <a:sysClr val="windowText" lastClr="000000"/>
                                        </a:solidFill>
                                        <a:latin typeface="Cambria Math" panose="02040503050406030204" pitchFamily="18" charset="0"/>
                                      </a:rPr>
                                      <m:t>𝐵𝐿</m:t>
                                    </m:r>
                                  </m:sub>
                                </m:sSub>
                                <m:r>
                                  <a:rPr lang="en-US" sz="1400" b="0" i="1">
                                    <a:solidFill>
                                      <a:sysClr val="windowText" lastClr="000000"/>
                                    </a:solidFill>
                                    <a:latin typeface="Cambria Math" panose="02040503050406030204" pitchFamily="18" charset="0"/>
                                  </a:rPr>
                                  <m:t>−1</m:t>
                                </m:r>
                                <m:r>
                                  <a:rPr lang="en-US" sz="1400" b="0" i="1">
                                    <a:solidFill>
                                      <a:sysClr val="windowText" lastClr="000000"/>
                                    </a:solidFill>
                                    <a:latin typeface="Cambria Math" panose="02040503050406030204" pitchFamily="18" charset="0"/>
                                  </a:rPr>
                                  <m:t>𝐸𝑓</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𝑓</m:t>
                                    </m:r>
                                  </m:e>
                                  <m:sub>
                                    <m:r>
                                      <a:rPr lang="en-US" sz="1400" b="0" i="1">
                                        <a:solidFill>
                                          <a:sysClr val="windowText" lastClr="000000"/>
                                        </a:solidFill>
                                        <a:latin typeface="Cambria Math" panose="02040503050406030204" pitchFamily="18" charset="0"/>
                                      </a:rPr>
                                      <m:t>𝐸𝑆</m:t>
                                    </m:r>
                                  </m:sub>
                                </m:sSub>
                              </m:e>
                            </m:d>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𝐻</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𝑟</m:t>
                                    </m:r>
                                  </m:e>
                                  <m:sub>
                                    <m:r>
                                      <a:rPr lang="en-US" sz="1400" b="0" i="1">
                                        <a:solidFill>
                                          <a:sysClr val="windowText" lastClr="000000"/>
                                        </a:solidFill>
                                        <a:latin typeface="Cambria Math" panose="02040503050406030204" pitchFamily="18" charset="0"/>
                                      </a:rPr>
                                      <m:t>𝑜𝑝𝑒𝑟</m:t>
                                    </m:r>
                                  </m:sub>
                                </m:sSub>
                              </m:e>
                            </m:d>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𝑆</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𝐵</m:t>
                                    </m:r>
                                  </m:e>
                                  <m:sub>
                                    <m:r>
                                      <a:rPr lang="en-US" sz="1400" b="0" i="1">
                                        <a:solidFill>
                                          <a:sysClr val="windowText" lastClr="000000"/>
                                        </a:solidFill>
                                        <a:latin typeface="Cambria Math" panose="02040503050406030204" pitchFamily="18" charset="0"/>
                                      </a:rPr>
                                      <m:t>𝐵𝐿</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𝑆</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𝐵</m:t>
                                    </m:r>
                                  </m:e>
                                  <m:sub>
                                    <m:r>
                                      <a:rPr lang="en-US" sz="1400" b="0" i="1">
                                        <a:solidFill>
                                          <a:sysClr val="windowText" lastClr="000000"/>
                                        </a:solidFill>
                                        <a:latin typeface="Cambria Math" panose="02040503050406030204" pitchFamily="18" charset="0"/>
                                      </a:rPr>
                                      <m:t>𝐸𝑆</m:t>
                                    </m:r>
                                  </m:sub>
                                </m:sSub>
                              </m:e>
                            </m:d>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24−</m:t>
                                </m:r>
                                <m:r>
                                  <a:rPr lang="en-US" sz="1400" b="0" i="1">
                                    <a:solidFill>
                                      <a:sysClr val="windowText" lastClr="000000"/>
                                    </a:solidFill>
                                    <a:latin typeface="Cambria Math" panose="02040503050406030204" pitchFamily="18" charset="0"/>
                                  </a:rPr>
                                  <m:t>𝐻</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𝑟</m:t>
                                    </m:r>
                                  </m:e>
                                  <m:sub>
                                    <m:r>
                                      <a:rPr lang="en-US" sz="1400" b="0" i="1">
                                        <a:solidFill>
                                          <a:sysClr val="windowText" lastClr="000000"/>
                                        </a:solidFill>
                                        <a:latin typeface="Cambria Math" panose="02040503050406030204" pitchFamily="18" charset="0"/>
                                      </a:rPr>
                                      <m:t>𝑜𝑝𝑒𝑟</m:t>
                                    </m:r>
                                  </m:sub>
                                </m:sSub>
                              </m:e>
                            </m:d>
                          </m:e>
                        </m:d>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365</m:t>
                            </m:r>
                          </m:num>
                          <m:den>
                            <m:r>
                              <a:rPr lang="en-US" sz="1400" b="0" i="1">
                                <a:solidFill>
                                  <a:sysClr val="windowText" lastClr="000000"/>
                                </a:solidFill>
                                <a:latin typeface="Cambria Math" panose="02040503050406030204" pitchFamily="18" charset="0"/>
                              </a:rPr>
                              <m:t>1000</m:t>
                            </m:r>
                          </m:den>
                        </m:f>
                      </m:e>
                    </m:d>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2" name="TextBox 21">
              <a:extLst>
                <a:ext uri="{FF2B5EF4-FFF2-40B4-BE49-F238E27FC236}">
                  <a16:creationId xmlns:a16="http://schemas.microsoft.com/office/drawing/2014/main" id="{47A5F19F-9BED-401E-A617-9040139406EC}"/>
                </a:ext>
              </a:extLst>
            </xdr:cNvPr>
            <xdr:cNvSpPr txBox="1"/>
          </xdr:nvSpPr>
          <xdr:spPr>
            <a:xfrm>
              <a:off x="3166171" y="50503893"/>
              <a:ext cx="9666602" cy="4808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𝐸𝑛𝑒𝑟𝑔𝑦 𝑆𝑎𝑣𝑖𝑛𝑔𝑠 (𝑘𝑊ℎ_𝑌𝑒𝑎𝑟 )=</a:t>
              </a:r>
              <a:r>
                <a:rPr lang="en-US" sz="1400" b="0" i="0">
                  <a:solidFill>
                    <a:sysClr val="windowText" lastClr="000000"/>
                  </a:solidFill>
                  <a:latin typeface="Cambria Math" panose="02040503050406030204" pitchFamily="18" charset="0"/>
                </a:rPr>
                <a:t>({𝐶𝐴𝐷𝑅∗(1𝐸𝑓𝑓_𝐵𝐿−1𝐸𝑓𝑓_𝐸𝑆 )∗(𝐻𝑟_𝑜𝑝𝑒𝑟 )+(𝑆𝐵_𝐵𝐿−𝑆𝐵_𝐸𝑆 )∗(24−𝐻𝑟_𝑜𝑝𝑒𝑟 )}∗365/1000)∗𝐼𝑆𝑅</a:t>
              </a:r>
              <a:endParaRPr lang="en-US" sz="1400">
                <a:solidFill>
                  <a:sysClr val="windowText" lastClr="000000"/>
                </a:solidFill>
              </a:endParaRPr>
            </a:p>
          </xdr:txBody>
        </xdr:sp>
      </mc:Fallback>
    </mc:AlternateContent>
    <xdr:clientData/>
  </xdr:twoCellAnchor>
  <xdr:twoCellAnchor>
    <xdr:from>
      <xdr:col>3</xdr:col>
      <xdr:colOff>1580028</xdr:colOff>
      <xdr:row>203</xdr:row>
      <xdr:rowOff>156882</xdr:rowOff>
    </xdr:from>
    <xdr:to>
      <xdr:col>4</xdr:col>
      <xdr:colOff>1361184</xdr:colOff>
      <xdr:row>204</xdr:row>
      <xdr:rowOff>185545</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9E2C6910-0C01-4739-A590-0A5C6AD16395}"/>
                </a:ext>
              </a:extLst>
            </xdr:cNvPr>
            <xdr:cNvSpPr txBox="1"/>
          </xdr:nvSpPr>
          <xdr:spPr>
            <a:xfrm>
              <a:off x="3323103" y="53468307"/>
              <a:ext cx="24005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9E2C6910-0C01-4739-A590-0A5C6AD16395}"/>
                </a:ext>
              </a:extLst>
            </xdr:cNvPr>
            <xdr:cNvSpPr txBox="1"/>
          </xdr:nvSpPr>
          <xdr:spPr>
            <a:xfrm>
              <a:off x="3323103" y="53468307"/>
              <a:ext cx="24005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1459006</xdr:colOff>
      <xdr:row>224</xdr:row>
      <xdr:rowOff>119903</xdr:rowOff>
    </xdr:from>
    <xdr:to>
      <xdr:col>6</xdr:col>
      <xdr:colOff>34272</xdr:colOff>
      <xdr:row>225</xdr:row>
      <xdr:rowOff>148566</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F40834A-9711-4395-AC43-C74A9ED6C7EB}"/>
                </a:ext>
              </a:extLst>
            </xdr:cNvPr>
            <xdr:cNvSpPr txBox="1"/>
          </xdr:nvSpPr>
          <xdr:spPr>
            <a:xfrm>
              <a:off x="3202081" y="58974878"/>
              <a:ext cx="6881066"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𝐷𝑒𝑒𝑚𝑒𝑑</m:t>
                    </m:r>
                    <m:r>
                      <a:rPr lang="en-US" sz="1400" b="0" i="1">
                        <a:latin typeface="Cambria Math" panose="02040503050406030204" pitchFamily="18" charset="0"/>
                      </a:rPr>
                      <m:t> </m:t>
                    </m:r>
                    <m:r>
                      <a:rPr lang="en-US" sz="1400" b="0" i="1">
                        <a:latin typeface="Cambria Math" panose="02040503050406030204" pitchFamily="18" charset="0"/>
                      </a:rPr>
                      <m:t>𝑣𝑎𝑙𝑢𝑒</m:t>
                    </m:r>
                    <m:r>
                      <a:rPr lang="en-US" sz="1400" b="0" i="1">
                        <a:latin typeface="Cambria Math" panose="02040503050406030204" pitchFamily="18" charset="0"/>
                      </a:rPr>
                      <m:t> </m:t>
                    </m:r>
                    <m:r>
                      <a:rPr lang="en-US" sz="1400" b="0" i="1">
                        <a:latin typeface="Cambria Math" panose="02040503050406030204" pitchFamily="18" charset="0"/>
                      </a:rPr>
                      <m:t>𝑓𝑟𝑜𝑚</m:t>
                    </m:r>
                    <m:r>
                      <a:rPr lang="en-US" sz="1400" b="0" i="1">
                        <a:latin typeface="Cambria Math" panose="02040503050406030204" pitchFamily="18" charset="0"/>
                      </a:rPr>
                      <m:t> </m:t>
                    </m:r>
                    <m:r>
                      <a:rPr lang="en-US" sz="1400" b="0" i="1">
                        <a:latin typeface="Cambria Math" panose="02040503050406030204" pitchFamily="18" charset="0"/>
                      </a:rPr>
                      <m:t>𝑠𝑒𝑐𝑡𝑖𝑜𝑛</m:t>
                    </m:r>
                    <m:r>
                      <a:rPr lang="en-US" sz="1400" b="0" i="1">
                        <a:latin typeface="Cambria Math" panose="02040503050406030204" pitchFamily="18" charset="0"/>
                      </a:rPr>
                      <m:t> 3.1.5 </m:t>
                    </m:r>
                    <m:r>
                      <a:rPr lang="en-US" sz="1400" b="0" i="1">
                        <a:latin typeface="Cambria Math" panose="02040503050406030204" pitchFamily="18" charset="0"/>
                      </a:rPr>
                      <m:t>𝑜𝑓</m:t>
                    </m:r>
                    <m:r>
                      <a:rPr lang="en-US" sz="1400" b="0" i="1">
                        <a:latin typeface="Cambria Math" panose="02040503050406030204" pitchFamily="18" charset="0"/>
                      </a:rPr>
                      <m:t> </m:t>
                    </m:r>
                    <m:r>
                      <a:rPr lang="en-US" sz="1400" b="0" i="1">
                        <a:latin typeface="Cambria Math" panose="02040503050406030204" pitchFamily="18" charset="0"/>
                      </a:rPr>
                      <m:t>𝑀𝑂</m:t>
                    </m:r>
                    <m:r>
                      <a:rPr lang="en-US" sz="1400" b="0" i="1">
                        <a:latin typeface="Cambria Math" panose="02040503050406030204" pitchFamily="18" charset="0"/>
                      </a:rPr>
                      <m:t> </m:t>
                    </m:r>
                    <m:r>
                      <a:rPr lang="en-US" sz="1400" b="0" i="1">
                        <a:latin typeface="Cambria Math" panose="02040503050406030204" pitchFamily="18" charset="0"/>
                      </a:rPr>
                      <m:t>𝑇𝑅𝑀</m:t>
                    </m:r>
                    <m:r>
                      <a:rPr lang="en-US" sz="1400" b="0" i="1">
                        <a:latin typeface="Cambria Math" panose="02040503050406030204" pitchFamily="18" charset="0"/>
                      </a:rPr>
                      <m:t>.  </m:t>
                    </m:r>
                    <m:r>
                      <a:rPr lang="en-US" sz="1400" b="0" i="1">
                        <a:latin typeface="Cambria Math" panose="02040503050406030204" pitchFamily="18" charset="0"/>
                      </a:rPr>
                      <m:t>𝐸𝑞𝑢𝑎𝑡𝑖𝑜𝑛</m:t>
                    </m:r>
                    <m:r>
                      <a:rPr lang="en-US" sz="1400" b="0" i="1">
                        <a:latin typeface="Cambria Math" panose="02040503050406030204" pitchFamily="18" charset="0"/>
                      </a:rPr>
                      <m:t> </m:t>
                    </m:r>
                    <m:r>
                      <a:rPr lang="en-US" sz="1400" b="0" i="1">
                        <a:latin typeface="Cambria Math" panose="02040503050406030204" pitchFamily="18" charset="0"/>
                      </a:rPr>
                      <m:t>𝑖𝑠</m:t>
                    </m:r>
                    <m:r>
                      <a:rPr lang="en-US" sz="1400" b="0" i="1">
                        <a:latin typeface="Cambria Math" panose="02040503050406030204" pitchFamily="18" charset="0"/>
                      </a:rPr>
                      <m:t> </m:t>
                    </m:r>
                    <m:r>
                      <a:rPr lang="en-US" sz="1400" b="0" i="1">
                        <a:latin typeface="Cambria Math" panose="02040503050406030204" pitchFamily="18" charset="0"/>
                      </a:rPr>
                      <m:t>𝑛𝑜𝑡</m:t>
                    </m:r>
                    <m:r>
                      <a:rPr lang="en-US" sz="1400" b="0" i="1">
                        <a:latin typeface="Cambria Math" panose="02040503050406030204" pitchFamily="18" charset="0"/>
                      </a:rPr>
                      <m:t> </m:t>
                    </m:r>
                    <m:r>
                      <a:rPr lang="en-US" sz="1400" b="0" i="1">
                        <a:latin typeface="Cambria Math" panose="02040503050406030204" pitchFamily="18" charset="0"/>
                      </a:rPr>
                      <m:t>𝑢𝑠𝑒𝑑</m:t>
                    </m:r>
                    <m:r>
                      <a:rPr lang="en-US" sz="1400" b="0" i="1">
                        <a:latin typeface="Cambria Math" panose="02040503050406030204" pitchFamily="18" charset="0"/>
                      </a:rPr>
                      <m:t> </m:t>
                    </m:r>
                    <m:r>
                      <a:rPr lang="en-US" sz="1400" b="0" i="1">
                        <a:latin typeface="Cambria Math" panose="02040503050406030204" pitchFamily="18" charset="0"/>
                      </a:rPr>
                      <m:t>𝑖𝑛</m:t>
                    </m:r>
                    <m:r>
                      <a:rPr lang="en-US" sz="1400" b="0" i="1">
                        <a:latin typeface="Cambria Math" panose="02040503050406030204" pitchFamily="18" charset="0"/>
                      </a:rPr>
                      <m:t> </m:t>
                    </m:r>
                    <m:r>
                      <a:rPr lang="en-US" sz="1400" b="0" i="1">
                        <a:latin typeface="Cambria Math" panose="02040503050406030204" pitchFamily="18" charset="0"/>
                      </a:rPr>
                      <m:t>𝑡h𝑒𝑠𝑒</m:t>
                    </m:r>
                    <m:r>
                      <a:rPr lang="en-US" sz="1400" b="0" i="1">
                        <a:latin typeface="Cambria Math" panose="02040503050406030204" pitchFamily="18" charset="0"/>
                      </a:rPr>
                      <m:t> </m:t>
                    </m:r>
                    <m:r>
                      <a:rPr lang="en-US" sz="1400" b="0" i="1">
                        <a:latin typeface="Cambria Math" panose="02040503050406030204" pitchFamily="18" charset="0"/>
                      </a:rPr>
                      <m:t>𝑐𝑎𝑙𝑐𝑢𝑙𝑎𝑡𝑖𝑜𝑛𝑠</m:t>
                    </m:r>
                    <m:r>
                      <a:rPr lang="en-US" sz="1400" b="0" i="1">
                        <a:latin typeface="Cambria Math" panose="02040503050406030204" pitchFamily="18" charset="0"/>
                      </a:rPr>
                      <m:t>. </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F40834A-9711-4395-AC43-C74A9ED6C7EB}"/>
                </a:ext>
              </a:extLst>
            </xdr:cNvPr>
            <xdr:cNvSpPr txBox="1"/>
          </xdr:nvSpPr>
          <xdr:spPr>
            <a:xfrm>
              <a:off x="3202081" y="58974878"/>
              <a:ext cx="6881066"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𝐷𝑒𝑒𝑚𝑒𝑑 𝑣𝑎𝑙𝑢𝑒 𝑓𝑟𝑜𝑚 𝑠𝑒𝑐𝑡𝑖𝑜𝑛 3.1.5 𝑜𝑓 𝑀𝑂 𝑇𝑅𝑀.  𝐸𝑞𝑢𝑎𝑡𝑖𝑜𝑛 𝑖𝑠 𝑛𝑜𝑡 𝑢𝑠𝑒𝑑 𝑖𝑛 𝑡ℎ𝑒𝑠𝑒 𝑐𝑎𝑙𝑐𝑢𝑙𝑎𝑡𝑖𝑜𝑛𝑠. </a:t>
              </a:r>
              <a:endParaRPr lang="en-US" sz="1400"/>
            </a:p>
          </xdr:txBody>
        </xdr:sp>
      </mc:Fallback>
    </mc:AlternateContent>
    <xdr:clientData/>
  </xdr:twoCellAnchor>
  <xdr:twoCellAnchor>
    <xdr:from>
      <xdr:col>4</xdr:col>
      <xdr:colOff>62753</xdr:colOff>
      <xdr:row>256</xdr:row>
      <xdr:rowOff>17930</xdr:rowOff>
    </xdr:from>
    <xdr:to>
      <xdr:col>5</xdr:col>
      <xdr:colOff>571334</xdr:colOff>
      <xdr:row>259</xdr:row>
      <xdr:rowOff>131874</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DCDC154-E934-4782-882E-B49F0E7527D8}"/>
                </a:ext>
              </a:extLst>
            </xdr:cNvPr>
            <xdr:cNvSpPr txBox="1"/>
          </xdr:nvSpPr>
          <xdr:spPr>
            <a:xfrm>
              <a:off x="4425203" y="65969030"/>
              <a:ext cx="4709106"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25" name="TextBox 24">
              <a:extLst>
                <a:ext uri="{FF2B5EF4-FFF2-40B4-BE49-F238E27FC236}">
                  <a16:creationId xmlns:a16="http://schemas.microsoft.com/office/drawing/2014/main" id="{DDCDC154-E934-4782-882E-B49F0E7527D8}"/>
                </a:ext>
              </a:extLst>
            </xdr:cNvPr>
            <xdr:cNvSpPr txBox="1"/>
          </xdr:nvSpPr>
          <xdr:spPr>
            <a:xfrm>
              <a:off x="4425203" y="65969030"/>
              <a:ext cx="4709106"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261</xdr:row>
      <xdr:rowOff>26894</xdr:rowOff>
    </xdr:from>
    <xdr:to>
      <xdr:col>4</xdr:col>
      <xdr:colOff>1538611</xdr:colOff>
      <xdr:row>262</xdr:row>
      <xdr:rowOff>55557</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1B230204-D4CA-4268-B1D1-C7C305C651D2}"/>
                </a:ext>
              </a:extLst>
            </xdr:cNvPr>
            <xdr:cNvSpPr txBox="1"/>
          </xdr:nvSpPr>
          <xdr:spPr>
            <a:xfrm>
              <a:off x="4373655" y="66930494"/>
              <a:ext cx="152740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1B230204-D4CA-4268-B1D1-C7C305C651D2}"/>
                </a:ext>
              </a:extLst>
            </xdr:cNvPr>
            <xdr:cNvSpPr txBox="1"/>
          </xdr:nvSpPr>
          <xdr:spPr>
            <a:xfrm>
              <a:off x="4373655" y="66930494"/>
              <a:ext cx="152740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163</xdr:row>
      <xdr:rowOff>0</xdr:rowOff>
    </xdr:from>
    <xdr:ext cx="65" cy="172227"/>
    <xdr:sp macro="" textlink="">
      <xdr:nvSpPr>
        <xdr:cNvPr id="27" name="TextBox 26">
          <a:extLst>
            <a:ext uri="{FF2B5EF4-FFF2-40B4-BE49-F238E27FC236}">
              <a16:creationId xmlns:a16="http://schemas.microsoft.com/office/drawing/2014/main" id="{6A85CCD3-9CE8-4F1D-A6E1-71E1121F1F1B}"/>
            </a:ext>
          </a:extLst>
        </xdr:cNvPr>
        <xdr:cNvSpPr txBox="1"/>
      </xdr:nvSpPr>
      <xdr:spPr>
        <a:xfrm>
          <a:off x="36483131" y="44738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163</xdr:row>
      <xdr:rowOff>0</xdr:rowOff>
    </xdr:from>
    <xdr:ext cx="65" cy="172227"/>
    <xdr:sp macro="" textlink="">
      <xdr:nvSpPr>
        <xdr:cNvPr id="28" name="TextBox 27">
          <a:extLst>
            <a:ext uri="{FF2B5EF4-FFF2-40B4-BE49-F238E27FC236}">
              <a16:creationId xmlns:a16="http://schemas.microsoft.com/office/drawing/2014/main" id="{C98CAA05-1DBF-4691-93F9-3AB08514FFE1}"/>
            </a:ext>
          </a:extLst>
        </xdr:cNvPr>
        <xdr:cNvSpPr txBox="1"/>
      </xdr:nvSpPr>
      <xdr:spPr>
        <a:xfrm>
          <a:off x="36483131" y="44738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195</xdr:row>
      <xdr:rowOff>0</xdr:rowOff>
    </xdr:from>
    <xdr:ext cx="65" cy="172227"/>
    <xdr:sp macro="" textlink="">
      <xdr:nvSpPr>
        <xdr:cNvPr id="29" name="TextBox 28">
          <a:extLst>
            <a:ext uri="{FF2B5EF4-FFF2-40B4-BE49-F238E27FC236}">
              <a16:creationId xmlns:a16="http://schemas.microsoft.com/office/drawing/2014/main" id="{6A85CCD3-9CE8-4F1D-A6E1-71E1121F1F1B}"/>
            </a:ext>
          </a:extLst>
        </xdr:cNvPr>
        <xdr:cNvSpPr txBox="1"/>
      </xdr:nvSpPr>
      <xdr:spPr>
        <a:xfrm>
          <a:off x="36483131" y="5140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195</xdr:row>
      <xdr:rowOff>0</xdr:rowOff>
    </xdr:from>
    <xdr:ext cx="65" cy="172227"/>
    <xdr:sp macro="" textlink="">
      <xdr:nvSpPr>
        <xdr:cNvPr id="30" name="TextBox 29">
          <a:extLst>
            <a:ext uri="{FF2B5EF4-FFF2-40B4-BE49-F238E27FC236}">
              <a16:creationId xmlns:a16="http://schemas.microsoft.com/office/drawing/2014/main" id="{C98CAA05-1DBF-4691-93F9-3AB08514FFE1}"/>
            </a:ext>
          </a:extLst>
        </xdr:cNvPr>
        <xdr:cNvSpPr txBox="1"/>
      </xdr:nvSpPr>
      <xdr:spPr>
        <a:xfrm>
          <a:off x="36483131" y="5140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219</xdr:row>
      <xdr:rowOff>0</xdr:rowOff>
    </xdr:from>
    <xdr:ext cx="65" cy="172227"/>
    <xdr:sp macro="" textlink="">
      <xdr:nvSpPr>
        <xdr:cNvPr id="31" name="TextBox 30">
          <a:extLst>
            <a:ext uri="{FF2B5EF4-FFF2-40B4-BE49-F238E27FC236}">
              <a16:creationId xmlns:a16="http://schemas.microsoft.com/office/drawing/2014/main" id="{6A85CCD3-9CE8-4F1D-A6E1-71E1121F1F1B}"/>
            </a:ext>
          </a:extLst>
        </xdr:cNvPr>
        <xdr:cNvSpPr txBox="1"/>
      </xdr:nvSpPr>
      <xdr:spPr>
        <a:xfrm>
          <a:off x="36483131" y="57521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219</xdr:row>
      <xdr:rowOff>0</xdr:rowOff>
    </xdr:from>
    <xdr:ext cx="65" cy="172227"/>
    <xdr:sp macro="" textlink="">
      <xdr:nvSpPr>
        <xdr:cNvPr id="32" name="TextBox 31">
          <a:extLst>
            <a:ext uri="{FF2B5EF4-FFF2-40B4-BE49-F238E27FC236}">
              <a16:creationId xmlns:a16="http://schemas.microsoft.com/office/drawing/2014/main" id="{C98CAA05-1DBF-4691-93F9-3AB08514FFE1}"/>
            </a:ext>
          </a:extLst>
        </xdr:cNvPr>
        <xdr:cNvSpPr txBox="1"/>
      </xdr:nvSpPr>
      <xdr:spPr>
        <a:xfrm>
          <a:off x="36483131" y="57521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246</xdr:row>
      <xdr:rowOff>0</xdr:rowOff>
    </xdr:from>
    <xdr:ext cx="65" cy="172227"/>
    <xdr:sp macro="" textlink="">
      <xdr:nvSpPr>
        <xdr:cNvPr id="33" name="TextBox 32">
          <a:extLst>
            <a:ext uri="{FF2B5EF4-FFF2-40B4-BE49-F238E27FC236}">
              <a16:creationId xmlns:a16="http://schemas.microsoft.com/office/drawing/2014/main" id="{6A85CCD3-9CE8-4F1D-A6E1-71E1121F1F1B}"/>
            </a:ext>
          </a:extLst>
        </xdr:cNvPr>
        <xdr:cNvSpPr txBox="1"/>
      </xdr:nvSpPr>
      <xdr:spPr>
        <a:xfrm>
          <a:off x="36483131" y="6366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246</xdr:row>
      <xdr:rowOff>0</xdr:rowOff>
    </xdr:from>
    <xdr:ext cx="65" cy="172227"/>
    <xdr:sp macro="" textlink="">
      <xdr:nvSpPr>
        <xdr:cNvPr id="34" name="TextBox 33">
          <a:extLst>
            <a:ext uri="{FF2B5EF4-FFF2-40B4-BE49-F238E27FC236}">
              <a16:creationId xmlns:a16="http://schemas.microsoft.com/office/drawing/2014/main" id="{C98CAA05-1DBF-4691-93F9-3AB08514FFE1}"/>
            </a:ext>
          </a:extLst>
        </xdr:cNvPr>
        <xdr:cNvSpPr txBox="1"/>
      </xdr:nvSpPr>
      <xdr:spPr>
        <a:xfrm>
          <a:off x="36483131" y="6366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127</xdr:row>
      <xdr:rowOff>0</xdr:rowOff>
    </xdr:from>
    <xdr:ext cx="65" cy="172227"/>
    <xdr:sp macro="" textlink="">
      <xdr:nvSpPr>
        <xdr:cNvPr id="35" name="TextBox 34">
          <a:extLst>
            <a:ext uri="{FF2B5EF4-FFF2-40B4-BE49-F238E27FC236}">
              <a16:creationId xmlns:a16="http://schemas.microsoft.com/office/drawing/2014/main" id="{6A85CCD3-9CE8-4F1D-A6E1-71E1121F1F1B}"/>
            </a:ext>
          </a:extLst>
        </xdr:cNvPr>
        <xdr:cNvSpPr txBox="1"/>
      </xdr:nvSpPr>
      <xdr:spPr>
        <a:xfrm>
          <a:off x="36483131" y="3326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127</xdr:row>
      <xdr:rowOff>0</xdr:rowOff>
    </xdr:from>
    <xdr:ext cx="65" cy="172227"/>
    <xdr:sp macro="" textlink="">
      <xdr:nvSpPr>
        <xdr:cNvPr id="36" name="TextBox 35">
          <a:extLst>
            <a:ext uri="{FF2B5EF4-FFF2-40B4-BE49-F238E27FC236}">
              <a16:creationId xmlns:a16="http://schemas.microsoft.com/office/drawing/2014/main" id="{C98CAA05-1DBF-4691-93F9-3AB08514FFE1}"/>
            </a:ext>
          </a:extLst>
        </xdr:cNvPr>
        <xdr:cNvSpPr txBox="1"/>
      </xdr:nvSpPr>
      <xdr:spPr>
        <a:xfrm>
          <a:off x="36483131" y="3326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37" name="TextBox 36">
          <a:extLst>
            <a:ext uri="{FF2B5EF4-FFF2-40B4-BE49-F238E27FC236}">
              <a16:creationId xmlns:a16="http://schemas.microsoft.com/office/drawing/2014/main" id="{6A85CCD3-9CE8-4F1D-A6E1-71E1121F1F1B}"/>
            </a:ext>
          </a:extLst>
        </xdr:cNvPr>
        <xdr:cNvSpPr txBox="1"/>
      </xdr:nvSpPr>
      <xdr:spPr>
        <a:xfrm>
          <a:off x="36483131" y="17164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38" name="TextBox 37">
          <a:extLst>
            <a:ext uri="{FF2B5EF4-FFF2-40B4-BE49-F238E27FC236}">
              <a16:creationId xmlns:a16="http://schemas.microsoft.com/office/drawing/2014/main" id="{C98CAA05-1DBF-4691-93F9-3AB08514FFE1}"/>
            </a:ext>
          </a:extLst>
        </xdr:cNvPr>
        <xdr:cNvSpPr txBox="1"/>
      </xdr:nvSpPr>
      <xdr:spPr>
        <a:xfrm>
          <a:off x="36483131" y="17164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9" name="TextBox 38">
          <a:extLst>
            <a:ext uri="{FF2B5EF4-FFF2-40B4-BE49-F238E27FC236}">
              <a16:creationId xmlns:a16="http://schemas.microsoft.com/office/drawing/2014/main" id="{6A85CCD3-9CE8-4F1D-A6E1-71E1121F1F1B}"/>
            </a:ext>
          </a:extLst>
        </xdr:cNvPr>
        <xdr:cNvSpPr txBox="1"/>
      </xdr:nvSpPr>
      <xdr:spPr>
        <a:xfrm>
          <a:off x="364831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0" name="TextBox 39">
          <a:extLst>
            <a:ext uri="{FF2B5EF4-FFF2-40B4-BE49-F238E27FC236}">
              <a16:creationId xmlns:a16="http://schemas.microsoft.com/office/drawing/2014/main" id="{C98CAA05-1DBF-4691-93F9-3AB08514FFE1}"/>
            </a:ext>
          </a:extLst>
        </xdr:cNvPr>
        <xdr:cNvSpPr txBox="1"/>
      </xdr:nvSpPr>
      <xdr:spPr>
        <a:xfrm>
          <a:off x="364831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2269331</xdr:colOff>
      <xdr:row>34</xdr:row>
      <xdr:rowOff>0</xdr:rowOff>
    </xdr:from>
    <xdr:ext cx="65" cy="172227"/>
    <xdr:sp macro="" textlink="">
      <xdr:nvSpPr>
        <xdr:cNvPr id="2" name="TextBox 1">
          <a:extLst>
            <a:ext uri="{FF2B5EF4-FFF2-40B4-BE49-F238E27FC236}">
              <a16:creationId xmlns:a16="http://schemas.microsoft.com/office/drawing/2014/main" id="{30FBB255-41C8-4939-9CF1-2BBF263A2A42}"/>
            </a:ext>
          </a:extLst>
        </xdr:cNvPr>
        <xdr:cNvSpPr txBox="1"/>
      </xdr:nvSpPr>
      <xdr:spPr>
        <a:xfrm>
          <a:off x="9060656" y="7791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3" name="TextBox 2">
          <a:extLst>
            <a:ext uri="{FF2B5EF4-FFF2-40B4-BE49-F238E27FC236}">
              <a16:creationId xmlns:a16="http://schemas.microsoft.com/office/drawing/2014/main" id="{6BBF3B43-DDC8-4702-9686-FC008571120C}"/>
            </a:ext>
          </a:extLst>
        </xdr:cNvPr>
        <xdr:cNvSpPr txBox="1"/>
      </xdr:nvSpPr>
      <xdr:spPr>
        <a:xfrm>
          <a:off x="9060656" y="7791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317500</xdr:colOff>
      <xdr:row>43</xdr:row>
      <xdr:rowOff>0</xdr:rowOff>
    </xdr:from>
    <xdr:to>
      <xdr:col>7</xdr:col>
      <xdr:colOff>952500</xdr:colOff>
      <xdr:row>44</xdr:row>
      <xdr:rowOff>95250</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B4E1B86-21DC-4F3A-9EF9-62B6BFD62C4C}"/>
                </a:ext>
              </a:extLst>
            </xdr:cNvPr>
            <xdr:cNvSpPr txBox="1"/>
          </xdr:nvSpPr>
          <xdr:spPr>
            <a:xfrm>
              <a:off x="3165475" y="9886950"/>
              <a:ext cx="7635875" cy="285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r>
                    <m:rPr>
                      <m:nor/>
                    </m:rPr>
                    <a:rPr lang="en-US" sz="1400" i="1" baseline="0">
                      <a:solidFill>
                        <a:schemeClr val="tx1"/>
                      </a:solidFill>
                      <a:effectLst/>
                      <a:latin typeface="+mn-lt"/>
                      <a:ea typeface="+mn-ea"/>
                      <a:cs typeface="+mn-cs"/>
                    </a:rPr>
                    <m:t>Res</m:t>
                  </m:r>
                </m:oMath>
              </a14:m>
              <a:r>
                <a:rPr lang="en-US" sz="1400" i="1">
                  <a:solidFill>
                    <a:schemeClr val="tx1"/>
                  </a:solidFill>
                  <a:effectLst/>
                  <a:latin typeface="+mn-lt"/>
                  <a:ea typeface="+mn-ea"/>
                  <a:cs typeface="+mn-cs"/>
                </a:rPr>
                <a:t> * ∆kWh</a:t>
              </a:r>
              <a:r>
                <a:rPr lang="en-US" sz="1400" i="1" baseline="-25000">
                  <a:solidFill>
                    <a:schemeClr val="tx1"/>
                  </a:solidFill>
                  <a:effectLst/>
                  <a:latin typeface="+mn-lt"/>
                  <a:ea typeface="+mn-ea"/>
                  <a:cs typeface="+mn-cs"/>
                </a:rPr>
                <a:t>RES</a:t>
              </a:r>
              <a:r>
                <a:rPr lang="en-US" sz="1400" i="1">
                  <a:solidFill>
                    <a:schemeClr val="tx1"/>
                  </a:solidFill>
                  <a:effectLst/>
                  <a:latin typeface="+mn-lt"/>
                  <a:ea typeface="+mn-ea"/>
                  <a:cs typeface="+mn-cs"/>
                </a:rPr>
                <a:t>) + ((1-%Res) * ∆kWh</a:t>
              </a:r>
              <a:r>
                <a:rPr lang="en-US" sz="1400" i="1" baseline="-25000">
                  <a:solidFill>
                    <a:schemeClr val="tx1"/>
                  </a:solidFill>
                  <a:effectLst/>
                  <a:latin typeface="+mn-lt"/>
                  <a:ea typeface="+mn-ea"/>
                  <a:cs typeface="+mn-cs"/>
                </a:rPr>
                <a:t>NRES</a:t>
              </a:r>
              <a:r>
                <a:rPr lang="en-US" sz="1400" i="1" baseline="0">
                  <a:solidFill>
                    <a:schemeClr val="tx1"/>
                  </a:solidFill>
                  <a:effectLst/>
                  <a:latin typeface="+mn-lt"/>
                  <a:ea typeface="+mn-ea"/>
                  <a:cs typeface="+mn-cs"/>
                </a:rPr>
                <a:t>)</a:t>
              </a:r>
              <a:endParaRPr lang="en-US" sz="1400">
                <a:effectLst/>
              </a:endParaRPr>
            </a:p>
          </xdr:txBody>
        </xdr:sp>
      </mc:Choice>
      <mc:Fallback xmlns="">
        <xdr:sp macro="" textlink="">
          <xdr:nvSpPr>
            <xdr:cNvPr id="4" name="TextBox 3">
              <a:extLst>
                <a:ext uri="{FF2B5EF4-FFF2-40B4-BE49-F238E27FC236}">
                  <a16:creationId xmlns:a16="http://schemas.microsoft.com/office/drawing/2014/main" id="{0B4E1B86-21DC-4F3A-9EF9-62B6BFD62C4C}"/>
                </a:ext>
              </a:extLst>
            </xdr:cNvPr>
            <xdr:cNvSpPr txBox="1"/>
          </xdr:nvSpPr>
          <xdr:spPr>
            <a:xfrm>
              <a:off x="3165475" y="9886950"/>
              <a:ext cx="7635875" cy="285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"(%Res</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 * ∆kWh</a:t>
              </a:r>
              <a:r>
                <a:rPr lang="en-US" sz="1400" i="1" baseline="-25000">
                  <a:solidFill>
                    <a:schemeClr val="tx1"/>
                  </a:solidFill>
                  <a:effectLst/>
                  <a:latin typeface="+mn-lt"/>
                  <a:ea typeface="+mn-ea"/>
                  <a:cs typeface="+mn-cs"/>
                </a:rPr>
                <a:t>RES</a:t>
              </a:r>
              <a:r>
                <a:rPr lang="en-US" sz="1400" i="1">
                  <a:solidFill>
                    <a:schemeClr val="tx1"/>
                  </a:solidFill>
                  <a:effectLst/>
                  <a:latin typeface="+mn-lt"/>
                  <a:ea typeface="+mn-ea"/>
                  <a:cs typeface="+mn-cs"/>
                </a:rPr>
                <a:t>) + ((1-%Res) * ∆kWh</a:t>
              </a:r>
              <a:r>
                <a:rPr lang="en-US" sz="1400" i="1" baseline="-25000">
                  <a:solidFill>
                    <a:schemeClr val="tx1"/>
                  </a:solidFill>
                  <a:effectLst/>
                  <a:latin typeface="+mn-lt"/>
                  <a:ea typeface="+mn-ea"/>
                  <a:cs typeface="+mn-cs"/>
                </a:rPr>
                <a:t>NRES</a:t>
              </a:r>
              <a:r>
                <a:rPr lang="en-US" sz="1400" i="1" baseline="0">
                  <a:solidFill>
                    <a:schemeClr val="tx1"/>
                  </a:solidFill>
                  <a:effectLst/>
                  <a:latin typeface="+mn-lt"/>
                  <a:ea typeface="+mn-ea"/>
                  <a:cs typeface="+mn-cs"/>
                </a:rPr>
                <a:t>)</a:t>
              </a:r>
              <a:endParaRPr lang="en-US" sz="1400">
                <a:effectLst/>
              </a:endParaRPr>
            </a:p>
          </xdr:txBody>
        </xdr:sp>
      </mc:Fallback>
    </mc:AlternateContent>
    <xdr:clientData/>
  </xdr:twoCellAnchor>
  <xdr:twoCellAnchor>
    <xdr:from>
      <xdr:col>2</xdr:col>
      <xdr:colOff>777875</xdr:colOff>
      <xdr:row>45</xdr:row>
      <xdr:rowOff>31750</xdr:rowOff>
    </xdr:from>
    <xdr:to>
      <xdr:col>7</xdr:col>
      <xdr:colOff>555625</xdr:colOff>
      <xdr:row>48</xdr:row>
      <xdr:rowOff>50989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562CA11F-16EE-4E4E-ABFA-981CE3632414}"/>
                </a:ext>
              </a:extLst>
            </xdr:cNvPr>
            <xdr:cNvSpPr txBox="1"/>
          </xdr:nvSpPr>
          <xdr:spPr>
            <a:xfrm>
              <a:off x="1587500" y="10299700"/>
              <a:ext cx="8816975"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 (1−</m:t>
                            </m:r>
                            <m:r>
                              <m:rPr>
                                <m:nor/>
                              </m:rPr>
                              <a:rPr lang="en-US" sz="1400" i="1" baseline="0">
                                <a:solidFill>
                                  <a:schemeClr val="tx1"/>
                                </a:solidFill>
                                <a:effectLst/>
                                <a:latin typeface="Book Antiqua" panose="02040602050305030304" pitchFamily="18" charset="0"/>
                                <a:ea typeface="+mn-ea"/>
                                <a:cs typeface="+mn-cs"/>
                              </a:rPr>
                              <m:t>Lkg</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HoursRes</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WHFRes</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5" name="TextBox 4">
              <a:extLst>
                <a:ext uri="{FF2B5EF4-FFF2-40B4-BE49-F238E27FC236}">
                  <a16:creationId xmlns:a16="http://schemas.microsoft.com/office/drawing/2014/main" id="{562CA11F-16EE-4E4E-ABFA-981CE3632414}"/>
                </a:ext>
              </a:extLst>
            </xdr:cNvPr>
            <xdr:cNvSpPr txBox="1"/>
          </xdr:nvSpPr>
          <xdr:spPr>
            <a:xfrm>
              <a:off x="1587500" y="10299700"/>
              <a:ext cx="8816975"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ISR ∗ (1−Lkg) ∗ HoursRes ∗ WHFRes</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24946</xdr:colOff>
      <xdr:row>48</xdr:row>
      <xdr:rowOff>15875</xdr:rowOff>
    </xdr:from>
    <xdr:to>
      <xdr:col>7</xdr:col>
      <xdr:colOff>936625</xdr:colOff>
      <xdr:row>51</xdr:row>
      <xdr:rowOff>35114</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425DA7B8-E11F-4474-AFB5-A965BC87FA51}"/>
                </a:ext>
              </a:extLst>
            </xdr:cNvPr>
            <xdr:cNvSpPr txBox="1"/>
          </xdr:nvSpPr>
          <xdr:spPr>
            <a:xfrm>
              <a:off x="1672771" y="10855325"/>
              <a:ext cx="9112704"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kWhNRES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 (1−</m:t>
                            </m:r>
                            <m:r>
                              <m:rPr>
                                <m:nor/>
                              </m:rPr>
                              <a:rPr lang="en-US" sz="1400" i="1" baseline="0">
                                <a:solidFill>
                                  <a:schemeClr val="tx1"/>
                                </a:solidFill>
                                <a:effectLst/>
                                <a:latin typeface="Book Antiqua" panose="02040602050305030304" pitchFamily="18" charset="0"/>
                                <a:ea typeface="+mn-ea"/>
                                <a:cs typeface="+mn-cs"/>
                              </a:rPr>
                              <m:t>Lkg</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HoursNRES</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WHFNRES</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6" name="TextBox 5">
              <a:extLst>
                <a:ext uri="{FF2B5EF4-FFF2-40B4-BE49-F238E27FC236}">
                  <a16:creationId xmlns:a16="http://schemas.microsoft.com/office/drawing/2014/main" id="{425DA7B8-E11F-4474-AFB5-A965BC87FA51}"/>
                </a:ext>
              </a:extLst>
            </xdr:cNvPr>
            <xdr:cNvSpPr txBox="1"/>
          </xdr:nvSpPr>
          <xdr:spPr>
            <a:xfrm>
              <a:off x="1672771" y="10855325"/>
              <a:ext cx="9112704"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"∆kWhNRES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ISR ∗ (1−Lkg) ∗ HoursNRES ∗ WHFNRES</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678088</xdr:colOff>
      <xdr:row>50</xdr:row>
      <xdr:rowOff>176893</xdr:rowOff>
    </xdr:from>
    <xdr:to>
      <xdr:col>7</xdr:col>
      <xdr:colOff>206374</xdr:colOff>
      <xdr:row>53</xdr:row>
      <xdr:rowOff>43718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7D8D7647-5729-4ADE-9A2B-069A2102023C}"/>
                </a:ext>
              </a:extLst>
            </xdr:cNvPr>
            <xdr:cNvSpPr txBox="1"/>
          </xdr:nvSpPr>
          <xdr:spPr>
            <a:xfrm>
              <a:off x="2325913" y="11397343"/>
              <a:ext cx="772931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𝑘𝑊</m:t>
                    </m:r>
                    <m:r>
                      <a:rPr lang="en-US" sz="1400" i="1">
                        <a:latin typeface="Cambria Math" panose="02040503050406030204" pitchFamily="18" charset="0"/>
                      </a:rPr>
                      <m:t>=</m:t>
                    </m:r>
                    <m:d>
                      <m:dPr>
                        <m:ctrlPr>
                          <a:rPr lang="en-US" sz="1400" b="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mn-lt"/>
                            <a:ea typeface="+mn-ea"/>
                            <a:cs typeface="+mn-cs"/>
                          </a:rPr>
                          <m:t>∆</m:t>
                        </m:r>
                        <m:r>
                          <a:rPr lang="en-US" sz="1400" b="0" i="1">
                            <a:solidFill>
                              <a:schemeClr val="tx1"/>
                            </a:solidFill>
                            <a:effectLst/>
                            <a:latin typeface="Cambria Math" panose="02040503050406030204" pitchFamily="18" charset="0"/>
                            <a:ea typeface="+mn-ea"/>
                            <a:cs typeface="+mn-cs"/>
                          </a:rPr>
                          <m:t>𝑘𝑊h𝑅𝑒𝑠</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𝐶𝑃𝐷𝐹𝑅𝑒𝑠</m:t>
                        </m:r>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𝑅𝑒𝑠</m:t>
                        </m:r>
                      </m:e>
                    </m:d>
                    <m:r>
                      <a:rPr lang="en-US" sz="1400" b="0" i="0">
                        <a:solidFill>
                          <a:schemeClr val="tx1"/>
                        </a:solidFill>
                        <a:effectLst/>
                        <a:latin typeface="Cambria Math" panose="02040503050406030204" pitchFamily="18" charset="0"/>
                        <a:ea typeface="+mn-ea"/>
                        <a:cs typeface="+mn-cs"/>
                      </a:rPr>
                      <m:t>+(</m:t>
                    </m:r>
                    <m:r>
                      <m:rPr>
                        <m:nor/>
                      </m:rPr>
                      <a:rPr lang="en-US" sz="1400" i="1">
                        <a:solidFill>
                          <a:schemeClr val="tx1"/>
                        </a:solidFill>
                        <a:effectLst/>
                        <a:latin typeface="+mn-lt"/>
                        <a:ea typeface="+mn-ea"/>
                        <a:cs typeface="+mn-cs"/>
                      </a:rPr>
                      <m:t>∆</m:t>
                    </m:r>
                    <m:r>
                      <a:rPr lang="en-US" sz="1400" b="0" i="1">
                        <a:solidFill>
                          <a:schemeClr val="tx1"/>
                        </a:solidFill>
                        <a:effectLst/>
                        <a:latin typeface="Cambria Math" panose="02040503050406030204" pitchFamily="18" charset="0"/>
                        <a:ea typeface="+mn-ea"/>
                        <a:cs typeface="+mn-cs"/>
                      </a:rPr>
                      <m:t>𝑘𝑊h𝑁𝑅𝐸𝑆</m:t>
                    </m:r>
                    <m:r>
                      <a:rPr lang="en-US" sz="1400" b="0" i="1">
                        <a:solidFill>
                          <a:schemeClr val="tx1"/>
                        </a:solidFill>
                        <a:effectLst/>
                        <a:latin typeface="Cambria Math" panose="02040503050406030204" pitchFamily="18" charset="0"/>
                        <a:ea typeface="+mn-ea"/>
                        <a:cs typeface="+mn-cs"/>
                      </a:rPr>
                      <m:t> ∗</m:t>
                    </m:r>
                    <m:r>
                      <m:rPr>
                        <m:sty m:val="p"/>
                      </m:rPr>
                      <a:rPr lang="en-US" sz="1400" b="0" i="0">
                        <a:solidFill>
                          <a:schemeClr val="tx1"/>
                        </a:solidFill>
                        <a:effectLst/>
                        <a:latin typeface="Cambria Math" panose="02040503050406030204" pitchFamily="18" charset="0"/>
                        <a:ea typeface="+mn-ea"/>
                        <a:cs typeface="+mn-cs"/>
                      </a:rPr>
                      <m:t>CPDFNRES</m:t>
                    </m:r>
                    <m:r>
                      <a:rPr lang="en-US" sz="1400" b="0" i="1">
                        <a:solidFill>
                          <a:schemeClr val="tx1"/>
                        </a:solidFill>
                        <a:effectLst/>
                        <a:latin typeface="Cambria Math" panose="02040503050406030204" pitchFamily="18" charset="0"/>
                        <a:ea typeface="+mn-ea"/>
                        <a:cs typeface="+mn-cs"/>
                      </a:rPr>
                      <m:t>∗</m:t>
                    </m:r>
                    <m:d>
                      <m:dPr>
                        <m:ctrlPr>
                          <a:rPr lang="en-US" sz="1400" b="0" i="1" baseline="-25000">
                            <a:solidFill>
                              <a:schemeClr val="tx1"/>
                            </a:solidFill>
                            <a:effectLst/>
                            <a:latin typeface="Cambria Math" panose="02040503050406030204" pitchFamily="18" charset="0"/>
                            <a:ea typeface="+mn-ea"/>
                            <a:cs typeface="+mn-cs"/>
                          </a:rPr>
                        </m:ctrlPr>
                      </m:dPr>
                      <m:e>
                        <m:r>
                          <a:rPr lang="en-US" sz="1400" b="0" i="1">
                            <a:solidFill>
                              <a:schemeClr val="tx1"/>
                            </a:solidFill>
                            <a:effectLst/>
                            <a:latin typeface="Cambria Math" panose="02040503050406030204" pitchFamily="18" charset="0"/>
                            <a:ea typeface="+mn-ea"/>
                            <a:cs typeface="+mn-cs"/>
                          </a:rPr>
                          <m:t>1−%</m:t>
                        </m:r>
                        <m:r>
                          <a:rPr lang="en-US" sz="1400" b="0" i="1">
                            <a:solidFill>
                              <a:schemeClr val="tx1"/>
                            </a:solidFill>
                            <a:effectLst/>
                            <a:latin typeface="Cambria Math" panose="02040503050406030204" pitchFamily="18" charset="0"/>
                            <a:ea typeface="+mn-ea"/>
                            <a:cs typeface="+mn-cs"/>
                          </a:rPr>
                          <m:t>𝑅𝑒𝑠</m:t>
                        </m:r>
                      </m:e>
                    </m:d>
                    <m:r>
                      <a:rPr lang="en-US" sz="1400" b="0" i="1">
                        <a:solidFill>
                          <a:schemeClr val="tx1"/>
                        </a:solidFill>
                        <a:effectLst/>
                        <a:latin typeface="Cambria Math" panose="02040503050406030204" pitchFamily="18" charset="0"/>
                        <a:ea typeface="+mn-ea"/>
                        <a:cs typeface="+mn-cs"/>
                      </a:rPr>
                      <m:t>)</m:t>
                    </m:r>
                  </m:oMath>
                </m:oMathPara>
              </a14:m>
              <a:endParaRPr lang="en-US" sz="1400">
                <a:effectLst/>
              </a:endParaRPr>
            </a:p>
            <a:p>
              <a:pPr algn="l"/>
              <a:endParaRPr lang="en-US" sz="1400"/>
            </a:p>
          </xdr:txBody>
        </xdr:sp>
      </mc:Choice>
      <mc:Fallback xmlns="">
        <xdr:sp macro="" textlink="">
          <xdr:nvSpPr>
            <xdr:cNvPr id="7" name="TextBox 6">
              <a:extLst>
                <a:ext uri="{FF2B5EF4-FFF2-40B4-BE49-F238E27FC236}">
                  <a16:creationId xmlns:a16="http://schemas.microsoft.com/office/drawing/2014/main" id="{7D8D7647-5729-4ADE-9A2B-069A2102023C}"/>
                </a:ext>
              </a:extLst>
            </xdr:cNvPr>
            <xdr:cNvSpPr txBox="1"/>
          </xdr:nvSpPr>
          <xdr:spPr>
            <a:xfrm>
              <a:off x="2325913" y="11397343"/>
              <a:ext cx="772931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a:t>
              </a:r>
              <a:r>
                <a:rPr lang="en-US" sz="1400" b="0" i="0">
                  <a:solidFill>
                    <a:schemeClr val="tx1"/>
                  </a:solidFill>
                  <a:effectLst/>
                  <a:latin typeface="Cambria Math" panose="02040503050406030204" pitchFamily="18" charset="0"/>
                  <a:ea typeface="+mn-ea"/>
                  <a:cs typeface="+mn-cs"/>
                </a:rPr>
                <a:t>" 𝑘𝑊ℎ𝑅𝑒𝑠 ∗𝐶𝑃𝐷𝐹𝑅𝑒𝑠∗%𝑅𝑒𝑠)+("</a:t>
              </a:r>
              <a:r>
                <a:rPr lang="en-US" sz="1400" i="0">
                  <a:solidFill>
                    <a:schemeClr val="tx1"/>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 𝑘𝑊ℎ𝑁𝑅𝐸𝑆 ∗CPDFNRES∗</a:t>
              </a:r>
              <a:r>
                <a:rPr lang="en-US" sz="1400" b="0" i="0" baseline="-25000">
                  <a:solidFill>
                    <a:schemeClr val="tx1"/>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1−%𝑅𝑒𝑠))</a:t>
              </a:r>
              <a:endParaRPr lang="en-US" sz="1400">
                <a:effectLst/>
              </a:endParaRPr>
            </a:p>
            <a:p>
              <a:pPr algn="l"/>
              <a:endParaRPr lang="en-US" sz="1400"/>
            </a:p>
          </xdr:txBody>
        </xdr:sp>
      </mc:Fallback>
    </mc:AlternateContent>
    <xdr:clientData/>
  </xdr:twoCellAnchor>
  <xdr:twoCellAnchor>
    <xdr:from>
      <xdr:col>4</xdr:col>
      <xdr:colOff>372649</xdr:colOff>
      <xdr:row>146</xdr:row>
      <xdr:rowOff>118809</xdr:rowOff>
    </xdr:from>
    <xdr:to>
      <xdr:col>9</xdr:col>
      <xdr:colOff>1492249</xdr:colOff>
      <xdr:row>150</xdr:row>
      <xdr:rowOff>24043</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2ECEA5B1-2BCB-4539-8E03-91F931B24D42}"/>
                </a:ext>
              </a:extLst>
            </xdr:cNvPr>
            <xdr:cNvSpPr txBox="1"/>
          </xdr:nvSpPr>
          <xdr:spPr>
            <a:xfrm>
              <a:off x="3220624" y="38533134"/>
              <a:ext cx="11673300"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2ECEA5B1-2BCB-4539-8E03-91F931B24D42}"/>
                </a:ext>
              </a:extLst>
            </xdr:cNvPr>
            <xdr:cNvSpPr txBox="1"/>
          </xdr:nvSpPr>
          <xdr:spPr>
            <a:xfrm>
              <a:off x="3220624" y="38533134"/>
              <a:ext cx="11673300"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88900</xdr:colOff>
      <xdr:row>150</xdr:row>
      <xdr:rowOff>107580</xdr:rowOff>
    </xdr:from>
    <xdr:to>
      <xdr:col>7</xdr:col>
      <xdr:colOff>682625</xdr:colOff>
      <xdr:row>152</xdr:row>
      <xdr:rowOff>176893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B0376334-D1AB-4C72-A136-B75D42984029}"/>
                </a:ext>
              </a:extLst>
            </xdr:cNvPr>
            <xdr:cNvSpPr txBox="1"/>
          </xdr:nvSpPr>
          <xdr:spPr>
            <a:xfrm>
              <a:off x="2936875" y="39283905"/>
              <a:ext cx="7594600" cy="56461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B0376334-D1AB-4C72-A136-B75D42984029}"/>
                </a:ext>
              </a:extLst>
            </xdr:cNvPr>
            <xdr:cNvSpPr txBox="1"/>
          </xdr:nvSpPr>
          <xdr:spPr>
            <a:xfrm>
              <a:off x="2936875" y="39283905"/>
              <a:ext cx="7594600" cy="56461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1202307</xdr:colOff>
      <xdr:row>76</xdr:row>
      <xdr:rowOff>92528</xdr:rowOff>
    </xdr:from>
    <xdr:to>
      <xdr:col>10</xdr:col>
      <xdr:colOff>63500</xdr:colOff>
      <xdr:row>79</xdr:row>
      <xdr:rowOff>127000</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D12657D9-0D8B-4094-9DAB-737CBBBEA46A}"/>
                </a:ext>
              </a:extLst>
            </xdr:cNvPr>
            <xdr:cNvSpPr txBox="1"/>
          </xdr:nvSpPr>
          <xdr:spPr>
            <a:xfrm>
              <a:off x="2850132" y="18580553"/>
              <a:ext cx="12110468"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D12657D9-0D8B-4094-9DAB-737CBBBEA46A}"/>
                </a:ext>
              </a:extLst>
            </xdr:cNvPr>
            <xdr:cNvSpPr txBox="1"/>
          </xdr:nvSpPr>
          <xdr:spPr>
            <a:xfrm>
              <a:off x="2850132" y="18580553"/>
              <a:ext cx="12110468"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1002843</xdr:colOff>
      <xdr:row>80</xdr:row>
      <xdr:rowOff>8274</xdr:rowOff>
    </xdr:from>
    <xdr:to>
      <xdr:col>8</xdr:col>
      <xdr:colOff>587375</xdr:colOff>
      <xdr:row>82</xdr:row>
      <xdr:rowOff>130175</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859BA2D-D371-40ED-B227-16740E271D75}"/>
                </a:ext>
              </a:extLst>
            </xdr:cNvPr>
            <xdr:cNvSpPr txBox="1"/>
          </xdr:nvSpPr>
          <xdr:spPr>
            <a:xfrm>
              <a:off x="2650668" y="19258299"/>
              <a:ext cx="959530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1" name="TextBox 10">
              <a:extLst>
                <a:ext uri="{FF2B5EF4-FFF2-40B4-BE49-F238E27FC236}">
                  <a16:creationId xmlns:a16="http://schemas.microsoft.com/office/drawing/2014/main" id="{1859BA2D-D371-40ED-B227-16740E271D75}"/>
                </a:ext>
              </a:extLst>
            </xdr:cNvPr>
            <xdr:cNvSpPr txBox="1"/>
          </xdr:nvSpPr>
          <xdr:spPr>
            <a:xfrm>
              <a:off x="2650668" y="19258299"/>
              <a:ext cx="959530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1196866</xdr:colOff>
      <xdr:row>112</xdr:row>
      <xdr:rowOff>54428</xdr:rowOff>
    </xdr:from>
    <xdr:to>
      <xdr:col>9</xdr:col>
      <xdr:colOff>460374</xdr:colOff>
      <xdr:row>115</xdr:row>
      <xdr:rowOff>150162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1BCD91C5-C535-440D-9460-E3841DB8D532}"/>
                </a:ext>
              </a:extLst>
            </xdr:cNvPr>
            <xdr:cNvSpPr txBox="1"/>
          </xdr:nvSpPr>
          <xdr:spPr>
            <a:xfrm>
              <a:off x="2844691" y="28696103"/>
              <a:ext cx="110173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1BCD91C5-C535-440D-9460-E3841DB8D532}"/>
                </a:ext>
              </a:extLst>
            </xdr:cNvPr>
            <xdr:cNvSpPr txBox="1"/>
          </xdr:nvSpPr>
          <xdr:spPr>
            <a:xfrm>
              <a:off x="2844691" y="28696103"/>
              <a:ext cx="110173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1006928</xdr:colOff>
      <xdr:row>115</xdr:row>
      <xdr:rowOff>97174</xdr:rowOff>
    </xdr:from>
    <xdr:to>
      <xdr:col>6</xdr:col>
      <xdr:colOff>3871310</xdr:colOff>
      <xdr:row>119</xdr:row>
      <xdr:rowOff>15104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3F1521A1-CDA2-4595-944F-8A165714410E}"/>
                </a:ext>
              </a:extLst>
            </xdr:cNvPr>
            <xdr:cNvSpPr txBox="1"/>
          </xdr:nvSpPr>
          <xdr:spPr>
            <a:xfrm>
              <a:off x="2654753" y="29310349"/>
              <a:ext cx="71982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3" name="TextBox 12">
              <a:extLst>
                <a:ext uri="{FF2B5EF4-FFF2-40B4-BE49-F238E27FC236}">
                  <a16:creationId xmlns:a16="http://schemas.microsoft.com/office/drawing/2014/main" id="{3F1521A1-CDA2-4595-944F-8A165714410E}"/>
                </a:ext>
              </a:extLst>
            </xdr:cNvPr>
            <xdr:cNvSpPr txBox="1"/>
          </xdr:nvSpPr>
          <xdr:spPr>
            <a:xfrm>
              <a:off x="2654753" y="29310349"/>
              <a:ext cx="71982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6</xdr:col>
      <xdr:colOff>2269331</xdr:colOff>
      <xdr:row>188</xdr:row>
      <xdr:rowOff>453627</xdr:rowOff>
    </xdr:from>
    <xdr:ext cx="65" cy="172227"/>
    <xdr:sp macro="" textlink="">
      <xdr:nvSpPr>
        <xdr:cNvPr id="14" name="TextBox 13">
          <a:extLst>
            <a:ext uri="{FF2B5EF4-FFF2-40B4-BE49-F238E27FC236}">
              <a16:creationId xmlns:a16="http://schemas.microsoft.com/office/drawing/2014/main" id="{2CB19294-4C31-4CE5-8C06-7780A8204429}"/>
            </a:ext>
          </a:extLst>
        </xdr:cNvPr>
        <xdr:cNvSpPr txBox="1"/>
      </xdr:nvSpPr>
      <xdr:spPr>
        <a:xfrm>
          <a:off x="9060656" y="546318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188</xdr:row>
      <xdr:rowOff>453627</xdr:rowOff>
    </xdr:from>
    <xdr:ext cx="65" cy="172227"/>
    <xdr:sp macro="" textlink="">
      <xdr:nvSpPr>
        <xdr:cNvPr id="15" name="TextBox 14">
          <a:extLst>
            <a:ext uri="{FF2B5EF4-FFF2-40B4-BE49-F238E27FC236}">
              <a16:creationId xmlns:a16="http://schemas.microsoft.com/office/drawing/2014/main" id="{2CB19294-4C31-4CE5-8C06-7780A8204429}"/>
            </a:ext>
          </a:extLst>
        </xdr:cNvPr>
        <xdr:cNvSpPr txBox="1"/>
      </xdr:nvSpPr>
      <xdr:spPr>
        <a:xfrm>
          <a:off x="9060656" y="546318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1357449</xdr:colOff>
      <xdr:row>8</xdr:row>
      <xdr:rowOff>187234</xdr:rowOff>
    </xdr:from>
    <xdr:to>
      <xdr:col>6</xdr:col>
      <xdr:colOff>3034393</xdr:colOff>
      <xdr:row>10</xdr:row>
      <xdr:rowOff>27215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416CBAAC-2A6A-4347-A97D-E205D33438E1}"/>
                </a:ext>
              </a:extLst>
            </xdr:cNvPr>
            <xdr:cNvSpPr txBox="1"/>
          </xdr:nvSpPr>
          <xdr:spPr>
            <a:xfrm>
              <a:off x="2843349" y="2568484"/>
              <a:ext cx="6982369" cy="2209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6" name="TextBox 15">
              <a:extLst>
                <a:ext uri="{FF2B5EF4-FFF2-40B4-BE49-F238E27FC236}">
                  <a16:creationId xmlns:a16="http://schemas.microsoft.com/office/drawing/2014/main" id="{416CBAAC-2A6A-4347-A97D-E205D33438E1}"/>
                </a:ext>
              </a:extLst>
            </xdr:cNvPr>
            <xdr:cNvSpPr txBox="1"/>
          </xdr:nvSpPr>
          <xdr:spPr>
            <a:xfrm>
              <a:off x="2843349" y="2568484"/>
              <a:ext cx="6982369" cy="2209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4</xdr:col>
      <xdr:colOff>99060</xdr:colOff>
      <xdr:row>13</xdr:row>
      <xdr:rowOff>816</xdr:rowOff>
    </xdr:from>
    <xdr:to>
      <xdr:col>4</xdr:col>
      <xdr:colOff>1690458</xdr:colOff>
      <xdr:row>13</xdr:row>
      <xdr:rowOff>184136</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EB11E571-A857-405F-BF70-51D00E25CBD4}"/>
                </a:ext>
              </a:extLst>
            </xdr:cNvPr>
            <xdr:cNvSpPr txBox="1"/>
          </xdr:nvSpPr>
          <xdr:spPr>
            <a:xfrm>
              <a:off x="2947035" y="3334566"/>
              <a:ext cx="1591398" cy="1833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7" name="TextBox 16">
              <a:extLst>
                <a:ext uri="{FF2B5EF4-FFF2-40B4-BE49-F238E27FC236}">
                  <a16:creationId xmlns:a16="http://schemas.microsoft.com/office/drawing/2014/main" id="{EB11E571-A857-405F-BF70-51D00E25CBD4}"/>
                </a:ext>
              </a:extLst>
            </xdr:cNvPr>
            <xdr:cNvSpPr txBox="1"/>
          </xdr:nvSpPr>
          <xdr:spPr>
            <a:xfrm>
              <a:off x="2947035" y="3334566"/>
              <a:ext cx="1591398" cy="1833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𝑘𝑊=∆𝑘𝑊ℎ_𝑐𝑜𝑜𝑙𝑖𝑛𝑔∗𝐶𝐹</a:t>
              </a:r>
              <a:endParaRPr lang="en-US" sz="1400"/>
            </a:p>
          </xdr:txBody>
        </xdr:sp>
      </mc:Fallback>
    </mc:AlternateContent>
    <xdr:clientData/>
  </xdr:twoCellAnchor>
  <xdr:twoCellAnchor>
    <xdr:from>
      <xdr:col>3</xdr:col>
      <xdr:colOff>725533</xdr:colOff>
      <xdr:row>10</xdr:row>
      <xdr:rowOff>185600</xdr:rowOff>
    </xdr:from>
    <xdr:to>
      <xdr:col>6</xdr:col>
      <xdr:colOff>3238500</xdr:colOff>
      <xdr:row>12</xdr:row>
      <xdr:rowOff>122463</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9EA4689E-2A0E-4D40-BEBC-6FF7DC8F7718}"/>
                </a:ext>
              </a:extLst>
            </xdr:cNvPr>
            <xdr:cNvSpPr txBox="1"/>
          </xdr:nvSpPr>
          <xdr:spPr>
            <a:xfrm>
              <a:off x="2373358" y="2947850"/>
              <a:ext cx="7475492"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8" name="TextBox 17">
              <a:extLst>
                <a:ext uri="{FF2B5EF4-FFF2-40B4-BE49-F238E27FC236}">
                  <a16:creationId xmlns:a16="http://schemas.microsoft.com/office/drawing/2014/main" id="{9EA4689E-2A0E-4D40-BEBC-6FF7DC8F7718}"/>
                </a:ext>
              </a:extLst>
            </xdr:cNvPr>
            <xdr:cNvSpPr txBox="1"/>
          </xdr:nvSpPr>
          <xdr:spPr>
            <a:xfrm>
              <a:off x="2373358" y="2947850"/>
              <a:ext cx="7475492"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3</xdr:col>
      <xdr:colOff>122464</xdr:colOff>
      <xdr:row>217</xdr:row>
      <xdr:rowOff>30207</xdr:rowOff>
    </xdr:from>
    <xdr:to>
      <xdr:col>6</xdr:col>
      <xdr:colOff>2300504</xdr:colOff>
      <xdr:row>218</xdr:row>
      <xdr:rowOff>87788</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7BC8A929-4C31-42C3-BEB4-0C9C653FB64B}"/>
                </a:ext>
              </a:extLst>
            </xdr:cNvPr>
            <xdr:cNvSpPr txBox="1"/>
          </xdr:nvSpPr>
          <xdr:spPr>
            <a:xfrm>
              <a:off x="1770289" y="64457307"/>
              <a:ext cx="7321540"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𝑂𝑓𝑓𝑖𝑐𝑒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9" name="TextBox 18">
              <a:extLst>
                <a:ext uri="{FF2B5EF4-FFF2-40B4-BE49-F238E27FC236}">
                  <a16:creationId xmlns:a16="http://schemas.microsoft.com/office/drawing/2014/main" id="{7BC8A929-4C31-42C3-BEB4-0C9C653FB64B}"/>
                </a:ext>
              </a:extLst>
            </xdr:cNvPr>
            <xdr:cNvSpPr txBox="1"/>
          </xdr:nvSpPr>
          <xdr:spPr>
            <a:xfrm>
              <a:off x="1770289" y="64457307"/>
              <a:ext cx="7321540"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400"/>
            </a:p>
          </xdr:txBody>
        </xdr:sp>
      </mc:Fallback>
    </mc:AlternateContent>
    <xdr:clientData/>
  </xdr:twoCellAnchor>
  <xdr:twoCellAnchor>
    <xdr:from>
      <xdr:col>4</xdr:col>
      <xdr:colOff>737054</xdr:colOff>
      <xdr:row>181</xdr:row>
      <xdr:rowOff>102053</xdr:rowOff>
    </xdr:from>
    <xdr:to>
      <xdr:col>6</xdr:col>
      <xdr:colOff>2809875</xdr:colOff>
      <xdr:row>185</xdr:row>
      <xdr:rowOff>61982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B69F5647-72FC-42E6-8B1B-5D4C687C8BEB}"/>
                </a:ext>
              </a:extLst>
            </xdr:cNvPr>
            <xdr:cNvSpPr txBox="1"/>
          </xdr:nvSpPr>
          <xdr:spPr>
            <a:xfrm>
              <a:off x="3585029" y="52756253"/>
              <a:ext cx="6016171"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20" name="TextBox 19">
              <a:extLst>
                <a:ext uri="{FF2B5EF4-FFF2-40B4-BE49-F238E27FC236}">
                  <a16:creationId xmlns:a16="http://schemas.microsoft.com/office/drawing/2014/main" id="{B69F5647-72FC-42E6-8B1B-5D4C687C8BEB}"/>
                </a:ext>
              </a:extLst>
            </xdr:cNvPr>
            <xdr:cNvSpPr txBox="1"/>
          </xdr:nvSpPr>
          <xdr:spPr>
            <a:xfrm>
              <a:off x="3585029" y="52756253"/>
              <a:ext cx="6016171"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)∗𝐿∗∆𝑇∗𝐻𝑜𝑢𝑟𝑠))/(𝜂𝐷𝐻𝑊_𝐸𝑙𝑒𝑐∗3,412)</a:t>
              </a:r>
              <a:endParaRPr lang="en-US" sz="1400"/>
            </a:p>
          </xdr:txBody>
        </xdr:sp>
      </mc:Fallback>
    </mc:AlternateContent>
    <xdr:clientData/>
  </xdr:twoCellAnchor>
  <xdr:twoCellAnchor>
    <xdr:from>
      <xdr:col>12</xdr:col>
      <xdr:colOff>571500</xdr:colOff>
      <xdr:row>196</xdr:row>
      <xdr:rowOff>40821</xdr:rowOff>
    </xdr:from>
    <xdr:to>
      <xdr:col>13</xdr:col>
      <xdr:colOff>653144</xdr:colOff>
      <xdr:row>199</xdr:row>
      <xdr:rowOff>149679</xdr:rowOff>
    </xdr:to>
    <xdr:sp macro="" textlink="">
      <xdr:nvSpPr>
        <xdr:cNvPr id="21" name="Oval 20"/>
        <xdr:cNvSpPr/>
      </xdr:nvSpPr>
      <xdr:spPr>
        <a:xfrm>
          <a:off x="17135475" y="58371921"/>
          <a:ext cx="1062719" cy="1061358"/>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0"/>
            <a:t>Pipe</a:t>
          </a:r>
          <a:endParaRPr lang="en-US" sz="1100" b="0"/>
        </a:p>
      </xdr:txBody>
    </xdr:sp>
    <xdr:clientData/>
  </xdr:twoCellAnchor>
  <xdr:twoCellAnchor>
    <xdr:from>
      <xdr:col>12</xdr:col>
      <xdr:colOff>231322</xdr:colOff>
      <xdr:row>195</xdr:row>
      <xdr:rowOff>81643</xdr:rowOff>
    </xdr:from>
    <xdr:to>
      <xdr:col>14</xdr:col>
      <xdr:colOff>108858</xdr:colOff>
      <xdr:row>200</xdr:row>
      <xdr:rowOff>136072</xdr:rowOff>
    </xdr:to>
    <xdr:sp macro="" textlink="">
      <xdr:nvSpPr>
        <xdr:cNvPr id="22" name="Oval 21"/>
        <xdr:cNvSpPr/>
      </xdr:nvSpPr>
      <xdr:spPr>
        <a:xfrm>
          <a:off x="16795297" y="58031743"/>
          <a:ext cx="1763486" cy="176892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571500</xdr:colOff>
      <xdr:row>197</xdr:row>
      <xdr:rowOff>190500</xdr:rowOff>
    </xdr:from>
    <xdr:to>
      <xdr:col>13</xdr:col>
      <xdr:colOff>653144</xdr:colOff>
      <xdr:row>197</xdr:row>
      <xdr:rowOff>190500</xdr:rowOff>
    </xdr:to>
    <xdr:cxnSp macro="">
      <xdr:nvCxnSpPr>
        <xdr:cNvPr id="23" name="Straight Arrow Connector 22"/>
        <xdr:cNvCxnSpPr>
          <a:stCxn id="21" idx="2"/>
          <a:endCxn id="21" idx="6"/>
        </xdr:cNvCxnSpPr>
      </xdr:nvCxnSpPr>
      <xdr:spPr>
        <a:xfrm>
          <a:off x="17135475" y="58902600"/>
          <a:ext cx="1062719"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666750</xdr:colOff>
      <xdr:row>197</xdr:row>
      <xdr:rowOff>217713</xdr:rowOff>
    </xdr:from>
    <xdr:to>
      <xdr:col>13</xdr:col>
      <xdr:colOff>612322</xdr:colOff>
      <xdr:row>198</xdr:row>
      <xdr:rowOff>40820</xdr:rowOff>
    </xdr:to>
    <xdr:sp macro="" textlink="">
      <xdr:nvSpPr>
        <xdr:cNvPr id="24" name="TextBox 23"/>
        <xdr:cNvSpPr txBox="1"/>
      </xdr:nvSpPr>
      <xdr:spPr>
        <a:xfrm>
          <a:off x="17230725" y="58929813"/>
          <a:ext cx="926647"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.75"</a:t>
          </a:r>
        </a:p>
      </xdr:txBody>
    </xdr:sp>
    <xdr:clientData/>
  </xdr:twoCellAnchor>
  <xdr:twoCellAnchor>
    <xdr:from>
      <xdr:col>13</xdr:col>
      <xdr:colOff>721180</xdr:colOff>
      <xdr:row>197</xdr:row>
      <xdr:rowOff>190500</xdr:rowOff>
    </xdr:from>
    <xdr:to>
      <xdr:col>14</xdr:col>
      <xdr:colOff>27215</xdr:colOff>
      <xdr:row>197</xdr:row>
      <xdr:rowOff>190500</xdr:rowOff>
    </xdr:to>
    <xdr:cxnSp macro="">
      <xdr:nvCxnSpPr>
        <xdr:cNvPr id="25" name="Straight Arrow Connector 24"/>
        <xdr:cNvCxnSpPr/>
      </xdr:nvCxnSpPr>
      <xdr:spPr>
        <a:xfrm>
          <a:off x="18266230" y="58902600"/>
          <a:ext cx="210910"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367393</xdr:colOff>
      <xdr:row>196</xdr:row>
      <xdr:rowOff>312963</xdr:rowOff>
    </xdr:from>
    <xdr:to>
      <xdr:col>14</xdr:col>
      <xdr:colOff>381000</xdr:colOff>
      <xdr:row>197</xdr:row>
      <xdr:rowOff>136070</xdr:rowOff>
    </xdr:to>
    <xdr:sp macro="" textlink="">
      <xdr:nvSpPr>
        <xdr:cNvPr id="26" name="TextBox 25"/>
        <xdr:cNvSpPr txBox="1"/>
      </xdr:nvSpPr>
      <xdr:spPr>
        <a:xfrm>
          <a:off x="17912443" y="58644063"/>
          <a:ext cx="918482"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0.5"</a:t>
          </a:r>
        </a:p>
      </xdr:txBody>
    </xdr:sp>
    <xdr:clientData/>
  </xdr:twoCellAnchor>
  <xdr:twoCellAnchor>
    <xdr:from>
      <xdr:col>14</xdr:col>
      <xdr:colOff>54427</xdr:colOff>
      <xdr:row>196</xdr:row>
      <xdr:rowOff>312963</xdr:rowOff>
    </xdr:from>
    <xdr:to>
      <xdr:col>15</xdr:col>
      <xdr:colOff>95249</xdr:colOff>
      <xdr:row>197</xdr:row>
      <xdr:rowOff>163286</xdr:rowOff>
    </xdr:to>
    <xdr:sp macro="" textlink="">
      <xdr:nvSpPr>
        <xdr:cNvPr id="27" name="TextBox 26"/>
        <xdr:cNvSpPr txBox="1"/>
      </xdr:nvSpPr>
      <xdr:spPr>
        <a:xfrm>
          <a:off x="18504352" y="58644063"/>
          <a:ext cx="1193347" cy="231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Pipe</a:t>
          </a:r>
          <a:r>
            <a:rPr lang="en-US" sz="1100" baseline="0"/>
            <a:t> wrap width</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7</xdr:col>
      <xdr:colOff>2269331</xdr:colOff>
      <xdr:row>2091</xdr:row>
      <xdr:rowOff>0</xdr:rowOff>
    </xdr:from>
    <xdr:ext cx="65" cy="172227"/>
    <xdr:sp macro="" textlink="">
      <xdr:nvSpPr>
        <xdr:cNvPr id="2" name="TextBox 1">
          <a:extLst>
            <a:ext uri="{FF2B5EF4-FFF2-40B4-BE49-F238E27FC236}">
              <a16:creationId xmlns:a16="http://schemas.microsoft.com/office/drawing/2014/main" id="{284AF605-86A5-48DA-94CC-83D9805059D7}"/>
            </a:ext>
          </a:extLst>
        </xdr:cNvPr>
        <xdr:cNvSpPr txBox="1"/>
      </xdr:nvSpPr>
      <xdr:spPr>
        <a:xfrm>
          <a:off x="13861256" y="41622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2091</xdr:row>
      <xdr:rowOff>0</xdr:rowOff>
    </xdr:from>
    <xdr:ext cx="65" cy="172227"/>
    <xdr:sp macro="" textlink="">
      <xdr:nvSpPr>
        <xdr:cNvPr id="3" name="TextBox 2">
          <a:extLst>
            <a:ext uri="{FF2B5EF4-FFF2-40B4-BE49-F238E27FC236}">
              <a16:creationId xmlns:a16="http://schemas.microsoft.com/office/drawing/2014/main" id="{E1043BCC-A9A0-4ABE-8A7E-70A074A1D954}"/>
            </a:ext>
          </a:extLst>
        </xdr:cNvPr>
        <xdr:cNvSpPr txBox="1"/>
      </xdr:nvSpPr>
      <xdr:spPr>
        <a:xfrm>
          <a:off x="13861256" y="42296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2091</xdr:row>
      <xdr:rowOff>0</xdr:rowOff>
    </xdr:from>
    <xdr:ext cx="65" cy="172227"/>
    <xdr:sp macro="" textlink="">
      <xdr:nvSpPr>
        <xdr:cNvPr id="6" name="TextBox 5">
          <a:extLst>
            <a:ext uri="{FF2B5EF4-FFF2-40B4-BE49-F238E27FC236}">
              <a16:creationId xmlns:a16="http://schemas.microsoft.com/office/drawing/2014/main" id="{51434429-61D6-4A13-8B9D-E02613F45F8F}"/>
            </a:ext>
          </a:extLst>
        </xdr:cNvPr>
        <xdr:cNvSpPr txBox="1"/>
      </xdr:nvSpPr>
      <xdr:spPr>
        <a:xfrm>
          <a:off x="13861256" y="42296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2091</xdr:row>
      <xdr:rowOff>0</xdr:rowOff>
    </xdr:from>
    <xdr:ext cx="65" cy="172227"/>
    <xdr:sp macro="" textlink="">
      <xdr:nvSpPr>
        <xdr:cNvPr id="7" name="TextBox 6">
          <a:extLst>
            <a:ext uri="{FF2B5EF4-FFF2-40B4-BE49-F238E27FC236}">
              <a16:creationId xmlns:a16="http://schemas.microsoft.com/office/drawing/2014/main" id="{284AF605-86A5-48DA-94CC-83D9805059D7}"/>
            </a:ext>
          </a:extLst>
        </xdr:cNvPr>
        <xdr:cNvSpPr txBox="1"/>
      </xdr:nvSpPr>
      <xdr:spPr>
        <a:xfrm>
          <a:off x="13861256" y="41622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2091</xdr:row>
      <xdr:rowOff>0</xdr:rowOff>
    </xdr:from>
    <xdr:ext cx="65" cy="172227"/>
    <xdr:sp macro="" textlink="">
      <xdr:nvSpPr>
        <xdr:cNvPr id="8" name="TextBox 7">
          <a:extLst>
            <a:ext uri="{FF2B5EF4-FFF2-40B4-BE49-F238E27FC236}">
              <a16:creationId xmlns:a16="http://schemas.microsoft.com/office/drawing/2014/main" id="{E1043BCC-A9A0-4ABE-8A7E-70A074A1D954}"/>
            </a:ext>
          </a:extLst>
        </xdr:cNvPr>
        <xdr:cNvSpPr txBox="1"/>
      </xdr:nvSpPr>
      <xdr:spPr>
        <a:xfrm>
          <a:off x="13861256" y="42296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2091</xdr:row>
      <xdr:rowOff>0</xdr:rowOff>
    </xdr:from>
    <xdr:ext cx="65" cy="172227"/>
    <xdr:sp macro="" textlink="">
      <xdr:nvSpPr>
        <xdr:cNvPr id="9" name="TextBox 8">
          <a:extLst>
            <a:ext uri="{FF2B5EF4-FFF2-40B4-BE49-F238E27FC236}">
              <a16:creationId xmlns:a16="http://schemas.microsoft.com/office/drawing/2014/main" id="{51434429-61D6-4A13-8B9D-E02613F45F8F}"/>
            </a:ext>
          </a:extLst>
        </xdr:cNvPr>
        <xdr:cNvSpPr txBox="1"/>
      </xdr:nvSpPr>
      <xdr:spPr>
        <a:xfrm>
          <a:off x="13861256" y="42296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9</xdr:col>
      <xdr:colOff>265648</xdr:colOff>
      <xdr:row>24</xdr:row>
      <xdr:rowOff>108339</xdr:rowOff>
    </xdr:from>
    <xdr:to>
      <xdr:col>17</xdr:col>
      <xdr:colOff>1166812</xdr:colOff>
      <xdr:row>30</xdr:row>
      <xdr:rowOff>23812</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AAB50A15-039E-49AC-AEFF-F692FD86E577}"/>
                </a:ext>
              </a:extLst>
            </xdr:cNvPr>
            <xdr:cNvSpPr txBox="1"/>
          </xdr:nvSpPr>
          <xdr:spPr>
            <a:xfrm>
              <a:off x="14953198" y="5823339"/>
              <a:ext cx="9283164" cy="14204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b="0" i="1">
                            <a:latin typeface="Cambria Math" panose="02040503050406030204" pitchFamily="18" charset="0"/>
                          </a:rPr>
                          <m:t>𝑐𝑜𝑛𝑡𝑖𝑛𝑢𝑜𝑢𝑠</m:t>
                        </m:r>
                        <m:r>
                          <a:rPr lang="en-US" sz="1600" b="0" i="1">
                            <a:latin typeface="Cambria Math" panose="02040503050406030204" pitchFamily="18" charset="0"/>
                          </a:rPr>
                          <m:t> </m:t>
                        </m:r>
                        <m:r>
                          <a:rPr lang="en-US" sz="1600" b="0" i="1">
                            <a:latin typeface="Cambria Math" panose="02040503050406030204" pitchFamily="18" charset="0"/>
                          </a:rPr>
                          <m:t>𝑐𝑖𝑟𝑐𝑢𝑙𝑎𝑡𝑖𝑜𝑛</m:t>
                        </m:r>
                      </m:sub>
                    </m:sSub>
                    <m:r>
                      <a:rPr lang="en-US" sz="1600" i="1">
                        <a:latin typeface="Cambria Math" panose="02040503050406030204" pitchFamily="18" charset="0"/>
                      </a:rPr>
                      <m:t> = </m:t>
                    </m:r>
                    <m:d>
                      <m:dPr>
                        <m:ctrlPr>
                          <a:rPr lang="en-US" sz="1600" i="1">
                            <a:latin typeface="Cambria Math" panose="02040503050406030204" pitchFamily="18" charset="0"/>
                          </a:rPr>
                        </m:ctrlPr>
                      </m:dPr>
                      <m:e>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25</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 </m:t>
                            </m:r>
                            <m:f>
                              <m:fPr>
                                <m:ctrlPr>
                                  <a:rPr lang="en-US" sz="1600" b="0" i="1">
                                    <a:latin typeface="Cambria Math" panose="02040503050406030204" pitchFamily="18" charset="0"/>
                                  </a:rPr>
                                </m:ctrlPr>
                              </m:fPr>
                              <m:num>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𝑐𝑜𝑜𝑙𝑖𝑛𝑔</m:t>
                                    </m:r>
                                  </m:sub>
                                </m:sSub>
                              </m:den>
                            </m:f>
                          </m:e>
                        </m:d>
                        <m:r>
                          <a:rPr lang="en-US" sz="1600" i="1">
                            <a:latin typeface="Cambria Math" panose="02040503050406030204" pitchFamily="18" charset="0"/>
                          </a:rPr>
                          <m:t>+ 2960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−30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e>
                    </m:d>
                    <m:r>
                      <a:rPr lang="en-US" sz="1600" i="1">
                        <a:latin typeface="Cambria Math" panose="02040503050406030204" pitchFamily="18" charset="0"/>
                      </a:rPr>
                      <m:t> ∗ </m:t>
                    </m:r>
                    <m:r>
                      <a:rPr lang="en-US" sz="1600" i="1">
                        <a:latin typeface="Cambria Math" panose="02040503050406030204" pitchFamily="18" charset="0"/>
                      </a:rPr>
                      <m:t>𝐻𝐹</m:t>
                    </m:r>
                  </m:oMath>
                </m:oMathPara>
              </a14:m>
              <a:endParaRPr lang="en-US" sz="1600"/>
            </a:p>
          </xdr:txBody>
        </xdr:sp>
      </mc:Choice>
      <mc:Fallback xmlns="">
        <xdr:sp macro="" textlink="">
          <xdr:nvSpPr>
            <xdr:cNvPr id="10" name="TextBox 9">
              <a:extLst>
                <a:ext uri="{FF2B5EF4-FFF2-40B4-BE49-F238E27FC236}">
                  <a16:creationId xmlns:a16="http://schemas.microsoft.com/office/drawing/2014/main" id="{AAB50A15-039E-49AC-AEFF-F692FD86E577}"/>
                </a:ext>
              </a:extLst>
            </xdr:cNvPr>
            <xdr:cNvSpPr txBox="1"/>
          </xdr:nvSpPr>
          <xdr:spPr>
            <a:xfrm>
              <a:off x="14953198" y="5823339"/>
              <a:ext cx="9283164" cy="14204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_(𝑐𝑜𝑛𝑡𝑖𝑛𝑢𝑜𝑢𝑠 𝑐𝑖𝑟𝑐𝑢𝑙𝑎𝑡𝑖𝑜𝑛) </a:t>
              </a:r>
              <a:r>
                <a:rPr lang="en-US" sz="1600" i="0">
                  <a:latin typeface="Cambria Math" panose="02040503050406030204" pitchFamily="18" charset="0"/>
                </a:rPr>
                <a:t> = ( ( 25 𝑘𝑊ℎ/𝑦𝑟  ∗ </a:t>
              </a:r>
              <a:r>
                <a:rPr lang="en-US" sz="1600" b="0" i="0">
                  <a:latin typeface="Cambria Math" panose="02040503050406030204" pitchFamily="18" charset="0"/>
                </a:rPr>
                <a:t>(𝐸𝐹𝐿𝐻_𝑐𝑜𝑜𝑙𝑖𝑛𝑔)/(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𝑐𝑜𝑜𝑙𝑖𝑛𝑔 </a:t>
              </a:r>
              <a:r>
                <a:rPr lang="en-US" sz="1600" b="0" i="0">
                  <a:latin typeface="Cambria Math" panose="02040503050406030204" pitchFamily="18" charset="0"/>
                </a:rPr>
                <a:t>))</a:t>
              </a:r>
              <a:r>
                <a:rPr lang="en-US" sz="1600" i="0">
                  <a:latin typeface="Cambria Math" panose="02040503050406030204" pitchFamily="18" charset="0"/>
                </a:rPr>
                <a:t>+ 2960 𝑘𝑊ℎ/𝑦𝑟  −30 𝑘𝑊ℎ/𝑦𝑟)  ∗ 𝐻𝐹</a:t>
              </a:r>
              <a:endParaRPr lang="en-US" sz="1600"/>
            </a:p>
          </xdr:txBody>
        </xdr:sp>
      </mc:Fallback>
    </mc:AlternateContent>
    <xdr:clientData/>
  </xdr:twoCellAnchor>
  <xdr:twoCellAnchor>
    <xdr:from>
      <xdr:col>4</xdr:col>
      <xdr:colOff>341539</xdr:colOff>
      <xdr:row>28</xdr:row>
      <xdr:rowOff>240454</xdr:rowOff>
    </xdr:from>
    <xdr:to>
      <xdr:col>4</xdr:col>
      <xdr:colOff>2475139</xdr:colOff>
      <xdr:row>29</xdr:row>
      <xdr:rowOff>228794</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303DF3C-9BD0-4613-9C5C-C6EFB058D044}"/>
                </a:ext>
              </a:extLst>
            </xdr:cNvPr>
            <xdr:cNvSpPr txBox="1"/>
          </xdr:nvSpPr>
          <xdr:spPr>
            <a:xfrm>
              <a:off x="3122839" y="6946054"/>
              <a:ext cx="2133600" cy="2359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l-GR" sz="1400" i="1">
                        <a:latin typeface="Cambria Math" panose="02040503050406030204" pitchFamily="18" charset="0"/>
                      </a:rPr>
                      <m:t>𝛥</m:t>
                    </m:r>
                    <m:r>
                      <a:rPr lang="en-US" sz="1400" i="1">
                        <a:latin typeface="Cambria Math" panose="02040503050406030204" pitchFamily="18" charset="0"/>
                      </a:rPr>
                      <m:t>𝑘𝑊</m:t>
                    </m:r>
                    <m:sSub>
                      <m:sSubPr>
                        <m:ctrlPr>
                          <a:rPr lang="en-US" sz="1400" b="0" i="1">
                            <a:latin typeface="Cambria Math" panose="02040503050406030204" pitchFamily="18" charset="0"/>
                          </a:rPr>
                        </m:ctrlPr>
                      </m:sSubPr>
                      <m:e>
                        <m:r>
                          <a:rPr lang="en-US" sz="1400" i="1">
                            <a:latin typeface="Cambria Math" panose="02040503050406030204" pitchFamily="18" charset="0"/>
                          </a:rPr>
                          <m:t>h</m:t>
                        </m:r>
                      </m:e>
                      <m:sub>
                        <m:r>
                          <a:rPr lang="en-US" sz="1400" b="0" i="1">
                            <a:latin typeface="Cambria Math" panose="02040503050406030204" pitchFamily="18" charset="0"/>
                          </a:rPr>
                          <m:t>𝑐𝑜𝑜𝑙𝑖𝑛𝑔</m:t>
                        </m:r>
                      </m:sub>
                    </m:sSub>
                    <m:r>
                      <a:rPr lang="en-US" sz="1400" b="0" i="1">
                        <a:latin typeface="Cambria Math" panose="02040503050406030204" pitchFamily="18" charset="0"/>
                      </a:rPr>
                      <m:t>∗</m:t>
                    </m:r>
                    <m:r>
                      <a:rPr lang="en-US" sz="1400" b="0" i="1">
                        <a:latin typeface="Cambria Math" panose="02040503050406030204" pitchFamily="18" charset="0"/>
                      </a:rPr>
                      <m:t>𝐶𝐹</m:t>
                    </m:r>
                  </m:oMath>
                </m:oMathPara>
              </a14:m>
              <a:endParaRPr lang="en-US" sz="1400"/>
            </a:p>
          </xdr:txBody>
        </xdr:sp>
      </mc:Choice>
      <mc:Fallback xmlns="">
        <xdr:sp macro="" textlink="">
          <xdr:nvSpPr>
            <xdr:cNvPr id="11" name="TextBox 10">
              <a:extLst>
                <a:ext uri="{FF2B5EF4-FFF2-40B4-BE49-F238E27FC236}">
                  <a16:creationId xmlns:a16="http://schemas.microsoft.com/office/drawing/2014/main" id="{1303DF3C-9BD0-4613-9C5C-C6EFB058D044}"/>
                </a:ext>
              </a:extLst>
            </xdr:cNvPr>
            <xdr:cNvSpPr txBox="1"/>
          </xdr:nvSpPr>
          <xdr:spPr>
            <a:xfrm>
              <a:off x="3122839" y="6946054"/>
              <a:ext cx="2133600" cy="2359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rPr>
                <a:t>𝛥</a:t>
              </a:r>
              <a:r>
                <a:rPr lang="en-US" sz="1400" i="0">
                  <a:latin typeface="Cambria Math" panose="02040503050406030204" pitchFamily="18" charset="0"/>
                </a:rPr>
                <a:t>𝑘𝑊ℎ</a:t>
              </a:r>
              <a:r>
                <a:rPr lang="en-US" sz="1400" b="0" i="0">
                  <a:latin typeface="Cambria Math" panose="02040503050406030204" pitchFamily="18" charset="0"/>
                </a:rPr>
                <a:t>_𝑐𝑜𝑜𝑙𝑖𝑛𝑔∗𝐶𝐹</a:t>
              </a:r>
              <a:endParaRPr lang="en-US" sz="1400"/>
            </a:p>
          </xdr:txBody>
        </xdr:sp>
      </mc:Fallback>
    </mc:AlternateContent>
    <xdr:clientData/>
  </xdr:twoCellAnchor>
  <xdr:twoCellAnchor>
    <xdr:from>
      <xdr:col>4</xdr:col>
      <xdr:colOff>299630</xdr:colOff>
      <xdr:row>19</xdr:row>
      <xdr:rowOff>176892</xdr:rowOff>
    </xdr:from>
    <xdr:to>
      <xdr:col>7</xdr:col>
      <xdr:colOff>450273</xdr:colOff>
      <xdr:row>23</xdr:row>
      <xdr:rowOff>51954</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2515C0F-9241-481F-81C5-045F365A984C}"/>
                </a:ext>
              </a:extLst>
            </xdr:cNvPr>
            <xdr:cNvSpPr txBox="1"/>
          </xdr:nvSpPr>
          <xdr:spPr>
            <a:xfrm>
              <a:off x="3080930" y="4653642"/>
              <a:ext cx="10094743" cy="8656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r>
                          <a:rPr lang="en-US" sz="1600" b="0" i="1">
                            <a:latin typeface="Cambria Math" panose="02040503050406030204" pitchFamily="18" charset="0"/>
                          </a:rPr>
                          <m:t> </m:t>
                        </m:r>
                        <m:r>
                          <a:rPr lang="en-US" sz="1600" i="1">
                            <a:latin typeface="Cambria Math" panose="02040503050406030204" pitchFamily="18" charset="0"/>
                          </a:rPr>
                          <m:t>𝑚𝑜𝑑𝑒</m:t>
                        </m:r>
                      </m:sub>
                    </m:sSub>
                    <m:r>
                      <a:rPr lang="en-US" sz="1600" i="1">
                        <a:latin typeface="Cambria Math" panose="02040503050406030204" pitchFamily="18" charset="0"/>
                      </a:rPr>
                      <m:t>=</m:t>
                    </m:r>
                    <m:d>
                      <m:dPr>
                        <m:ctrlPr>
                          <a:rPr lang="en-US" sz="1600" i="1">
                            <a:latin typeface="Cambria Math" panose="02040503050406030204" pitchFamily="18" charset="0"/>
                          </a:rPr>
                        </m:ctrlPr>
                      </m:dPr>
                      <m:e>
                        <m:r>
                          <a:rPr lang="en-US" sz="1600" i="1">
                            <a:latin typeface="Cambria Math" panose="02040503050406030204" pitchFamily="18" charset="0"/>
                          </a:rPr>
                          <m:t> 1 − % </m:t>
                        </m:r>
                        <m:r>
                          <a:rPr lang="en-US" sz="1600" i="1">
                            <a:latin typeface="Cambria Math" panose="02040503050406030204" pitchFamily="18" charset="0"/>
                          </a:rPr>
                          <m:t>𝑤𝑖𝑡h</m:t>
                        </m:r>
                        <m:r>
                          <a:rPr lang="en-US" sz="1600" i="1">
                            <a:latin typeface="Cambria Math" panose="02040503050406030204" pitchFamily="18" charset="0"/>
                          </a:rPr>
                          <m:t> </m:t>
                        </m:r>
                        <m:r>
                          <a:rPr lang="en-US" sz="1600" i="1">
                            <a:latin typeface="Cambria Math" panose="02040503050406030204" pitchFamily="18" charset="0"/>
                          </a:rPr>
                          <m:t>𝑁𝑒𝑤</m:t>
                        </m:r>
                        <m:r>
                          <a:rPr lang="en-US" sz="1600" i="1">
                            <a:latin typeface="Cambria Math" panose="02040503050406030204" pitchFamily="18" charset="0"/>
                          </a:rPr>
                          <m:t> </m:t>
                        </m:r>
                        <m:r>
                          <a:rPr lang="en-US" sz="1600" i="1">
                            <a:latin typeface="Cambria Math" panose="02040503050406030204" pitchFamily="18" charset="0"/>
                          </a:rPr>
                          <m:t>𝐴𝑆𝐻𝑃</m:t>
                        </m:r>
                        <m:r>
                          <a:rPr lang="en-US" sz="1600" i="1">
                            <a:latin typeface="Cambria Math" panose="02040503050406030204" pitchFamily="18" charset="0"/>
                          </a:rPr>
                          <m:t> </m:t>
                        </m:r>
                      </m:e>
                    </m:d>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400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h𝑒𝑎𝑡𝑖𝑛𝑔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h𝑒𝑎𝑡𝑖𝑛𝑔</m:t>
                                </m:r>
                              </m:sub>
                            </m:sSub>
                          </m:den>
                        </m:f>
                      </m:e>
                    </m:d>
                    <m:r>
                      <a:rPr lang="en-US" sz="1600" i="1">
                        <a:latin typeface="Cambria Math" panose="02040503050406030204" pitchFamily="18" charset="0"/>
                      </a:rPr>
                      <m:t>∗</m:t>
                    </m:r>
                    <m:r>
                      <a:rPr lang="en-US" sz="1600" i="1">
                        <a:latin typeface="Cambria Math" panose="02040503050406030204" pitchFamily="18" charset="0"/>
                      </a:rPr>
                      <m:t>𝐻𝐹</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02515C0F-9241-481F-81C5-045F365A984C}"/>
                </a:ext>
              </a:extLst>
            </xdr:cNvPr>
            <xdr:cNvSpPr txBox="1"/>
          </xdr:nvSpPr>
          <xdr:spPr>
            <a:xfrm>
              <a:off x="3080930" y="4653642"/>
              <a:ext cx="10094743" cy="8656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a:t>
              </a:r>
              <a:r>
                <a:rPr lang="en-US" sz="1600" b="0" i="0">
                  <a:latin typeface="Cambria Math" panose="02040503050406030204" pitchFamily="18" charset="0"/>
                </a:rPr>
                <a:t> </a:t>
              </a:r>
              <a:r>
                <a:rPr lang="en-US" sz="1600" i="0">
                  <a:latin typeface="Cambria Math" panose="02040503050406030204" pitchFamily="18" charset="0"/>
                </a:rPr>
                <a:t>𝑚𝑜𝑑𝑒</a:t>
              </a:r>
              <a:r>
                <a:rPr lang="en-US" sz="1600" b="0" i="0">
                  <a:latin typeface="Cambria Math" panose="02040503050406030204" pitchFamily="18" charset="0"/>
                </a:rPr>
                <a:t>)</a:t>
              </a:r>
              <a:r>
                <a:rPr lang="en-US" sz="1600" i="0">
                  <a:latin typeface="Cambria Math" panose="02040503050406030204" pitchFamily="18" charset="0"/>
                </a:rPr>
                <a:t>=( 1 − % 𝑤𝑖𝑡ℎ 𝑁𝑒𝑤 𝐴𝑆𝐻𝑃 )∗ ( 400 𝑘𝑊ℎ/𝑦𝑟∗(𝐸𝐹𝐿𝐻</a:t>
              </a:r>
              <a:r>
                <a:rPr lang="en-US" sz="1600" b="0" i="0">
                  <a:latin typeface="Cambria Math" panose="02040503050406030204" pitchFamily="18" charset="0"/>
                </a:rPr>
                <a:t>_</a:t>
              </a:r>
              <a:r>
                <a:rPr lang="en-US" sz="1600" i="0">
                  <a:latin typeface="Cambria Math" panose="02040503050406030204" pitchFamily="18" charset="0"/>
                </a:rPr>
                <a:t>ℎ𝑒𝑎𝑡𝑖𝑛𝑔)/(𝑊𝐼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ℎ𝑒𝑎𝑡𝑖𝑛𝑔 ))∗𝐻𝐹</a:t>
              </a:r>
              <a:endParaRPr lang="en-US" sz="1600"/>
            </a:p>
          </xdr:txBody>
        </xdr:sp>
      </mc:Fallback>
    </mc:AlternateContent>
    <xdr:clientData/>
  </xdr:twoCellAnchor>
  <xdr:twoCellAnchor>
    <xdr:from>
      <xdr:col>3</xdr:col>
      <xdr:colOff>934218</xdr:colOff>
      <xdr:row>23</xdr:row>
      <xdr:rowOff>206979</xdr:rowOff>
    </xdr:from>
    <xdr:to>
      <xdr:col>8</xdr:col>
      <xdr:colOff>119062</xdr:colOff>
      <xdr:row>28</xdr:row>
      <xdr:rowOff>173181</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1499FCC7-BD95-4C6D-802A-4F18A898ADA7}"/>
                </a:ext>
              </a:extLst>
            </xdr:cNvPr>
            <xdr:cNvSpPr txBox="1"/>
          </xdr:nvSpPr>
          <xdr:spPr>
            <a:xfrm>
              <a:off x="2505843" y="5674329"/>
              <a:ext cx="11472094" cy="120445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b="0" i="1">
                            <a:latin typeface="Cambria Math" panose="02040503050406030204" pitchFamily="18" charset="0"/>
                          </a:rPr>
                          <m:t>𝑐𝑜𝑜𝑙𝑖𝑛𝑔</m:t>
                        </m:r>
                        <m:r>
                          <a:rPr lang="en-US" sz="1600" b="0" i="1">
                            <a:latin typeface="Cambria Math" panose="02040503050406030204" pitchFamily="18" charset="0"/>
                          </a:rPr>
                          <m:t> </m:t>
                        </m:r>
                        <m:r>
                          <a:rPr lang="en-US" sz="1600" i="1">
                            <a:latin typeface="Cambria Math" panose="02040503050406030204" pitchFamily="18" charset="0"/>
                          </a:rPr>
                          <m:t>𝑚𝑜𝑑𝑒</m:t>
                        </m:r>
                      </m:sub>
                    </m:sSub>
                    <m:r>
                      <a:rPr lang="en-US" sz="1600" i="1">
                        <a:latin typeface="Cambria Math" panose="02040503050406030204" pitchFamily="18" charset="0"/>
                      </a:rPr>
                      <m:t>=</m:t>
                    </m:r>
                    <m:d>
                      <m:dPr>
                        <m:ctrlPr>
                          <a:rPr lang="en-US" sz="1600" i="1">
                            <a:latin typeface="Cambria Math" panose="02040503050406030204" pitchFamily="18" charset="0"/>
                          </a:rPr>
                        </m:ctrlPr>
                      </m:dPr>
                      <m:e>
                        <m:r>
                          <a:rPr lang="en-US" sz="1600" i="1">
                            <a:latin typeface="Cambria Math" panose="02040503050406030204" pitchFamily="18" charset="0"/>
                          </a:rPr>
                          <m:t> 1 − % </m:t>
                        </m:r>
                        <m:r>
                          <a:rPr lang="en-US" sz="1600" i="1">
                            <a:latin typeface="Cambria Math" panose="02040503050406030204" pitchFamily="18" charset="0"/>
                          </a:rPr>
                          <m:t>𝑤𝑖𝑡h</m:t>
                        </m:r>
                        <m:r>
                          <a:rPr lang="en-US" sz="1600" i="1">
                            <a:latin typeface="Cambria Math" panose="02040503050406030204" pitchFamily="18" charset="0"/>
                          </a:rPr>
                          <m:t> </m:t>
                        </m:r>
                        <m:r>
                          <a:rPr lang="en-US" sz="1600" i="1">
                            <a:latin typeface="Cambria Math" panose="02040503050406030204" pitchFamily="18" charset="0"/>
                          </a:rPr>
                          <m:t>𝑁𝑒𝑤</m:t>
                        </m:r>
                        <m:r>
                          <a:rPr lang="en-US" sz="1600" i="1">
                            <a:latin typeface="Cambria Math" panose="02040503050406030204" pitchFamily="18" charset="0"/>
                          </a:rPr>
                          <m:t> </m:t>
                        </m:r>
                        <m:r>
                          <a:rPr lang="en-US" sz="1600" b="0" i="1">
                            <a:latin typeface="Cambria Math" panose="02040503050406030204" pitchFamily="18" charset="0"/>
                          </a:rPr>
                          <m:t>𝐶𝑒𝑛𝑡𝑟𝑎𝑙</m:t>
                        </m:r>
                        <m:r>
                          <a:rPr lang="en-US" sz="1600" b="0" i="1">
                            <a:latin typeface="Cambria Math" panose="02040503050406030204" pitchFamily="18" charset="0"/>
                          </a:rPr>
                          <m:t> </m:t>
                        </m:r>
                        <m:r>
                          <a:rPr lang="en-US" sz="1600" b="0" i="1">
                            <a:latin typeface="Cambria Math" panose="02040503050406030204" pitchFamily="18" charset="0"/>
                          </a:rPr>
                          <m:t>𝐶𝑜𝑜𝑙𝑖𝑛𝑔</m:t>
                        </m:r>
                        <m:r>
                          <a:rPr lang="en-US" sz="1600" i="1">
                            <a:latin typeface="Cambria Math" panose="02040503050406030204" pitchFamily="18" charset="0"/>
                          </a:rPr>
                          <m:t> </m:t>
                        </m:r>
                      </m:e>
                    </m:d>
                    <m:r>
                      <a:rPr lang="en-US" sz="1600" i="1">
                        <a:latin typeface="Cambria Math" panose="02040503050406030204" pitchFamily="18" charset="0"/>
                      </a:rPr>
                      <m:t>∗ </m:t>
                    </m:r>
                    <m:d>
                      <m:dPr>
                        <m:ctrlPr>
                          <a:rPr lang="en-US" sz="1600" b="0" i="1">
                            <a:latin typeface="Cambria Math" panose="02040503050406030204" pitchFamily="18" charset="0"/>
                          </a:rPr>
                        </m:ctrlPr>
                      </m:dPr>
                      <m:e>
                        <m:r>
                          <a:rPr lang="en-US" sz="1600" b="0" i="1">
                            <a:latin typeface="Cambria Math" panose="02040503050406030204" pitchFamily="18" charset="0"/>
                          </a:rPr>
                          <m:t>7</m:t>
                        </m:r>
                        <m:r>
                          <a:rPr lang="en-US" sz="1600" i="1">
                            <a:latin typeface="Cambria Math" panose="02040503050406030204" pitchFamily="18" charset="0"/>
                          </a:rPr>
                          <m:t>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𝑐𝑜𝑜𝑙𝑖𝑛𝑔</m:t>
                                </m:r>
                              </m:sub>
                            </m:sSub>
                          </m:den>
                        </m:f>
                      </m:e>
                    </m:d>
                    <m:r>
                      <a:rPr lang="en-US" sz="1600" i="1">
                        <a:latin typeface="Cambria Math" panose="02040503050406030204" pitchFamily="18" charset="0"/>
                      </a:rPr>
                      <m:t>∗</m:t>
                    </m:r>
                    <m:r>
                      <a:rPr lang="en-US" sz="1600" i="1">
                        <a:latin typeface="Cambria Math" panose="02040503050406030204" pitchFamily="18" charset="0"/>
                      </a:rPr>
                      <m:t>𝐻𝐹</m:t>
                    </m:r>
                  </m:oMath>
                </m:oMathPara>
              </a14:m>
              <a:endParaRPr lang="en-US" sz="1600"/>
            </a:p>
          </xdr:txBody>
        </xdr:sp>
      </mc:Choice>
      <mc:Fallback xmlns="">
        <xdr:sp macro="" textlink="">
          <xdr:nvSpPr>
            <xdr:cNvPr id="13" name="TextBox 12">
              <a:extLst>
                <a:ext uri="{FF2B5EF4-FFF2-40B4-BE49-F238E27FC236}">
                  <a16:creationId xmlns:a16="http://schemas.microsoft.com/office/drawing/2014/main" id="{1499FCC7-BD95-4C6D-802A-4F18A898ADA7}"/>
                </a:ext>
              </a:extLst>
            </xdr:cNvPr>
            <xdr:cNvSpPr txBox="1"/>
          </xdr:nvSpPr>
          <xdr:spPr>
            <a:xfrm>
              <a:off x="2505843" y="5674329"/>
              <a:ext cx="11472094" cy="120445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_(𝑐𝑜𝑜𝑙𝑖𝑛𝑔 </a:t>
              </a:r>
              <a:r>
                <a:rPr lang="en-US" sz="1600" i="0">
                  <a:latin typeface="Cambria Math" panose="02040503050406030204" pitchFamily="18" charset="0"/>
                </a:rPr>
                <a:t>𝑚𝑜𝑑𝑒</a:t>
              </a:r>
              <a:r>
                <a:rPr lang="en-US" sz="1600" b="0" i="0">
                  <a:latin typeface="Cambria Math" panose="02040503050406030204" pitchFamily="18" charset="0"/>
                </a:rPr>
                <a:t>)</a:t>
              </a:r>
              <a:r>
                <a:rPr lang="en-US" sz="1600" i="0">
                  <a:latin typeface="Cambria Math" panose="02040503050406030204" pitchFamily="18" charset="0"/>
                </a:rPr>
                <a:t>=( 1 − % 𝑤𝑖𝑡ℎ 𝑁𝑒𝑤 </a:t>
              </a:r>
              <a:r>
                <a:rPr lang="en-US" sz="1600" b="0" i="0">
                  <a:latin typeface="Cambria Math" panose="02040503050406030204" pitchFamily="18" charset="0"/>
                </a:rPr>
                <a:t>𝐶𝑒𝑛𝑡𝑟𝑎𝑙 𝐶𝑜𝑜𝑙𝑖𝑛𝑔</a:t>
              </a:r>
              <a:r>
                <a:rPr lang="en-US" sz="1600" i="0">
                  <a:latin typeface="Cambria Math" panose="02040503050406030204" pitchFamily="18" charset="0"/>
                </a:rPr>
                <a:t> )∗ </a:t>
              </a:r>
              <a:r>
                <a:rPr lang="en-US" sz="1600" b="0" i="0">
                  <a:latin typeface="Cambria Math" panose="02040503050406030204" pitchFamily="18" charset="0"/>
                </a:rPr>
                <a:t>(7</a:t>
              </a:r>
              <a:r>
                <a:rPr lang="en-US" sz="1600" i="0">
                  <a:latin typeface="Cambria Math" panose="02040503050406030204" pitchFamily="18" charset="0"/>
                </a:rPr>
                <a:t>0 𝑘𝑊ℎ/𝑦𝑟∗(𝐸𝐹𝐿𝐻</a:t>
              </a:r>
              <a:r>
                <a:rPr lang="en-US" sz="1600" b="0" i="0">
                  <a:latin typeface="Cambria Math" panose="02040503050406030204" pitchFamily="18" charset="0"/>
                </a:rPr>
                <a:t>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_𝑐𝑜𝑜𝑙𝑖𝑛𝑔 ))</a:t>
              </a:r>
              <a:r>
                <a:rPr lang="en-US" sz="1600" i="0">
                  <a:latin typeface="Cambria Math" panose="02040503050406030204" pitchFamily="18" charset="0"/>
                </a:rPr>
                <a:t>∗𝐻𝐹</a:t>
              </a:r>
              <a:endParaRPr lang="en-US" sz="1600"/>
            </a:p>
          </xdr:txBody>
        </xdr:sp>
      </mc:Fallback>
    </mc:AlternateContent>
    <xdr:clientData/>
  </xdr:twoCellAnchor>
  <xdr:twoCellAnchor>
    <xdr:from>
      <xdr:col>9</xdr:col>
      <xdr:colOff>649704</xdr:colOff>
      <xdr:row>20</xdr:row>
      <xdr:rowOff>-1</xdr:rowOff>
    </xdr:from>
    <xdr:to>
      <xdr:col>17</xdr:col>
      <xdr:colOff>1143000</xdr:colOff>
      <xdr:row>24</xdr:row>
      <xdr:rowOff>67083</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7C110DA6-4A3E-4AD4-B372-6ED792A72562}"/>
                </a:ext>
              </a:extLst>
            </xdr:cNvPr>
            <xdr:cNvSpPr txBox="1"/>
          </xdr:nvSpPr>
          <xdr:spPr>
            <a:xfrm>
              <a:off x="15337254" y="4724399"/>
              <a:ext cx="8875296" cy="1057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𝑎𝑢𝑡𝑜</m:t>
                        </m:r>
                        <m:r>
                          <a:rPr lang="en-US" sz="1600" b="0" i="1">
                            <a:latin typeface="Cambria Math" panose="02040503050406030204" pitchFamily="18" charset="0"/>
                          </a:rPr>
                          <m:t> </m:t>
                        </m:r>
                        <m:r>
                          <a:rPr lang="en-US" sz="1600" b="0" i="1">
                            <a:latin typeface="Cambria Math" panose="02040503050406030204" pitchFamily="18" charset="0"/>
                          </a:rPr>
                          <m:t>𝑐𝑖𝑟𝑐𝑢𝑙𝑎𝑡𝑖𝑜𝑛</m:t>
                        </m:r>
                      </m:sub>
                    </m:sSub>
                    <m:r>
                      <a:rPr lang="en-US" sz="1600" i="1">
                        <a:latin typeface="Cambria Math" panose="02040503050406030204" pitchFamily="18" charset="0"/>
                      </a:rPr>
                      <m:t> = </m:t>
                    </m:r>
                    <m:d>
                      <m:dPr>
                        <m:ctrlPr>
                          <a:rPr lang="en-US" sz="1600" i="1">
                            <a:latin typeface="Cambria Math" panose="02040503050406030204" pitchFamily="18" charset="0"/>
                          </a:rPr>
                        </m:ctrlPr>
                      </m:dPr>
                      <m:e>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25</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 </m:t>
                            </m:r>
                            <m:f>
                              <m:fPr>
                                <m:ctrlPr>
                                  <a:rPr lang="en-US" sz="1600" b="0" i="1">
                                    <a:latin typeface="Cambria Math" panose="02040503050406030204" pitchFamily="18" charset="0"/>
                                  </a:rPr>
                                </m:ctrlPr>
                              </m:fPr>
                              <m:num>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𝑐𝑜𝑜𝑙𝑖𝑛𝑔</m:t>
                                    </m:r>
                                  </m:sub>
                                </m:sSub>
                              </m:den>
                            </m:f>
                          </m:e>
                        </m:d>
                        <m:r>
                          <a:rPr lang="en-US" sz="1600" i="1">
                            <a:latin typeface="Cambria Math" panose="02040503050406030204" pitchFamily="18" charset="0"/>
                          </a:rPr>
                          <m:t>+ 2960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m:t>
                        </m:r>
                        <m:r>
                          <a:rPr lang="en-US" sz="1600" b="0" i="1">
                            <a:solidFill>
                              <a:sysClr val="windowText" lastClr="000000"/>
                            </a:solidFill>
                            <a:latin typeface="Cambria Math" panose="02040503050406030204" pitchFamily="18" charset="0"/>
                          </a:rPr>
                          <m:t>1</m:t>
                        </m:r>
                        <m:r>
                          <a:rPr lang="en-US" sz="1600" i="1">
                            <a:solidFill>
                              <a:sysClr val="windowText" lastClr="000000"/>
                            </a:solidFill>
                            <a:latin typeface="Cambria Math" panose="02040503050406030204" pitchFamily="18" charset="0"/>
                          </a:rPr>
                          <m:t>0</m:t>
                        </m:r>
                        <m:r>
                          <a:rPr lang="en-US" sz="1600" i="1">
                            <a:latin typeface="Cambria Math" panose="02040503050406030204" pitchFamily="18" charset="0"/>
                          </a:rPr>
                          <m:t>%−30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e>
                    </m:d>
                    <m:r>
                      <a:rPr lang="en-US" sz="1600" i="1">
                        <a:latin typeface="Cambria Math" panose="02040503050406030204" pitchFamily="18" charset="0"/>
                      </a:rPr>
                      <m:t> ∗ </m:t>
                    </m:r>
                    <m:r>
                      <a:rPr lang="en-US" sz="1600" i="1">
                        <a:latin typeface="Cambria Math" panose="02040503050406030204" pitchFamily="18" charset="0"/>
                      </a:rPr>
                      <m:t>𝐻𝐹</m:t>
                    </m:r>
                  </m:oMath>
                </m:oMathPara>
              </a14:m>
              <a:endParaRPr lang="en-US" sz="1600"/>
            </a:p>
          </xdr:txBody>
        </xdr:sp>
      </mc:Choice>
      <mc:Fallback xmlns="">
        <xdr:sp macro="" textlink="">
          <xdr:nvSpPr>
            <xdr:cNvPr id="14" name="TextBox 13">
              <a:extLst>
                <a:ext uri="{FF2B5EF4-FFF2-40B4-BE49-F238E27FC236}">
                  <a16:creationId xmlns:a16="http://schemas.microsoft.com/office/drawing/2014/main" id="{7C110DA6-4A3E-4AD4-B372-6ED792A72562}"/>
                </a:ext>
              </a:extLst>
            </xdr:cNvPr>
            <xdr:cNvSpPr txBox="1"/>
          </xdr:nvSpPr>
          <xdr:spPr>
            <a:xfrm>
              <a:off x="15337254" y="4724399"/>
              <a:ext cx="8875296" cy="1057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𝑎𝑢𝑡𝑜</a:t>
              </a:r>
              <a:r>
                <a:rPr lang="en-US" sz="1600" b="0" i="0">
                  <a:latin typeface="Cambria Math" panose="02040503050406030204" pitchFamily="18" charset="0"/>
                </a:rPr>
                <a:t> 𝑐𝑖𝑟𝑐𝑢𝑙𝑎𝑡𝑖𝑜𝑛) </a:t>
              </a:r>
              <a:r>
                <a:rPr lang="en-US" sz="1600" i="0">
                  <a:latin typeface="Cambria Math" panose="02040503050406030204" pitchFamily="18" charset="0"/>
                </a:rPr>
                <a:t> = ( ( 25 𝑘𝑊ℎ/𝑦𝑟  ∗ </a:t>
              </a:r>
              <a:r>
                <a:rPr lang="en-US" sz="1600" b="0" i="0">
                  <a:latin typeface="Cambria Math" panose="02040503050406030204" pitchFamily="18" charset="0"/>
                </a:rPr>
                <a:t>(𝐸𝐹𝐿𝐻_𝑐𝑜𝑜𝑙𝑖𝑛𝑔)/(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𝑐𝑜𝑜𝑙𝑖𝑛𝑔 </a:t>
              </a:r>
              <a:r>
                <a:rPr lang="en-US" sz="1600" b="0" i="0">
                  <a:latin typeface="Cambria Math" panose="02040503050406030204" pitchFamily="18" charset="0"/>
                </a:rPr>
                <a:t>))</a:t>
              </a:r>
              <a:r>
                <a:rPr lang="en-US" sz="1600" i="0">
                  <a:latin typeface="Cambria Math" panose="02040503050406030204" pitchFamily="18" charset="0"/>
                </a:rPr>
                <a:t>+ 2960 𝑘𝑊ℎ/𝑦𝑟  ∗</a:t>
              </a:r>
              <a:r>
                <a:rPr lang="en-US" sz="1600" b="0" i="0">
                  <a:solidFill>
                    <a:sysClr val="windowText" lastClr="000000"/>
                  </a:solidFill>
                  <a:latin typeface="Cambria Math" panose="02040503050406030204" pitchFamily="18" charset="0"/>
                </a:rPr>
                <a:t>1</a:t>
              </a:r>
              <a:r>
                <a:rPr lang="en-US" sz="1600" i="0">
                  <a:solidFill>
                    <a:sysClr val="windowText" lastClr="000000"/>
                  </a:solidFill>
                  <a:latin typeface="Cambria Math" panose="02040503050406030204" pitchFamily="18" charset="0"/>
                </a:rPr>
                <a:t>0</a:t>
              </a:r>
              <a:r>
                <a:rPr lang="en-US" sz="1600" i="0">
                  <a:latin typeface="Cambria Math" panose="02040503050406030204" pitchFamily="18" charset="0"/>
                </a:rPr>
                <a:t>%−30 𝑘𝑊ℎ/𝑦𝑟)  ∗ 𝐻𝐹</a:t>
              </a:r>
              <a:endParaRPr lang="en-US" sz="1600"/>
            </a:p>
          </xdr:txBody>
        </xdr:sp>
      </mc:Fallback>
    </mc:AlternateContent>
    <xdr:clientData/>
  </xdr:twoCellAnchor>
  <xdr:twoCellAnchor>
    <xdr:from>
      <xdr:col>4</xdr:col>
      <xdr:colOff>190500</xdr:colOff>
      <xdr:row>127</xdr:row>
      <xdr:rowOff>54429</xdr:rowOff>
    </xdr:from>
    <xdr:to>
      <xdr:col>5</xdr:col>
      <xdr:colOff>2490107</xdr:colOff>
      <xdr:row>132</xdr:row>
      <xdr:rowOff>149679</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EFB3D3CC-AB80-4603-91D3-0715D42FEB90}"/>
                </a:ext>
              </a:extLst>
            </xdr:cNvPr>
            <xdr:cNvSpPr txBox="1"/>
          </xdr:nvSpPr>
          <xdr:spPr>
            <a:xfrm>
              <a:off x="2971800" y="27505479"/>
              <a:ext cx="6757307" cy="10477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𝐹𝐿𝐻𝑐𝑜𝑜𝑙</m:t>
                          </m:r>
                          <m:r>
                            <a:rPr lang="en-US" sz="1600" i="1">
                              <a:latin typeface="Cambria Math" panose="02040503050406030204" pitchFamily="18" charset="0"/>
                            </a:rPr>
                            <m:t> ∗ </m:t>
                          </m:r>
                          <m:r>
                            <a:rPr lang="en-US" sz="1600" i="1">
                              <a:latin typeface="Cambria Math" panose="02040503050406030204" pitchFamily="18" charset="0"/>
                            </a:rPr>
                            <m:t>𝐶𝑎𝑝𝑎𝑐𝑖𝑡𝑦</m:t>
                          </m:r>
                          <m:r>
                            <a:rPr lang="en-US" sz="1600" i="1">
                              <a:latin typeface="Cambria Math" panose="02040503050406030204" pitchFamily="18" charset="0"/>
                            </a:rPr>
                            <m:t> ∗ </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𝑒𝑥𝑖𝑠𝑡</m:t>
                                      </m:r>
                                    </m:sub>
                                  </m:sSub>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𝑒𝑒</m:t>
                                      </m:r>
                                    </m:sub>
                                  </m:sSub>
                                </m:den>
                              </m:f>
                            </m:e>
                          </m:d>
                        </m:num>
                        <m:den>
                          <m:r>
                            <a:rPr lang="en-US" sz="1600" i="1">
                              <a:latin typeface="Cambria Math" panose="02040503050406030204" pitchFamily="18" charset="0"/>
                            </a:rPr>
                            <m:t>1000</m:t>
                          </m:r>
                        </m:den>
                      </m:f>
                    </m:e>
                  </m:d>
                </m:oMath>
              </a14:m>
              <a:r>
                <a:rPr lang="en-US" sz="1600" i="1">
                  <a:solidFill>
                    <a:srgbClr val="FF0000"/>
                  </a:solidFill>
                  <a:latin typeface="Cambria Math" panose="02040503050406030204" pitchFamily="18" charset="0"/>
                </a:rPr>
                <a:t>*HF</a:t>
              </a:r>
            </a:p>
          </xdr:txBody>
        </xdr:sp>
      </mc:Choice>
      <mc:Fallback xmlns="">
        <xdr:sp macro="" textlink="">
          <xdr:nvSpPr>
            <xdr:cNvPr id="15" name="TextBox 14">
              <a:extLst>
                <a:ext uri="{FF2B5EF4-FFF2-40B4-BE49-F238E27FC236}">
                  <a16:creationId xmlns:a16="http://schemas.microsoft.com/office/drawing/2014/main" id="{EFB3D3CC-AB80-4603-91D3-0715D42FEB90}"/>
                </a:ext>
              </a:extLst>
            </xdr:cNvPr>
            <xdr:cNvSpPr txBox="1"/>
          </xdr:nvSpPr>
          <xdr:spPr>
            <a:xfrm>
              <a:off x="2971800" y="27505479"/>
              <a:ext cx="6757307" cy="10477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=((𝐹𝐿𝐻𝑐𝑜𝑜𝑙 ∗ 𝐶𝑎𝑝𝑎𝑐𝑖𝑡𝑦 ∗ (1/(𝑆𝐸𝐸𝑅</a:t>
              </a:r>
              <a:r>
                <a:rPr lang="en-US" sz="1600" b="0" i="0">
                  <a:latin typeface="Cambria Math" panose="02040503050406030204" pitchFamily="18" charset="0"/>
                </a:rPr>
                <a:t>_</a:t>
              </a:r>
              <a:r>
                <a:rPr lang="en-US" sz="1600" i="0">
                  <a:latin typeface="Cambria Math" panose="02040503050406030204" pitchFamily="18" charset="0"/>
                </a:rPr>
                <a:t>𝑒𝑥𝑖𝑠𝑡 )−1/(𝑆𝐸𝐸𝑅</a:t>
              </a:r>
              <a:r>
                <a:rPr lang="en-US" sz="1600" b="0" i="0">
                  <a:latin typeface="Cambria Math" panose="02040503050406030204" pitchFamily="18" charset="0"/>
                </a:rPr>
                <a:t>_</a:t>
              </a:r>
              <a:r>
                <a:rPr lang="en-US" sz="1600" i="0">
                  <a:latin typeface="Cambria Math" panose="02040503050406030204" pitchFamily="18" charset="0"/>
                </a:rPr>
                <a:t>𝑒𝑒 )))/1000)</a:t>
              </a:r>
              <a:r>
                <a:rPr lang="en-US" sz="1600" i="1">
                  <a:solidFill>
                    <a:srgbClr val="FF0000"/>
                  </a:solidFill>
                  <a:latin typeface="Cambria Math" panose="02040503050406030204" pitchFamily="18" charset="0"/>
                </a:rPr>
                <a:t>*HF</a:t>
              </a:r>
            </a:p>
          </xdr:txBody>
        </xdr:sp>
      </mc:Fallback>
    </mc:AlternateContent>
    <xdr:clientData/>
  </xdr:twoCellAnchor>
  <xdr:twoCellAnchor>
    <xdr:from>
      <xdr:col>5</xdr:col>
      <xdr:colOff>3304060</xdr:colOff>
      <xdr:row>128</xdr:row>
      <xdr:rowOff>4949</xdr:rowOff>
    </xdr:from>
    <xdr:to>
      <xdr:col>11</xdr:col>
      <xdr:colOff>831272</xdr:colOff>
      <xdr:row>132</xdr:row>
      <xdr:rowOff>182967</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CFF966EC-0774-40B0-A93A-469DCE1A4F72}"/>
                </a:ext>
              </a:extLst>
            </xdr:cNvPr>
            <xdr:cNvSpPr txBox="1"/>
          </xdr:nvSpPr>
          <xdr:spPr>
            <a:xfrm>
              <a:off x="10543060" y="27646499"/>
              <a:ext cx="6595012" cy="94001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𝐹𝐿𝐻𝑐𝑜𝑜𝑙</m:t>
                          </m:r>
                          <m:r>
                            <a:rPr lang="en-US" sz="1600" i="1">
                              <a:latin typeface="Cambria Math" panose="02040503050406030204" pitchFamily="18" charset="0"/>
                            </a:rPr>
                            <m:t> ∗ </m:t>
                          </m:r>
                          <m:r>
                            <a:rPr lang="en-US" sz="1600" i="1">
                              <a:latin typeface="Cambria Math" panose="02040503050406030204" pitchFamily="18" charset="0"/>
                            </a:rPr>
                            <m:t>𝐶𝑎𝑝𝑎𝑐𝑖𝑡𝑦</m:t>
                          </m:r>
                          <m:r>
                            <a:rPr lang="en-US" sz="1600" i="1">
                              <a:latin typeface="Cambria Math" panose="02040503050406030204" pitchFamily="18" charset="0"/>
                            </a:rPr>
                            <m:t> ∗ </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b="0" i="1">
                                          <a:latin typeface="Cambria Math" panose="02040503050406030204" pitchFamily="18" charset="0"/>
                                        </a:rPr>
                                        <m:t>𝑏𝑎𝑠𝑒</m:t>
                                      </m:r>
                                    </m:sub>
                                  </m:sSub>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𝑒𝑒</m:t>
                                      </m:r>
                                    </m:sub>
                                  </m:sSub>
                                </m:den>
                              </m:f>
                            </m:e>
                          </m:d>
                        </m:num>
                        <m:den>
                          <m:r>
                            <a:rPr lang="en-US" sz="1600" i="1">
                              <a:latin typeface="Cambria Math" panose="02040503050406030204" pitchFamily="18" charset="0"/>
                            </a:rPr>
                            <m:t>1000</m:t>
                          </m:r>
                        </m:den>
                      </m:f>
                    </m:e>
                  </m:d>
                </m:oMath>
              </a14:m>
              <a:r>
                <a:rPr lang="en-US" sz="1600" i="1">
                  <a:solidFill>
                    <a:srgbClr val="FF0000"/>
                  </a:solidFill>
                  <a:latin typeface="Cambria Math" panose="02040503050406030204" pitchFamily="18" charset="0"/>
                </a:rPr>
                <a:t>*HF</a:t>
              </a:r>
            </a:p>
          </xdr:txBody>
        </xdr:sp>
      </mc:Choice>
      <mc:Fallback xmlns="">
        <xdr:sp macro="" textlink="">
          <xdr:nvSpPr>
            <xdr:cNvPr id="16" name="TextBox 15">
              <a:extLst>
                <a:ext uri="{FF2B5EF4-FFF2-40B4-BE49-F238E27FC236}">
                  <a16:creationId xmlns:a16="http://schemas.microsoft.com/office/drawing/2014/main" id="{CFF966EC-0774-40B0-A93A-469DCE1A4F72}"/>
                </a:ext>
              </a:extLst>
            </xdr:cNvPr>
            <xdr:cNvSpPr txBox="1"/>
          </xdr:nvSpPr>
          <xdr:spPr>
            <a:xfrm>
              <a:off x="10543060" y="27646499"/>
              <a:ext cx="6595012" cy="94001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=((𝐹𝐿𝐻𝑐𝑜𝑜𝑙 ∗ 𝐶𝑎𝑝𝑎𝑐𝑖𝑡𝑦 ∗ (1/(𝑆𝐸𝐸𝑅</a:t>
              </a:r>
              <a:r>
                <a:rPr lang="en-US" sz="1600" b="0" i="0">
                  <a:latin typeface="Cambria Math" panose="02040503050406030204" pitchFamily="18" charset="0"/>
                </a:rPr>
                <a:t>_𝑏𝑎𝑠𝑒 )</a:t>
              </a:r>
              <a:r>
                <a:rPr lang="en-US" sz="1600" i="0">
                  <a:latin typeface="Cambria Math" panose="02040503050406030204" pitchFamily="18" charset="0"/>
                </a:rPr>
                <a:t>−1/(𝑆𝐸𝐸𝑅</a:t>
              </a:r>
              <a:r>
                <a:rPr lang="en-US" sz="1600" b="0" i="0">
                  <a:latin typeface="Cambria Math" panose="02040503050406030204" pitchFamily="18" charset="0"/>
                </a:rPr>
                <a:t>_</a:t>
              </a:r>
              <a:r>
                <a:rPr lang="en-US" sz="1600" i="0">
                  <a:latin typeface="Cambria Math" panose="02040503050406030204" pitchFamily="18" charset="0"/>
                </a:rPr>
                <a:t>𝑒𝑒 )))/1000)</a:t>
              </a:r>
              <a:r>
                <a:rPr lang="en-US" sz="1600" i="1">
                  <a:solidFill>
                    <a:srgbClr val="FF0000"/>
                  </a:solidFill>
                  <a:latin typeface="Cambria Math" panose="02040503050406030204" pitchFamily="18" charset="0"/>
                </a:rPr>
                <a:t>*HF</a:t>
              </a:r>
            </a:p>
          </xdr:txBody>
        </xdr:sp>
      </mc:Fallback>
    </mc:AlternateContent>
    <xdr:clientData/>
  </xdr:twoCellAnchor>
  <xdr:twoCellAnchor>
    <xdr:from>
      <xdr:col>4</xdr:col>
      <xdr:colOff>14286</xdr:colOff>
      <xdr:row>135</xdr:row>
      <xdr:rowOff>19050</xdr:rowOff>
    </xdr:from>
    <xdr:to>
      <xdr:col>4</xdr:col>
      <xdr:colOff>2271193</xdr:colOff>
      <xdr:row>136</xdr:row>
      <xdr:rowOff>95161</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1C0DAD24-FB49-4A8D-8E47-4269B1B10DE9}"/>
                </a:ext>
              </a:extLst>
            </xdr:cNvPr>
            <xdr:cNvSpPr txBox="1"/>
          </xdr:nvSpPr>
          <xdr:spPr>
            <a:xfrm>
              <a:off x="2795586" y="28994100"/>
              <a:ext cx="2256907"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7" name="TextBox 16">
              <a:extLst>
                <a:ext uri="{FF2B5EF4-FFF2-40B4-BE49-F238E27FC236}">
                  <a16:creationId xmlns:a16="http://schemas.microsoft.com/office/drawing/2014/main" id="{1C0DAD24-FB49-4A8D-8E47-4269B1B10DE9}"/>
                </a:ext>
              </a:extLst>
            </xdr:cNvPr>
            <xdr:cNvSpPr txBox="1"/>
          </xdr:nvSpPr>
          <xdr:spPr>
            <a:xfrm>
              <a:off x="2795586" y="28994100"/>
              <a:ext cx="2256907"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198684</xdr:colOff>
      <xdr:row>373</xdr:row>
      <xdr:rowOff>104775</xdr:rowOff>
    </xdr:from>
    <xdr:to>
      <xdr:col>11</xdr:col>
      <xdr:colOff>258536</xdr:colOff>
      <xdr:row>377</xdr:row>
      <xdr:rowOff>126195</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1B6D5873-0788-490E-9394-CC97126C6B3F}"/>
                </a:ext>
              </a:extLst>
            </xdr:cNvPr>
            <xdr:cNvSpPr txBox="1"/>
          </xdr:nvSpPr>
          <xdr:spPr>
            <a:xfrm>
              <a:off x="1770309" y="75142725"/>
              <a:ext cx="14795027"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a:t>
              </a:r>
              <a:endParaRPr lang="en-US" sz="1600" i="1">
                <a:solidFill>
                  <a:srgbClr val="FF0000"/>
                </a:solidFill>
                <a:latin typeface="Cambria Math" panose="02040503050406030204" pitchFamily="18" charset="0"/>
              </a:endParaRPr>
            </a:p>
          </xdr:txBody>
        </xdr:sp>
      </mc:Choice>
      <mc:Fallback xmlns="">
        <xdr:sp macro="" textlink="">
          <xdr:nvSpPr>
            <xdr:cNvPr id="18" name="TextBox 17">
              <a:extLst>
                <a:ext uri="{FF2B5EF4-FFF2-40B4-BE49-F238E27FC236}">
                  <a16:creationId xmlns:a16="http://schemas.microsoft.com/office/drawing/2014/main" id="{1B6D5873-0788-490E-9394-CC97126C6B3F}"/>
                </a:ext>
              </a:extLst>
            </xdr:cNvPr>
            <xdr:cNvSpPr txBox="1"/>
          </xdr:nvSpPr>
          <xdr:spPr>
            <a:xfrm>
              <a:off x="1770309" y="75142725"/>
              <a:ext cx="14795027"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386</xdr:row>
      <xdr:rowOff>28575</xdr:rowOff>
    </xdr:from>
    <xdr:to>
      <xdr:col>4</xdr:col>
      <xdr:colOff>924086</xdr:colOff>
      <xdr:row>387</xdr:row>
      <xdr:rowOff>104686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2C4B6C36-3000-4C90-BCC0-D06B8827C3A7}"/>
                </a:ext>
              </a:extLst>
            </xdr:cNvPr>
            <xdr:cNvSpPr txBox="1"/>
          </xdr:nvSpPr>
          <xdr:spPr>
            <a:xfrm>
              <a:off x="1585911" y="77543025"/>
              <a:ext cx="2119475"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9" name="TextBox 18">
              <a:extLst>
                <a:ext uri="{FF2B5EF4-FFF2-40B4-BE49-F238E27FC236}">
                  <a16:creationId xmlns:a16="http://schemas.microsoft.com/office/drawing/2014/main" id="{2C4B6C36-3000-4C90-BCC0-D06B8827C3A7}"/>
                </a:ext>
              </a:extLst>
            </xdr:cNvPr>
            <xdr:cNvSpPr txBox="1"/>
          </xdr:nvSpPr>
          <xdr:spPr>
            <a:xfrm>
              <a:off x="1585911" y="77543025"/>
              <a:ext cx="2119475"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142875</xdr:colOff>
      <xdr:row>379</xdr:row>
      <xdr:rowOff>85725</xdr:rowOff>
    </xdr:from>
    <xdr:to>
      <xdr:col>22</xdr:col>
      <xdr:colOff>138545</xdr:colOff>
      <xdr:row>383</xdr:row>
      <xdr:rowOff>107145</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8C6A869D-AB4D-4535-A7B2-57DCB14EDF23}"/>
                </a:ext>
              </a:extLst>
            </xdr:cNvPr>
            <xdr:cNvSpPr txBox="1"/>
          </xdr:nvSpPr>
          <xdr:spPr>
            <a:xfrm>
              <a:off x="1714500" y="76266675"/>
              <a:ext cx="26589470"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𝐻𝐹</m:t>
                    </m:r>
                  </m:oMath>
                </m:oMathPara>
              </a14:m>
              <a:endParaRPr lang="en-US" sz="1600" i="1">
                <a:solidFill>
                  <a:srgbClr val="FF0000"/>
                </a:solidFill>
                <a:latin typeface="Cambria Math" panose="02040503050406030204" pitchFamily="18" charset="0"/>
              </a:endParaRPr>
            </a:p>
          </xdr:txBody>
        </xdr:sp>
      </mc:Choice>
      <mc:Fallback xmlns="">
        <xdr:sp macro="" textlink="">
          <xdr:nvSpPr>
            <xdr:cNvPr id="20" name="TextBox 19">
              <a:extLst>
                <a:ext uri="{FF2B5EF4-FFF2-40B4-BE49-F238E27FC236}">
                  <a16:creationId xmlns:a16="http://schemas.microsoft.com/office/drawing/2014/main" id="{8C6A869D-AB4D-4535-A7B2-57DCB14EDF23}"/>
                </a:ext>
              </a:extLst>
            </xdr:cNvPr>
            <xdr:cNvSpPr txBox="1"/>
          </xdr:nvSpPr>
          <xdr:spPr>
            <a:xfrm>
              <a:off x="1714500" y="76266675"/>
              <a:ext cx="26589470"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 </a:t>
              </a:r>
              <a:r>
                <a:rPr lang="en-US" sz="1600" b="0" i="0">
                  <a:solidFill>
                    <a:sysClr val="windowText" lastClr="000000"/>
                  </a:solidFill>
                  <a:latin typeface="Cambria Math" panose="02040503050406030204" pitchFamily="18" charset="0"/>
                </a:rPr>
                <a:t> ∗𝐻𝐹</a:t>
              </a:r>
              <a:endParaRPr lang="en-US" sz="1600" i="1">
                <a:solidFill>
                  <a:srgbClr val="FF0000"/>
                </a:solidFill>
                <a:latin typeface="Cambria Math" panose="02040503050406030204" pitchFamily="18" charset="0"/>
              </a:endParaRPr>
            </a:p>
          </xdr:txBody>
        </xdr:sp>
      </mc:Fallback>
    </mc:AlternateContent>
    <xdr:clientData/>
  </xdr:twoCellAnchor>
  <xdr:twoCellAnchor>
    <xdr:from>
      <xdr:col>1</xdr:col>
      <xdr:colOff>77458</xdr:colOff>
      <xdr:row>576</xdr:row>
      <xdr:rowOff>866</xdr:rowOff>
    </xdr:from>
    <xdr:to>
      <xdr:col>11</xdr:col>
      <xdr:colOff>917864</xdr:colOff>
      <xdr:row>580</xdr:row>
      <xdr:rowOff>22286</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3101BC59-1564-4A47-BEA6-74B703C674D8}"/>
                </a:ext>
              </a:extLst>
            </xdr:cNvPr>
            <xdr:cNvSpPr txBox="1"/>
          </xdr:nvSpPr>
          <xdr:spPr>
            <a:xfrm>
              <a:off x="296533" y="114605666"/>
              <a:ext cx="16928131"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1" name="TextBox 20">
              <a:extLst>
                <a:ext uri="{FF2B5EF4-FFF2-40B4-BE49-F238E27FC236}">
                  <a16:creationId xmlns:a16="http://schemas.microsoft.com/office/drawing/2014/main" id="{3101BC59-1564-4A47-BEA6-74B703C674D8}"/>
                </a:ext>
              </a:extLst>
            </xdr:cNvPr>
            <xdr:cNvSpPr txBox="1"/>
          </xdr:nvSpPr>
          <xdr:spPr>
            <a:xfrm>
              <a:off x="296533" y="114605666"/>
              <a:ext cx="16928131"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589</xdr:row>
      <xdr:rowOff>28575</xdr:rowOff>
    </xdr:from>
    <xdr:to>
      <xdr:col>4</xdr:col>
      <xdr:colOff>3169228</xdr:colOff>
      <xdr:row>590</xdr:row>
      <xdr:rowOff>155864</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4FE25D60-6ABE-4197-A387-A617711E2344}"/>
                </a:ext>
              </a:extLst>
            </xdr:cNvPr>
            <xdr:cNvSpPr txBox="1"/>
          </xdr:nvSpPr>
          <xdr:spPr>
            <a:xfrm>
              <a:off x="1585911" y="117109875"/>
              <a:ext cx="4364617" cy="31778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2" name="TextBox 21">
              <a:extLst>
                <a:ext uri="{FF2B5EF4-FFF2-40B4-BE49-F238E27FC236}">
                  <a16:creationId xmlns:a16="http://schemas.microsoft.com/office/drawing/2014/main" id="{4FE25D60-6ABE-4197-A387-A617711E2344}"/>
                </a:ext>
              </a:extLst>
            </xdr:cNvPr>
            <xdr:cNvSpPr txBox="1"/>
          </xdr:nvSpPr>
          <xdr:spPr>
            <a:xfrm>
              <a:off x="1585911" y="117109875"/>
              <a:ext cx="4364617" cy="31778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582</xdr:row>
      <xdr:rowOff>85725</xdr:rowOff>
    </xdr:from>
    <xdr:to>
      <xdr:col>13</xdr:col>
      <xdr:colOff>415636</xdr:colOff>
      <xdr:row>586</xdr:row>
      <xdr:rowOff>107145</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C34D1A5B-4015-445C-B5BA-34F9BE1C6E57}"/>
                </a:ext>
              </a:extLst>
            </xdr:cNvPr>
            <xdr:cNvSpPr txBox="1"/>
          </xdr:nvSpPr>
          <xdr:spPr>
            <a:xfrm>
              <a:off x="1714501" y="115833525"/>
              <a:ext cx="17579685"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3" name="TextBox 22">
              <a:extLst>
                <a:ext uri="{FF2B5EF4-FFF2-40B4-BE49-F238E27FC236}">
                  <a16:creationId xmlns:a16="http://schemas.microsoft.com/office/drawing/2014/main" id="{C34D1A5B-4015-445C-B5BA-34F9BE1C6E57}"/>
                </a:ext>
              </a:extLst>
            </xdr:cNvPr>
            <xdr:cNvSpPr txBox="1"/>
          </xdr:nvSpPr>
          <xdr:spPr>
            <a:xfrm>
              <a:off x="1714501" y="115833525"/>
              <a:ext cx="17579685"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198684</xdr:colOff>
      <xdr:row>691</xdr:row>
      <xdr:rowOff>104775</xdr:rowOff>
    </xdr:from>
    <xdr:to>
      <xdr:col>12</xdr:col>
      <xdr:colOff>259772</xdr:colOff>
      <xdr:row>695</xdr:row>
      <xdr:rowOff>126195</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D8356CBF-D9F1-4A83-8E1E-155779AA4B9C}"/>
                </a:ext>
              </a:extLst>
            </xdr:cNvPr>
            <xdr:cNvSpPr txBox="1"/>
          </xdr:nvSpPr>
          <xdr:spPr>
            <a:xfrm>
              <a:off x="1770309" y="137702925"/>
              <a:ext cx="16320263"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f>
                      <m:fPr>
                        <m:ctrlPr>
                          <a:rPr lang="en-US" sz="1600" i="1">
                            <a:solidFill>
                              <a:schemeClr val="tx1"/>
                            </a:solidFill>
                            <a:effectLst/>
                            <a:latin typeface="Cambria Math" panose="02040503050406030204" pitchFamily="18" charset="0"/>
                            <a:ea typeface="+mn-ea"/>
                            <a:cs typeface="+mn-cs"/>
                          </a:rPr>
                        </m:ctrlPr>
                      </m:fPr>
                      <m:num>
                        <m:d>
                          <m:dPr>
                            <m:ctrlPr>
                              <a:rPr lang="en-US" sz="1600" b="0" i="1">
                                <a:solidFill>
                                  <a:schemeClr val="tx1"/>
                                </a:solidFill>
                                <a:effectLst/>
                                <a:latin typeface="Cambria Math" panose="02040503050406030204" pitchFamily="18" charset="0"/>
                                <a:ea typeface="+mn-ea"/>
                                <a:cs typeface="+mn-cs"/>
                              </a:rPr>
                            </m:ctrlPr>
                          </m:dPr>
                          <m:e>
                            <m:r>
                              <a:rPr lang="en-US" sz="1600" b="0" i="1">
                                <a:solidFill>
                                  <a:schemeClr val="tx1"/>
                                </a:solidFill>
                                <a:effectLst/>
                                <a:latin typeface="Cambria Math" panose="02040503050406030204" pitchFamily="18" charset="0"/>
                                <a:ea typeface="+mn-ea"/>
                                <a:cs typeface="+mn-cs"/>
                              </a:rPr>
                              <m:t>𝐸</m:t>
                            </m:r>
                            <m:r>
                              <a:rPr lang="en-US" sz="1600" i="1">
                                <a:solidFill>
                                  <a:schemeClr val="tx1"/>
                                </a:solidFill>
                                <a:effectLst/>
                                <a:latin typeface="Cambria Math" panose="02040503050406030204" pitchFamily="18" charset="0"/>
                                <a:ea typeface="+mn-ea"/>
                                <a:cs typeface="+mn-cs"/>
                              </a:rPr>
                              <m:t>𝐹𝐿</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𝐻</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 ∗ </m:t>
                            </m:r>
                            <m:r>
                              <a:rPr lang="en-US" sz="1600" i="1">
                                <a:solidFill>
                                  <a:schemeClr val="tx1"/>
                                </a:solidFill>
                                <a:effectLst/>
                                <a:latin typeface="Cambria Math" panose="02040503050406030204" pitchFamily="18" charset="0"/>
                                <a:ea typeface="+mn-ea"/>
                                <a:cs typeface="+mn-cs"/>
                              </a:rPr>
                              <m:t>𝐶𝑎𝑝𝑎𝑐𝑖𝑡</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𝑦</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m:t>
                            </m:r>
                            <m:d>
                              <m:dPr>
                                <m:ctrlPr>
                                  <a:rPr lang="en-US" sz="1600" i="1">
                                    <a:solidFill>
                                      <a:schemeClr val="tx1"/>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𝑒𝑥𝑖𝑠𝑡</m:t>
                                        </m:r>
                                      </m:sub>
                                    </m:sSub>
                                  </m:den>
                                </m:f>
                                <m:r>
                                  <a:rPr lang="en-US" sz="1600" i="1">
                                    <a:solidFill>
                                      <a:schemeClr val="tx1"/>
                                    </a:solidFill>
                                    <a:effectLst/>
                                    <a:latin typeface="Cambria Math" panose="02040503050406030204" pitchFamily="18" charset="0"/>
                                    <a:ea typeface="+mn-ea"/>
                                    <a:cs typeface="+mn-cs"/>
                                  </a:rPr>
                                  <m:t>−</m:t>
                                </m:r>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𝑒𝑒</m:t>
                                        </m:r>
                                      </m:sub>
                                    </m:sSub>
                                  </m:den>
                                </m:f>
                              </m:e>
                            </m:d>
                          </m:e>
                        </m:d>
                      </m:num>
                      <m:den>
                        <m:r>
                          <a:rPr lang="en-US" sz="1600" i="1">
                            <a:solidFill>
                              <a:schemeClr val="tx1"/>
                            </a:solidFill>
                            <a:effectLst/>
                            <a:latin typeface="Cambria Math" panose="02040503050406030204" pitchFamily="18" charset="0"/>
                            <a:ea typeface="+mn-ea"/>
                            <a:cs typeface="+mn-cs"/>
                          </a:rPr>
                          <m:t>1000</m:t>
                        </m:r>
                      </m:den>
                    </m:f>
                    <m:r>
                      <a:rPr lang="en-US" sz="1600" b="0" i="1">
                        <a:latin typeface="Cambria Math" panose="02040503050406030204" pitchFamily="18" charset="0"/>
                      </a:rPr>
                      <m:t>+</m:t>
                    </m:r>
                    <m:f>
                      <m:fPr>
                        <m:ctrlPr>
                          <a:rPr lang="en-US" sz="1600" b="0" i="1">
                            <a:latin typeface="Cambria Math" panose="02040503050406030204" pitchFamily="18" charset="0"/>
                          </a:rPr>
                        </m:ctrlPr>
                      </m:fPr>
                      <m:num>
                        <m:d>
                          <m:dPr>
                            <m:ctrlPr>
                              <a:rPr lang="en-US" sz="1600" b="0" i="1">
                                <a:latin typeface="Cambria Math" panose="02040503050406030204" pitchFamily="18" charset="0"/>
                              </a:rPr>
                            </m:ctrlPr>
                          </m:dPr>
                          <m:e>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r>
                              <a:rPr lang="en-US" sz="1600" b="0" i="1">
                                <a:latin typeface="Cambria Math" panose="02040503050406030204" pitchFamily="18" charset="0"/>
                              </a:rPr>
                              <m:t>𝐶𝑎𝑝𝑎𝑐𝑖𝑡</m:t>
                            </m:r>
                            <m:sSub>
                              <m:sSubPr>
                                <m:ctrlPr>
                                  <a:rPr lang="en-US" sz="1600" b="0" i="1">
                                    <a:latin typeface="Cambria Math" panose="02040503050406030204" pitchFamily="18" charset="0"/>
                                  </a:rPr>
                                </m:ctrlPr>
                              </m:sSubPr>
                              <m:e>
                                <m:r>
                                  <a:rPr lang="en-US" sz="1600" b="0" i="1">
                                    <a:latin typeface="Cambria Math" panose="02040503050406030204" pitchFamily="18" charset="0"/>
                                  </a:rPr>
                                  <m:t>𝑦</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d>
                              <m:dPr>
                                <m:ctrlPr>
                                  <a:rPr lang="en-US" sz="1600" b="0" i="1">
                                    <a:latin typeface="Cambria Math" panose="02040503050406030204" pitchFamily="18" charset="0"/>
                                  </a:rPr>
                                </m:ctrlPr>
                              </m:dPr>
                              <m:e>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1</m:t>
                                    </m:r>
                                  </m:num>
                                  <m:den>
                                    <m:r>
                                      <a:rPr lang="en-US" sz="1600" b="0" i="1">
                                        <a:solidFill>
                                          <a:sysClr val="windowText" lastClr="000000"/>
                                        </a:solidFill>
                                        <a:latin typeface="Cambria Math" panose="02040503050406030204" pitchFamily="18" charset="0"/>
                                      </a:rPr>
                                      <m:t>𝐸𝐸</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𝑒𝑥𝑖𝑠𝑡</m:t>
                                        </m:r>
                                      </m:sub>
                                    </m:sSub>
                                  </m:den>
                                </m:f>
                                <m:r>
                                  <a:rPr lang="en-US" sz="1600" b="0" i="1">
                                    <a:solidFill>
                                      <a:sysClr val="windowText" lastClr="000000"/>
                                    </a:solidFill>
                                    <a:latin typeface="Cambria Math" panose="02040503050406030204" pitchFamily="18" charset="0"/>
                                  </a:rPr>
                                  <m:t>−</m:t>
                                </m:r>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1</m:t>
                                    </m:r>
                                  </m:num>
                                  <m:den>
                                    <m:r>
                                      <a:rPr lang="en-US" sz="1600" b="0" i="1">
                                        <a:solidFill>
                                          <a:sysClr val="windowText" lastClr="000000"/>
                                        </a:solidFill>
                                        <a:latin typeface="Cambria Math" panose="02040503050406030204" pitchFamily="18" charset="0"/>
                                      </a:rPr>
                                      <m:t>𝐸𝐸</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𝑒𝑒</m:t>
                                        </m:r>
                                      </m:sub>
                                    </m:sSub>
                                  </m:den>
                                </m:f>
                              </m:e>
                            </m:d>
                          </m:e>
                        </m:d>
                      </m:num>
                      <m:den>
                        <m:r>
                          <a:rPr lang="en-US" sz="1600" b="0" i="1">
                            <a:latin typeface="Cambria Math" panose="02040503050406030204" pitchFamily="18" charset="0"/>
                          </a:rPr>
                          <m:t>1000</m:t>
                        </m:r>
                      </m:den>
                    </m:f>
                  </m:oMath>
                </m:oMathPara>
              </a14:m>
              <a:endParaRPr lang="en-US" sz="1600" i="1">
                <a:latin typeface="Cambria Math" panose="02040503050406030204" pitchFamily="18" charset="0"/>
              </a:endParaRPr>
            </a:p>
          </xdr:txBody>
        </xdr:sp>
      </mc:Choice>
      <mc:Fallback xmlns="">
        <xdr:sp macro="" textlink="">
          <xdr:nvSpPr>
            <xdr:cNvPr id="24" name="TextBox 23">
              <a:extLst>
                <a:ext uri="{FF2B5EF4-FFF2-40B4-BE49-F238E27FC236}">
                  <a16:creationId xmlns:a16="http://schemas.microsoft.com/office/drawing/2014/main" id="{D8356CBF-D9F1-4A83-8E1E-155779AA4B9C}"/>
                </a:ext>
              </a:extLst>
            </xdr:cNvPr>
            <xdr:cNvSpPr txBox="1"/>
          </xdr:nvSpPr>
          <xdr:spPr>
            <a:xfrm>
              <a:off x="1770309" y="137702925"/>
              <a:ext cx="16320263"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chemeClr val="tx1"/>
                  </a:solidFill>
                  <a:effectLst/>
                  <a:latin typeface="Cambria Math" panose="02040503050406030204" pitchFamily="18" charset="0"/>
                  <a:ea typeface="+mn-ea"/>
                  <a:cs typeface="+mn-cs"/>
                </a:rPr>
                <a:t>(</a:t>
              </a:r>
              <a:r>
                <a:rPr lang="en-US" sz="1600" b="0" i="0">
                  <a:solidFill>
                    <a:schemeClr val="tx1"/>
                  </a:solidFill>
                  <a:effectLst/>
                  <a:latin typeface="Cambria Math" panose="02040503050406030204" pitchFamily="18" charset="0"/>
                  <a:ea typeface="+mn-ea"/>
                  <a:cs typeface="+mn-cs"/>
                </a:rPr>
                <a:t>(𝐸</a:t>
              </a:r>
              <a:r>
                <a:rPr lang="en-US" sz="1600" i="0">
                  <a:solidFill>
                    <a:schemeClr val="tx1"/>
                  </a:solidFill>
                  <a:effectLst/>
                  <a:latin typeface="Cambria Math" panose="02040503050406030204" pitchFamily="18" charset="0"/>
                  <a:ea typeface="+mn-ea"/>
                  <a:cs typeface="+mn-cs"/>
                </a:rPr>
                <a:t>𝐹𝐿𝐻</a:t>
              </a:r>
              <a:r>
                <a:rPr lang="en-US" sz="1600" b="0" i="0">
                  <a:solidFill>
                    <a:schemeClr val="tx1"/>
                  </a:solidFill>
                  <a:effectLst/>
                  <a:latin typeface="Cambria Math" panose="02040503050406030204" pitchFamily="18" charset="0"/>
                  <a:ea typeface="+mn-ea"/>
                  <a:cs typeface="+mn-cs"/>
                </a:rPr>
                <a:t>_ℎ𝑒𝑎𝑡 </a:t>
              </a:r>
              <a:r>
                <a:rPr lang="en-US" sz="1600" i="0">
                  <a:solidFill>
                    <a:schemeClr val="tx1"/>
                  </a:solidFill>
                  <a:effectLst/>
                  <a:latin typeface="Cambria Math" panose="02040503050406030204" pitchFamily="18" charset="0"/>
                  <a:ea typeface="+mn-ea"/>
                  <a:cs typeface="+mn-cs"/>
                </a:rPr>
                <a:t> ∗ 𝐶𝑎𝑝𝑎𝑐𝑖𝑡𝑦</a:t>
              </a:r>
              <a:r>
                <a:rPr lang="en-US" sz="1600" b="0" i="0">
                  <a:solidFill>
                    <a:schemeClr val="tx1"/>
                  </a:solidFill>
                  <a:effectLst/>
                  <a:latin typeface="Cambria Math" panose="02040503050406030204" pitchFamily="18" charset="0"/>
                  <a:ea typeface="+mn-ea"/>
                  <a:cs typeface="+mn-cs"/>
                </a:rPr>
                <a:t>_ℎ𝑒𝑎𝑡</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𝑒𝑥𝑖𝑠𝑡 )−1/(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𝑒𝑒 ))))/1000</a:t>
              </a:r>
              <a:r>
                <a:rPr lang="en-US" sz="1600" b="0" i="0">
                  <a:latin typeface="Cambria Math" panose="02040503050406030204" pitchFamily="18" charset="0"/>
                </a:rPr>
                <a:t>+((𝐸𝐹𝐿𝐻_𝑐𝑜𝑜𝑙∗𝐶𝑎𝑝𝑎𝑐𝑖𝑡𝑦_𝑐𝑜𝑜𝑙∗(</a:t>
              </a:r>
              <a:r>
                <a:rPr lang="en-US" sz="1600" b="0" i="0">
                  <a:solidFill>
                    <a:sysClr val="windowText" lastClr="000000"/>
                  </a:solidFill>
                  <a:latin typeface="Cambria Math" panose="02040503050406030204" pitchFamily="18" charset="0"/>
                </a:rPr>
                <a:t>1/(𝐸𝐸𝑅_𝑒𝑥𝑖𝑠𝑡 )−1/(𝐸𝐸𝑅_𝑒𝑒 ))))/</a:t>
              </a:r>
              <a:r>
                <a:rPr lang="en-US" sz="1600" b="0" i="0">
                  <a:latin typeface="Cambria Math" panose="02040503050406030204" pitchFamily="18" charset="0"/>
                </a:rPr>
                <a:t>1000</a:t>
              </a:r>
              <a:endParaRPr lang="en-US" sz="1600" i="1">
                <a:latin typeface="Cambria Math" panose="02040503050406030204" pitchFamily="18" charset="0"/>
              </a:endParaRPr>
            </a:p>
          </xdr:txBody>
        </xdr:sp>
      </mc:Fallback>
    </mc:AlternateContent>
    <xdr:clientData/>
  </xdr:twoCellAnchor>
  <xdr:twoCellAnchor>
    <xdr:from>
      <xdr:col>3</xdr:col>
      <xdr:colOff>14286</xdr:colOff>
      <xdr:row>704</xdr:row>
      <xdr:rowOff>28575</xdr:rowOff>
    </xdr:from>
    <xdr:to>
      <xdr:col>4</xdr:col>
      <xdr:colOff>128823</xdr:colOff>
      <xdr:row>705</xdr:row>
      <xdr:rowOff>104686</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49D05959-632D-43B1-B529-EF1160AEA192}"/>
                </a:ext>
              </a:extLst>
            </xdr:cNvPr>
            <xdr:cNvSpPr txBox="1"/>
          </xdr:nvSpPr>
          <xdr:spPr>
            <a:xfrm>
              <a:off x="1585911" y="140103225"/>
              <a:ext cx="1324212"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5" name="TextBox 24">
              <a:extLst>
                <a:ext uri="{FF2B5EF4-FFF2-40B4-BE49-F238E27FC236}">
                  <a16:creationId xmlns:a16="http://schemas.microsoft.com/office/drawing/2014/main" id="{49D05959-632D-43B1-B529-EF1160AEA192}"/>
                </a:ext>
              </a:extLst>
            </xdr:cNvPr>
            <xdr:cNvSpPr txBox="1"/>
          </xdr:nvSpPr>
          <xdr:spPr>
            <a:xfrm>
              <a:off x="1585911" y="140103225"/>
              <a:ext cx="1324212"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697</xdr:row>
      <xdr:rowOff>85725</xdr:rowOff>
    </xdr:from>
    <xdr:to>
      <xdr:col>11</xdr:col>
      <xdr:colOff>1437409</xdr:colOff>
      <xdr:row>701</xdr:row>
      <xdr:rowOff>107145</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60005997-C8D2-4537-8E4E-68010E715C98}"/>
                </a:ext>
              </a:extLst>
            </xdr:cNvPr>
            <xdr:cNvSpPr txBox="1"/>
          </xdr:nvSpPr>
          <xdr:spPr>
            <a:xfrm>
              <a:off x="1714501" y="138826875"/>
              <a:ext cx="16029708"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f>
                      <m:fPr>
                        <m:ctrlPr>
                          <a:rPr lang="en-US" sz="1600" i="1">
                            <a:solidFill>
                              <a:schemeClr val="tx1"/>
                            </a:solidFill>
                            <a:effectLst/>
                            <a:latin typeface="Cambria Math" panose="02040503050406030204" pitchFamily="18" charset="0"/>
                            <a:ea typeface="+mn-ea"/>
                            <a:cs typeface="+mn-cs"/>
                          </a:rPr>
                        </m:ctrlPr>
                      </m:fPr>
                      <m:num>
                        <m:d>
                          <m:dPr>
                            <m:ctrlPr>
                              <a:rPr lang="en-US" sz="1600" b="0" i="1">
                                <a:solidFill>
                                  <a:schemeClr val="tx1"/>
                                </a:solidFill>
                                <a:effectLst/>
                                <a:latin typeface="Cambria Math" panose="02040503050406030204" pitchFamily="18" charset="0"/>
                                <a:ea typeface="+mn-ea"/>
                                <a:cs typeface="+mn-cs"/>
                              </a:rPr>
                            </m:ctrlPr>
                          </m:dPr>
                          <m:e>
                            <m:r>
                              <a:rPr lang="en-US" sz="1600" b="0" i="1">
                                <a:solidFill>
                                  <a:schemeClr val="tx1"/>
                                </a:solidFill>
                                <a:effectLst/>
                                <a:latin typeface="Cambria Math" panose="02040503050406030204" pitchFamily="18" charset="0"/>
                                <a:ea typeface="+mn-ea"/>
                                <a:cs typeface="+mn-cs"/>
                              </a:rPr>
                              <m:t>𝐸</m:t>
                            </m:r>
                            <m:r>
                              <a:rPr lang="en-US" sz="1600" i="1">
                                <a:solidFill>
                                  <a:schemeClr val="tx1"/>
                                </a:solidFill>
                                <a:effectLst/>
                                <a:latin typeface="Cambria Math" panose="02040503050406030204" pitchFamily="18" charset="0"/>
                                <a:ea typeface="+mn-ea"/>
                                <a:cs typeface="+mn-cs"/>
                              </a:rPr>
                              <m:t>𝐹𝐿</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𝐻</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 ∗ </m:t>
                            </m:r>
                            <m:r>
                              <a:rPr lang="en-US" sz="1600" i="1">
                                <a:solidFill>
                                  <a:schemeClr val="tx1"/>
                                </a:solidFill>
                                <a:effectLst/>
                                <a:latin typeface="Cambria Math" panose="02040503050406030204" pitchFamily="18" charset="0"/>
                                <a:ea typeface="+mn-ea"/>
                                <a:cs typeface="+mn-cs"/>
                              </a:rPr>
                              <m:t>𝐶𝑎𝑝𝑎𝑐𝑖𝑡</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𝑦</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m:t>
                            </m:r>
                            <m:d>
                              <m:dPr>
                                <m:ctrlPr>
                                  <a:rPr lang="en-US" sz="1600" i="1">
                                    <a:solidFill>
                                      <a:schemeClr val="tx1"/>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b="0" i="1">
                                            <a:solidFill>
                                              <a:schemeClr val="tx1"/>
                                            </a:solidFill>
                                            <a:effectLst/>
                                            <a:latin typeface="Cambria Math" panose="02040503050406030204" pitchFamily="18" charset="0"/>
                                            <a:ea typeface="+mn-ea"/>
                                            <a:cs typeface="+mn-cs"/>
                                          </a:rPr>
                                          <m:t>𝑏𝑎𝑠𝑒</m:t>
                                        </m:r>
                                      </m:sub>
                                    </m:sSub>
                                  </m:den>
                                </m:f>
                                <m:r>
                                  <a:rPr lang="en-US" sz="1600" i="1">
                                    <a:solidFill>
                                      <a:schemeClr val="tx1"/>
                                    </a:solidFill>
                                    <a:effectLst/>
                                    <a:latin typeface="Cambria Math" panose="02040503050406030204" pitchFamily="18" charset="0"/>
                                    <a:ea typeface="+mn-ea"/>
                                    <a:cs typeface="+mn-cs"/>
                                  </a:rPr>
                                  <m:t>−</m:t>
                                </m:r>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𝑒𝑒</m:t>
                                        </m:r>
                                      </m:sub>
                                    </m:sSub>
                                  </m:den>
                                </m:f>
                              </m:e>
                            </m:d>
                          </m:e>
                        </m:d>
                      </m:num>
                      <m:den>
                        <m:r>
                          <a:rPr lang="en-US" sz="1600" i="1">
                            <a:solidFill>
                              <a:schemeClr val="tx1"/>
                            </a:solidFill>
                            <a:effectLst/>
                            <a:latin typeface="Cambria Math" panose="02040503050406030204" pitchFamily="18" charset="0"/>
                            <a:ea typeface="+mn-ea"/>
                            <a:cs typeface="+mn-cs"/>
                          </a:rPr>
                          <m:t>1000</m:t>
                        </m:r>
                      </m:den>
                    </m:f>
                    <m:r>
                      <a:rPr lang="en-US" sz="1600" b="0" i="1">
                        <a:latin typeface="Cambria Math" panose="02040503050406030204" pitchFamily="18" charset="0"/>
                      </a:rPr>
                      <m:t>+</m:t>
                    </m:r>
                    <m:f>
                      <m:fPr>
                        <m:ctrlPr>
                          <a:rPr lang="en-US" sz="1600" b="0" i="1">
                            <a:latin typeface="Cambria Math" panose="02040503050406030204" pitchFamily="18" charset="0"/>
                          </a:rPr>
                        </m:ctrlPr>
                      </m:fPr>
                      <m:num>
                        <m:d>
                          <m:dPr>
                            <m:ctrlPr>
                              <a:rPr lang="en-US" sz="1600" b="0" i="1">
                                <a:latin typeface="Cambria Math" panose="02040503050406030204" pitchFamily="18" charset="0"/>
                              </a:rPr>
                            </m:ctrlPr>
                          </m:dPr>
                          <m:e>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r>
                              <a:rPr lang="en-US" sz="1600" b="0" i="1">
                                <a:latin typeface="Cambria Math" panose="02040503050406030204" pitchFamily="18" charset="0"/>
                              </a:rPr>
                              <m:t>𝐶𝑎𝑝𝑎𝑐𝑖𝑡</m:t>
                            </m:r>
                            <m:sSub>
                              <m:sSubPr>
                                <m:ctrlPr>
                                  <a:rPr lang="en-US" sz="1600" b="0" i="1">
                                    <a:latin typeface="Cambria Math" panose="02040503050406030204" pitchFamily="18" charset="0"/>
                                  </a:rPr>
                                </m:ctrlPr>
                              </m:sSubPr>
                              <m:e>
                                <m:r>
                                  <a:rPr lang="en-US" sz="1600" b="0" i="1">
                                    <a:latin typeface="Cambria Math" panose="02040503050406030204" pitchFamily="18" charset="0"/>
                                  </a:rPr>
                                  <m:t>𝑦</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d>
                              <m:dPr>
                                <m:ctrlPr>
                                  <a:rPr lang="en-US" sz="1600" b="0" i="1">
                                    <a:latin typeface="Cambria Math" panose="02040503050406030204" pitchFamily="18" charset="0"/>
                                  </a:rPr>
                                </m:ctrlPr>
                              </m:dPr>
                              <m:e>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1</m:t>
                                    </m:r>
                                  </m:num>
                                  <m:den>
                                    <m:r>
                                      <a:rPr lang="en-US" sz="1600" b="0" i="1">
                                        <a:solidFill>
                                          <a:sysClr val="windowText" lastClr="000000"/>
                                        </a:solidFill>
                                        <a:latin typeface="Cambria Math" panose="02040503050406030204" pitchFamily="18" charset="0"/>
                                      </a:rPr>
                                      <m:t>𝐸𝐸</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𝑏𝑎𝑠𝑒</m:t>
                                        </m:r>
                                      </m:sub>
                                    </m:sSub>
                                  </m:den>
                                </m:f>
                                <m:r>
                                  <a:rPr lang="en-US" sz="1600" b="0" i="1">
                                    <a:solidFill>
                                      <a:sysClr val="windowText" lastClr="000000"/>
                                    </a:solidFill>
                                    <a:latin typeface="Cambria Math" panose="02040503050406030204" pitchFamily="18" charset="0"/>
                                  </a:rPr>
                                  <m:t>−</m:t>
                                </m:r>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1</m:t>
                                    </m:r>
                                  </m:num>
                                  <m:den>
                                    <m:r>
                                      <a:rPr lang="en-US" sz="1600" b="0" i="1">
                                        <a:solidFill>
                                          <a:sysClr val="windowText" lastClr="000000"/>
                                        </a:solidFill>
                                        <a:latin typeface="Cambria Math" panose="02040503050406030204" pitchFamily="18" charset="0"/>
                                      </a:rPr>
                                      <m:t>𝐸𝐸</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𝑒𝑒</m:t>
                                        </m:r>
                                      </m:sub>
                                    </m:sSub>
                                  </m:den>
                                </m:f>
                              </m:e>
                            </m:d>
                          </m:e>
                        </m:d>
                      </m:num>
                      <m:den>
                        <m:r>
                          <a:rPr lang="en-US" sz="1600" b="0" i="1">
                            <a:latin typeface="Cambria Math" panose="02040503050406030204" pitchFamily="18" charset="0"/>
                          </a:rPr>
                          <m:t>1000</m:t>
                        </m:r>
                      </m:den>
                    </m:f>
                  </m:oMath>
                </m:oMathPara>
              </a14:m>
              <a:endParaRPr lang="en-US" sz="1600" i="1">
                <a:latin typeface="Cambria Math" panose="02040503050406030204" pitchFamily="18" charset="0"/>
              </a:endParaRPr>
            </a:p>
          </xdr:txBody>
        </xdr:sp>
      </mc:Choice>
      <mc:Fallback xmlns="">
        <xdr:sp macro="" textlink="">
          <xdr:nvSpPr>
            <xdr:cNvPr id="26" name="TextBox 25">
              <a:extLst>
                <a:ext uri="{FF2B5EF4-FFF2-40B4-BE49-F238E27FC236}">
                  <a16:creationId xmlns:a16="http://schemas.microsoft.com/office/drawing/2014/main" id="{60005997-C8D2-4537-8E4E-68010E715C98}"/>
                </a:ext>
              </a:extLst>
            </xdr:cNvPr>
            <xdr:cNvSpPr txBox="1"/>
          </xdr:nvSpPr>
          <xdr:spPr>
            <a:xfrm>
              <a:off x="1714501" y="138826875"/>
              <a:ext cx="16029708"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chemeClr val="tx1"/>
                  </a:solidFill>
                  <a:effectLst/>
                  <a:latin typeface="Cambria Math" panose="02040503050406030204" pitchFamily="18" charset="0"/>
                  <a:ea typeface="+mn-ea"/>
                  <a:cs typeface="+mn-cs"/>
                </a:rPr>
                <a:t>(</a:t>
              </a:r>
              <a:r>
                <a:rPr lang="en-US" sz="1600" b="0" i="0">
                  <a:solidFill>
                    <a:schemeClr val="tx1"/>
                  </a:solidFill>
                  <a:effectLst/>
                  <a:latin typeface="Cambria Math" panose="02040503050406030204" pitchFamily="18" charset="0"/>
                  <a:ea typeface="+mn-ea"/>
                  <a:cs typeface="+mn-cs"/>
                </a:rPr>
                <a:t>(𝐸</a:t>
              </a:r>
              <a:r>
                <a:rPr lang="en-US" sz="1600" i="0">
                  <a:solidFill>
                    <a:schemeClr val="tx1"/>
                  </a:solidFill>
                  <a:effectLst/>
                  <a:latin typeface="Cambria Math" panose="02040503050406030204" pitchFamily="18" charset="0"/>
                  <a:ea typeface="+mn-ea"/>
                  <a:cs typeface="+mn-cs"/>
                </a:rPr>
                <a:t>𝐹𝐿𝐻</a:t>
              </a:r>
              <a:r>
                <a:rPr lang="en-US" sz="1600" b="0" i="0">
                  <a:solidFill>
                    <a:schemeClr val="tx1"/>
                  </a:solidFill>
                  <a:effectLst/>
                  <a:latin typeface="Cambria Math" panose="02040503050406030204" pitchFamily="18" charset="0"/>
                  <a:ea typeface="+mn-ea"/>
                  <a:cs typeface="+mn-cs"/>
                </a:rPr>
                <a:t>_ℎ𝑒𝑎𝑡 </a:t>
              </a:r>
              <a:r>
                <a:rPr lang="en-US" sz="1600" i="0">
                  <a:solidFill>
                    <a:schemeClr val="tx1"/>
                  </a:solidFill>
                  <a:effectLst/>
                  <a:latin typeface="Cambria Math" panose="02040503050406030204" pitchFamily="18" charset="0"/>
                  <a:ea typeface="+mn-ea"/>
                  <a:cs typeface="+mn-cs"/>
                </a:rPr>
                <a:t> ∗ 𝐶𝑎𝑝𝑎𝑐𝑖𝑡𝑦</a:t>
              </a:r>
              <a:r>
                <a:rPr lang="en-US" sz="1600" b="0" i="0">
                  <a:solidFill>
                    <a:schemeClr val="tx1"/>
                  </a:solidFill>
                  <a:effectLst/>
                  <a:latin typeface="Cambria Math" panose="02040503050406030204" pitchFamily="18" charset="0"/>
                  <a:ea typeface="+mn-ea"/>
                  <a:cs typeface="+mn-cs"/>
                </a:rPr>
                <a:t>_ℎ𝑒𝑎𝑡</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𝐻𝑆𝑃𝐹_𝑏𝑎𝑠𝑒 )</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𝑒𝑒 ))))/1000</a:t>
              </a:r>
              <a:r>
                <a:rPr lang="en-US" sz="1600" b="0" i="0">
                  <a:latin typeface="Cambria Math" panose="02040503050406030204" pitchFamily="18" charset="0"/>
                </a:rPr>
                <a:t>+((𝐸𝐹𝐿𝐻_𝑐𝑜𝑜𝑙∗𝐶𝑎𝑝𝑎𝑐𝑖𝑡𝑦_𝑐𝑜𝑜𝑙∗(</a:t>
              </a:r>
              <a:r>
                <a:rPr lang="en-US" sz="1600" b="0" i="0">
                  <a:solidFill>
                    <a:sysClr val="windowText" lastClr="000000"/>
                  </a:solidFill>
                  <a:latin typeface="Cambria Math" panose="02040503050406030204" pitchFamily="18" charset="0"/>
                </a:rPr>
                <a:t>1/(𝐸𝐸𝑅_𝑏𝑎𝑠𝑒 )−1/(𝐸𝐸𝑅_𝑒𝑒 ))))/</a:t>
              </a:r>
              <a:r>
                <a:rPr lang="en-US" sz="1600" b="0" i="0">
                  <a:latin typeface="Cambria Math" panose="02040503050406030204" pitchFamily="18" charset="0"/>
                </a:rPr>
                <a:t>1000</a:t>
              </a:r>
              <a:endParaRPr lang="en-US" sz="1600" i="1">
                <a:latin typeface="Cambria Math" panose="02040503050406030204" pitchFamily="18" charset="0"/>
              </a:endParaRPr>
            </a:p>
          </xdr:txBody>
        </xdr:sp>
      </mc:Fallback>
    </mc:AlternateContent>
    <xdr:clientData/>
  </xdr:twoCellAnchor>
  <xdr:twoCellAnchor>
    <xdr:from>
      <xdr:col>3</xdr:col>
      <xdr:colOff>198684</xdr:colOff>
      <xdr:row>954</xdr:row>
      <xdr:rowOff>104775</xdr:rowOff>
    </xdr:from>
    <xdr:to>
      <xdr:col>15</xdr:col>
      <xdr:colOff>173182</xdr:colOff>
      <xdr:row>958</xdr:row>
      <xdr:rowOff>126195</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D2AE15A4-443B-4392-9011-8865A7DFD7AF}"/>
                </a:ext>
              </a:extLst>
            </xdr:cNvPr>
            <xdr:cNvSpPr txBox="1"/>
          </xdr:nvSpPr>
          <xdr:spPr>
            <a:xfrm>
              <a:off x="1770309" y="199053450"/>
              <a:ext cx="19281673"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7" name="TextBox 26">
              <a:extLst>
                <a:ext uri="{FF2B5EF4-FFF2-40B4-BE49-F238E27FC236}">
                  <a16:creationId xmlns:a16="http://schemas.microsoft.com/office/drawing/2014/main" id="{D2AE15A4-443B-4392-9011-8865A7DFD7AF}"/>
                </a:ext>
              </a:extLst>
            </xdr:cNvPr>
            <xdr:cNvSpPr txBox="1"/>
          </xdr:nvSpPr>
          <xdr:spPr>
            <a:xfrm>
              <a:off x="1770309" y="199053450"/>
              <a:ext cx="19281673"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14285</xdr:colOff>
      <xdr:row>967</xdr:row>
      <xdr:rowOff>86591</xdr:rowOff>
    </xdr:from>
    <xdr:to>
      <xdr:col>4</xdr:col>
      <xdr:colOff>1766454</xdr:colOff>
      <xdr:row>968</xdr:row>
      <xdr:rowOff>104686</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44A0617D-3F86-4E49-8BCE-593310FCCC36}"/>
                </a:ext>
              </a:extLst>
            </xdr:cNvPr>
            <xdr:cNvSpPr txBox="1"/>
          </xdr:nvSpPr>
          <xdr:spPr>
            <a:xfrm>
              <a:off x="1585910" y="201511766"/>
              <a:ext cx="2961844" cy="20859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8" name="TextBox 27">
              <a:extLst>
                <a:ext uri="{FF2B5EF4-FFF2-40B4-BE49-F238E27FC236}">
                  <a16:creationId xmlns:a16="http://schemas.microsoft.com/office/drawing/2014/main" id="{44A0617D-3F86-4E49-8BCE-593310FCCC36}"/>
                </a:ext>
              </a:extLst>
            </xdr:cNvPr>
            <xdr:cNvSpPr txBox="1"/>
          </xdr:nvSpPr>
          <xdr:spPr>
            <a:xfrm>
              <a:off x="1585910" y="201511766"/>
              <a:ext cx="2961844" cy="20859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960</xdr:row>
      <xdr:rowOff>85725</xdr:rowOff>
    </xdr:from>
    <xdr:to>
      <xdr:col>15</xdr:col>
      <xdr:colOff>277091</xdr:colOff>
      <xdr:row>964</xdr:row>
      <xdr:rowOff>107145</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869ED037-139C-43C2-ACD3-3876A2FEF4C1}"/>
                </a:ext>
              </a:extLst>
            </xdr:cNvPr>
            <xdr:cNvSpPr txBox="1"/>
          </xdr:nvSpPr>
          <xdr:spPr>
            <a:xfrm>
              <a:off x="1714501" y="200177400"/>
              <a:ext cx="19441390"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9" name="TextBox 28">
              <a:extLst>
                <a:ext uri="{FF2B5EF4-FFF2-40B4-BE49-F238E27FC236}">
                  <a16:creationId xmlns:a16="http://schemas.microsoft.com/office/drawing/2014/main" id="{869ED037-139C-43C2-ACD3-3876A2FEF4C1}"/>
                </a:ext>
              </a:extLst>
            </xdr:cNvPr>
            <xdr:cNvSpPr txBox="1"/>
          </xdr:nvSpPr>
          <xdr:spPr>
            <a:xfrm>
              <a:off x="1714501" y="200177400"/>
              <a:ext cx="19441390"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oneCellAnchor>
    <xdr:from>
      <xdr:col>7</xdr:col>
      <xdr:colOff>2269331</xdr:colOff>
      <xdr:row>5</xdr:row>
      <xdr:rowOff>0</xdr:rowOff>
    </xdr:from>
    <xdr:ext cx="65" cy="172227"/>
    <xdr:sp macro="" textlink="">
      <xdr:nvSpPr>
        <xdr:cNvPr id="2" name="TextBox 1">
          <a:extLst>
            <a:ext uri="{FF2B5EF4-FFF2-40B4-BE49-F238E27FC236}">
              <a16:creationId xmlns:a16="http://schemas.microsoft.com/office/drawing/2014/main" id="{1CA3160D-9BDB-4575-B632-7B1C064DCE51}"/>
            </a:ext>
          </a:extLst>
        </xdr:cNvPr>
        <xdr:cNvSpPr txBox="1"/>
      </xdr:nvSpPr>
      <xdr:spPr>
        <a:xfrm>
          <a:off x="15842456"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589</xdr:row>
      <xdr:rowOff>0</xdr:rowOff>
    </xdr:from>
    <xdr:ext cx="65" cy="172227"/>
    <xdr:sp macro="" textlink="">
      <xdr:nvSpPr>
        <xdr:cNvPr id="3" name="TextBox 2">
          <a:extLst>
            <a:ext uri="{FF2B5EF4-FFF2-40B4-BE49-F238E27FC236}">
              <a16:creationId xmlns:a16="http://schemas.microsoft.com/office/drawing/2014/main" id="{C5BB5102-D9F1-463D-BAA9-08D2DB821553}"/>
            </a:ext>
          </a:extLst>
        </xdr:cNvPr>
        <xdr:cNvSpPr txBox="1"/>
      </xdr:nvSpPr>
      <xdr:spPr>
        <a:xfrm>
          <a:off x="23491031" y="133978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589</xdr:row>
      <xdr:rowOff>0</xdr:rowOff>
    </xdr:from>
    <xdr:ext cx="65" cy="172227"/>
    <xdr:sp macro="" textlink="">
      <xdr:nvSpPr>
        <xdr:cNvPr id="4" name="TextBox 3">
          <a:extLst>
            <a:ext uri="{FF2B5EF4-FFF2-40B4-BE49-F238E27FC236}">
              <a16:creationId xmlns:a16="http://schemas.microsoft.com/office/drawing/2014/main" id="{02CD82D6-F56C-4BD0-B8EB-E25FF08C7C7E}"/>
            </a:ext>
          </a:extLst>
        </xdr:cNvPr>
        <xdr:cNvSpPr txBox="1"/>
      </xdr:nvSpPr>
      <xdr:spPr>
        <a:xfrm>
          <a:off x="23491031" y="133978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1414579</xdr:colOff>
      <xdr:row>650</xdr:row>
      <xdr:rowOff>27215</xdr:rowOff>
    </xdr:from>
    <xdr:to>
      <xdr:col>7</xdr:col>
      <xdr:colOff>1205669</xdr:colOff>
      <xdr:row>653</xdr:row>
      <xdr:rowOff>122949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1B1D9994-0077-4C11-86A5-D904201EE065}"/>
                </a:ext>
              </a:extLst>
            </xdr:cNvPr>
            <xdr:cNvSpPr txBox="1"/>
          </xdr:nvSpPr>
          <xdr:spPr>
            <a:xfrm>
              <a:off x="3090979" y="154208390"/>
              <a:ext cx="12306940"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5" name="TextBox 4">
              <a:extLst>
                <a:ext uri="{FF2B5EF4-FFF2-40B4-BE49-F238E27FC236}">
                  <a16:creationId xmlns:a16="http://schemas.microsoft.com/office/drawing/2014/main" id="{1B1D9994-0077-4C11-86A5-D904201EE065}"/>
                </a:ext>
              </a:extLst>
            </xdr:cNvPr>
            <xdr:cNvSpPr txBox="1"/>
          </xdr:nvSpPr>
          <xdr:spPr>
            <a:xfrm>
              <a:off x="3090979" y="154208390"/>
              <a:ext cx="12306940"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twoCellAnchor>
    <xdr:from>
      <xdr:col>7</xdr:col>
      <xdr:colOff>544286</xdr:colOff>
      <xdr:row>650</xdr:row>
      <xdr:rowOff>110783</xdr:rowOff>
    </xdr:from>
    <xdr:to>
      <xdr:col>11</xdr:col>
      <xdr:colOff>2347311</xdr:colOff>
      <xdr:row>654</xdr:row>
      <xdr:rowOff>28713</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241BA4C2-BC08-4019-800D-2DF887D0096E}"/>
                </a:ext>
              </a:extLst>
            </xdr:cNvPr>
            <xdr:cNvSpPr txBox="1"/>
          </xdr:nvSpPr>
          <xdr:spPr>
            <a:xfrm>
              <a:off x="14736536" y="154291958"/>
              <a:ext cx="6422650"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241BA4C2-BC08-4019-800D-2DF887D0096E}"/>
                </a:ext>
              </a:extLst>
            </xdr:cNvPr>
            <xdr:cNvSpPr txBox="1"/>
          </xdr:nvSpPr>
          <xdr:spPr>
            <a:xfrm>
              <a:off x="14736536" y="154291958"/>
              <a:ext cx="6422650"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twoCellAnchor>
    <xdr:from>
      <xdr:col>3</xdr:col>
      <xdr:colOff>964186</xdr:colOff>
      <xdr:row>688</xdr:row>
      <xdr:rowOff>68036</xdr:rowOff>
    </xdr:from>
    <xdr:to>
      <xdr:col>7</xdr:col>
      <xdr:colOff>736226</xdr:colOff>
      <xdr:row>691</xdr:row>
      <xdr:rowOff>163770</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51943087-583B-4A67-AD80-CC76FE092EFE}"/>
                </a:ext>
              </a:extLst>
            </xdr:cNvPr>
            <xdr:cNvSpPr txBox="1"/>
          </xdr:nvSpPr>
          <xdr:spPr>
            <a:xfrm>
              <a:off x="2640586" y="165174386"/>
              <a:ext cx="12287890"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ysClr val="windowText" lastClr="000000"/>
                        </a:solidFill>
                        <a:effectLst/>
                        <a:latin typeface="Book Antiqua" panose="02040602050305030304" pitchFamily="18" charset="0"/>
                        <a:ea typeface="+mn-ea"/>
                        <a:cs typeface="+mn-cs"/>
                      </a:rPr>
                      <m:t>∆</m:t>
                    </m:r>
                    <m:r>
                      <m:rPr>
                        <m:nor/>
                      </m:rPr>
                      <a:rPr lang="en-US" sz="1400" i="1">
                        <a:solidFill>
                          <a:sysClr val="windowText" lastClr="000000"/>
                        </a:solidFill>
                        <a:effectLst/>
                        <a:latin typeface="Book Antiqua" panose="02040602050305030304" pitchFamily="18" charset="0"/>
                        <a:ea typeface="+mn-ea"/>
                        <a:cs typeface="+mn-cs"/>
                      </a:rPr>
                      <m:t>kWh</m:t>
                    </m:r>
                    <m:r>
                      <m:rPr>
                        <m:nor/>
                      </m:rPr>
                      <a:rPr lang="en-US" sz="1400" i="1">
                        <a:solidFill>
                          <a:sysClr val="windowText" lastClr="000000"/>
                        </a:solidFill>
                        <a:effectLst/>
                        <a:latin typeface="Book Antiqua" panose="02040602050305030304" pitchFamily="18" charset="0"/>
                        <a:ea typeface="+mn-ea"/>
                        <a:cs typeface="+mn-cs"/>
                      </a:rPr>
                      <m:t> </m:t>
                    </m:r>
                    <m:r>
                      <a:rPr lang="en-US" sz="1400" i="1">
                        <a:solidFill>
                          <a:sysClr val="windowText" lastClr="000000"/>
                        </a:solidFill>
                        <a:latin typeface="Cambria Math" panose="02040503050406030204" pitchFamily="18" charset="0"/>
                      </a:rPr>
                      <m:t>=</m:t>
                    </m:r>
                    <m:d>
                      <m:dPr>
                        <m:ctrlPr>
                          <a:rPr lang="en-US" sz="1400" i="1">
                            <a:solidFill>
                              <a:sysClr val="windowText" lastClr="000000"/>
                            </a:solidFill>
                            <a:latin typeface="Cambria Math" panose="02040503050406030204" pitchFamily="18" charset="0"/>
                          </a:rPr>
                        </m:ctrlPr>
                      </m:dPr>
                      <m:e>
                        <m:f>
                          <m:fPr>
                            <m:ctrlPr>
                              <a:rPr lang="en-US" sz="1100" i="1" baseline="0">
                                <a:solidFill>
                                  <a:sysClr val="windowText" lastClr="000000"/>
                                </a:solidFill>
                                <a:effectLst/>
                                <a:latin typeface="Cambria Math" panose="02040503050406030204" pitchFamily="18" charset="0"/>
                                <a:ea typeface="+mn-ea"/>
                                <a:cs typeface="+mn-cs"/>
                              </a:rPr>
                            </m:ctrlPr>
                          </m:fPr>
                          <m:num>
                            <m:r>
                              <m:rPr>
                                <m:nor/>
                              </m:rPr>
                              <a:rPr lang="en-US" sz="1100" b="0" i="1" baseline="0">
                                <a:solidFill>
                                  <a:sysClr val="windowText" lastClr="000000"/>
                                </a:solidFill>
                                <a:effectLst/>
                                <a:latin typeface="+mn-lt"/>
                                <a:ea typeface="+mn-ea"/>
                                <a:cs typeface="+mn-cs"/>
                              </a:rPr>
                              <m:t>%</m:t>
                            </m:r>
                            <m:r>
                              <m:rPr>
                                <m:nor/>
                              </m:rPr>
                              <a:rPr lang="en-US" sz="1100" b="0" i="1" baseline="0">
                                <a:solidFill>
                                  <a:sysClr val="windowText" lastClr="000000"/>
                                </a:solidFill>
                                <a:effectLst/>
                                <a:latin typeface="+mn-lt"/>
                                <a:ea typeface="+mn-ea"/>
                                <a:cs typeface="+mn-cs"/>
                              </a:rPr>
                              <m:t>ElectricDHW</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GPM</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base</m:t>
                            </m:r>
                            <m:r>
                              <m:rPr>
                                <m:nor/>
                              </m:rPr>
                              <a:rPr lang="en-US" sz="110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L</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base</m:t>
                            </m:r>
                            <m:r>
                              <m:rPr>
                                <m:nor/>
                              </m:rPr>
                              <a:rPr lang="en-US" sz="1100" b="0" i="1" baseline="-2500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GPM</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low</m:t>
                            </m:r>
                            <m:r>
                              <m:rPr>
                                <m:nor/>
                              </m:rPr>
                              <a:rPr lang="en-US" sz="1100" b="0" i="1" baseline="-2500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L</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low</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Household</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SPCD</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365.25 </m:t>
                            </m:r>
                          </m:num>
                          <m:den>
                            <m:r>
                              <a:rPr lang="en-US" sz="1100" b="0" i="1">
                                <a:solidFill>
                                  <a:sysClr val="windowText" lastClr="000000"/>
                                </a:solidFill>
                                <a:effectLst/>
                                <a:latin typeface="Cambria Math" panose="02040503050406030204" pitchFamily="18" charset="0"/>
                                <a:ea typeface="+mn-ea"/>
                                <a:cs typeface="+mn-cs"/>
                              </a:rPr>
                              <m:t>𝑆𝑃𝐻</m:t>
                            </m:r>
                          </m:den>
                        </m:f>
                      </m:e>
                    </m:d>
                    <m:r>
                      <a:rPr lang="en-US" sz="1400" b="0" i="1">
                        <a:solidFill>
                          <a:sysClr val="windowText" lastClr="000000"/>
                        </a:solidFill>
                        <a:latin typeface="Cambria Math" panose="02040503050406030204" pitchFamily="18" charset="0"/>
                      </a:rPr>
                      <m:t>𝑥𝐸𝑃𝐺</m:t>
                    </m:r>
                    <m:r>
                      <a:rPr lang="en-US" sz="1400" b="0" i="1">
                        <a:solidFill>
                          <a:sysClr val="windowText" lastClr="000000"/>
                        </a:solidFill>
                        <a:latin typeface="Cambria Math" panose="02040503050406030204" pitchFamily="18" charset="0"/>
                      </a:rPr>
                      <m:t>_</m:t>
                    </m:r>
                    <m:r>
                      <a:rPr lang="en-US" sz="1400" b="0" i="1" baseline="0">
                        <a:solidFill>
                          <a:sysClr val="windowText" lastClr="000000"/>
                        </a:solidFill>
                        <a:latin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rPr>
                      <m:t> </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𝑥</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51943087-583B-4A67-AD80-CC76FE092EFE}"/>
                </a:ext>
              </a:extLst>
            </xdr:cNvPr>
            <xdr:cNvSpPr txBox="1"/>
          </xdr:nvSpPr>
          <xdr:spPr>
            <a:xfrm>
              <a:off x="2640586" y="165174386"/>
              <a:ext cx="12287890"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mn-ea"/>
                  <a:cs typeface="+mn-cs"/>
                </a:rPr>
                <a:t>"∆kWh "</a:t>
              </a:r>
              <a:r>
                <a:rPr lang="en-US" sz="1400" i="0">
                  <a:solidFill>
                    <a:sysClr val="windowText" lastClr="000000"/>
                  </a:solidFill>
                  <a:latin typeface="Cambria Math" panose="02040503050406030204" pitchFamily="18" charset="0"/>
                </a:rPr>
                <a:t>=(</a:t>
              </a:r>
              <a:r>
                <a:rPr lang="en-US" sz="1100" b="0" i="0" baseline="0">
                  <a:solidFill>
                    <a:sysClr val="windowText" lastClr="000000"/>
                  </a:solidFill>
                  <a:effectLst/>
                  <a:latin typeface="+mn-lt"/>
                  <a:ea typeface="+mn-ea"/>
                  <a:cs typeface="+mn-cs"/>
                </a:rPr>
                <a:t>"%ElectricDHW x ((GPM_base</a:t>
              </a:r>
              <a:r>
                <a:rPr lang="en-US" sz="1100" i="0" baseline="0">
                  <a:solidFill>
                    <a:sysClr val="windowText" lastClr="000000"/>
                  </a:solidFill>
                  <a:effectLst/>
                  <a:latin typeface="+mn-lt"/>
                  <a:ea typeface="+mn-ea"/>
                  <a:cs typeface="+mn-cs"/>
                </a:rPr>
                <a:t> </a:t>
              </a:r>
              <a:r>
                <a:rPr lang="en-US" sz="1100" b="0" i="0" baseline="0">
                  <a:solidFill>
                    <a:sysClr val="windowText" lastClr="000000"/>
                  </a:solidFill>
                  <a:effectLst/>
                  <a:latin typeface="+mn-lt"/>
                  <a:ea typeface="+mn-ea"/>
                  <a:cs typeface="+mn-cs"/>
                </a:rPr>
                <a:t>x L_base</a:t>
              </a:r>
              <a:r>
                <a:rPr lang="en-US" sz="1100" b="0" i="0" baseline="-2500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GPM_low</a:t>
              </a:r>
              <a:r>
                <a:rPr lang="en-US" sz="1100" b="0" i="0" baseline="-25000">
                  <a:solidFill>
                    <a:sysClr val="windowText" lastClr="000000"/>
                  </a:solidFill>
                  <a:effectLst/>
                  <a:latin typeface="+mn-lt"/>
                  <a:ea typeface="+mn-ea"/>
                  <a:cs typeface="+mn-cs"/>
                </a:rPr>
                <a:t>  </a:t>
              </a:r>
              <a:r>
                <a:rPr lang="en-US" sz="1100" b="0" i="0" baseline="0">
                  <a:solidFill>
                    <a:sysClr val="windowText" lastClr="000000"/>
                  </a:solidFill>
                  <a:effectLst/>
                  <a:latin typeface="+mn-lt"/>
                  <a:ea typeface="+mn-ea"/>
                  <a:cs typeface="+mn-cs"/>
                </a:rPr>
                <a:t>x L_low</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Household</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SPCD</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365.25 </a:t>
              </a:r>
              <a:r>
                <a:rPr lang="en-US" sz="1100" b="0" i="0" baseline="0">
                  <a:solidFill>
                    <a:sysClr val="windowText" lastClr="000000"/>
                  </a:solidFill>
                  <a:effectLst/>
                  <a:latin typeface="Cambria Math" panose="02040503050406030204" pitchFamily="18" charset="0"/>
                  <a:ea typeface="+mn-ea"/>
                  <a:cs typeface="+mn-cs"/>
                </a:rPr>
                <a:t>" /</a:t>
              </a:r>
              <a:r>
                <a:rPr lang="en-US" sz="1100" b="0" i="0">
                  <a:solidFill>
                    <a:sysClr val="windowText" lastClr="000000"/>
                  </a:solidFill>
                  <a:effectLst/>
                  <a:latin typeface="Cambria Math" panose="02040503050406030204" pitchFamily="18" charset="0"/>
                  <a:ea typeface="+mn-ea"/>
                  <a:cs typeface="+mn-cs"/>
                </a:rPr>
                <a:t>𝑆𝑃𝐻)</a:t>
              </a:r>
              <a:r>
                <a:rPr lang="en-US" sz="1400" b="0" i="0">
                  <a:solidFill>
                    <a:sysClr val="windowText" lastClr="000000"/>
                  </a:solidFill>
                  <a:latin typeface="Cambria Math" panose="02040503050406030204" pitchFamily="18" charset="0"/>
                </a:rPr>
                <a:t>𝑥𝐸𝑃𝐺_</a:t>
              </a:r>
              <a:r>
                <a:rPr lang="en-US" sz="1400" b="0" i="0" baseline="0">
                  <a:solidFill>
                    <a:sysClr val="windowText" lastClr="000000"/>
                  </a:solidFill>
                  <a:latin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rPr>
                <a:t> </a:t>
              </a:r>
              <a:r>
                <a:rPr lang="en-US" sz="11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762001</xdr:colOff>
      <xdr:row>688</xdr:row>
      <xdr:rowOff>69960</xdr:rowOff>
    </xdr:from>
    <xdr:to>
      <xdr:col>11</xdr:col>
      <xdr:colOff>741669</xdr:colOff>
      <xdr:row>691</xdr:row>
      <xdr:rowOff>178390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E4717BCF-39C7-4A9A-AC0A-CA91FC25DFF2}"/>
                </a:ext>
              </a:extLst>
            </xdr:cNvPr>
            <xdr:cNvSpPr txBox="1"/>
          </xdr:nvSpPr>
          <xdr:spPr>
            <a:xfrm>
              <a:off x="12192001" y="165176310"/>
              <a:ext cx="8666468"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b="0" i="1">
                        <a:solidFill>
                          <a:sysClr val="windowText" lastClr="000000"/>
                        </a:solidFill>
                        <a:effectLst/>
                        <a:latin typeface="Book Antiqua" panose="02040602050305030304" pitchFamily="18" charset="0"/>
                        <a:ea typeface="+mn-ea"/>
                        <a:cs typeface="+mn-cs"/>
                      </a:rPr>
                      <m:t>EPG</m:t>
                    </m:r>
                    <m:r>
                      <m:rPr>
                        <m:nor/>
                      </m:rPr>
                      <a:rPr lang="en-US" sz="1400" b="0" i="1">
                        <a:solidFill>
                          <a:sysClr val="windowText" lastClr="000000"/>
                        </a:solidFill>
                        <a:effectLst/>
                        <a:latin typeface="Book Antiqua" panose="02040602050305030304" pitchFamily="18" charset="0"/>
                        <a:ea typeface="+mn-ea"/>
                        <a:cs typeface="+mn-cs"/>
                      </a:rPr>
                      <m:t>_</m:t>
                    </m:r>
                    <m:r>
                      <m:rPr>
                        <m:nor/>
                      </m:rPr>
                      <a:rPr lang="en-US" sz="1400" b="0" i="1">
                        <a:solidFill>
                          <a:sysClr val="windowText" lastClr="000000"/>
                        </a:solidFill>
                        <a:effectLst/>
                        <a:latin typeface="Book Antiqua" panose="02040602050305030304" pitchFamily="18" charset="0"/>
                        <a:ea typeface="+mn-ea"/>
                        <a:cs typeface="+mn-cs"/>
                      </a:rPr>
                      <m:t>electric</m:t>
                    </m:r>
                    <m:r>
                      <m:rPr>
                        <m:nor/>
                      </m:rPr>
                      <a:rPr lang="en-US" sz="1400" i="1">
                        <a:solidFill>
                          <a:sysClr val="windowText" lastClr="000000"/>
                        </a:solidFill>
                        <a:effectLst/>
                        <a:latin typeface="Book Antiqua" panose="02040602050305030304" pitchFamily="18" charset="0"/>
                        <a:ea typeface="+mn-ea"/>
                        <a:cs typeface="+mn-cs"/>
                      </a:rPr>
                      <m:t> </m:t>
                    </m:r>
                    <m:r>
                      <a:rPr lang="en-US" sz="1400" i="1">
                        <a:solidFill>
                          <a:sysClr val="windowText" lastClr="000000"/>
                        </a:solidFill>
                        <a:latin typeface="Cambria Math" panose="02040503050406030204" pitchFamily="18" charset="0"/>
                      </a:rPr>
                      <m:t>=</m:t>
                    </m:r>
                    <m:f>
                      <m:fPr>
                        <m:ctrlPr>
                          <a:rPr lang="en-US" sz="1400" i="1">
                            <a:solidFill>
                              <a:sysClr val="windowText" lastClr="000000"/>
                            </a:solidFill>
                            <a:latin typeface="Cambria Math" panose="02040503050406030204" pitchFamily="18" charset="0"/>
                          </a:rPr>
                        </m:ctrlPr>
                      </m:fPr>
                      <m:num>
                        <m:r>
                          <a:rPr lang="en-US" sz="1100" b="0" i="1">
                            <a:solidFill>
                              <a:schemeClr val="tx1"/>
                            </a:solidFill>
                            <a:effectLst/>
                            <a:latin typeface="Cambria Math" panose="02040503050406030204" pitchFamily="18" charset="0"/>
                            <a:ea typeface="+mn-ea"/>
                            <a:cs typeface="+mn-cs"/>
                          </a:rPr>
                          <m:t>8.33∗1.0∗(</m:t>
                        </m:r>
                        <m:r>
                          <a:rPr lang="en-US" sz="1100" b="0" i="1">
                            <a:solidFill>
                              <a:schemeClr val="tx1"/>
                            </a:solidFill>
                            <a:effectLst/>
                            <a:latin typeface="Cambria Math" panose="02040503050406030204" pitchFamily="18" charset="0"/>
                            <a:ea typeface="+mn-ea"/>
                            <a:cs typeface="+mn-cs"/>
                          </a:rPr>
                          <m:t>𝑆h𝑜𝑤𝑒𝑟𝑇𝑒𝑚𝑝</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𝑆𝑢𝑝𝑝𝑙𝑦𝑇𝑒𝑚𝑝</m:t>
                        </m:r>
                      </m:num>
                      <m:den>
                        <m:r>
                          <a:rPr lang="en-US" sz="1100" b="0" i="1">
                            <a:solidFill>
                              <a:schemeClr val="tx1"/>
                            </a:solidFill>
                            <a:effectLst/>
                            <a:latin typeface="Cambria Math" panose="02040503050406030204" pitchFamily="18" charset="0"/>
                            <a:ea typeface="+mn-ea"/>
                            <a:cs typeface="+mn-cs"/>
                          </a:rPr>
                          <m:t>𝑅𝐸</m:t>
                        </m:r>
                        <m:r>
                          <a:rPr lang="en-US" sz="1100" b="0" i="1">
                            <a:solidFill>
                              <a:schemeClr val="tx1"/>
                            </a:solidFill>
                            <a:effectLst/>
                            <a:latin typeface="Cambria Math" panose="02040503050406030204" pitchFamily="18" charset="0"/>
                            <a:ea typeface="+mn-ea"/>
                            <a:cs typeface="+mn-cs"/>
                          </a:rPr>
                          <m:t>_</m:t>
                        </m:r>
                        <m:r>
                          <a:rPr lang="en-US" sz="1100" b="0" i="1">
                            <a:solidFill>
                              <a:schemeClr val="tx1"/>
                            </a:solidFill>
                            <a:effectLst/>
                            <a:latin typeface="Cambria Math" panose="02040503050406030204" pitchFamily="18" charset="0"/>
                            <a:ea typeface="+mn-ea"/>
                            <a:cs typeface="+mn-cs"/>
                          </a:rPr>
                          <m:t>𝑒𝑙𝑒𝑐𝑡𝑟𝑖𝑐</m:t>
                        </m:r>
                        <m:r>
                          <a:rPr lang="en-US" sz="11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E4717BCF-39C7-4A9A-AC0A-CA91FC25DFF2}"/>
                </a:ext>
              </a:extLst>
            </xdr:cNvPr>
            <xdr:cNvSpPr txBox="1"/>
          </xdr:nvSpPr>
          <xdr:spPr>
            <a:xfrm>
              <a:off x="12192001" y="165176310"/>
              <a:ext cx="8666468"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mn-ea"/>
                  <a:cs typeface="+mn-cs"/>
                </a:rPr>
                <a:t>"EPG_electric</a:t>
              </a:r>
              <a:r>
                <a:rPr lang="en-US" sz="1400" i="0">
                  <a:solidFill>
                    <a:sysClr val="windowText" lastClr="000000"/>
                  </a:solidFill>
                  <a:effectLst/>
                  <a:latin typeface="Cambria Math" panose="02040503050406030204" pitchFamily="18" charset="0"/>
                  <a:ea typeface="+mn-ea"/>
                  <a:cs typeface="+mn-cs"/>
                </a:rPr>
                <a:t> "</a:t>
              </a:r>
              <a:r>
                <a:rPr lang="en-US" sz="1400" i="0">
                  <a:solidFill>
                    <a:sysClr val="windowText" lastClr="000000"/>
                  </a:solidFill>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400" b="0" i="0">
                  <a:solidFill>
                    <a:sysClr val="windowText" lastClr="000000"/>
                  </a:solidFill>
                  <a:effectLst/>
                  <a:latin typeface="Cambria Math" panose="02040503050406030204" pitchFamily="18" charset="0"/>
                  <a:ea typeface="+mn-ea"/>
                  <a:cs typeface="+mn-cs"/>
                </a:rPr>
                <a:t>)/(</a:t>
              </a:r>
              <a:r>
                <a:rPr lang="en-US" sz="1100" b="0" i="0">
                  <a:solidFill>
                    <a:schemeClr val="tx1"/>
                  </a:solidFill>
                  <a:effectLst/>
                  <a:latin typeface="Cambria Math" panose="02040503050406030204" pitchFamily="18" charset="0"/>
                  <a:ea typeface="+mn-ea"/>
                  <a:cs typeface="+mn-cs"/>
                </a:rPr>
                <a:t>𝑅𝐸_𝑒𝑙𝑒𝑐𝑡𝑟𝑖𝑐∗3412</a:t>
              </a:r>
              <a:r>
                <a:rPr lang="en-US" sz="14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1156293</xdr:colOff>
      <xdr:row>847</xdr:row>
      <xdr:rowOff>19793</xdr:rowOff>
    </xdr:from>
    <xdr:to>
      <xdr:col>7</xdr:col>
      <xdr:colOff>947383</xdr:colOff>
      <xdr:row>850</xdr:row>
      <xdr:rowOff>115527</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4CF029DB-09AE-4E4A-8379-97FE868DBA83}"/>
                </a:ext>
                <a:ext uri="{147F2762-F138-4A5C-976F-8EAC2B608ADB}">
                  <a16:predDERef xmlns:a16="http://schemas.microsoft.com/office/drawing/2014/main" pred="{6BA7230A-3E3A-4401-8B4E-1900DA1715E1}"/>
                </a:ext>
              </a:extLst>
            </xdr:cNvPr>
            <xdr:cNvSpPr txBox="1"/>
          </xdr:nvSpPr>
          <xdr:spPr>
            <a:xfrm>
              <a:off x="2832693" y="202768943"/>
              <a:ext cx="12306940"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S</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showerdevice</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4CF029DB-09AE-4E4A-8379-97FE868DBA83}"/>
                </a:ext>
                <a:ext uri="{147F2762-F138-4A5C-976F-8EAC2B608ADB}">
                  <a16:predDERef xmlns:a16="http://schemas.microsoft.com/office/drawing/2014/main" pred="{6BA7230A-3E3A-4401-8B4E-1900DA1715E1}"/>
                </a:ext>
              </a:extLst>
            </xdr:cNvPr>
            <xdr:cNvSpPr txBox="1"/>
          </xdr:nvSpPr>
          <xdr:spPr>
            <a:xfrm>
              <a:off x="2832693" y="202768943"/>
              <a:ext cx="12306940"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((GPM_base_S</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L_showerdevice</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997033</xdr:colOff>
      <xdr:row>847</xdr:row>
      <xdr:rowOff>82332</xdr:rowOff>
    </xdr:from>
    <xdr:to>
      <xdr:col>12</xdr:col>
      <xdr:colOff>0</xdr:colOff>
      <xdr:row>851</xdr:row>
      <xdr:rowOff>262</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C207C2EE-4E1A-4C50-855D-B74980899337}"/>
                </a:ext>
              </a:extLst>
            </xdr:cNvPr>
            <xdr:cNvSpPr txBox="1"/>
          </xdr:nvSpPr>
          <xdr:spPr>
            <a:xfrm>
              <a:off x="12427033" y="202831482"/>
              <a:ext cx="8727992"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C207C2EE-4E1A-4C50-855D-B74980899337}"/>
                </a:ext>
              </a:extLst>
            </xdr:cNvPr>
            <xdr:cNvSpPr txBox="1"/>
          </xdr:nvSpPr>
          <xdr:spPr>
            <a:xfrm>
              <a:off x="12427033" y="202831482"/>
              <a:ext cx="8727992"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1405059</xdr:colOff>
      <xdr:row>906</xdr:row>
      <xdr:rowOff>84367</xdr:rowOff>
    </xdr:from>
    <xdr:to>
      <xdr:col>6</xdr:col>
      <xdr:colOff>1213757</xdr:colOff>
      <xdr:row>910</xdr:row>
      <xdr:rowOff>116943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5284C9A-23CF-4B53-88D3-190F178E7DA2}"/>
                </a:ext>
              </a:extLst>
            </xdr:cNvPr>
            <xdr:cNvSpPr txBox="1"/>
          </xdr:nvSpPr>
          <xdr:spPr>
            <a:xfrm>
              <a:off x="3081459" y="222921742"/>
              <a:ext cx="9562298" cy="7945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r>
                      <a:rPr lang="en-US" sz="1800" b="0" i="1">
                        <a:solidFill>
                          <a:sysClr val="windowText" lastClr="000000"/>
                        </a:solidFill>
                        <a:latin typeface="Cambria Math" panose="02040503050406030204" pitchFamily="18" charset="0"/>
                        <a:ea typeface="Cambria Math" panose="02040503050406030204" pitchFamily="18" charset="0"/>
                      </a:rPr>
                      <m:t>%</m:t>
                    </m:r>
                    <m:r>
                      <a:rPr lang="en-US" sz="18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800" b="0" i="1">
                        <a:solidFill>
                          <a:sysClr val="windowText" lastClr="000000"/>
                        </a:solidFill>
                        <a:latin typeface="Cambria Math" panose="02040503050406030204" pitchFamily="18" charset="0"/>
                        <a:ea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num>
                          <m:den>
                            <m:r>
                              <a:rPr lang="en-US" sz="1400" b="0" i="1">
                                <a:solidFill>
                                  <a:sysClr val="windowText" lastClr="000000"/>
                                </a:solidFill>
                                <a:effectLst/>
                                <a:latin typeface="Cambria Math" panose="02040503050406030204" pitchFamily="18" charset="0"/>
                                <a:ea typeface="+mn-ea"/>
                                <a:cs typeface="+mn-cs"/>
                              </a:rPr>
                              <m:t>𝐺𝑃</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𝑀</m:t>
                                </m:r>
                              </m:e>
                              <m:sub>
                                <m:r>
                                  <a:rPr lang="en-US" sz="1400" b="0" i="1">
                                    <a:solidFill>
                                      <a:sysClr val="windowText" lastClr="000000"/>
                                    </a:solidFill>
                                    <a:effectLst/>
                                    <a:latin typeface="Cambria Math" panose="02040503050406030204" pitchFamily="18" charset="0"/>
                                    <a:ea typeface="+mn-ea"/>
                                    <a:cs typeface="+mn-cs"/>
                                  </a:rPr>
                                  <m:t>𝑏𝑎𝑠𝑒</m:t>
                                </m:r>
                              </m:sub>
                            </m:sSub>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𝑈𝑠𝑎𝑔𝑒</m:t>
                    </m:r>
                    <m:r>
                      <a:rPr lang="en-US" sz="1800" b="0" i="1">
                        <a:solidFill>
                          <a:sysClr val="windowText" lastClr="000000"/>
                        </a:solidFill>
                        <a:latin typeface="Cambria Math" panose="02040503050406030204" pitchFamily="18" charset="0"/>
                      </a:rPr>
                      <m:t> ∗</m:t>
                    </m:r>
                    <m:r>
                      <a:rPr lang="en-US" sz="1800" b="0" i="1">
                        <a:solidFill>
                          <a:sysClr val="windowText" lastClr="000000"/>
                        </a:solidFill>
                        <a:latin typeface="Cambria Math" panose="02040503050406030204" pitchFamily="18" charset="0"/>
                      </a:rPr>
                      <m:t>𝐸𝑃</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𝐺</m:t>
                        </m:r>
                      </m:e>
                      <m:sub>
                        <m:r>
                          <a:rPr lang="en-US" sz="1800" b="0" i="1">
                            <a:solidFill>
                              <a:sysClr val="windowText" lastClr="000000"/>
                            </a:solidFill>
                            <a:latin typeface="Cambria Math" panose="02040503050406030204" pitchFamily="18" charset="0"/>
                          </a:rPr>
                          <m:t>𝑒𝑙𝑒𝑐𝑡𝑟𝑖𝑐</m:t>
                        </m:r>
                      </m:sub>
                    </m:sSub>
                    <m:r>
                      <a:rPr lang="en-US" sz="1800" b="0" i="1">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1" name="TextBox 10">
              <a:extLst>
                <a:ext uri="{FF2B5EF4-FFF2-40B4-BE49-F238E27FC236}">
                  <a16:creationId xmlns:a16="http://schemas.microsoft.com/office/drawing/2014/main" id="{15284C9A-23CF-4B53-88D3-190F178E7DA2}"/>
                </a:ext>
              </a:extLst>
            </xdr:cNvPr>
            <xdr:cNvSpPr txBox="1"/>
          </xdr:nvSpPr>
          <xdr:spPr>
            <a:xfrm>
              <a:off x="3081459" y="222921742"/>
              <a:ext cx="9562298" cy="7945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800" i="0">
                  <a:solidFill>
                    <a:sysClr val="windowText" lastClr="000000"/>
                  </a:solidFill>
                  <a:latin typeface="Cambria Math" panose="02040503050406030204" pitchFamily="18" charset="0"/>
                  <a:ea typeface="Cambria Math" panose="02040503050406030204" pitchFamily="18" charset="0"/>
                </a:rPr>
                <a:t>=</a:t>
              </a:r>
              <a:r>
                <a:rPr lang="en-US" sz="1800" b="0" i="0">
                  <a:solidFill>
                    <a:sysClr val="windowText" lastClr="000000"/>
                  </a:solidFill>
                  <a:latin typeface="Cambria Math" panose="02040503050406030204" pitchFamily="18" charset="0"/>
                  <a:ea typeface="Cambria Math" panose="02040503050406030204" pitchFamily="18" charset="0"/>
                </a:rPr>
                <a:t>%𝐸𝑙𝑒𝑐𝑡𝑟𝑖𝑐𝐷𝐻𝑊∗</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 GPM_low</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𝐺𝑃𝑀_𝑏𝑎𝑠𝑒 </a:t>
              </a:r>
              <a:r>
                <a:rPr lang="en-US" sz="1400" b="0" i="0" baseline="0">
                  <a:solidFill>
                    <a:sysClr val="windowText" lastClr="000000"/>
                  </a:solidFill>
                  <a:effectLst/>
                  <a:latin typeface="Cambria Math" panose="02040503050406030204" pitchFamily="18" charset="0"/>
                  <a:ea typeface="+mn-ea"/>
                  <a:cs typeface="+mn-cs"/>
                </a:rPr>
                <a:t>))</a:t>
              </a:r>
              <a:r>
                <a:rPr lang="en-US" sz="1800" b="0" i="0">
                  <a:solidFill>
                    <a:sysClr val="windowText" lastClr="000000"/>
                  </a:solidFill>
                  <a:latin typeface="Cambria Math" panose="02040503050406030204" pitchFamily="18" charset="0"/>
                </a:rPr>
                <a:t>∗𝑈𝑠𝑎𝑔𝑒 ∗𝐸𝑃𝐺_𝑒𝑙𝑒𝑐𝑡𝑟𝑖𝑐  ∗</a:t>
              </a:r>
              <a:r>
                <a:rPr lang="en-US" sz="1400" b="0" i="0">
                  <a:solidFill>
                    <a:sysClr val="windowText" lastClr="000000"/>
                  </a:solidFill>
                  <a:effectLst/>
                  <a:latin typeface="Cambria Math" panose="02040503050406030204" pitchFamily="18" charset="0"/>
                  <a:ea typeface="+mn-ea"/>
                  <a:cs typeface="+mn-cs"/>
                </a:rPr>
                <a:t>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1224643</xdr:colOff>
      <xdr:row>906</xdr:row>
      <xdr:rowOff>176892</xdr:rowOff>
    </xdr:from>
    <xdr:to>
      <xdr:col>11</xdr:col>
      <xdr:colOff>1013811</xdr:colOff>
      <xdr:row>910</xdr:row>
      <xdr:rowOff>94822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C125002D-56F9-4A0F-95DC-27B4327F8B3A}"/>
                </a:ext>
                <a:ext uri="{147F2762-F138-4A5C-976F-8EAC2B608ADB}">
                  <a16:predDERef xmlns:a16="http://schemas.microsoft.com/office/drawing/2014/main" pred="{15284C9A-23CF-4B53-88D3-190F178E7DA2}"/>
                </a:ext>
              </a:extLst>
            </xdr:cNvPr>
            <xdr:cNvSpPr txBox="1"/>
          </xdr:nvSpPr>
          <xdr:spPr>
            <a:xfrm>
              <a:off x="12654643" y="223014267"/>
              <a:ext cx="8475968"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C125002D-56F9-4A0F-95DC-27B4327F8B3A}"/>
                </a:ext>
                <a:ext uri="{147F2762-F138-4A5C-976F-8EAC2B608ADB}">
                  <a16:predDERef xmlns:a16="http://schemas.microsoft.com/office/drawing/2014/main" pred="{15284C9A-23CF-4B53-88D3-190F178E7DA2}"/>
                </a:ext>
              </a:extLst>
            </xdr:cNvPr>
            <xdr:cNvSpPr txBox="1"/>
          </xdr:nvSpPr>
          <xdr:spPr>
            <a:xfrm>
              <a:off x="12654643" y="223014267"/>
              <a:ext cx="8475968"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301518</xdr:colOff>
      <xdr:row>938</xdr:row>
      <xdr:rowOff>95251</xdr:rowOff>
    </xdr:from>
    <xdr:to>
      <xdr:col>7</xdr:col>
      <xdr:colOff>1106261</xdr:colOff>
      <xdr:row>939</xdr:row>
      <xdr:rowOff>147894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1977918" y="233562526"/>
              <a:ext cx="13320593"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𝑁𝑆𝑃𝐷</m:t>
                        </m:r>
                        <m:r>
                          <a:rPr lang="en-US" sz="1600" b="0" i="1">
                            <a:solidFill>
                              <a:sysClr val="windowText" lastClr="000000"/>
                            </a:solidFill>
                            <a:latin typeface="Cambria Math" panose="02040503050406030204" pitchFamily="18" charset="0"/>
                            <a:ea typeface="Cambria Math" panose="02040503050406030204" pitchFamily="18" charset="0"/>
                          </a:rPr>
                          <m:t>∗365.25</m:t>
                        </m:r>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𝐺</m:t>
                        </m:r>
                      </m:e>
                      <m:sub>
                        <m:r>
                          <a:rPr lang="en-US" sz="1600" b="0" i="1" baseline="0">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600" b="0" i="1" baseline="0">
                        <a:solidFill>
                          <a:sysClr val="windowText" lastClr="000000"/>
                        </a:solidFill>
                        <a:latin typeface="Cambria Math" panose="02040503050406030204" pitchFamily="18" charset="0"/>
                        <a:ea typeface="Cambria Math" panose="02040503050406030204" pitchFamily="18" charset="0"/>
                      </a:rPr>
                      <m:t>∗</m:t>
                    </m:r>
                    <m:r>
                      <a:rPr lang="en-US" sz="1600" b="0" i="1" baseline="0">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3" name="TextBox 12">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1977918" y="233562526"/>
              <a:ext cx="13320593"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%𝐸𝑙𝑒𝑐𝑡𝑟𝑖𝑐𝐷𝐻𝑊∗((𝐺𝑃𝑀_𝑏𝑎𝑠𝑒∗𝐿_𝑏𝑎𝑠𝑒−𝐺𝑃𝑀_𝑙𝑜𝑤∗𝐿_𝑙𝑜𝑤 )∗𝑁𝑆𝑃𝐷∗365.25)∗𝐸𝑃𝐺_</a:t>
              </a:r>
              <a:r>
                <a:rPr lang="en-US" sz="1600" b="0" i="0" baseline="0">
                  <a:solidFill>
                    <a:sysClr val="windowText" lastClr="000000"/>
                  </a:solidFill>
                  <a:latin typeface="Cambria Math" panose="02040503050406030204" pitchFamily="18" charset="0"/>
                  <a:ea typeface="Cambria Math" panose="02040503050406030204" pitchFamily="18" charset="0"/>
                </a:rPr>
                <a:t>𝑒𝑙𝑒𝑐𝑡𝑟𝑖𝑐∗𝐼𝑆𝑅</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2337955</xdr:colOff>
      <xdr:row>937</xdr:row>
      <xdr:rowOff>151603</xdr:rowOff>
    </xdr:from>
    <xdr:to>
      <xdr:col>11</xdr:col>
      <xdr:colOff>1000205</xdr:colOff>
      <xdr:row>941</xdr:row>
      <xdr:rowOff>119546</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49B062CD-B962-437A-88B5-AE4A79C60D3C}"/>
                </a:ext>
                <a:ext uri="{147F2762-F138-4A5C-976F-8EAC2B608ADB}">
                  <a16:predDERef xmlns:a16="http://schemas.microsoft.com/office/drawing/2014/main" pred="{4C5C7907-F304-489A-96C2-DBBF8FAFF97F}"/>
                </a:ext>
              </a:extLst>
            </xdr:cNvPr>
            <xdr:cNvSpPr txBox="1"/>
          </xdr:nvSpPr>
          <xdr:spPr>
            <a:xfrm>
              <a:off x="13767955" y="233428378"/>
              <a:ext cx="7349050" cy="729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chemeClr val="tx1"/>
                            </a:solidFill>
                            <a:effectLst/>
                            <a:latin typeface="Cambria Math" panose="02040503050406030204" pitchFamily="18" charset="0"/>
                            <a:ea typeface="+mn-ea"/>
                            <a:cs typeface="+mn-cs"/>
                          </a:rPr>
                          <m:t>8.33∗1.0∗(</m:t>
                        </m:r>
                        <m:r>
                          <a:rPr lang="en-US" sz="1200" b="0" i="1">
                            <a:solidFill>
                              <a:schemeClr val="tx1"/>
                            </a:solidFill>
                            <a:effectLst/>
                            <a:latin typeface="Cambria Math" panose="02040503050406030204" pitchFamily="18" charset="0"/>
                            <a:ea typeface="+mn-ea"/>
                            <a:cs typeface="+mn-cs"/>
                          </a:rPr>
                          <m:t>𝑆h𝑜𝑤𝑒𝑟𝑇𝑒𝑚𝑝</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𝑆𝑢𝑝𝑝𝑙𝑦𝑇𝑒𝑚𝑝</m:t>
                        </m:r>
                      </m:num>
                      <m:den>
                        <m:r>
                          <a:rPr lang="en-US" sz="1200" b="0" i="1">
                            <a:solidFill>
                              <a:schemeClr val="tx1"/>
                            </a:solidFill>
                            <a:effectLst/>
                            <a:latin typeface="Cambria Math" panose="02040503050406030204" pitchFamily="18" charset="0"/>
                            <a:ea typeface="+mn-ea"/>
                            <a:cs typeface="+mn-cs"/>
                          </a:rPr>
                          <m:t>𝑅𝐸</m:t>
                        </m:r>
                        <m:r>
                          <a:rPr lang="en-US" sz="1200" b="0" i="1">
                            <a:solidFill>
                              <a:schemeClr val="tx1"/>
                            </a:solidFill>
                            <a:effectLst/>
                            <a:latin typeface="Cambria Math" panose="02040503050406030204" pitchFamily="18" charset="0"/>
                            <a:ea typeface="+mn-ea"/>
                            <a:cs typeface="+mn-cs"/>
                          </a:rPr>
                          <m:t>_</m:t>
                        </m:r>
                        <m:r>
                          <a:rPr lang="en-US" sz="1200" b="0" i="1">
                            <a:solidFill>
                              <a:schemeClr val="tx1"/>
                            </a:solidFill>
                            <a:effectLst/>
                            <a:latin typeface="Cambria Math" panose="02040503050406030204" pitchFamily="18" charset="0"/>
                            <a:ea typeface="+mn-ea"/>
                            <a:cs typeface="+mn-cs"/>
                          </a:rPr>
                          <m:t>𝑒𝑙𝑒𝑐𝑡𝑟𝑖𝑐</m:t>
                        </m:r>
                        <m:r>
                          <a:rPr lang="en-US" sz="12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14" name="TextBox 13">
              <a:extLst>
                <a:ext uri="{FF2B5EF4-FFF2-40B4-BE49-F238E27FC236}">
                  <a16:creationId xmlns:a16="http://schemas.microsoft.com/office/drawing/2014/main" id="{49B062CD-B962-437A-88B5-AE4A79C60D3C}"/>
                </a:ext>
                <a:ext uri="{147F2762-F138-4A5C-976F-8EAC2B608ADB}">
                  <a16:predDERef xmlns:a16="http://schemas.microsoft.com/office/drawing/2014/main" pred="{4C5C7907-F304-489A-96C2-DBBF8FAFF97F}"/>
                </a:ext>
              </a:extLst>
            </xdr:cNvPr>
            <xdr:cNvSpPr txBox="1"/>
          </xdr:nvSpPr>
          <xdr:spPr>
            <a:xfrm>
              <a:off x="13767955" y="233428378"/>
              <a:ext cx="7349050" cy="729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600" b="0" i="0">
                  <a:solidFill>
                    <a:sysClr val="windowText" lastClr="000000"/>
                  </a:solidFill>
                  <a:effectLst/>
                  <a:latin typeface="Cambria Math" panose="02040503050406030204" pitchFamily="18" charset="0"/>
                  <a:ea typeface="+mn-ea"/>
                  <a:cs typeface="+mn-cs"/>
                </a:rPr>
                <a:t>)/(</a:t>
              </a:r>
              <a:r>
                <a:rPr lang="en-US" sz="1200" b="0" i="0">
                  <a:solidFill>
                    <a:schemeClr val="tx1"/>
                  </a:solidFill>
                  <a:effectLst/>
                  <a:latin typeface="Cambria Math" panose="02040503050406030204" pitchFamily="18" charset="0"/>
                  <a:ea typeface="+mn-ea"/>
                  <a:cs typeface="+mn-cs"/>
                </a:rPr>
                <a:t>𝑅𝐸_𝑒𝑙𝑒𝑐𝑡𝑟𝑖𝑐∗3412</a:t>
              </a:r>
              <a:r>
                <a:rPr lang="en-US" sz="16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oneCellAnchor>
    <xdr:from>
      <xdr:col>8</xdr:col>
      <xdr:colOff>7576</xdr:colOff>
      <xdr:row>5</xdr:row>
      <xdr:rowOff>0</xdr:rowOff>
    </xdr:from>
    <xdr:ext cx="65" cy="172227"/>
    <xdr:sp macro="" textlink="">
      <xdr:nvSpPr>
        <xdr:cNvPr id="15" name="TextBox 14">
          <a:extLst>
            <a:ext uri="{FF2B5EF4-FFF2-40B4-BE49-F238E27FC236}">
              <a16:creationId xmlns:a16="http://schemas.microsoft.com/office/drawing/2014/main" id="{1CA3160D-9BDB-4575-B632-7B1C064DCE51}"/>
            </a:ext>
          </a:extLst>
        </xdr:cNvPr>
        <xdr:cNvSpPr txBox="1"/>
      </xdr:nvSpPr>
      <xdr:spPr>
        <a:xfrm>
          <a:off x="15847651"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589</xdr:row>
      <xdr:rowOff>0</xdr:rowOff>
    </xdr:from>
    <xdr:ext cx="65" cy="172227"/>
    <xdr:sp macro="" textlink="">
      <xdr:nvSpPr>
        <xdr:cNvPr id="16" name="TextBox 15">
          <a:extLst>
            <a:ext uri="{FF2B5EF4-FFF2-40B4-BE49-F238E27FC236}">
              <a16:creationId xmlns:a16="http://schemas.microsoft.com/office/drawing/2014/main" id="{C5BB5102-D9F1-463D-BAA9-08D2DB821553}"/>
            </a:ext>
          </a:extLst>
        </xdr:cNvPr>
        <xdr:cNvSpPr txBox="1"/>
      </xdr:nvSpPr>
      <xdr:spPr>
        <a:xfrm>
          <a:off x="15842456" y="133978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589</xdr:row>
      <xdr:rowOff>0</xdr:rowOff>
    </xdr:from>
    <xdr:ext cx="65" cy="172227"/>
    <xdr:sp macro="" textlink="">
      <xdr:nvSpPr>
        <xdr:cNvPr id="17" name="TextBox 16">
          <a:extLst>
            <a:ext uri="{FF2B5EF4-FFF2-40B4-BE49-F238E27FC236}">
              <a16:creationId xmlns:a16="http://schemas.microsoft.com/office/drawing/2014/main" id="{02CD82D6-F56C-4BD0-B8EB-E25FF08C7C7E}"/>
            </a:ext>
          </a:extLst>
        </xdr:cNvPr>
        <xdr:cNvSpPr txBox="1"/>
      </xdr:nvSpPr>
      <xdr:spPr>
        <a:xfrm>
          <a:off x="15842456" y="133978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1751997</xdr:colOff>
      <xdr:row>504</xdr:row>
      <xdr:rowOff>160263</xdr:rowOff>
    </xdr:from>
    <xdr:to>
      <xdr:col>8</xdr:col>
      <xdr:colOff>1791476</xdr:colOff>
      <xdr:row>506</xdr:row>
      <xdr:rowOff>79282</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A23063F1-0162-4DDF-AC70-C645B2AD9C13}"/>
                </a:ext>
              </a:extLst>
            </xdr:cNvPr>
            <xdr:cNvSpPr txBox="1"/>
          </xdr:nvSpPr>
          <xdr:spPr>
            <a:xfrm>
              <a:off x="13181997" y="116612913"/>
              <a:ext cx="4449554"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𝐻𝑒𝑎𝑡𝑖𝑛𝑔𝐺𝑎𝑠</m:t>
                        </m:r>
                      </m:sub>
                    </m:sSub>
                    <m:r>
                      <a:rPr lang="en-US" sz="1800" b="0" i="1">
                        <a:latin typeface="Cambria Math" panose="02040503050406030204" pitchFamily="18" charset="0"/>
                        <a:ea typeface="Cambria Math" panose="02040503050406030204" pitchFamily="18" charset="0"/>
                      </a:rPr>
                      <m:t>=</m:t>
                    </m:r>
                    <m:r>
                      <m:rPr>
                        <m:sty m:val="p"/>
                      </m:rPr>
                      <a:rPr lang="el-GR" sz="1800" b="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𝐹𝑒</m:t>
                    </m:r>
                    <m:r>
                      <a:rPr lang="en-US" sz="1800" b="0" i="1">
                        <a:latin typeface="Cambria Math" panose="02040503050406030204" pitchFamily="18" charset="0"/>
                        <a:ea typeface="Cambria Math" panose="02040503050406030204" pitchFamily="18" charset="0"/>
                      </a:rPr>
                      <m:t>∗29.3</m:t>
                    </m:r>
                  </m:oMath>
                </m:oMathPara>
              </a14:m>
              <a:endParaRPr lang="en-US" sz="1800"/>
            </a:p>
          </xdr:txBody>
        </xdr:sp>
      </mc:Choice>
      <mc:Fallback xmlns="">
        <xdr:sp macro="" textlink="">
          <xdr:nvSpPr>
            <xdr:cNvPr id="18" name="TextBox 17">
              <a:extLst>
                <a:ext uri="{FF2B5EF4-FFF2-40B4-BE49-F238E27FC236}">
                  <a16:creationId xmlns:a16="http://schemas.microsoft.com/office/drawing/2014/main" id="{A23063F1-0162-4DDF-AC70-C645B2AD9C13}"/>
                </a:ext>
              </a:extLst>
            </xdr:cNvPr>
            <xdr:cNvSpPr txBox="1"/>
          </xdr:nvSpPr>
          <xdr:spPr>
            <a:xfrm>
              <a:off x="13181997" y="116612913"/>
              <a:ext cx="4449554"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𝑘𝑊ℎ_𝐻𝑒𝑎𝑡𝑖𝑛𝑔𝐺𝑎𝑠=</a:t>
              </a:r>
              <a:r>
                <a:rPr lang="el-GR" sz="1800" b="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𝑇ℎ𝑒𝑟𝑚𝑠∗𝐹𝑒∗29.3</a:t>
              </a:r>
              <a:endParaRPr lang="en-US" sz="1800"/>
            </a:p>
          </xdr:txBody>
        </xdr:sp>
      </mc:Fallback>
    </mc:AlternateContent>
    <xdr:clientData/>
  </xdr:twoCellAnchor>
  <xdr:twoCellAnchor>
    <xdr:from>
      <xdr:col>6</xdr:col>
      <xdr:colOff>1688195</xdr:colOff>
      <xdr:row>506</xdr:row>
      <xdr:rowOff>146958</xdr:rowOff>
    </xdr:from>
    <xdr:to>
      <xdr:col>8</xdr:col>
      <xdr:colOff>2585986</xdr:colOff>
      <xdr:row>508</xdr:row>
      <xdr:rowOff>65977</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CCAFA92A-F51F-4C3A-B167-AA6327B1426B}"/>
                </a:ext>
              </a:extLst>
            </xdr:cNvPr>
            <xdr:cNvSpPr txBox="1"/>
          </xdr:nvSpPr>
          <xdr:spPr>
            <a:xfrm>
              <a:off x="13118195" y="116980608"/>
              <a:ext cx="5041166"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19" name="TextBox 18">
              <a:extLst>
                <a:ext uri="{FF2B5EF4-FFF2-40B4-BE49-F238E27FC236}">
                  <a16:creationId xmlns:a16="http://schemas.microsoft.com/office/drawing/2014/main" id="{CCAFA92A-F51F-4C3A-B167-AA6327B1426B}"/>
                </a:ext>
              </a:extLst>
            </xdr:cNvPr>
            <xdr:cNvSpPr txBox="1"/>
          </xdr:nvSpPr>
          <xdr:spPr>
            <a:xfrm>
              <a:off x="13118195" y="116980608"/>
              <a:ext cx="5041166"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𝑇ℎ𝑒𝑟𝑚𝑠=𝐻𝑒𝑎𝑡 𝑆𝑎𝑣𝑖𝑛𝑔𝑠 𝑝𝑒𝑟 𝑈𝑛𝑖𝑡∗𝐷𝑢𝑐𝑡_𝑙𝑒𝑛𝑔𝑡ℎ</a:t>
              </a:r>
              <a:endParaRPr lang="en-US" sz="1800"/>
            </a:p>
          </xdr:txBody>
        </xdr:sp>
      </mc:Fallback>
    </mc:AlternateContent>
    <xdr:clientData/>
  </xdr:twoCellAnchor>
  <xdr:twoCellAnchor>
    <xdr:from>
      <xdr:col>3</xdr:col>
      <xdr:colOff>1390046</xdr:colOff>
      <xdr:row>504</xdr:row>
      <xdr:rowOff>186721</xdr:rowOff>
    </xdr:from>
    <xdr:to>
      <xdr:col>5</xdr:col>
      <xdr:colOff>1057740</xdr:colOff>
      <xdr:row>506</xdr:row>
      <xdr:rowOff>105740</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4A5E17EA-B011-47E3-8054-7CE648A4BF4F}"/>
                </a:ext>
              </a:extLst>
            </xdr:cNvPr>
            <xdr:cNvSpPr txBox="1"/>
          </xdr:nvSpPr>
          <xdr:spPr>
            <a:xfrm>
              <a:off x="3066446" y="116639371"/>
              <a:ext cx="6506644"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800" b="0" i="1">
                        <a:latin typeface="Cambria Math" panose="02040503050406030204" pitchFamily="18" charset="0"/>
                        <a:ea typeface="Cambria Math" panose="02040503050406030204" pitchFamily="18" charset="0"/>
                      </a:rPr>
                      <m:t> </m:t>
                    </m:r>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𝐻𝑒𝑎𝑡𝑖𝑛𝑔𝐸𝑙𝑒𝑐𝑡𝑟𝑖𝑐</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0" name="TextBox 19">
              <a:extLst>
                <a:ext uri="{FF2B5EF4-FFF2-40B4-BE49-F238E27FC236}">
                  <a16:creationId xmlns:a16="http://schemas.microsoft.com/office/drawing/2014/main" id="{4A5E17EA-B011-47E3-8054-7CE648A4BF4F}"/>
                </a:ext>
              </a:extLst>
            </xdr:cNvPr>
            <xdr:cNvSpPr txBox="1"/>
          </xdr:nvSpPr>
          <xdr:spPr>
            <a:xfrm>
              <a:off x="3066446" y="116639371"/>
              <a:ext cx="6506644"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 </a:t>
              </a: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𝑘𝑊ℎ_𝐻𝑒𝑎𝑡𝑖𝑛𝑔𝐸𝑙𝑒𝑐𝑡𝑟𝑖𝑐=𝐻𝑒𝑎𝑡 𝑆𝑎𝑣𝑖𝑛𝑔𝑠 𝑝𝑒𝑟 𝑈𝑛𝑖𝑡∗𝐷𝑢𝑐𝑡_𝑙𝑒𝑛𝑔𝑡ℎ</a:t>
              </a:r>
              <a:endParaRPr lang="en-US" sz="1800"/>
            </a:p>
          </xdr:txBody>
        </xdr:sp>
      </mc:Fallback>
    </mc:AlternateContent>
    <xdr:clientData/>
  </xdr:twoCellAnchor>
  <xdr:twoCellAnchor>
    <xdr:from>
      <xdr:col>4</xdr:col>
      <xdr:colOff>68037</xdr:colOff>
      <xdr:row>502</xdr:row>
      <xdr:rowOff>44148</xdr:rowOff>
    </xdr:from>
    <xdr:to>
      <xdr:col>5</xdr:col>
      <xdr:colOff>365083</xdr:colOff>
      <xdr:row>503</xdr:row>
      <xdr:rowOff>153667</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B01FC2F8-6D85-4E80-BCE7-0347E2558DE5}"/>
                </a:ext>
              </a:extLst>
            </xdr:cNvPr>
            <xdr:cNvSpPr txBox="1"/>
          </xdr:nvSpPr>
          <xdr:spPr>
            <a:xfrm>
              <a:off x="3344637" y="116115798"/>
              <a:ext cx="5535796"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𝐶𝑜𝑜𝑙𝑖𝑛𝑔</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𝐶𝑜𝑜𝑙</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1" name="TextBox 20">
              <a:extLst>
                <a:ext uri="{FF2B5EF4-FFF2-40B4-BE49-F238E27FC236}">
                  <a16:creationId xmlns:a16="http://schemas.microsoft.com/office/drawing/2014/main" id="{B01FC2F8-6D85-4E80-BCE7-0347E2558DE5}"/>
                </a:ext>
              </a:extLst>
            </xdr:cNvPr>
            <xdr:cNvSpPr txBox="1"/>
          </xdr:nvSpPr>
          <xdr:spPr>
            <a:xfrm>
              <a:off x="3344637" y="116115798"/>
              <a:ext cx="5535796"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𝑘𝑊ℎ_𝐶𝑜𝑜𝑙𝑖𝑛𝑔=𝐶𝑜𝑜𝑙 𝑆𝑎𝑣𝑖𝑛𝑔𝑠 𝑝𝑒𝑟 𝑈𝑛𝑖𝑡∗𝐷𝑢𝑐𝑡_𝑙𝑒𝑛𝑔𝑡ℎ</a:t>
              </a:r>
              <a:endParaRPr lang="en-US" sz="1800"/>
            </a:p>
          </xdr:txBody>
        </xdr:sp>
      </mc:Fallback>
    </mc:AlternateContent>
    <xdr:clientData/>
  </xdr:twoCellAnchor>
  <xdr:twoCellAnchor>
    <xdr:from>
      <xdr:col>4</xdr:col>
      <xdr:colOff>130933</xdr:colOff>
      <xdr:row>499</xdr:row>
      <xdr:rowOff>176893</xdr:rowOff>
    </xdr:from>
    <xdr:to>
      <xdr:col>4</xdr:col>
      <xdr:colOff>3214854</xdr:colOff>
      <xdr:row>501</xdr:row>
      <xdr:rowOff>88089</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A108FFD-870E-44F1-8F3C-157712B2D457}"/>
                </a:ext>
              </a:extLst>
            </xdr:cNvPr>
            <xdr:cNvSpPr txBox="1"/>
          </xdr:nvSpPr>
          <xdr:spPr>
            <a:xfrm>
              <a:off x="3407533" y="115677043"/>
              <a:ext cx="3083921" cy="292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r>
                      <m:rPr>
                        <m:sty m:val="p"/>
                      </m:rPr>
                      <a:rPr lang="el-GR" sz="1400" b="0" i="1">
                        <a:solidFill>
                          <a:schemeClr val="tx1"/>
                        </a:solidFill>
                        <a:effectLst/>
                        <a:latin typeface="Cambria Math" panose="02040503050406030204" pitchFamily="18" charset="0"/>
                        <a:ea typeface="+mn-ea"/>
                        <a:cs typeface="+mn-cs"/>
                      </a:rPr>
                      <m:t>Δ</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𝐶𝑜𝑜𝑙𝑖𝑛𝑔</m:t>
                        </m:r>
                      </m:sub>
                    </m:sSub>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𝐻𝑒𝑎𝑡𝑖𝑛𝑔</m:t>
                        </m:r>
                      </m:sub>
                    </m:sSub>
                  </m:oMath>
                </m:oMathPara>
              </a14:m>
              <a:endParaRPr lang="en-US" sz="1800"/>
            </a:p>
          </xdr:txBody>
        </xdr:sp>
      </mc:Choice>
      <mc:Fallback xmlns="">
        <xdr:sp macro="" textlink="">
          <xdr:nvSpPr>
            <xdr:cNvPr id="22" name="TextBox 21">
              <a:extLst>
                <a:ext uri="{FF2B5EF4-FFF2-40B4-BE49-F238E27FC236}">
                  <a16:creationId xmlns:a16="http://schemas.microsoft.com/office/drawing/2014/main" id="{0A108FFD-870E-44F1-8F3C-157712B2D457}"/>
                </a:ext>
              </a:extLst>
            </xdr:cNvPr>
            <xdr:cNvSpPr txBox="1"/>
          </xdr:nvSpPr>
          <xdr:spPr>
            <a:xfrm>
              <a:off x="3407533" y="115677043"/>
              <a:ext cx="3083921" cy="292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a:t>
              </a:r>
              <a:r>
                <a:rPr lang="el-GR" sz="1400" b="0" i="0">
                  <a:solidFill>
                    <a:schemeClr val="tx1"/>
                  </a:solidFill>
                  <a:effectLst/>
                  <a:latin typeface="Cambria Math" panose="02040503050406030204" pitchFamily="18" charset="0"/>
                  <a:ea typeface="+mn-ea"/>
                  <a:cs typeface="+mn-cs"/>
                </a:rPr>
                <a:t>Δ</a:t>
              </a:r>
              <a:r>
                <a:rPr lang="en-US" sz="1400" b="0" i="0">
                  <a:solidFill>
                    <a:schemeClr val="tx1"/>
                  </a:solidFill>
                  <a:effectLst/>
                  <a:latin typeface="Cambria Math" panose="02040503050406030204" pitchFamily="18" charset="0"/>
                  <a:ea typeface="+mn-ea"/>
                  <a:cs typeface="+mn-cs"/>
                </a:rPr>
                <a:t>𝑘𝑊ℎ_𝐶𝑜𝑜𝑙𝑖𝑛𝑔+𝑘𝑊ℎ_𝐻𝑒𝑎𝑡𝑖𝑛𝑔</a:t>
              </a:r>
              <a:endParaRPr lang="en-US" sz="1800"/>
            </a:p>
          </xdr:txBody>
        </xdr:sp>
      </mc:Fallback>
    </mc:AlternateContent>
    <xdr:clientData/>
  </xdr:twoCellAnchor>
  <xdr:twoCellAnchor>
    <xdr:from>
      <xdr:col>4</xdr:col>
      <xdr:colOff>96097</xdr:colOff>
      <xdr:row>542</xdr:row>
      <xdr:rowOff>95250</xdr:rowOff>
    </xdr:from>
    <xdr:to>
      <xdr:col>6</xdr:col>
      <xdr:colOff>133257</xdr:colOff>
      <xdr:row>544</xdr:row>
      <xdr:rowOff>203102</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CBFD7E6C-98D1-4F41-8555-B2D108EDD8A2}"/>
                </a:ext>
              </a:extLst>
            </xdr:cNvPr>
            <xdr:cNvSpPr txBox="1"/>
          </xdr:nvSpPr>
          <xdr:spPr>
            <a:xfrm>
              <a:off x="3372697" y="124596525"/>
              <a:ext cx="8190560" cy="4888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𝐴𝑆𝐻𝑃</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400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CBFD7E6C-98D1-4F41-8555-B2D108EDD8A2}"/>
                </a:ext>
              </a:extLst>
            </xdr:cNvPr>
            <xdr:cNvSpPr txBox="1"/>
          </xdr:nvSpPr>
          <xdr:spPr>
            <a:xfrm>
              <a:off x="3372697" y="124596525"/>
              <a:ext cx="8190560" cy="4888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𝑘𝑊ℎ_𝐻𝑒𝑎𝑡𝑖𝑛𝑔𝑀𝑜𝑑𝑒=(1−% 𝑤𝑖𝑡ℎ 𝑛𝑒𝑤 𝐴𝑆𝐻𝑃)∗(400 𝑘𝑊ℎ/𝑦𝑟∗(𝐸𝐹𝐿𝐻_𝐻𝑒𝑎𝑡𝑖𝑛𝑔)/(𝑊𝐼 𝐸𝐹𝐿𝐻_𝐻𝑒𝑎𝑡𝑖𝑛𝑔 ))∗𝐻𝐹</a:t>
              </a:r>
              <a:endParaRPr lang="en-US" sz="1400"/>
            </a:p>
          </xdr:txBody>
        </xdr:sp>
      </mc:Fallback>
    </mc:AlternateContent>
    <xdr:clientData/>
  </xdr:twoCellAnchor>
  <xdr:twoCellAnchor>
    <xdr:from>
      <xdr:col>4</xdr:col>
      <xdr:colOff>25159</xdr:colOff>
      <xdr:row>545</xdr:row>
      <xdr:rowOff>164736</xdr:rowOff>
    </xdr:from>
    <xdr:to>
      <xdr:col>6</xdr:col>
      <xdr:colOff>750456</xdr:colOff>
      <xdr:row>547</xdr:row>
      <xdr:rowOff>68480</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5820CF24-943F-4001-BA16-FD3BAB9399C8}"/>
                </a:ext>
              </a:extLst>
            </xdr:cNvPr>
            <xdr:cNvSpPr txBox="1"/>
          </xdr:nvSpPr>
          <xdr:spPr>
            <a:xfrm>
              <a:off x="3301759" y="125275611"/>
              <a:ext cx="8878697" cy="6181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𝑁𝑒𝑤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𝐶𝑒𝑛𝑡𝑟𝑎𝑙</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𝐶𝑜𝑜𝑙𝑖𝑛𝑔</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5820CF24-943F-4001-BA16-FD3BAB9399C8}"/>
                </a:ext>
              </a:extLst>
            </xdr:cNvPr>
            <xdr:cNvSpPr txBox="1"/>
          </xdr:nvSpPr>
          <xdr:spPr>
            <a:xfrm>
              <a:off x="3301759" y="125275611"/>
              <a:ext cx="8878697" cy="6181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𝑘𝑊ℎ_𝐶𝑜𝑜𝑙𝑖𝑛𝑔𝑀𝑜𝑑𝑒=(1−% 𝑤𝑖𝑡ℎ 𝑁𝑒𝑤 𝐶𝑒𝑛𝑡𝑟𝑎𝑙 𝐶𝑜𝑜𝑙𝑖𝑛𝑔)∗(70 𝑘𝑊ℎ/𝑦𝑟∗(𝐸𝐹𝐿𝐻_𝑐𝑜𝑜𝑙𝑖𝑛𝑔)/(𝑊𝐼 𝐸𝐹𝐿𝐻_𝑐𝑜𝑜𝑙𝑖𝑛𝑔 ))∗𝐻𝐹</a:t>
              </a:r>
              <a:endParaRPr lang="en-US" sz="1400"/>
            </a:p>
          </xdr:txBody>
        </xdr:sp>
      </mc:Fallback>
    </mc:AlternateContent>
    <xdr:clientData/>
  </xdr:twoCellAnchor>
  <xdr:twoCellAnchor>
    <xdr:from>
      <xdr:col>11</xdr:col>
      <xdr:colOff>707572</xdr:colOff>
      <xdr:row>543</xdr:row>
      <xdr:rowOff>15419</xdr:rowOff>
    </xdr:from>
    <xdr:to>
      <xdr:col>19</xdr:col>
      <xdr:colOff>152588</xdr:colOff>
      <xdr:row>545</xdr:row>
      <xdr:rowOff>150417</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1734B644-45C4-4E6C-B74B-3F49979A2A8F}"/>
                </a:ext>
              </a:extLst>
            </xdr:cNvPr>
            <xdr:cNvSpPr txBox="1"/>
          </xdr:nvSpPr>
          <xdr:spPr>
            <a:xfrm>
              <a:off x="20824372" y="124707194"/>
              <a:ext cx="6874516" cy="5540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𝐴𝑢𝑡𝑜𝐶𝑖𝑟𝑐𝑢𝑙𝑎𝑡𝑖𝑜𝑛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∗10%−30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5" name="TextBox 24">
              <a:extLst>
                <a:ext uri="{FF2B5EF4-FFF2-40B4-BE49-F238E27FC236}">
                  <a16:creationId xmlns:a16="http://schemas.microsoft.com/office/drawing/2014/main" id="{1734B644-45C4-4E6C-B74B-3F49979A2A8F}"/>
                </a:ext>
              </a:extLst>
            </xdr:cNvPr>
            <xdr:cNvSpPr txBox="1"/>
          </xdr:nvSpPr>
          <xdr:spPr>
            <a:xfrm>
              <a:off x="20824372" y="124707194"/>
              <a:ext cx="6874516" cy="5540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𝑘𝑊ℎ_𝐴𝑢𝑡𝑜𝐶𝑖𝑟𝑐𝑢𝑙𝑎𝑡𝑖𝑜𝑛=((25 𝑘𝑊ℎ/𝑦𝑟∗(𝐸𝐹𝐿𝐻_𝑐𝑜𝑜𝑙𝑖𝑛𝑔)/(𝑊𝐼 𝐸𝐹𝐿𝐻_𝑐𝑜𝑜𝑙𝑖𝑛𝑔 ))+2960 𝑘𝑊ℎ/𝑦𝑒𝑎𝑟∗10%−30 𝑘𝑊ℎ/𝑦𝑒𝑎𝑟)∗𝐻𝐹</a:t>
              </a:r>
              <a:endParaRPr lang="en-US" sz="1400"/>
            </a:p>
          </xdr:txBody>
        </xdr:sp>
      </mc:Fallback>
    </mc:AlternateContent>
    <xdr:clientData/>
  </xdr:twoCellAnchor>
  <xdr:twoCellAnchor>
    <xdr:from>
      <xdr:col>6</xdr:col>
      <xdr:colOff>1123164</xdr:colOff>
      <xdr:row>542</xdr:row>
      <xdr:rowOff>98817</xdr:rowOff>
    </xdr:from>
    <xdr:to>
      <xdr:col>10</xdr:col>
      <xdr:colOff>323462</xdr:colOff>
      <xdr:row>545</xdr:row>
      <xdr:rowOff>43315</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92ED0FC2-13DD-46A4-8E93-D28A55EE137B}"/>
                </a:ext>
              </a:extLst>
            </xdr:cNvPr>
            <xdr:cNvSpPr txBox="1"/>
          </xdr:nvSpPr>
          <xdr:spPr>
            <a:xfrm>
              <a:off x="12553164" y="124600092"/>
              <a:ext cx="7067948" cy="5540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92ED0FC2-13DD-46A4-8E93-D28A55EE137B}"/>
                </a:ext>
              </a:extLst>
            </xdr:cNvPr>
            <xdr:cNvSpPr txBox="1"/>
          </xdr:nvSpPr>
          <xdr:spPr>
            <a:xfrm>
              <a:off x="12553164" y="124600092"/>
              <a:ext cx="7067948" cy="5540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𝑘𝑊ℎ_𝐶𝑜𝑛𝑡𝑖𝑛𝑢𝑜𝑢𝑠𝐶𝑖𝑟𝑐𝑢𝑙𝑎𝑡𝑖𝑜𝑛=((25 𝑘𝑊ℎ/𝑦𝑟∗(𝐸𝐹𝐿𝐻_𝑐𝑜𝑜𝑙𝑖𝑛𝑔)/(𝑊𝐼 𝐸𝐹𝐿𝐻_𝑐𝑜𝑜𝑙𝑖𝑛𝑔 ))+2960 𝑘𝑊ℎ/𝑦𝑒𝑎𝑟−30 𝑘𝑊ℎ/𝑦𝑒𝑎𝑟)∗𝐻𝐹</a:t>
              </a:r>
              <a:endParaRPr lang="en-US" sz="1400"/>
            </a:p>
          </xdr:txBody>
        </xdr:sp>
      </mc:Fallback>
    </mc:AlternateContent>
    <xdr:clientData/>
  </xdr:twoCellAnchor>
  <xdr:twoCellAnchor>
    <xdr:from>
      <xdr:col>6</xdr:col>
      <xdr:colOff>1210945</xdr:colOff>
      <xdr:row>545</xdr:row>
      <xdr:rowOff>299597</xdr:rowOff>
    </xdr:from>
    <xdr:to>
      <xdr:col>9</xdr:col>
      <xdr:colOff>1102178</xdr:colOff>
      <xdr:row>547</xdr:row>
      <xdr:rowOff>62461</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4AEE3F38-B14F-437A-9894-B3F632E5BE9D}"/>
                </a:ext>
              </a:extLst>
            </xdr:cNvPr>
            <xdr:cNvSpPr txBox="1"/>
          </xdr:nvSpPr>
          <xdr:spPr>
            <a:xfrm>
              <a:off x="12640945" y="125410472"/>
              <a:ext cx="6615883" cy="477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∗0.03412</m:t>
                            </m:r>
                          </m:num>
                          <m:den>
                            <m:r>
                              <a:rPr lang="en-US" sz="1400" b="0" i="1">
                                <a:latin typeface="Cambria Math" panose="02040503050406030204" pitchFamily="18" charset="0"/>
                                <a:ea typeface="Cambria Math" panose="02040503050406030204" pitchFamily="18" charset="0"/>
                              </a:rPr>
                              <m:t>𝐴𝐹𝑈𝐸</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7" name="TextBox 26">
              <a:extLst>
                <a:ext uri="{FF2B5EF4-FFF2-40B4-BE49-F238E27FC236}">
                  <a16:creationId xmlns:a16="http://schemas.microsoft.com/office/drawing/2014/main" id="{4AEE3F38-B14F-437A-9894-B3F632E5BE9D}"/>
                </a:ext>
              </a:extLst>
            </xdr:cNvPr>
            <xdr:cNvSpPr txBox="1"/>
          </xdr:nvSpPr>
          <xdr:spPr>
            <a:xfrm>
              <a:off x="12640945" y="125410472"/>
              <a:ext cx="6615883" cy="477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𝑇ℎ𝑒𝑟𝑚𝑠=((−𝐻𝑒𝑎𝑡𝑖𝑛𝑔 𝑆𝑎𝑣𝑖𝑛𝑔𝑠∗0.03412)/𝐴𝐹𝑈𝐸)∗𝐻𝐹</a:t>
              </a:r>
              <a:endParaRPr lang="en-US" sz="1400"/>
            </a:p>
          </xdr:txBody>
        </xdr:sp>
      </mc:Fallback>
    </mc:AlternateContent>
    <xdr:clientData/>
  </xdr:twoCellAnchor>
  <xdr:twoCellAnchor>
    <xdr:from>
      <xdr:col>4</xdr:col>
      <xdr:colOff>145747</xdr:colOff>
      <xdr:row>547</xdr:row>
      <xdr:rowOff>54065</xdr:rowOff>
    </xdr:from>
    <xdr:to>
      <xdr:col>4</xdr:col>
      <xdr:colOff>2171110</xdr:colOff>
      <xdr:row>548</xdr:row>
      <xdr:rowOff>96834</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13D2CFA2-197C-4E12-B100-17EEA095C1E6}"/>
                </a:ext>
              </a:extLst>
            </xdr:cNvPr>
            <xdr:cNvSpPr txBox="1"/>
          </xdr:nvSpPr>
          <xdr:spPr>
            <a:xfrm>
              <a:off x="3422347" y="125879315"/>
              <a:ext cx="2025363" cy="23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13D2CFA2-197C-4E12-B100-17EEA095C1E6}"/>
                </a:ext>
              </a:extLst>
            </xdr:cNvPr>
            <xdr:cNvSpPr txBox="1"/>
          </xdr:nvSpPr>
          <xdr:spPr>
            <a:xfrm>
              <a:off x="3422347" y="125879315"/>
              <a:ext cx="2025363" cy="23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258535</xdr:colOff>
      <xdr:row>14</xdr:row>
      <xdr:rowOff>68036</xdr:rowOff>
    </xdr:from>
    <xdr:to>
      <xdr:col>7</xdr:col>
      <xdr:colOff>872974</xdr:colOff>
      <xdr:row>17</xdr:row>
      <xdr:rowOff>181980</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44E6FDD0-CF5C-4AE2-B33B-D63F9ED2EFB1}"/>
                </a:ext>
              </a:extLst>
            </xdr:cNvPr>
            <xdr:cNvSpPr txBox="1"/>
          </xdr:nvSpPr>
          <xdr:spPr>
            <a:xfrm>
              <a:off x="3535135" y="3592286"/>
              <a:ext cx="11530089" cy="6854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𝑘𝑊h𝐶𝑒𝑛𝑡𝑟𝑎𝑙</m:t>
                    </m:r>
                    <m:r>
                      <a:rPr lang="en-US" sz="1400" i="1" baseline="-25000">
                        <a:solidFill>
                          <a:schemeClr val="tx1"/>
                        </a:solidFill>
                        <a:effectLst/>
                        <a:latin typeface="Cambria Math" panose="02040503050406030204" pitchFamily="18" charset="0"/>
                        <a:ea typeface="+mn-ea"/>
                        <a:cs typeface="+mn-cs"/>
                      </a:rPr>
                      <m:t> </m:t>
                    </m:r>
                    <m:r>
                      <a:rPr lang="en-US" sz="1400" i="1" baseline="-25000">
                        <a:solidFill>
                          <a:schemeClr val="tx1"/>
                        </a:solidFill>
                        <a:effectLst/>
                        <a:latin typeface="Cambria Math" panose="02040503050406030204" pitchFamily="18" charset="0"/>
                        <a:ea typeface="+mn-ea"/>
                        <a:cs typeface="+mn-cs"/>
                      </a:rPr>
                      <m:t>𝐴𝐶</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𝐸𝐹𝐿𝐻𝑐𝑜𝑜𝑙</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𝐶𝑎𝑝𝑎𝑐𝑖𝑡𝑦𝑐𝑜𝑜𝑙</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m:oMathPara>
              </a14:m>
              <a:endParaRPr lang="en-US" sz="1400">
                <a:solidFill>
                  <a:schemeClr val="tx1"/>
                </a:solidFill>
                <a:effectLst/>
                <a:latin typeface="+mn-lt"/>
                <a:ea typeface="+mn-ea"/>
                <a:cs typeface="+mn-cs"/>
              </a:endParaRPr>
            </a:p>
          </xdr:txBody>
        </xdr:sp>
      </mc:Choice>
      <mc:Fallback xmlns="">
        <xdr:sp macro="" textlink="">
          <xdr:nvSpPr>
            <xdr:cNvPr id="29" name="TextBox 28">
              <a:extLst>
                <a:ext uri="{FF2B5EF4-FFF2-40B4-BE49-F238E27FC236}">
                  <a16:creationId xmlns:a16="http://schemas.microsoft.com/office/drawing/2014/main" id="{44E6FDD0-CF5C-4AE2-B33B-D63F9ED2EFB1}"/>
                </a:ext>
              </a:extLst>
            </xdr:cNvPr>
            <xdr:cNvSpPr txBox="1"/>
          </xdr:nvSpPr>
          <xdr:spPr>
            <a:xfrm>
              <a:off x="3535135" y="3592286"/>
              <a:ext cx="11530089" cy="6854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Δ𝑘𝑊ℎ𝐶𝑒𝑛𝑡𝑟𝑎𝑙</a:t>
              </a:r>
              <a:r>
                <a:rPr lang="en-US" sz="1400" i="0" baseline="-25000">
                  <a:solidFill>
                    <a:schemeClr val="tx1"/>
                  </a:solidFill>
                  <a:effectLst/>
                  <a:latin typeface="Cambria Math" panose="02040503050406030204" pitchFamily="18" charset="0"/>
                  <a:ea typeface="+mn-ea"/>
                  <a:cs typeface="+mn-cs"/>
                </a:rPr>
                <a:t> 𝐴𝐶</a:t>
              </a:r>
              <a:r>
                <a:rPr lang="en-US" sz="1400" i="0">
                  <a:solidFill>
                    <a:schemeClr val="tx1"/>
                  </a:solidFill>
                  <a:effectLst/>
                  <a:latin typeface="Cambria Math" panose="02040503050406030204" pitchFamily="18" charset="0"/>
                  <a:ea typeface="+mn-ea"/>
                  <a:cs typeface="+mn-cs"/>
                </a:rPr>
                <a:t> =((𝐸𝐹𝐿𝐻𝑐𝑜𝑜𝑙 ∗ 𝐶𝑎𝑝𝑎𝑐𝑖𝑡𝑦𝑐𝑜𝑜𝑙 ∗ (1/(𝑆𝐸𝐸𝑅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𝐼𝑛 )</a:t>
              </a:r>
              <a:r>
                <a:rPr lang="en-US" sz="1400" i="0">
                  <a:solidFill>
                    <a:schemeClr val="tx1"/>
                  </a:solidFill>
                  <a:effectLst/>
                  <a:latin typeface="Cambria Math" panose="02040503050406030204" pitchFamily="18" charset="0"/>
                  <a:ea typeface="+mn-ea"/>
                  <a:cs typeface="+mn-cs"/>
                </a:rPr>
                <a:t>−1/(𝑆𝐸𝐸𝑅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a:t>
              </a:r>
              <a:endParaRPr lang="en-US" sz="1400">
                <a:solidFill>
                  <a:schemeClr val="tx1"/>
                </a:solidFill>
                <a:effectLst/>
                <a:latin typeface="+mn-lt"/>
                <a:ea typeface="+mn-ea"/>
                <a:cs typeface="+mn-cs"/>
              </a:endParaRPr>
            </a:p>
          </xdr:txBody>
        </xdr:sp>
      </mc:Fallback>
    </mc:AlternateContent>
    <xdr:clientData/>
  </xdr:twoCellAnchor>
  <xdr:twoCellAnchor>
    <xdr:from>
      <xdr:col>7</xdr:col>
      <xdr:colOff>2269331</xdr:colOff>
      <xdr:row>5</xdr:row>
      <xdr:rowOff>0</xdr:rowOff>
    </xdr:from>
    <xdr:to>
      <xdr:col>8</xdr:col>
      <xdr:colOff>3567</xdr:colOff>
      <xdr:row>5</xdr:row>
      <xdr:rowOff>172227</xdr:rowOff>
    </xdr:to>
    <xdr:sp macro="" textlink="">
      <xdr:nvSpPr>
        <xdr:cNvPr id="30" name="TextBox 29">
          <a:extLst>
            <a:ext uri="{FF2B5EF4-FFF2-40B4-BE49-F238E27FC236}">
              <a16:creationId xmlns:a16="http://schemas.microsoft.com/office/drawing/2014/main" id="{1CA3160D-9BDB-4575-B632-7B1C064DCE51}"/>
            </a:ext>
          </a:extLst>
        </xdr:cNvPr>
        <xdr:cNvSpPr txBox="1"/>
      </xdr:nvSpPr>
      <xdr:spPr>
        <a:xfrm>
          <a:off x="15842456" y="1428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25400</xdr:colOff>
      <xdr:row>53</xdr:row>
      <xdr:rowOff>0</xdr:rowOff>
    </xdr:from>
    <xdr:to>
      <xdr:col>4</xdr:col>
      <xdr:colOff>2876886</xdr:colOff>
      <xdr:row>54</xdr:row>
      <xdr:rowOff>42769</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82577D3-F719-405A-BFBA-CF62BABA4166}"/>
                </a:ext>
              </a:extLst>
            </xdr:cNvPr>
            <xdr:cNvSpPr txBox="1"/>
          </xdr:nvSpPr>
          <xdr:spPr>
            <a:xfrm>
              <a:off x="3302000" y="11563350"/>
              <a:ext cx="2851486" cy="23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𝑡</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1" name="TextBox 30">
              <a:extLst>
                <a:ext uri="{FF2B5EF4-FFF2-40B4-BE49-F238E27FC236}">
                  <a16:creationId xmlns:a16="http://schemas.microsoft.com/office/drawing/2014/main" id="{082577D3-F719-405A-BFBA-CF62BABA4166}"/>
                </a:ext>
              </a:extLst>
            </xdr:cNvPr>
            <xdr:cNvSpPr txBox="1"/>
          </xdr:nvSpPr>
          <xdr:spPr>
            <a:xfrm>
              <a:off x="3302000" y="11563350"/>
              <a:ext cx="2851486" cy="23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𝑘𝑊ℎ_ℎ𝑒𝑎𝑡𝑖𝑛𝑔=𝐷𝑒𝑓𝑎𝑢𝑙𝑡_ℎ𝑒𝑎𝑡∗𝑆𝑞.𝑓𝑡.</a:t>
              </a:r>
              <a:endParaRPr lang="en-US" sz="1400"/>
            </a:p>
          </xdr:txBody>
        </xdr:sp>
      </mc:Fallback>
    </mc:AlternateContent>
    <xdr:clientData/>
  </xdr:twoCellAnchor>
  <xdr:twoCellAnchor>
    <xdr:from>
      <xdr:col>4</xdr:col>
      <xdr:colOff>13607</xdr:colOff>
      <xdr:row>55</xdr:row>
      <xdr:rowOff>179918</xdr:rowOff>
    </xdr:from>
    <xdr:to>
      <xdr:col>4</xdr:col>
      <xdr:colOff>2830788</xdr:colOff>
      <xdr:row>56</xdr:row>
      <xdr:rowOff>222687</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DF60F2AF-0129-457B-896C-C69B292B7881}"/>
                </a:ext>
              </a:extLst>
            </xdr:cNvPr>
            <xdr:cNvSpPr txBox="1"/>
          </xdr:nvSpPr>
          <xdr:spPr>
            <a:xfrm>
              <a:off x="3290207" y="12124268"/>
              <a:ext cx="2817181" cy="23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𝑡</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DF60F2AF-0129-457B-896C-C69B292B7881}"/>
                </a:ext>
              </a:extLst>
            </xdr:cNvPr>
            <xdr:cNvSpPr txBox="1"/>
          </xdr:nvSpPr>
          <xdr:spPr>
            <a:xfrm>
              <a:off x="3290207" y="12124268"/>
              <a:ext cx="2817181" cy="23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𝑘𝑊ℎ_𝑐𝑜𝑜𝑙𝑖𝑛𝑔=𝐷𝑒𝑓𝑎𝑢𝑙𝑡_𝑐𝑜𝑜𝑙∗𝑆𝑞.𝑓𝑡.</a:t>
              </a:r>
              <a:endParaRPr lang="en-US" sz="1400"/>
            </a:p>
          </xdr:txBody>
        </xdr:sp>
      </mc:Fallback>
    </mc:AlternateContent>
    <xdr:clientData/>
  </xdr:twoCellAnchor>
  <xdr:twoCellAnchor>
    <xdr:from>
      <xdr:col>4</xdr:col>
      <xdr:colOff>4523174</xdr:colOff>
      <xdr:row>53</xdr:row>
      <xdr:rowOff>12700</xdr:rowOff>
    </xdr:from>
    <xdr:to>
      <xdr:col>6</xdr:col>
      <xdr:colOff>139573</xdr:colOff>
      <xdr:row>54</xdr:row>
      <xdr:rowOff>55469</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7799774" y="11576050"/>
              <a:ext cx="3769799" cy="23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7799774" y="11576050"/>
              <a:ext cx="3769799" cy="23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4449999</xdr:colOff>
      <xdr:row>56</xdr:row>
      <xdr:rowOff>58058</xdr:rowOff>
    </xdr:from>
    <xdr:to>
      <xdr:col>6</xdr:col>
      <xdr:colOff>328584</xdr:colOff>
      <xdr:row>56</xdr:row>
      <xdr:rowOff>277221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7087E119-EFF1-4B9B-8531-5270DE87F757}"/>
                </a:ext>
              </a:extLst>
            </xdr:cNvPr>
            <xdr:cNvSpPr txBox="1"/>
          </xdr:nvSpPr>
          <xdr:spPr>
            <a:xfrm>
              <a:off x="7726599" y="12192908"/>
              <a:ext cx="403198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4" name="TextBox 33">
              <a:extLst>
                <a:ext uri="{FF2B5EF4-FFF2-40B4-BE49-F238E27FC236}">
                  <a16:creationId xmlns:a16="http://schemas.microsoft.com/office/drawing/2014/main" id="{7087E119-EFF1-4B9B-8531-5270DE87F757}"/>
                </a:ext>
              </a:extLst>
            </xdr:cNvPr>
            <xdr:cNvSpPr txBox="1"/>
          </xdr:nvSpPr>
          <xdr:spPr>
            <a:xfrm>
              <a:off x="7726599" y="12192908"/>
              <a:ext cx="403198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𝑇ℎ𝑒𝑟𝑚𝑠=𝐷𝑒𝑓𝑎𝑢𝑙𝑡∗𝑆𝑞.𝑓𝑡.</a:t>
              </a:r>
              <a:endParaRPr lang="en-US" sz="1400"/>
            </a:p>
          </xdr:txBody>
        </xdr:sp>
      </mc:Fallback>
    </mc:AlternateContent>
    <xdr:clientData/>
  </xdr:twoCellAnchor>
  <xdr:twoCellAnchor>
    <xdr:from>
      <xdr:col>3</xdr:col>
      <xdr:colOff>1258657</xdr:colOff>
      <xdr:row>116</xdr:row>
      <xdr:rowOff>120576</xdr:rowOff>
    </xdr:from>
    <xdr:to>
      <xdr:col>13</xdr:col>
      <xdr:colOff>536862</xdr:colOff>
      <xdr:row>119</xdr:row>
      <xdr:rowOff>190499</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547490B7-02C5-4392-805C-E59DACAF5837}"/>
                </a:ext>
              </a:extLst>
            </xdr:cNvPr>
            <xdr:cNvSpPr txBox="1"/>
          </xdr:nvSpPr>
          <xdr:spPr>
            <a:xfrm>
              <a:off x="2935057" y="24380751"/>
              <a:ext cx="20176055" cy="6795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35" name="TextBox 34">
              <a:extLst>
                <a:ext uri="{FF2B5EF4-FFF2-40B4-BE49-F238E27FC236}">
                  <a16:creationId xmlns:a16="http://schemas.microsoft.com/office/drawing/2014/main" id="{547490B7-02C5-4392-805C-E59DACAF5837}"/>
                </a:ext>
              </a:extLst>
            </xdr:cNvPr>
            <xdr:cNvSpPr txBox="1"/>
          </xdr:nvSpPr>
          <xdr:spPr>
            <a:xfrm>
              <a:off x="2935057" y="24380751"/>
              <a:ext cx="20176055" cy="6795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4</xdr:col>
      <xdr:colOff>165526</xdr:colOff>
      <xdr:row>119</xdr:row>
      <xdr:rowOff>270355</xdr:rowOff>
    </xdr:from>
    <xdr:to>
      <xdr:col>8</xdr:col>
      <xdr:colOff>484909</xdr:colOff>
      <xdr:row>122</xdr:row>
      <xdr:rowOff>186617</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E5D7385-CB98-4417-93BC-24D19BE6A98B}"/>
                </a:ext>
              </a:extLst>
            </xdr:cNvPr>
            <xdr:cNvSpPr txBox="1"/>
          </xdr:nvSpPr>
          <xdr:spPr>
            <a:xfrm>
              <a:off x="3442126" y="25140130"/>
              <a:ext cx="12882858" cy="7925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100"/>
            </a:p>
          </xdr:txBody>
        </xdr:sp>
      </mc:Choice>
      <mc:Fallback xmlns="">
        <xdr:sp macro="" textlink="">
          <xdr:nvSpPr>
            <xdr:cNvPr id="36" name="TextBox 35">
              <a:extLst>
                <a:ext uri="{FF2B5EF4-FFF2-40B4-BE49-F238E27FC236}">
                  <a16:creationId xmlns:a16="http://schemas.microsoft.com/office/drawing/2014/main" id="{0E5D7385-CB98-4417-93BC-24D19BE6A98B}"/>
                </a:ext>
              </a:extLst>
            </xdr:cNvPr>
            <xdr:cNvSpPr txBox="1"/>
          </xdr:nvSpPr>
          <xdr:spPr>
            <a:xfrm>
              <a:off x="3442126" y="25140130"/>
              <a:ext cx="12882858" cy="7925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100"/>
            </a:p>
          </xdr:txBody>
        </xdr:sp>
      </mc:Fallback>
    </mc:AlternateContent>
    <xdr:clientData/>
  </xdr:twoCellAnchor>
  <xdr:twoCellAnchor>
    <xdr:from>
      <xdr:col>8</xdr:col>
      <xdr:colOff>121039</xdr:colOff>
      <xdr:row>119</xdr:row>
      <xdr:rowOff>291353</xdr:rowOff>
    </xdr:from>
    <xdr:to>
      <xdr:col>16</xdr:col>
      <xdr:colOff>225136</xdr:colOff>
      <xdr:row>123</xdr:row>
      <xdr:rowOff>89357</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77F60998-4486-4E32-BD1D-FCCBE0BF8A23}"/>
                </a:ext>
              </a:extLst>
            </xdr:cNvPr>
            <xdr:cNvSpPr txBox="1"/>
          </xdr:nvSpPr>
          <xdr:spPr>
            <a:xfrm>
              <a:off x="15961114" y="25161128"/>
              <a:ext cx="9400497" cy="8648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100"/>
            </a:p>
          </xdr:txBody>
        </xdr:sp>
      </mc:Choice>
      <mc:Fallback xmlns="">
        <xdr:sp macro="" textlink="">
          <xdr:nvSpPr>
            <xdr:cNvPr id="37" name="TextBox 36">
              <a:extLst>
                <a:ext uri="{FF2B5EF4-FFF2-40B4-BE49-F238E27FC236}">
                  <a16:creationId xmlns:a16="http://schemas.microsoft.com/office/drawing/2014/main" id="{77F60998-4486-4E32-BD1D-FCCBE0BF8A23}"/>
                </a:ext>
              </a:extLst>
            </xdr:cNvPr>
            <xdr:cNvSpPr txBox="1"/>
          </xdr:nvSpPr>
          <xdr:spPr>
            <a:xfrm>
              <a:off x="15961114" y="25161128"/>
              <a:ext cx="9400497" cy="8648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100"/>
            </a:p>
          </xdr:txBody>
        </xdr:sp>
      </mc:Fallback>
    </mc:AlternateContent>
    <xdr:clientData/>
  </xdr:twoCellAnchor>
  <xdr:twoCellAnchor>
    <xdr:from>
      <xdr:col>4</xdr:col>
      <xdr:colOff>108057</xdr:colOff>
      <xdr:row>407</xdr:row>
      <xdr:rowOff>104853</xdr:rowOff>
    </xdr:from>
    <xdr:to>
      <xdr:col>7</xdr:col>
      <xdr:colOff>616323</xdr:colOff>
      <xdr:row>411</xdr:row>
      <xdr:rowOff>33617</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F83117C1-5F05-4292-9BAB-747F45CAD1F7}"/>
                </a:ext>
              </a:extLst>
            </xdr:cNvPr>
            <xdr:cNvSpPr txBox="1"/>
          </xdr:nvSpPr>
          <xdr:spPr>
            <a:xfrm>
              <a:off x="3384657" y="80686353"/>
              <a:ext cx="11423916" cy="7288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𝑂𝑙𝑑</m:t>
                                        </m:r>
                                        <m:r>
                                          <a:rPr lang="en-US" sz="1400" b="0" i="1">
                                            <a:latin typeface="Cambria Math" panose="02040503050406030204" pitchFamily="18" charset="0"/>
                                            <a:ea typeface="Cambria Math" panose="02040503050406030204" pitchFamily="18" charset="0"/>
                                          </a:rPr>
                                          <m:t> </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𝐹𝑙𝑜𝑜𝑟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𝐹𝑙𝑜𝑜𝑟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𝑓𝑙𝑜𝑜𝑟</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38" name="TextBox 37">
              <a:extLst>
                <a:ext uri="{FF2B5EF4-FFF2-40B4-BE49-F238E27FC236}">
                  <a16:creationId xmlns:a16="http://schemas.microsoft.com/office/drawing/2014/main" id="{F83117C1-5F05-4292-9BAB-747F45CAD1F7}"/>
                </a:ext>
              </a:extLst>
            </xdr:cNvPr>
            <xdr:cNvSpPr txBox="1"/>
          </xdr:nvSpPr>
          <xdr:spPr>
            <a:xfrm>
              <a:off x="3384657" y="80686353"/>
              <a:ext cx="11423916" cy="7288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𝑘𝑊ℎ_𝐻𝑒𝑎𝑡𝑖𝑛𝑔𝐸𝑙𝑒𝑐𝑡𝑟𝑖𝑐=(((1/𝑅_𝑜𝑙𝑑 −1/(𝑅_(𝑂𝑙𝑑 )+𝑅_𝑎𝑑𝑑𝑒𝑑 ))∗𝐴_𝐹𝑙𝑜𝑜𝑟∗(1−𝐹𝑟𝑎𝑚𝑖𝑛𝑔𝐹𝑎𝑐𝑡𝑜𝑟_𝐹𝑙𝑜𝑜𝑟 )∗𝐻𝐷𝐷∗24∗𝐴𝑑𝑗_𝑓𝑙𝑜𝑜𝑟 ))/(𝜂ℎ𝑒𝑎𝑡∗3412)</a:t>
              </a:r>
              <a:endParaRPr lang="en-US" sz="1400"/>
            </a:p>
          </xdr:txBody>
        </xdr:sp>
      </mc:Fallback>
    </mc:AlternateContent>
    <xdr:clientData/>
  </xdr:twoCellAnchor>
  <xdr:twoCellAnchor>
    <xdr:from>
      <xdr:col>7</xdr:col>
      <xdr:colOff>919380</xdr:colOff>
      <xdr:row>407</xdr:row>
      <xdr:rowOff>146307</xdr:rowOff>
    </xdr:from>
    <xdr:to>
      <xdr:col>13</xdr:col>
      <xdr:colOff>762000</xdr:colOff>
      <xdr:row>411</xdr:row>
      <xdr:rowOff>56029</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BC6070BD-F44D-42DE-8814-30F96F7B528A}"/>
                </a:ext>
              </a:extLst>
            </xdr:cNvPr>
            <xdr:cNvSpPr txBox="1"/>
          </xdr:nvSpPr>
          <xdr:spPr>
            <a:xfrm>
              <a:off x="15111630" y="80727807"/>
              <a:ext cx="8224620" cy="709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𝑓𝑙𝑜𝑜𝑟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𝑓𝑙𝑜𝑜𝑟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∗1000</m:t>
                        </m:r>
                      </m:den>
                    </m:f>
                  </m:oMath>
                </m:oMathPara>
              </a14:m>
              <a:endParaRPr lang="en-US" sz="1400"/>
            </a:p>
          </xdr:txBody>
        </xdr:sp>
      </mc:Choice>
      <mc:Fallback xmlns="">
        <xdr:sp macro="" textlink="">
          <xdr:nvSpPr>
            <xdr:cNvPr id="39" name="TextBox 38">
              <a:extLst>
                <a:ext uri="{FF2B5EF4-FFF2-40B4-BE49-F238E27FC236}">
                  <a16:creationId xmlns:a16="http://schemas.microsoft.com/office/drawing/2014/main" id="{BC6070BD-F44D-42DE-8814-30F96F7B528A}"/>
                </a:ext>
              </a:extLst>
            </xdr:cNvPr>
            <xdr:cNvSpPr txBox="1"/>
          </xdr:nvSpPr>
          <xdr:spPr>
            <a:xfrm>
              <a:off x="15111630" y="80727807"/>
              <a:ext cx="8224620" cy="709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−1/(𝑅_𝑜𝑙𝑑+𝑅_𝑎𝑑𝑑𝑒𝑑 ))∗𝐴_𝑓𝑙𝑜𝑜𝑟∗(1−𝐹𝑟𝑎𝑚𝑖𝑛𝑔𝐹𝑎𝑐𝑡𝑜𝑟_𝑓𝑙𝑜𝑜𝑟 )∗𝐶𝐷𝐷∗24∗𝐷𝑈𝐴))/(𝜂𝑐𝑜𝑜𝑙∗1000)</a:t>
              </a:r>
              <a:endParaRPr lang="en-US" sz="1400"/>
            </a:p>
          </xdr:txBody>
        </xdr:sp>
      </mc:Fallback>
    </mc:AlternateContent>
    <xdr:clientData/>
  </xdr:twoCellAnchor>
  <xdr:twoCellAnchor>
    <xdr:from>
      <xdr:col>4</xdr:col>
      <xdr:colOff>5431</xdr:colOff>
      <xdr:row>412</xdr:row>
      <xdr:rowOff>24267</xdr:rowOff>
    </xdr:from>
    <xdr:to>
      <xdr:col>4</xdr:col>
      <xdr:colOff>2835089</xdr:colOff>
      <xdr:row>413</xdr:row>
      <xdr:rowOff>145676</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205023C-9D09-497F-9767-546344893DF8}"/>
                </a:ext>
              </a:extLst>
            </xdr:cNvPr>
            <xdr:cNvSpPr txBox="1"/>
          </xdr:nvSpPr>
          <xdr:spPr>
            <a:xfrm>
              <a:off x="3282031" y="81596367"/>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0" name="TextBox 39">
              <a:extLst>
                <a:ext uri="{FF2B5EF4-FFF2-40B4-BE49-F238E27FC236}">
                  <a16:creationId xmlns:a16="http://schemas.microsoft.com/office/drawing/2014/main" id="{0205023C-9D09-497F-9767-546344893DF8}"/>
                </a:ext>
              </a:extLst>
            </xdr:cNvPr>
            <xdr:cNvSpPr txBox="1"/>
          </xdr:nvSpPr>
          <xdr:spPr>
            <a:xfrm>
              <a:off x="3282031" y="81596367"/>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258536</xdr:colOff>
      <xdr:row>434</xdr:row>
      <xdr:rowOff>54427</xdr:rowOff>
    </xdr:from>
    <xdr:to>
      <xdr:col>6</xdr:col>
      <xdr:colOff>560294</xdr:colOff>
      <xdr:row>435</xdr:row>
      <xdr:rowOff>179293</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83CE42E3-5057-4C17-8BD9-C7710A83223E}"/>
                </a:ext>
              </a:extLst>
            </xdr:cNvPr>
            <xdr:cNvSpPr txBox="1"/>
          </xdr:nvSpPr>
          <xdr:spPr>
            <a:xfrm>
              <a:off x="3535136" y="86389027"/>
              <a:ext cx="8455158" cy="3153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100"/>
            </a:p>
          </xdr:txBody>
        </xdr:sp>
      </mc:Choice>
      <mc:Fallback xmlns="">
        <xdr:sp macro="" textlink="">
          <xdr:nvSpPr>
            <xdr:cNvPr id="41" name="TextBox 40">
              <a:extLst>
                <a:ext uri="{FF2B5EF4-FFF2-40B4-BE49-F238E27FC236}">
                  <a16:creationId xmlns:a16="http://schemas.microsoft.com/office/drawing/2014/main" id="{83CE42E3-5057-4C17-8BD9-C7710A83223E}"/>
                </a:ext>
              </a:extLst>
            </xdr:cNvPr>
            <xdr:cNvSpPr txBox="1"/>
          </xdr:nvSpPr>
          <xdr:spPr>
            <a:xfrm>
              <a:off x="3535136" y="86389027"/>
              <a:ext cx="8455158" cy="3153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100"/>
            </a:p>
          </xdr:txBody>
        </xdr:sp>
      </mc:Fallback>
    </mc:AlternateContent>
    <xdr:clientData/>
  </xdr:twoCellAnchor>
  <xdr:twoCellAnchor>
    <xdr:from>
      <xdr:col>6</xdr:col>
      <xdr:colOff>452691</xdr:colOff>
      <xdr:row>434</xdr:row>
      <xdr:rowOff>49876</xdr:rowOff>
    </xdr:from>
    <xdr:to>
      <xdr:col>8</xdr:col>
      <xdr:colOff>2745441</xdr:colOff>
      <xdr:row>436</xdr:row>
      <xdr:rowOff>67234</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431A35A2-3B4E-4B98-88B7-CBF980C0DDD7}"/>
                </a:ext>
              </a:extLst>
            </xdr:cNvPr>
            <xdr:cNvSpPr txBox="1"/>
          </xdr:nvSpPr>
          <xdr:spPr>
            <a:xfrm>
              <a:off x="11882691" y="86384476"/>
              <a:ext cx="6274200" cy="3983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42" name="TextBox 41">
              <a:extLst>
                <a:ext uri="{FF2B5EF4-FFF2-40B4-BE49-F238E27FC236}">
                  <a16:creationId xmlns:a16="http://schemas.microsoft.com/office/drawing/2014/main" id="{431A35A2-3B4E-4B98-88B7-CBF980C0DDD7}"/>
                </a:ext>
              </a:extLst>
            </xdr:cNvPr>
            <xdr:cNvSpPr txBox="1"/>
          </xdr:nvSpPr>
          <xdr:spPr>
            <a:xfrm>
              <a:off x="11882691" y="86384476"/>
              <a:ext cx="6274200" cy="3983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601052</xdr:colOff>
      <xdr:row>436</xdr:row>
      <xdr:rowOff>143432</xdr:rowOff>
    </xdr:from>
    <xdr:to>
      <xdr:col>4</xdr:col>
      <xdr:colOff>2190049</xdr:colOff>
      <xdr:row>437</xdr:row>
      <xdr:rowOff>129048</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F6A00302-79FD-40AD-ABE8-278EF4890BE1}"/>
                </a:ext>
              </a:extLst>
            </xdr:cNvPr>
            <xdr:cNvSpPr txBox="1"/>
          </xdr:nvSpPr>
          <xdr:spPr>
            <a:xfrm>
              <a:off x="3877652" y="86859032"/>
              <a:ext cx="1588997" cy="1761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3" name="TextBox 42">
              <a:extLst>
                <a:ext uri="{FF2B5EF4-FFF2-40B4-BE49-F238E27FC236}">
                  <a16:creationId xmlns:a16="http://schemas.microsoft.com/office/drawing/2014/main" id="{F6A00302-79FD-40AD-ABE8-278EF4890BE1}"/>
                </a:ext>
              </a:extLst>
            </xdr:cNvPr>
            <xdr:cNvSpPr txBox="1"/>
          </xdr:nvSpPr>
          <xdr:spPr>
            <a:xfrm>
              <a:off x="3877652" y="86859032"/>
              <a:ext cx="1588997" cy="1761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8</xdr:col>
      <xdr:colOff>1626410</xdr:colOff>
      <xdr:row>464</xdr:row>
      <xdr:rowOff>134471</xdr:rowOff>
    </xdr:from>
    <xdr:to>
      <xdr:col>12</xdr:col>
      <xdr:colOff>0</xdr:colOff>
      <xdr:row>469</xdr:row>
      <xdr:rowOff>123265</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8F077A44-C704-4E1B-A5A0-E0918C17155A}"/>
                </a:ext>
              </a:extLst>
            </xdr:cNvPr>
            <xdr:cNvSpPr txBox="1"/>
          </xdr:nvSpPr>
          <xdr:spPr>
            <a:xfrm>
              <a:off x="17466485" y="92803196"/>
              <a:ext cx="3688540" cy="94129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𝑡h𝑒𝑟𝑚𝑠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𝑛𝑒𝑤</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𝐸𝐹𝐿𝐻h𝑒𝑎𝑡</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𝐴𝑣𝑔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num>
                      <m:den>
                        <m:r>
                          <a:rPr lang="en-US" sz="1400" b="0" i="1">
                            <a:latin typeface="Cambria Math" panose="02040503050406030204" pitchFamily="18" charset="0"/>
                            <a:ea typeface="Cambria Math" panose="02040503050406030204" pitchFamily="18" charset="0"/>
                          </a:rPr>
                          <m:t>(100,000∗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𝐸𝑓𝑓</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en>
                    </m:f>
                    <m:r>
                      <a:rPr lang="en-US" sz="1400" b="0" i="1">
                        <a:latin typeface="Cambria Math" panose="02040503050406030204" pitchFamily="18" charset="0"/>
                        <a:ea typeface="Cambria Math" panose="02040503050406030204" pitchFamily="18" charset="0"/>
                      </a:rPr>
                      <m:t> </m:t>
                    </m:r>
                  </m:oMath>
                </m:oMathPara>
              </a14:m>
              <a:endParaRPr lang="en-US" sz="1400"/>
            </a:p>
          </xdr:txBody>
        </xdr:sp>
      </mc:Choice>
      <mc:Fallback xmlns="">
        <xdr:sp macro="" textlink="">
          <xdr:nvSpPr>
            <xdr:cNvPr id="44" name="TextBox 43">
              <a:extLst>
                <a:ext uri="{FF2B5EF4-FFF2-40B4-BE49-F238E27FC236}">
                  <a16:creationId xmlns:a16="http://schemas.microsoft.com/office/drawing/2014/main" id="{8F077A44-C704-4E1B-A5A0-E0918C17155A}"/>
                </a:ext>
              </a:extLst>
            </xdr:cNvPr>
            <xdr:cNvSpPr txBox="1"/>
          </xdr:nvSpPr>
          <xdr:spPr>
            <a:xfrm>
              <a:off x="17466485" y="92803196"/>
              <a:ext cx="3688540" cy="94129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𝑡ℎ𝑒𝑟𝑚𝑠=((1/𝑅_𝑒𝑥𝑖𝑠𝑡𝑖𝑛𝑔 −</a:t>
              </a:r>
              <a:r>
                <a:rPr lang="en-US" sz="1400" b="0" i="0">
                  <a:solidFill>
                    <a:schemeClr val="tx1"/>
                  </a:solidFill>
                  <a:effectLst/>
                  <a:latin typeface="Cambria Math" panose="02040503050406030204" pitchFamily="18" charset="0"/>
                  <a:ea typeface="+mn-ea"/>
                  <a:cs typeface="+mn-cs"/>
                </a:rPr>
                <a:t>1/𝑅_𝑛𝑒𝑤 )</a:t>
              </a:r>
              <a:r>
                <a:rPr lang="en-US" sz="1400" b="0" i="0">
                  <a:latin typeface="Cambria Math" panose="02040503050406030204" pitchFamily="18" charset="0"/>
                  <a:ea typeface="Cambria Math" panose="02040503050406030204" pitchFamily="18" charset="0"/>
                </a:rPr>
                <a:t>∗𝐴𝑟𝑒𝑎∗𝐸𝐹𝐿𝐻ℎ𝑒𝑎𝑡∗∆𝑇_(𝐴𝑣𝑔,ℎ𝑒𝑎𝑡𝑖𝑛𝑔))/((100,000∗〖𝐸𝑓𝑓〗_ℎ𝑒𝑎𝑡))  </a:t>
              </a:r>
              <a:endParaRPr lang="en-US" sz="1400"/>
            </a:p>
          </xdr:txBody>
        </xdr:sp>
      </mc:Fallback>
    </mc:AlternateContent>
    <xdr:clientData/>
  </xdr:twoCellAnchor>
  <xdr:twoCellAnchor>
    <xdr:from>
      <xdr:col>4</xdr:col>
      <xdr:colOff>0</xdr:colOff>
      <xdr:row>461</xdr:row>
      <xdr:rowOff>100853</xdr:rowOff>
    </xdr:from>
    <xdr:to>
      <xdr:col>5</xdr:col>
      <xdr:colOff>1367118</xdr:colOff>
      <xdr:row>465</xdr:row>
      <xdr:rowOff>82247</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4F092A98-1F8F-46F2-AD58-35765C295434}"/>
                </a:ext>
              </a:extLst>
            </xdr:cNvPr>
            <xdr:cNvSpPr txBox="1"/>
          </xdr:nvSpPr>
          <xdr:spPr>
            <a:xfrm>
              <a:off x="3276600" y="92036153"/>
              <a:ext cx="6605868" cy="9053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𝑐𝑜𝑜𝑙𝑖𝑛𝑔</m:t>
                                </m:r>
                              </m:sub>
                            </m:sSub>
                          </m:e>
                        </m:d>
                      </m:num>
                      <m:den>
                        <m:r>
                          <a:rPr lang="en-US" sz="1400" b="0" i="1">
                            <a:latin typeface="Cambria Math" panose="02040503050406030204" pitchFamily="18" charset="0"/>
                            <a:ea typeface="Cambria Math" panose="02040503050406030204" pitchFamily="18" charset="0"/>
                          </a:rPr>
                          <m:t>1000∗</m:t>
                        </m:r>
                        <m:r>
                          <a:rPr lang="en-US" sz="1400" b="0" i="1">
                            <a:latin typeface="Cambria Math" panose="02040503050406030204" pitchFamily="18" charset="0"/>
                            <a:ea typeface="Cambria Math" panose="02040503050406030204" pitchFamily="18" charset="0"/>
                          </a:rPr>
                          <m:t>𝑆𝐸𝐸𝑅</m:t>
                        </m:r>
                      </m:den>
                    </m:f>
                  </m:oMath>
                </m:oMathPara>
              </a14:m>
              <a:endParaRPr lang="en-US" sz="1400"/>
            </a:p>
          </xdr:txBody>
        </xdr:sp>
      </mc:Choice>
      <mc:Fallback xmlns="">
        <xdr:sp macro="" textlink="">
          <xdr:nvSpPr>
            <xdr:cNvPr id="45" name="TextBox 44">
              <a:extLst>
                <a:ext uri="{FF2B5EF4-FFF2-40B4-BE49-F238E27FC236}">
                  <a16:creationId xmlns:a16="http://schemas.microsoft.com/office/drawing/2014/main" id="{4F092A98-1F8F-46F2-AD58-35765C295434}"/>
                </a:ext>
              </a:extLst>
            </xdr:cNvPr>
            <xdr:cNvSpPr txBox="1"/>
          </xdr:nvSpPr>
          <xdr:spPr>
            <a:xfrm>
              <a:off x="3276600" y="92036153"/>
              <a:ext cx="6605868" cy="9053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𝑘𝑊ℎ_𝑐𝑜𝑜𝑙𝑖𝑛𝑔=(((1/𝑅_𝑒𝑥𝑖𝑠𝑡𝑖𝑛𝑔 −1/𝑅_(𝑛𝑒𝑤 ) )∗𝐴𝑟𝑒𝑎∗𝐸𝐹𝐿𝐻_𝑐𝑜𝑜𝑙∗</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𝑇_(𝐴𝑉𝐺,𝑐𝑜𝑜𝑙𝑖𝑛𝑔) ))/(1000∗𝑆𝐸𝐸𝑅)</a:t>
              </a:r>
              <a:endParaRPr lang="en-US" sz="1400"/>
            </a:p>
          </xdr:txBody>
        </xdr:sp>
      </mc:Fallback>
    </mc:AlternateContent>
    <xdr:clientData/>
  </xdr:twoCellAnchor>
  <xdr:twoCellAnchor>
    <xdr:from>
      <xdr:col>4</xdr:col>
      <xdr:colOff>220134</xdr:colOff>
      <xdr:row>460</xdr:row>
      <xdr:rowOff>0</xdr:rowOff>
    </xdr:from>
    <xdr:to>
      <xdr:col>4</xdr:col>
      <xdr:colOff>4672853</xdr:colOff>
      <xdr:row>462</xdr:row>
      <xdr:rowOff>11206</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B361E91E-A8F9-441D-B23F-108B71A58C5C}"/>
                </a:ext>
              </a:extLst>
            </xdr:cNvPr>
            <xdr:cNvSpPr txBox="1"/>
          </xdr:nvSpPr>
          <xdr:spPr>
            <a:xfrm>
              <a:off x="3496734" y="91744800"/>
              <a:ext cx="4452719" cy="3922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oMath>
                </m:oMathPara>
              </a14:m>
              <a:endParaRPr lang="en-US" sz="1400"/>
            </a:p>
          </xdr:txBody>
        </xdr:sp>
      </mc:Choice>
      <mc:Fallback xmlns="">
        <xdr:sp macro="" textlink="">
          <xdr:nvSpPr>
            <xdr:cNvPr id="46" name="TextBox 45">
              <a:extLst>
                <a:ext uri="{FF2B5EF4-FFF2-40B4-BE49-F238E27FC236}">
                  <a16:creationId xmlns:a16="http://schemas.microsoft.com/office/drawing/2014/main" id="{B361E91E-A8F9-441D-B23F-108B71A58C5C}"/>
                </a:ext>
              </a:extLst>
            </xdr:cNvPr>
            <xdr:cNvSpPr txBox="1"/>
          </xdr:nvSpPr>
          <xdr:spPr>
            <a:xfrm>
              <a:off x="3496734" y="91744800"/>
              <a:ext cx="4452719" cy="3922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a:t>
              </a:r>
              <a:endParaRPr lang="en-US" sz="1400"/>
            </a:p>
          </xdr:txBody>
        </xdr:sp>
      </mc:Fallback>
    </mc:AlternateContent>
    <xdr:clientData/>
  </xdr:twoCellAnchor>
  <xdr:twoCellAnchor>
    <xdr:from>
      <xdr:col>4</xdr:col>
      <xdr:colOff>313267</xdr:colOff>
      <xdr:row>465</xdr:row>
      <xdr:rowOff>33617</xdr:rowOff>
    </xdr:from>
    <xdr:to>
      <xdr:col>6</xdr:col>
      <xdr:colOff>235324</xdr:colOff>
      <xdr:row>469</xdr:row>
      <xdr:rowOff>90964</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7B231B03-8FDC-4716-8606-F9BE224748B8}"/>
                </a:ext>
              </a:extLst>
            </xdr:cNvPr>
            <xdr:cNvSpPr txBox="1"/>
          </xdr:nvSpPr>
          <xdr:spPr>
            <a:xfrm>
              <a:off x="3589867" y="92892842"/>
              <a:ext cx="8075457" cy="8193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e>
                        </m:d>
                      </m:num>
                      <m:den>
                        <m:r>
                          <a:rPr lang="en-US" sz="1400" b="0" i="1">
                            <a:latin typeface="Cambria Math" panose="02040503050406030204" pitchFamily="18" charset="0"/>
                            <a:ea typeface="Cambria Math" panose="02040503050406030204" pitchFamily="18" charset="0"/>
                          </a:rPr>
                          <m:t>3412∗</m:t>
                        </m:r>
                        <m:r>
                          <a:rPr lang="en-US" sz="1400" b="0" i="1">
                            <a:latin typeface="Cambria Math" panose="02040503050406030204" pitchFamily="18" charset="0"/>
                            <a:ea typeface="Cambria Math" panose="02040503050406030204" pitchFamily="18" charset="0"/>
                          </a:rPr>
                          <m:t>𝐶𝑂𝑃</m:t>
                        </m:r>
                      </m:den>
                    </m:f>
                  </m:oMath>
                </m:oMathPara>
              </a14:m>
              <a:endParaRPr lang="en-US" sz="1400"/>
            </a:p>
          </xdr:txBody>
        </xdr:sp>
      </mc:Choice>
      <mc:Fallback xmlns="">
        <xdr:sp macro="" textlink="">
          <xdr:nvSpPr>
            <xdr:cNvPr id="47" name="TextBox 46">
              <a:extLst>
                <a:ext uri="{FF2B5EF4-FFF2-40B4-BE49-F238E27FC236}">
                  <a16:creationId xmlns:a16="http://schemas.microsoft.com/office/drawing/2014/main" id="{7B231B03-8FDC-4716-8606-F9BE224748B8}"/>
                </a:ext>
              </a:extLst>
            </xdr:cNvPr>
            <xdr:cNvSpPr txBox="1"/>
          </xdr:nvSpPr>
          <xdr:spPr>
            <a:xfrm>
              <a:off x="3589867" y="92892842"/>
              <a:ext cx="8075457" cy="8193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𝑘𝑊ℎ_𝐻𝑒𝑎𝑡𝑖𝑛𝑔𝐸𝑙𝑒𝑐𝑡𝑟𝑖𝑐=(((1/𝑅_𝑒𝑥𝑖𝑠𝑡𝑖𝑛𝑔 −1/𝑅_(𝑛𝑒𝑤 ) )∗𝐴𝑟𝑒𝑎∗𝐸𝐹𝐿𝐻_ℎ𝑒𝑎𝑡∗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𝑇_(𝐴𝑉𝐺,ℎ𝑒𝑎𝑡𝑖𝑛𝑔) ))/(3412∗𝐶𝑂𝑃)</a:t>
              </a:r>
              <a:endParaRPr lang="en-US" sz="1400"/>
            </a:p>
          </xdr:txBody>
        </xdr:sp>
      </mc:Fallback>
    </mc:AlternateContent>
    <xdr:clientData/>
  </xdr:twoCellAnchor>
  <xdr:twoCellAnchor>
    <xdr:from>
      <xdr:col>6</xdr:col>
      <xdr:colOff>1226920</xdr:colOff>
      <xdr:row>466</xdr:row>
      <xdr:rowOff>95500</xdr:rowOff>
    </xdr:from>
    <xdr:to>
      <xdr:col>8</xdr:col>
      <xdr:colOff>952500</xdr:colOff>
      <xdr:row>468</xdr:row>
      <xdr:rowOff>112059</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643B4BE4-2285-4735-A5F4-B1BF6796CA21}"/>
                </a:ext>
              </a:extLst>
            </xdr:cNvPr>
            <xdr:cNvSpPr txBox="1"/>
          </xdr:nvSpPr>
          <xdr:spPr>
            <a:xfrm>
              <a:off x="12656920" y="93145225"/>
              <a:ext cx="4135655" cy="3975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𝐻𝑒𝑎𝑡𝑖𝑛𝑔𝐺𝑎𝑠</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oMath>
                </m:oMathPara>
              </a14:m>
              <a:endParaRPr lang="en-US" sz="1400"/>
            </a:p>
          </xdr:txBody>
        </xdr:sp>
      </mc:Choice>
      <mc:Fallback xmlns="">
        <xdr:sp macro="" textlink="">
          <xdr:nvSpPr>
            <xdr:cNvPr id="48" name="TextBox 47">
              <a:extLst>
                <a:ext uri="{FF2B5EF4-FFF2-40B4-BE49-F238E27FC236}">
                  <a16:creationId xmlns:a16="http://schemas.microsoft.com/office/drawing/2014/main" id="{643B4BE4-2285-4735-A5F4-B1BF6796CA21}"/>
                </a:ext>
              </a:extLst>
            </xdr:cNvPr>
            <xdr:cNvSpPr txBox="1"/>
          </xdr:nvSpPr>
          <xdr:spPr>
            <a:xfrm>
              <a:off x="12656920" y="93145225"/>
              <a:ext cx="4135655" cy="3975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𝑘𝑊ℎ_𝐻𝑒𝑎𝑡𝑖𝑛𝑔𝐺𝑎𝑠=</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400"/>
            </a:p>
          </xdr:txBody>
        </xdr:sp>
      </mc:Fallback>
    </mc:AlternateContent>
    <xdr:clientData/>
  </xdr:twoCellAnchor>
  <xdr:twoCellAnchor>
    <xdr:from>
      <xdr:col>7</xdr:col>
      <xdr:colOff>2269331</xdr:colOff>
      <xdr:row>589</xdr:row>
      <xdr:rowOff>0</xdr:rowOff>
    </xdr:from>
    <xdr:to>
      <xdr:col>8</xdr:col>
      <xdr:colOff>3567</xdr:colOff>
      <xdr:row>589</xdr:row>
      <xdr:rowOff>172227</xdr:rowOff>
    </xdr:to>
    <xdr:sp macro="" textlink="">
      <xdr:nvSpPr>
        <xdr:cNvPr id="49" name="TextBox 48">
          <a:extLst>
            <a:ext uri="{FF2B5EF4-FFF2-40B4-BE49-F238E27FC236}">
              <a16:creationId xmlns:a16="http://schemas.microsoft.com/office/drawing/2014/main" id="{C5BB5102-D9F1-463D-BAA9-08D2DB821553}"/>
            </a:ext>
          </a:extLst>
        </xdr:cNvPr>
        <xdr:cNvSpPr txBox="1"/>
      </xdr:nvSpPr>
      <xdr:spPr>
        <a:xfrm>
          <a:off x="15842456" y="1339786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589</xdr:row>
      <xdr:rowOff>0</xdr:rowOff>
    </xdr:from>
    <xdr:to>
      <xdr:col>8</xdr:col>
      <xdr:colOff>3567</xdr:colOff>
      <xdr:row>589</xdr:row>
      <xdr:rowOff>172227</xdr:rowOff>
    </xdr:to>
    <xdr:sp macro="" textlink="">
      <xdr:nvSpPr>
        <xdr:cNvPr id="50" name="TextBox 49">
          <a:extLst>
            <a:ext uri="{FF2B5EF4-FFF2-40B4-BE49-F238E27FC236}">
              <a16:creationId xmlns:a16="http://schemas.microsoft.com/office/drawing/2014/main" id="{02CD82D6-F56C-4BD0-B8EB-E25FF08C7C7E}"/>
            </a:ext>
          </a:extLst>
        </xdr:cNvPr>
        <xdr:cNvSpPr txBox="1"/>
      </xdr:nvSpPr>
      <xdr:spPr>
        <a:xfrm>
          <a:off x="15842456" y="1339786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221425</xdr:colOff>
      <xdr:row>607</xdr:row>
      <xdr:rowOff>0</xdr:rowOff>
    </xdr:from>
    <xdr:to>
      <xdr:col>9</xdr:col>
      <xdr:colOff>969818</xdr:colOff>
      <xdr:row>610</xdr:row>
      <xdr:rowOff>141020</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73D1A969-DDFB-4542-988D-FE7FDD1CCBE6}"/>
                </a:ext>
                <a:ext uri="{147F2762-F138-4A5C-976F-8EAC2B608ADB}">
                  <a16:predDERef xmlns:a16="http://schemas.microsoft.com/office/drawing/2014/main" pred="{C5BB5102-D9F1-463D-BAA9-08D2DB821553}"/>
                </a:ext>
              </a:extLst>
            </xdr:cNvPr>
            <xdr:cNvSpPr txBox="1"/>
          </xdr:nvSpPr>
          <xdr:spPr>
            <a:xfrm>
              <a:off x="3498025" y="137836275"/>
              <a:ext cx="15626443" cy="7125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𝑘𝑊h𝐴𝑆𝐻𝑃</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𝐸𝐹𝐿𝐻𝑐𝑜𝑜𝑙</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𝐶𝑎𝑝𝑎𝑐𝑖𝑡𝑦𝑐𝑜𝑜𝑙</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𝐸𝐹𝐿𝐻h𝑒𝑎𝑡</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𝐶𝑎𝑝𝑎𝑐𝑖𝑡𝑦h𝑒𝑎𝑡</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𝐻𝑆𝑃</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𝐹</m:t>
                                        </m:r>
                                      </m:e>
                                      <m:sub>
                                        <m:r>
                                          <a:rPr lang="en-US" sz="1400" b="0" i="1">
                                            <a:solidFill>
                                              <a:schemeClr val="tx1"/>
                                            </a:solidFill>
                                            <a:effectLst/>
                                            <a:latin typeface="Cambria Math" panose="02040503050406030204" pitchFamily="18" charset="0"/>
                                            <a:ea typeface="+mn-ea"/>
                                            <a:cs typeface="+mn-cs"/>
                                          </a:rPr>
                                          <m:t>𝑇𝑒𝑠𝑡𝐼𝑛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𝐻𝑆𝐹</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𝑃</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m:oMathPara>
              </a14:m>
              <a:endParaRPr lang="en-US" sz="1200">
                <a:solidFill>
                  <a:schemeClr val="tx1"/>
                </a:solidFill>
                <a:effectLst/>
                <a:latin typeface="+mn-lt"/>
                <a:ea typeface="+mn-ea"/>
                <a:cs typeface="+mn-cs"/>
              </a:endParaRPr>
            </a:p>
          </xdr:txBody>
        </xdr:sp>
      </mc:Choice>
      <mc:Fallback xmlns="">
        <xdr:sp macro="" textlink="">
          <xdr:nvSpPr>
            <xdr:cNvPr id="51" name="TextBox 50">
              <a:extLst>
                <a:ext uri="{FF2B5EF4-FFF2-40B4-BE49-F238E27FC236}">
                  <a16:creationId xmlns:a16="http://schemas.microsoft.com/office/drawing/2014/main" id="{73D1A969-DDFB-4542-988D-FE7FDD1CCBE6}"/>
                </a:ext>
                <a:ext uri="{147F2762-F138-4A5C-976F-8EAC2B608ADB}">
                  <a16:predDERef xmlns:a16="http://schemas.microsoft.com/office/drawing/2014/main" pred="{C5BB5102-D9F1-463D-BAA9-08D2DB821553}"/>
                </a:ext>
              </a:extLst>
            </xdr:cNvPr>
            <xdr:cNvSpPr txBox="1"/>
          </xdr:nvSpPr>
          <xdr:spPr>
            <a:xfrm>
              <a:off x="3498025" y="137836275"/>
              <a:ext cx="15626443" cy="7125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Δ𝑘𝑊ℎ𝐴𝑆𝐻𝑃 =((𝐸𝐹𝐿𝐻𝑐𝑜𝑜𝑙 ∗ 𝐶𝑎𝑝𝑎𝑐𝑖𝑡𝑦𝑐𝑜𝑜𝑙 ∗ (1/(𝑆𝐸𝐸𝑅</a:t>
              </a:r>
              <a:r>
                <a:rPr lang="en-US" sz="1400" b="0" i="0">
                  <a:solidFill>
                    <a:schemeClr val="tx1"/>
                  </a:solidFill>
                  <a:effectLst/>
                  <a:latin typeface="Cambria Math" panose="02040503050406030204" pitchFamily="18" charset="0"/>
                  <a:ea typeface="+mn-ea"/>
                  <a:cs typeface="+mn-cs"/>
                </a:rPr>
                <a:t>_𝑇𝑒𝑠𝑡𝐼𝑛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  +((𝐸𝐹𝐿𝐻ℎ𝑒𝑎𝑡 ∗ 𝐶𝑎𝑝𝑎𝑐𝑖𝑡𝑦ℎ𝑒𝑎𝑡 ∗ (1/(𝐻𝑆𝑃𝐹</a:t>
              </a:r>
              <a:r>
                <a:rPr lang="en-US" sz="1400" b="0" i="0">
                  <a:solidFill>
                    <a:schemeClr val="tx1"/>
                  </a:solidFill>
                  <a:effectLst/>
                  <a:latin typeface="Cambria Math" panose="02040503050406030204" pitchFamily="18" charset="0"/>
                  <a:ea typeface="+mn-ea"/>
                  <a:cs typeface="+mn-cs"/>
                </a:rPr>
                <a:t>_𝑇𝑒𝑠𝑡𝐼𝑛 ) </a:t>
              </a:r>
              <a:r>
                <a:rPr lang="en-US" sz="1400" i="0">
                  <a:solidFill>
                    <a:schemeClr val="tx1"/>
                  </a:solidFill>
                  <a:effectLst/>
                  <a:latin typeface="Cambria Math" panose="02040503050406030204" pitchFamily="18" charset="0"/>
                  <a:ea typeface="+mn-ea"/>
                  <a:cs typeface="+mn-cs"/>
                </a:rPr>
                <a:t> −1/(𝐻𝑆𝐹𝑃</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a:t>
              </a:r>
              <a:endParaRPr lang="en-US" sz="1200">
                <a:solidFill>
                  <a:schemeClr val="tx1"/>
                </a:solidFill>
                <a:effectLst/>
                <a:latin typeface="+mn-lt"/>
                <a:ea typeface="+mn-ea"/>
                <a:cs typeface="+mn-cs"/>
              </a:endParaRPr>
            </a:p>
          </xdr:txBody>
        </xdr:sp>
      </mc:Fallback>
    </mc:AlternateContent>
    <xdr:clientData/>
  </xdr:twoCellAnchor>
  <xdr:twoCellAnchor>
    <xdr:from>
      <xdr:col>4</xdr:col>
      <xdr:colOff>545494</xdr:colOff>
      <xdr:row>770</xdr:row>
      <xdr:rowOff>12998</xdr:rowOff>
    </xdr:from>
    <xdr:to>
      <xdr:col>7</xdr:col>
      <xdr:colOff>1619250</xdr:colOff>
      <xdr:row>772</xdr:row>
      <xdr:rowOff>45354</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4B53E311-3A1F-410F-ADA9-8B0325DD5903}"/>
                </a:ext>
              </a:extLst>
            </xdr:cNvPr>
            <xdr:cNvSpPr txBox="1"/>
          </xdr:nvSpPr>
          <xdr:spPr>
            <a:xfrm>
              <a:off x="3822094" y="187388798"/>
              <a:ext cx="11989406" cy="45145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𝑆𝐸𝐸𝑅</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𝑐𝑜𝑜𝑙𝑖𝑛𝑔</m:t>
                      </m:r>
                    </m:sub>
                  </m:sSub>
                </m:oMath>
              </a14:m>
              <a:r>
                <a:rPr lang="en-US" sz="1400"/>
                <a:t>/1000</a:t>
              </a:r>
            </a:p>
          </xdr:txBody>
        </xdr:sp>
      </mc:Choice>
      <mc:Fallback xmlns="">
        <xdr:sp macro="" textlink="">
          <xdr:nvSpPr>
            <xdr:cNvPr id="52" name="TextBox 51">
              <a:extLst>
                <a:ext uri="{FF2B5EF4-FFF2-40B4-BE49-F238E27FC236}">
                  <a16:creationId xmlns:a16="http://schemas.microsoft.com/office/drawing/2014/main" id="{4B53E311-3A1F-410F-ADA9-8B0325DD5903}"/>
                </a:ext>
              </a:extLst>
            </xdr:cNvPr>
            <xdr:cNvSpPr txBox="1"/>
          </xdr:nvSpPr>
          <xdr:spPr>
            <a:xfrm>
              <a:off x="3822094" y="187388798"/>
              <a:ext cx="11989406" cy="45145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𝐸𝐹𝐿𝐻_𝑐𝑜𝑜𝑙∗𝐶𝑎𝑝𝑎𝑐𝑖𝑡𝑦_𝑐𝑜𝑜𝑙∗(1/𝑆𝐸𝐸𝑅)∗𝑆𝐵𝑑𝑒𝑔𝑟𝑒𝑒𝑠_𝑐𝑜𝑜𝑙𝑖𝑛𝑔∗𝑆𝐹_𝑐𝑜𝑜𝑙𝑖𝑛𝑔∗𝐸𝐹_𝑐𝑜𝑜𝑙𝑖𝑛𝑔</a:t>
              </a:r>
              <a:r>
                <a:rPr lang="en-US" sz="1400"/>
                <a:t>/1000</a:t>
              </a:r>
            </a:p>
          </xdr:txBody>
        </xdr:sp>
      </mc:Fallback>
    </mc:AlternateContent>
    <xdr:clientData/>
  </xdr:twoCellAnchor>
  <xdr:twoCellAnchor>
    <xdr:from>
      <xdr:col>4</xdr:col>
      <xdr:colOff>493788</xdr:colOff>
      <xdr:row>772</xdr:row>
      <xdr:rowOff>185357</xdr:rowOff>
    </xdr:from>
    <xdr:to>
      <xdr:col>7</xdr:col>
      <xdr:colOff>1238250</xdr:colOff>
      <xdr:row>775</xdr:row>
      <xdr:rowOff>68035</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5C54409D-C366-4DF0-A420-62AA8EDB7C91}"/>
                </a:ext>
              </a:extLst>
            </xdr:cNvPr>
            <xdr:cNvSpPr txBox="1"/>
          </xdr:nvSpPr>
          <xdr:spPr>
            <a:xfrm>
              <a:off x="3770388" y="187980257"/>
              <a:ext cx="11660112" cy="4541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𝐸𝑙𝑒𝑐𝑡𝑟𝑖𝑐𝑅𝑒𝑠𝑖𝑠𝑡𝑎𝑛𝑐𝑒𝐻𝑒𝑎𝑡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𝐻𝑆𝑃𝐹</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oMath>
              </a14:m>
              <a:r>
                <a:rPr lang="en-US" sz="1400"/>
                <a:t>/1000</a:t>
              </a:r>
            </a:p>
          </xdr:txBody>
        </xdr:sp>
      </mc:Choice>
      <mc:Fallback xmlns="">
        <xdr:sp macro="" textlink="">
          <xdr:nvSpPr>
            <xdr:cNvPr id="53" name="TextBox 52">
              <a:extLst>
                <a:ext uri="{FF2B5EF4-FFF2-40B4-BE49-F238E27FC236}">
                  <a16:creationId xmlns:a16="http://schemas.microsoft.com/office/drawing/2014/main" id="{5C54409D-C366-4DF0-A420-62AA8EDB7C91}"/>
                </a:ext>
              </a:extLst>
            </xdr:cNvPr>
            <xdr:cNvSpPr txBox="1"/>
          </xdr:nvSpPr>
          <xdr:spPr>
            <a:xfrm>
              <a:off x="3770388" y="187980257"/>
              <a:ext cx="11660112" cy="4541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𝐸𝑙𝑒𝑐𝑡𝑟𝑖𝑐𝑅𝑒𝑠𝑖𝑠𝑡𝑎𝑛𝑐𝑒𝐻𝑒𝑎𝑡∗𝐸𝐹𝐿𝐻_𝐻𝑒𝑎𝑡∗𝐶𝑎𝑝𝑎𝑐𝑖𝑡𝑦_𝐻𝑒𝑎𝑡𝑖𝑛𝑔𝐸𝑙𝑒𝑐𝑡𝑟𝑖𝑐∗(1/𝐻𝑆𝑃𝐹)∗𝑆𝐵𝑑𝑒𝑔𝑟𝑒𝑒𝑠_ℎ𝑒𝑎𝑡𝑖𝑛𝑔∗𝑆𝐹_𝐻𝑒𝑎𝑡𝑖𝑛𝑔∗𝐸𝐹_𝐻𝑒𝑎𝑡𝑖𝑛𝑔</a:t>
              </a:r>
              <a:r>
                <a:rPr lang="en-US" sz="1400"/>
                <a:t>/1000</a:t>
              </a:r>
            </a:p>
          </xdr:txBody>
        </xdr:sp>
      </mc:Fallback>
    </mc:AlternateContent>
    <xdr:clientData/>
  </xdr:twoCellAnchor>
  <xdr:twoCellAnchor>
    <xdr:from>
      <xdr:col>4</xdr:col>
      <xdr:colOff>454783</xdr:colOff>
      <xdr:row>775</xdr:row>
      <xdr:rowOff>165096</xdr:rowOff>
    </xdr:from>
    <xdr:to>
      <xdr:col>4</xdr:col>
      <xdr:colOff>1976587</xdr:colOff>
      <xdr:row>777</xdr:row>
      <xdr:rowOff>112746</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BA5AAF51-98F5-4930-83E7-BE092E2984EA}"/>
                </a:ext>
              </a:extLst>
            </xdr:cNvPr>
            <xdr:cNvSpPr txBox="1"/>
          </xdr:nvSpPr>
          <xdr:spPr>
            <a:xfrm>
              <a:off x="3731383" y="188531496"/>
              <a:ext cx="1521804" cy="3286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54" name="TextBox 53">
              <a:extLst>
                <a:ext uri="{FF2B5EF4-FFF2-40B4-BE49-F238E27FC236}">
                  <a16:creationId xmlns:a16="http://schemas.microsoft.com/office/drawing/2014/main" id="{BA5AAF51-98F5-4930-83E7-BE092E2984EA}"/>
                </a:ext>
              </a:extLst>
            </xdr:cNvPr>
            <xdr:cNvSpPr txBox="1"/>
          </xdr:nvSpPr>
          <xdr:spPr>
            <a:xfrm>
              <a:off x="3731383" y="188531496"/>
              <a:ext cx="1521804" cy="3286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155864</xdr:colOff>
      <xdr:row>878</xdr:row>
      <xdr:rowOff>34636</xdr:rowOff>
    </xdr:from>
    <xdr:to>
      <xdr:col>5</xdr:col>
      <xdr:colOff>623455</xdr:colOff>
      <xdr:row>882</xdr:row>
      <xdr:rowOff>121228</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6F29804D-03FC-4E35-A6B7-52584EF93427}"/>
                </a:ext>
              </a:extLst>
            </xdr:cNvPr>
            <xdr:cNvSpPr txBox="1"/>
          </xdr:nvSpPr>
          <xdr:spPr>
            <a:xfrm>
              <a:off x="3432464" y="212213536"/>
              <a:ext cx="5706341" cy="84859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d>
                          <m:dPr>
                            <m:ctrlPr>
                              <a:rPr lang="en-US" sz="1600" b="0" i="1">
                                <a:latin typeface="Cambria Math" panose="02040503050406030204" pitchFamily="18" charset="0"/>
                                <a:ea typeface="Cambria Math" panose="02040503050406030204" pitchFamily="18" charset="0"/>
                              </a:rPr>
                            </m:ctrlPr>
                          </m:dPr>
                          <m:e>
                            <m:d>
                              <m:dPr>
                                <m:ctrlPr>
                                  <a:rPr lang="en-US" sz="1600" b="0" i="1">
                                    <a:latin typeface="Cambria Math" panose="02040503050406030204" pitchFamily="18" charset="0"/>
                                    <a:ea typeface="Cambria Math" panose="02040503050406030204" pitchFamily="18" charset="0"/>
                                  </a:rPr>
                                </m:ctrlPr>
                              </m:dPr>
                              <m:e>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𝐵𝑎𝑠𝑒</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𝐸𝐸</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𝐸𝐸</m:t>
                                        </m:r>
                                      </m:sub>
                                    </m:sSub>
                                  </m:den>
                                </m:f>
                              </m:e>
                            </m:d>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𝑇</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𝐻𝑜𝑢𝑟𝑠</m:t>
                            </m:r>
                          </m:e>
                        </m:d>
                      </m:num>
                      <m:den>
                        <m:r>
                          <a:rPr lang="en-US" sz="1600" b="0" i="1">
                            <a:latin typeface="Cambria Math" panose="02040503050406030204" pitchFamily="18" charset="0"/>
                            <a:ea typeface="Cambria Math" panose="02040503050406030204" pitchFamily="18" charset="0"/>
                          </a:rPr>
                          <m:t>𝜂</m:t>
                        </m:r>
                        <m:r>
                          <a:rPr lang="en-US" sz="1600" b="0" i="1">
                            <a:latin typeface="Cambria Math" panose="02040503050406030204" pitchFamily="18" charset="0"/>
                            <a:ea typeface="Cambria Math" panose="02040503050406030204" pitchFamily="18" charset="0"/>
                          </a:rPr>
                          <m:t>𝐷𝐻</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m:t>
                            </m:r>
                          </m:e>
                          <m:sub>
                            <m:r>
                              <a:rPr lang="en-US" sz="1600" b="0" i="1">
                                <a:latin typeface="Cambria Math" panose="02040503050406030204" pitchFamily="18" charset="0"/>
                                <a:ea typeface="Cambria Math" panose="02040503050406030204" pitchFamily="18" charset="0"/>
                              </a:rPr>
                              <m:t>𝐸𝑙𝑒𝑐</m:t>
                            </m:r>
                          </m:sub>
                        </m:sSub>
                        <m:r>
                          <a:rPr lang="en-US" sz="16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55" name="TextBox 54">
              <a:extLst>
                <a:ext uri="{FF2B5EF4-FFF2-40B4-BE49-F238E27FC236}">
                  <a16:creationId xmlns:a16="http://schemas.microsoft.com/office/drawing/2014/main" id="{6F29804D-03FC-4E35-A6B7-52584EF93427}"/>
                </a:ext>
              </a:extLst>
            </xdr:cNvPr>
            <xdr:cNvSpPr txBox="1"/>
          </xdr:nvSpPr>
          <xdr:spPr>
            <a:xfrm>
              <a:off x="3432464" y="212213536"/>
              <a:ext cx="5706341" cy="84859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𝑘𝑊ℎ=(((𝐴_𝐵𝑎𝑠𝑒/𝑅_𝐵𝑎𝑠𝑒 −𝐴_𝐸𝐸/𝑅_𝐸𝐸 )∗</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79600</xdr:colOff>
      <xdr:row>990</xdr:row>
      <xdr:rowOff>127907</xdr:rowOff>
    </xdr:from>
    <xdr:to>
      <xdr:col>4</xdr:col>
      <xdr:colOff>3694340</xdr:colOff>
      <xdr:row>991</xdr:row>
      <xdr:rowOff>187860</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5141FDBC-C12B-42A3-8B9F-E1592495A0AE}"/>
                </a:ext>
              </a:extLst>
            </xdr:cNvPr>
            <xdr:cNvSpPr txBox="1"/>
          </xdr:nvSpPr>
          <xdr:spPr>
            <a:xfrm>
              <a:off x="3356200" y="251121182"/>
              <a:ext cx="3614740"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56" name="TextBox 55">
              <a:extLst>
                <a:ext uri="{FF2B5EF4-FFF2-40B4-BE49-F238E27FC236}">
                  <a16:creationId xmlns:a16="http://schemas.microsoft.com/office/drawing/2014/main" id="{5141FDBC-C12B-42A3-8B9F-E1592495A0AE}"/>
                </a:ext>
              </a:extLst>
            </xdr:cNvPr>
            <xdr:cNvSpPr txBox="1"/>
          </xdr:nvSpPr>
          <xdr:spPr>
            <a:xfrm>
              <a:off x="3356200" y="251121182"/>
              <a:ext cx="3614740"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3</xdr:col>
      <xdr:colOff>562654</xdr:colOff>
      <xdr:row>992</xdr:row>
      <xdr:rowOff>129267</xdr:rowOff>
    </xdr:from>
    <xdr:to>
      <xdr:col>6</xdr:col>
      <xdr:colOff>1629495</xdr:colOff>
      <xdr:row>993</xdr:row>
      <xdr:rowOff>189220</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6DB7FA88-EB1A-4A7B-8EB8-12457E3706D6}"/>
                </a:ext>
              </a:extLst>
            </xdr:cNvPr>
            <xdr:cNvSpPr txBox="1"/>
          </xdr:nvSpPr>
          <xdr:spPr>
            <a:xfrm>
              <a:off x="2239054" y="251503542"/>
              <a:ext cx="10820441"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7" name="TextBox 56">
              <a:extLst>
                <a:ext uri="{FF2B5EF4-FFF2-40B4-BE49-F238E27FC236}">
                  <a16:creationId xmlns:a16="http://schemas.microsoft.com/office/drawing/2014/main" id="{6DB7FA88-EB1A-4A7B-8EB8-12457E3706D6}"/>
                </a:ext>
              </a:extLst>
            </xdr:cNvPr>
            <xdr:cNvSpPr txBox="1"/>
          </xdr:nvSpPr>
          <xdr:spPr>
            <a:xfrm>
              <a:off x="2239054" y="251503542"/>
              <a:ext cx="10820441"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∆〖𝑘𝑊ℎ〗_𝑅𝐸𝑆</a:t>
              </a:r>
              <a:r>
                <a:rPr lang="en-US" sz="14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3</xdr:col>
      <xdr:colOff>641575</xdr:colOff>
      <xdr:row>994</xdr:row>
      <xdr:rowOff>137432</xdr:rowOff>
    </xdr:from>
    <xdr:to>
      <xdr:col>7</xdr:col>
      <xdr:colOff>304159</xdr:colOff>
      <xdr:row>996</xdr:row>
      <xdr:rowOff>6885</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766EF075-72CE-4E40-9CC0-47E1E7D6A98C}"/>
                </a:ext>
              </a:extLst>
            </xdr:cNvPr>
            <xdr:cNvSpPr txBox="1"/>
          </xdr:nvSpPr>
          <xdr:spPr>
            <a:xfrm>
              <a:off x="2317975" y="251892707"/>
              <a:ext cx="12178434"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𝑁𝑅𝐸𝑆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8" name="TextBox 57">
              <a:extLst>
                <a:ext uri="{FF2B5EF4-FFF2-40B4-BE49-F238E27FC236}">
                  <a16:creationId xmlns:a16="http://schemas.microsoft.com/office/drawing/2014/main" id="{766EF075-72CE-4E40-9CC0-47E1E7D6A98C}"/>
                </a:ext>
              </a:extLst>
            </xdr:cNvPr>
            <xdr:cNvSpPr txBox="1"/>
          </xdr:nvSpPr>
          <xdr:spPr>
            <a:xfrm>
              <a:off x="2317975" y="251892707"/>
              <a:ext cx="12178434"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∆〖𝑘𝑊ℎ〗_𝑁𝑅𝐸𝑆</a:t>
              </a:r>
              <a:r>
                <a:rPr lang="en-US" sz="14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3</xdr:col>
      <xdr:colOff>1366158</xdr:colOff>
      <xdr:row>996</xdr:row>
      <xdr:rowOff>161925</xdr:rowOff>
    </xdr:from>
    <xdr:to>
      <xdr:col>4</xdr:col>
      <xdr:colOff>1696686</xdr:colOff>
      <xdr:row>998</xdr:row>
      <xdr:rowOff>31378</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580A9F3D-1F25-49C7-AEEC-6C7A8B1B32D3}"/>
                </a:ext>
              </a:extLst>
            </xdr:cNvPr>
            <xdr:cNvSpPr txBox="1"/>
          </xdr:nvSpPr>
          <xdr:spPr>
            <a:xfrm>
              <a:off x="3042558" y="252298200"/>
              <a:ext cx="1930728"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59" name="TextBox 58">
              <a:extLst>
                <a:ext uri="{FF2B5EF4-FFF2-40B4-BE49-F238E27FC236}">
                  <a16:creationId xmlns:a16="http://schemas.microsoft.com/office/drawing/2014/main" id="{580A9F3D-1F25-49C7-AEEC-6C7A8B1B32D3}"/>
                </a:ext>
              </a:extLst>
            </xdr:cNvPr>
            <xdr:cNvSpPr txBox="1"/>
          </xdr:nvSpPr>
          <xdr:spPr>
            <a:xfrm>
              <a:off x="3042558" y="252298200"/>
              <a:ext cx="1930728"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311727</xdr:colOff>
      <xdr:row>1089</xdr:row>
      <xdr:rowOff>51955</xdr:rowOff>
    </xdr:from>
    <xdr:to>
      <xdr:col>5</xdr:col>
      <xdr:colOff>1323316</xdr:colOff>
      <xdr:row>1090</xdr:row>
      <xdr:rowOff>109536</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3588327" y="270295255"/>
              <a:ext cx="6250339"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3588327" y="270295255"/>
              <a:ext cx="6250339"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𝑘𝑊ℎ=(𝑘𝑊ℎ_𝑜𝑓𝑓𝑖𝑐𝑒∗𝑊𝑒𝑖𝑔ℎ𝑡𝑖𝑛𝑔_𝑜𝑓𝑓𝑖𝑐𝑒+𝑘𝑊ℎ_𝐸𝑛𝑡∗𝑊𝑒𝑖𝑔ℎ𝑡𝑖𝑛𝑔_𝐸𝑛𝑡 )∗𝐼𝑆𝑅</a:t>
              </a:r>
              <a:endParaRPr lang="en-US" sz="1400"/>
            </a:p>
          </xdr:txBody>
        </xdr:sp>
      </mc:Fallback>
    </mc:AlternateContent>
    <xdr:clientData/>
  </xdr:twoCellAnchor>
  <xdr:twoCellAnchor>
    <xdr:from>
      <xdr:col>4</xdr:col>
      <xdr:colOff>176893</xdr:colOff>
      <xdr:row>726</xdr:row>
      <xdr:rowOff>190499</xdr:rowOff>
    </xdr:from>
    <xdr:to>
      <xdr:col>4</xdr:col>
      <xdr:colOff>3564872</xdr:colOff>
      <xdr:row>729</xdr:row>
      <xdr:rowOff>190499</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20CFF55B-1637-469F-8B62-82C7C360846E}"/>
                </a:ext>
              </a:extLst>
            </xdr:cNvPr>
            <xdr:cNvSpPr txBox="1"/>
          </xdr:nvSpPr>
          <xdr:spPr>
            <a:xfrm>
              <a:off x="3453493" y="174717074"/>
              <a:ext cx="3387979" cy="86677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61" name="TextBox 60">
              <a:extLst>
                <a:ext uri="{FF2B5EF4-FFF2-40B4-BE49-F238E27FC236}">
                  <a16:creationId xmlns:a16="http://schemas.microsoft.com/office/drawing/2014/main" id="{20CFF55B-1637-469F-8B62-82C7C360846E}"/>
                </a:ext>
              </a:extLst>
            </xdr:cNvPr>
            <xdr:cNvSpPr txBox="1"/>
          </xdr:nvSpPr>
          <xdr:spPr>
            <a:xfrm>
              <a:off x="3453493" y="174717074"/>
              <a:ext cx="3387979" cy="86677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504536</xdr:colOff>
      <xdr:row>1111</xdr:row>
      <xdr:rowOff>164060</xdr:rowOff>
    </xdr:from>
    <xdr:to>
      <xdr:col>4</xdr:col>
      <xdr:colOff>4862540</xdr:colOff>
      <xdr:row>1113</xdr:row>
      <xdr:rowOff>26203</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25589FF-A9CC-4DBA-8755-9A0BD91E57CA}"/>
                </a:ext>
              </a:extLst>
            </xdr:cNvPr>
            <xdr:cNvSpPr txBox="1"/>
          </xdr:nvSpPr>
          <xdr:spPr>
            <a:xfrm>
              <a:off x="3781136" y="274979360"/>
              <a:ext cx="4358004" cy="2431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𝑢𝑛𝑖𝑡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𝑛𝑒𝑤</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𝑆𝑎𝑣𝑖𝑛𝑔𝑠</m:t>
                            </m:r>
                          </m:e>
                        </m:d>
                      </m:e>
                    </m:d>
                  </m:oMath>
                </m:oMathPara>
              </a14:m>
              <a:endParaRPr lang="en-US" sz="1400"/>
            </a:p>
          </xdr:txBody>
        </xdr:sp>
      </mc:Choice>
      <mc:Fallback xmlns="">
        <xdr:sp macro="" textlink="">
          <xdr:nvSpPr>
            <xdr:cNvPr id="62" name="TextBox 61">
              <a:extLst>
                <a:ext uri="{FF2B5EF4-FFF2-40B4-BE49-F238E27FC236}">
                  <a16:creationId xmlns:a16="http://schemas.microsoft.com/office/drawing/2014/main" id="{025589FF-A9CC-4DBA-8755-9A0BD91E57CA}"/>
                </a:ext>
              </a:extLst>
            </xdr:cNvPr>
            <xdr:cNvSpPr txBox="1"/>
          </xdr:nvSpPr>
          <xdr:spPr>
            <a:xfrm>
              <a:off x="3781136" y="274979360"/>
              <a:ext cx="4358004" cy="2431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400"/>
            </a:p>
          </xdr:txBody>
        </xdr:sp>
      </mc:Fallback>
    </mc:AlternateContent>
    <xdr:clientData/>
  </xdr:twoCellAnchor>
  <xdr:oneCellAnchor>
    <xdr:from>
      <xdr:col>26</xdr:col>
      <xdr:colOff>2269331</xdr:colOff>
      <xdr:row>3</xdr:row>
      <xdr:rowOff>0</xdr:rowOff>
    </xdr:from>
    <xdr:ext cx="65" cy="172227"/>
    <xdr:sp macro="" textlink="">
      <xdr:nvSpPr>
        <xdr:cNvPr id="63" name="TextBox 62">
          <a:extLst>
            <a:ext uri="{FF2B5EF4-FFF2-40B4-BE49-F238E27FC236}">
              <a16:creationId xmlns:a16="http://schemas.microsoft.com/office/drawing/2014/main" id="{6A85CCD3-9CE8-4F1D-A6E1-71E1121F1F1B}"/>
            </a:ext>
          </a:extLst>
        </xdr:cNvPr>
        <xdr:cNvSpPr txBox="1"/>
      </xdr:nvSpPr>
      <xdr:spPr>
        <a:xfrm>
          <a:off x="367879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4" name="TextBox 63">
          <a:extLst>
            <a:ext uri="{FF2B5EF4-FFF2-40B4-BE49-F238E27FC236}">
              <a16:creationId xmlns:a16="http://schemas.microsoft.com/office/drawing/2014/main" id="{C98CAA05-1DBF-4691-93F9-3AB08514FFE1}"/>
            </a:ext>
          </a:extLst>
        </xdr:cNvPr>
        <xdr:cNvSpPr txBox="1"/>
      </xdr:nvSpPr>
      <xdr:spPr>
        <a:xfrm>
          <a:off x="367879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429</xdr:row>
      <xdr:rowOff>0</xdr:rowOff>
    </xdr:from>
    <xdr:ext cx="65" cy="172227"/>
    <xdr:sp macro="" textlink="">
      <xdr:nvSpPr>
        <xdr:cNvPr id="65" name="TextBox 64">
          <a:extLst>
            <a:ext uri="{FF2B5EF4-FFF2-40B4-BE49-F238E27FC236}">
              <a16:creationId xmlns:a16="http://schemas.microsoft.com/office/drawing/2014/main" id="{6A85CCD3-9CE8-4F1D-A6E1-71E1121F1F1B}"/>
            </a:ext>
          </a:extLst>
        </xdr:cNvPr>
        <xdr:cNvSpPr txBox="1"/>
      </xdr:nvSpPr>
      <xdr:spPr>
        <a:xfrm>
          <a:off x="36787931" y="8500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429</xdr:row>
      <xdr:rowOff>0</xdr:rowOff>
    </xdr:from>
    <xdr:ext cx="65" cy="172227"/>
    <xdr:sp macro="" textlink="">
      <xdr:nvSpPr>
        <xdr:cNvPr id="66" name="TextBox 65">
          <a:extLst>
            <a:ext uri="{FF2B5EF4-FFF2-40B4-BE49-F238E27FC236}">
              <a16:creationId xmlns:a16="http://schemas.microsoft.com/office/drawing/2014/main" id="{C98CAA05-1DBF-4691-93F9-3AB08514FFE1}"/>
            </a:ext>
          </a:extLst>
        </xdr:cNvPr>
        <xdr:cNvSpPr txBox="1"/>
      </xdr:nvSpPr>
      <xdr:spPr>
        <a:xfrm>
          <a:off x="36787931" y="8500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67" name="TextBox 66">
          <a:extLst>
            <a:ext uri="{FF2B5EF4-FFF2-40B4-BE49-F238E27FC236}">
              <a16:creationId xmlns:a16="http://schemas.microsoft.com/office/drawing/2014/main" id="{6A85CCD3-9CE8-4F1D-A6E1-71E1121F1F1B}"/>
            </a:ext>
          </a:extLst>
        </xdr:cNvPr>
        <xdr:cNvSpPr txBox="1"/>
      </xdr:nvSpPr>
      <xdr:spPr>
        <a:xfrm>
          <a:off x="36787931" y="152276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68" name="TextBox 67">
          <a:extLst>
            <a:ext uri="{FF2B5EF4-FFF2-40B4-BE49-F238E27FC236}">
              <a16:creationId xmlns:a16="http://schemas.microsoft.com/office/drawing/2014/main" id="{C98CAA05-1DBF-4691-93F9-3AB08514FFE1}"/>
            </a:ext>
          </a:extLst>
        </xdr:cNvPr>
        <xdr:cNvSpPr txBox="1"/>
      </xdr:nvSpPr>
      <xdr:spPr>
        <a:xfrm>
          <a:off x="36787931" y="152276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680</xdr:row>
      <xdr:rowOff>0</xdr:rowOff>
    </xdr:from>
    <xdr:ext cx="65" cy="172227"/>
    <xdr:sp macro="" textlink="">
      <xdr:nvSpPr>
        <xdr:cNvPr id="69" name="TextBox 68">
          <a:extLst>
            <a:ext uri="{FF2B5EF4-FFF2-40B4-BE49-F238E27FC236}">
              <a16:creationId xmlns:a16="http://schemas.microsoft.com/office/drawing/2014/main" id="{6A85CCD3-9CE8-4F1D-A6E1-71E1121F1F1B}"/>
            </a:ext>
          </a:extLst>
        </xdr:cNvPr>
        <xdr:cNvSpPr txBox="1"/>
      </xdr:nvSpPr>
      <xdr:spPr>
        <a:xfrm>
          <a:off x="36787931" y="1631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680</xdr:row>
      <xdr:rowOff>0</xdr:rowOff>
    </xdr:from>
    <xdr:ext cx="65" cy="172227"/>
    <xdr:sp macro="" textlink="">
      <xdr:nvSpPr>
        <xdr:cNvPr id="70" name="TextBox 69">
          <a:extLst>
            <a:ext uri="{FF2B5EF4-FFF2-40B4-BE49-F238E27FC236}">
              <a16:creationId xmlns:a16="http://schemas.microsoft.com/office/drawing/2014/main" id="{C98CAA05-1DBF-4691-93F9-3AB08514FFE1}"/>
            </a:ext>
          </a:extLst>
        </xdr:cNvPr>
        <xdr:cNvSpPr txBox="1"/>
      </xdr:nvSpPr>
      <xdr:spPr>
        <a:xfrm>
          <a:off x="36787931" y="1631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720</xdr:row>
      <xdr:rowOff>0</xdr:rowOff>
    </xdr:from>
    <xdr:ext cx="65" cy="172227"/>
    <xdr:sp macro="" textlink="">
      <xdr:nvSpPr>
        <xdr:cNvPr id="71" name="TextBox 70">
          <a:extLst>
            <a:ext uri="{FF2B5EF4-FFF2-40B4-BE49-F238E27FC236}">
              <a16:creationId xmlns:a16="http://schemas.microsoft.com/office/drawing/2014/main" id="{6A85CCD3-9CE8-4F1D-A6E1-71E1121F1F1B}"/>
            </a:ext>
          </a:extLst>
        </xdr:cNvPr>
        <xdr:cNvSpPr txBox="1"/>
      </xdr:nvSpPr>
      <xdr:spPr>
        <a:xfrm>
          <a:off x="36787931" y="173002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720</xdr:row>
      <xdr:rowOff>0</xdr:rowOff>
    </xdr:from>
    <xdr:ext cx="65" cy="172227"/>
    <xdr:sp macro="" textlink="">
      <xdr:nvSpPr>
        <xdr:cNvPr id="72" name="TextBox 71">
          <a:extLst>
            <a:ext uri="{FF2B5EF4-FFF2-40B4-BE49-F238E27FC236}">
              <a16:creationId xmlns:a16="http://schemas.microsoft.com/office/drawing/2014/main" id="{C98CAA05-1DBF-4691-93F9-3AB08514FFE1}"/>
            </a:ext>
          </a:extLst>
        </xdr:cNvPr>
        <xdr:cNvSpPr txBox="1"/>
      </xdr:nvSpPr>
      <xdr:spPr>
        <a:xfrm>
          <a:off x="36787931" y="173002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750</xdr:row>
      <xdr:rowOff>0</xdr:rowOff>
    </xdr:from>
    <xdr:ext cx="65" cy="172227"/>
    <xdr:sp macro="" textlink="">
      <xdr:nvSpPr>
        <xdr:cNvPr id="73" name="TextBox 72">
          <a:extLst>
            <a:ext uri="{FF2B5EF4-FFF2-40B4-BE49-F238E27FC236}">
              <a16:creationId xmlns:a16="http://schemas.microsoft.com/office/drawing/2014/main" id="{6A85CCD3-9CE8-4F1D-A6E1-71E1121F1F1B}"/>
            </a:ext>
          </a:extLst>
        </xdr:cNvPr>
        <xdr:cNvSpPr txBox="1"/>
      </xdr:nvSpPr>
      <xdr:spPr>
        <a:xfrm>
          <a:off x="36787931" y="18318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750</xdr:row>
      <xdr:rowOff>0</xdr:rowOff>
    </xdr:from>
    <xdr:ext cx="65" cy="172227"/>
    <xdr:sp macro="" textlink="">
      <xdr:nvSpPr>
        <xdr:cNvPr id="74" name="TextBox 73">
          <a:extLst>
            <a:ext uri="{FF2B5EF4-FFF2-40B4-BE49-F238E27FC236}">
              <a16:creationId xmlns:a16="http://schemas.microsoft.com/office/drawing/2014/main" id="{C98CAA05-1DBF-4691-93F9-3AB08514FFE1}"/>
            </a:ext>
          </a:extLst>
        </xdr:cNvPr>
        <xdr:cNvSpPr txBox="1"/>
      </xdr:nvSpPr>
      <xdr:spPr>
        <a:xfrm>
          <a:off x="36787931" y="18318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964</xdr:row>
      <xdr:rowOff>0</xdr:rowOff>
    </xdr:from>
    <xdr:ext cx="65" cy="172227"/>
    <xdr:sp macro="" textlink="">
      <xdr:nvSpPr>
        <xdr:cNvPr id="75" name="TextBox 74">
          <a:extLst>
            <a:ext uri="{FF2B5EF4-FFF2-40B4-BE49-F238E27FC236}">
              <a16:creationId xmlns:a16="http://schemas.microsoft.com/office/drawing/2014/main" id="{6A85CCD3-9CE8-4F1D-A6E1-71E1121F1F1B}"/>
            </a:ext>
          </a:extLst>
        </xdr:cNvPr>
        <xdr:cNvSpPr txBox="1"/>
      </xdr:nvSpPr>
      <xdr:spPr>
        <a:xfrm>
          <a:off x="36787931" y="2460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964</xdr:row>
      <xdr:rowOff>0</xdr:rowOff>
    </xdr:from>
    <xdr:ext cx="65" cy="172227"/>
    <xdr:sp macro="" textlink="">
      <xdr:nvSpPr>
        <xdr:cNvPr id="76" name="TextBox 75">
          <a:extLst>
            <a:ext uri="{FF2B5EF4-FFF2-40B4-BE49-F238E27FC236}">
              <a16:creationId xmlns:a16="http://schemas.microsoft.com/office/drawing/2014/main" id="{C98CAA05-1DBF-4691-93F9-3AB08514FFE1}"/>
            </a:ext>
          </a:extLst>
        </xdr:cNvPr>
        <xdr:cNvSpPr txBox="1"/>
      </xdr:nvSpPr>
      <xdr:spPr>
        <a:xfrm>
          <a:off x="36787931" y="2460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xdr:row>
      <xdr:rowOff>0</xdr:rowOff>
    </xdr:from>
    <xdr:ext cx="65" cy="172227"/>
    <xdr:sp macro="" textlink="">
      <xdr:nvSpPr>
        <xdr:cNvPr id="77" name="TextBox 76">
          <a:extLst>
            <a:ext uri="{FF2B5EF4-FFF2-40B4-BE49-F238E27FC236}">
              <a16:creationId xmlns:a16="http://schemas.microsoft.com/office/drawing/2014/main" id="{6A85CCD3-9CE8-4F1D-A6E1-71E1121F1F1B}"/>
            </a:ext>
          </a:extLst>
        </xdr:cNvPr>
        <xdr:cNvSpPr txBox="1"/>
      </xdr:nvSpPr>
      <xdr:spPr>
        <a:xfrm>
          <a:off x="36787931" y="9277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xdr:row>
      <xdr:rowOff>0</xdr:rowOff>
    </xdr:from>
    <xdr:ext cx="65" cy="172227"/>
    <xdr:sp macro="" textlink="">
      <xdr:nvSpPr>
        <xdr:cNvPr id="78" name="TextBox 77">
          <a:extLst>
            <a:ext uri="{FF2B5EF4-FFF2-40B4-BE49-F238E27FC236}">
              <a16:creationId xmlns:a16="http://schemas.microsoft.com/office/drawing/2014/main" id="{C98CAA05-1DBF-4691-93F9-3AB08514FFE1}"/>
            </a:ext>
          </a:extLst>
        </xdr:cNvPr>
        <xdr:cNvSpPr txBox="1"/>
      </xdr:nvSpPr>
      <xdr:spPr>
        <a:xfrm>
          <a:off x="36787931" y="9277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82</xdr:row>
      <xdr:rowOff>0</xdr:rowOff>
    </xdr:from>
    <xdr:ext cx="65" cy="172227"/>
    <xdr:sp macro="" textlink="">
      <xdr:nvSpPr>
        <xdr:cNvPr id="79" name="TextBox 78">
          <a:extLst>
            <a:ext uri="{FF2B5EF4-FFF2-40B4-BE49-F238E27FC236}">
              <a16:creationId xmlns:a16="http://schemas.microsoft.com/office/drawing/2014/main" id="{6A85CCD3-9CE8-4F1D-A6E1-71E1121F1F1B}"/>
            </a:ext>
          </a:extLst>
        </xdr:cNvPr>
        <xdr:cNvSpPr txBox="1"/>
      </xdr:nvSpPr>
      <xdr:spPr>
        <a:xfrm>
          <a:off x="36787931" y="17402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82</xdr:row>
      <xdr:rowOff>0</xdr:rowOff>
    </xdr:from>
    <xdr:ext cx="65" cy="172227"/>
    <xdr:sp macro="" textlink="">
      <xdr:nvSpPr>
        <xdr:cNvPr id="80" name="TextBox 79">
          <a:extLst>
            <a:ext uri="{FF2B5EF4-FFF2-40B4-BE49-F238E27FC236}">
              <a16:creationId xmlns:a16="http://schemas.microsoft.com/office/drawing/2014/main" id="{C98CAA05-1DBF-4691-93F9-3AB08514FFE1}"/>
            </a:ext>
          </a:extLst>
        </xdr:cNvPr>
        <xdr:cNvSpPr txBox="1"/>
      </xdr:nvSpPr>
      <xdr:spPr>
        <a:xfrm>
          <a:off x="36787931" y="17402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403</xdr:row>
      <xdr:rowOff>0</xdr:rowOff>
    </xdr:from>
    <xdr:ext cx="65" cy="172227"/>
    <xdr:sp macro="" textlink="">
      <xdr:nvSpPr>
        <xdr:cNvPr id="81" name="TextBox 80">
          <a:extLst>
            <a:ext uri="{FF2B5EF4-FFF2-40B4-BE49-F238E27FC236}">
              <a16:creationId xmlns:a16="http://schemas.microsoft.com/office/drawing/2014/main" id="{6A85CCD3-9CE8-4F1D-A6E1-71E1121F1F1B}"/>
            </a:ext>
          </a:extLst>
        </xdr:cNvPr>
        <xdr:cNvSpPr txBox="1"/>
      </xdr:nvSpPr>
      <xdr:spPr>
        <a:xfrm>
          <a:off x="36787931" y="7943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403</xdr:row>
      <xdr:rowOff>0</xdr:rowOff>
    </xdr:from>
    <xdr:ext cx="65" cy="172227"/>
    <xdr:sp macro="" textlink="">
      <xdr:nvSpPr>
        <xdr:cNvPr id="82" name="TextBox 81">
          <a:extLst>
            <a:ext uri="{FF2B5EF4-FFF2-40B4-BE49-F238E27FC236}">
              <a16:creationId xmlns:a16="http://schemas.microsoft.com/office/drawing/2014/main" id="{C98CAA05-1DBF-4691-93F9-3AB08514FFE1}"/>
            </a:ext>
          </a:extLst>
        </xdr:cNvPr>
        <xdr:cNvSpPr txBox="1"/>
      </xdr:nvSpPr>
      <xdr:spPr>
        <a:xfrm>
          <a:off x="36787931" y="7943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453</xdr:row>
      <xdr:rowOff>0</xdr:rowOff>
    </xdr:from>
    <xdr:ext cx="65" cy="172227"/>
    <xdr:sp macro="" textlink="">
      <xdr:nvSpPr>
        <xdr:cNvPr id="83" name="TextBox 82">
          <a:extLst>
            <a:ext uri="{FF2B5EF4-FFF2-40B4-BE49-F238E27FC236}">
              <a16:creationId xmlns:a16="http://schemas.microsoft.com/office/drawing/2014/main" id="{6A85CCD3-9CE8-4F1D-A6E1-71E1121F1F1B}"/>
            </a:ext>
          </a:extLst>
        </xdr:cNvPr>
        <xdr:cNvSpPr txBox="1"/>
      </xdr:nvSpPr>
      <xdr:spPr>
        <a:xfrm>
          <a:off x="36787931" y="9003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453</xdr:row>
      <xdr:rowOff>0</xdr:rowOff>
    </xdr:from>
    <xdr:ext cx="65" cy="172227"/>
    <xdr:sp macro="" textlink="">
      <xdr:nvSpPr>
        <xdr:cNvPr id="84" name="TextBox 83">
          <a:extLst>
            <a:ext uri="{FF2B5EF4-FFF2-40B4-BE49-F238E27FC236}">
              <a16:creationId xmlns:a16="http://schemas.microsoft.com/office/drawing/2014/main" id="{C98CAA05-1DBF-4691-93F9-3AB08514FFE1}"/>
            </a:ext>
          </a:extLst>
        </xdr:cNvPr>
        <xdr:cNvSpPr txBox="1"/>
      </xdr:nvSpPr>
      <xdr:spPr>
        <a:xfrm>
          <a:off x="36787931" y="9003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85" name="TextBox 84">
          <a:extLst>
            <a:ext uri="{FF2B5EF4-FFF2-40B4-BE49-F238E27FC236}">
              <a16:creationId xmlns:a16="http://schemas.microsoft.com/office/drawing/2014/main" id="{6A85CCD3-9CE8-4F1D-A6E1-71E1121F1F1B}"/>
            </a:ext>
          </a:extLst>
        </xdr:cNvPr>
        <xdr:cNvSpPr txBox="1"/>
      </xdr:nvSpPr>
      <xdr:spPr>
        <a:xfrm>
          <a:off x="36787931" y="114166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86" name="TextBox 85">
          <a:extLst>
            <a:ext uri="{FF2B5EF4-FFF2-40B4-BE49-F238E27FC236}">
              <a16:creationId xmlns:a16="http://schemas.microsoft.com/office/drawing/2014/main" id="{C98CAA05-1DBF-4691-93F9-3AB08514FFE1}"/>
            </a:ext>
          </a:extLst>
        </xdr:cNvPr>
        <xdr:cNvSpPr txBox="1"/>
      </xdr:nvSpPr>
      <xdr:spPr>
        <a:xfrm>
          <a:off x="36787931" y="114166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527</xdr:row>
      <xdr:rowOff>0</xdr:rowOff>
    </xdr:from>
    <xdr:ext cx="65" cy="172227"/>
    <xdr:sp macro="" textlink="">
      <xdr:nvSpPr>
        <xdr:cNvPr id="87" name="TextBox 86">
          <a:extLst>
            <a:ext uri="{FF2B5EF4-FFF2-40B4-BE49-F238E27FC236}">
              <a16:creationId xmlns:a16="http://schemas.microsoft.com/office/drawing/2014/main" id="{6A85CCD3-9CE8-4F1D-A6E1-71E1121F1F1B}"/>
            </a:ext>
          </a:extLst>
        </xdr:cNvPr>
        <xdr:cNvSpPr txBox="1"/>
      </xdr:nvSpPr>
      <xdr:spPr>
        <a:xfrm>
          <a:off x="36787931" y="121262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527</xdr:row>
      <xdr:rowOff>0</xdr:rowOff>
    </xdr:from>
    <xdr:ext cx="65" cy="172227"/>
    <xdr:sp macro="" textlink="">
      <xdr:nvSpPr>
        <xdr:cNvPr id="88" name="TextBox 87">
          <a:extLst>
            <a:ext uri="{FF2B5EF4-FFF2-40B4-BE49-F238E27FC236}">
              <a16:creationId xmlns:a16="http://schemas.microsoft.com/office/drawing/2014/main" id="{C98CAA05-1DBF-4691-93F9-3AB08514FFE1}"/>
            </a:ext>
          </a:extLst>
        </xdr:cNvPr>
        <xdr:cNvSpPr txBox="1"/>
      </xdr:nvSpPr>
      <xdr:spPr>
        <a:xfrm>
          <a:off x="36787931" y="121262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89" name="TextBox 88">
          <a:extLst>
            <a:ext uri="{FF2B5EF4-FFF2-40B4-BE49-F238E27FC236}">
              <a16:creationId xmlns:a16="http://schemas.microsoft.com/office/drawing/2014/main" id="{6A85CCD3-9CE8-4F1D-A6E1-71E1121F1F1B}"/>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90" name="TextBox 89">
          <a:extLst>
            <a:ext uri="{FF2B5EF4-FFF2-40B4-BE49-F238E27FC236}">
              <a16:creationId xmlns:a16="http://schemas.microsoft.com/office/drawing/2014/main" id="{C98CAA05-1DBF-4691-93F9-3AB08514FFE1}"/>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839</xdr:row>
      <xdr:rowOff>0</xdr:rowOff>
    </xdr:from>
    <xdr:ext cx="65" cy="172227"/>
    <xdr:sp macro="" textlink="">
      <xdr:nvSpPr>
        <xdr:cNvPr id="91" name="TextBox 90">
          <a:extLst>
            <a:ext uri="{FF2B5EF4-FFF2-40B4-BE49-F238E27FC236}">
              <a16:creationId xmlns:a16="http://schemas.microsoft.com/office/drawing/2014/main" id="{6A85CCD3-9CE8-4F1D-A6E1-71E1121F1F1B}"/>
            </a:ext>
          </a:extLst>
        </xdr:cNvPr>
        <xdr:cNvSpPr txBox="1"/>
      </xdr:nvSpPr>
      <xdr:spPr>
        <a:xfrm>
          <a:off x="36787931" y="2007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839</xdr:row>
      <xdr:rowOff>0</xdr:rowOff>
    </xdr:from>
    <xdr:ext cx="65" cy="172227"/>
    <xdr:sp macro="" textlink="">
      <xdr:nvSpPr>
        <xdr:cNvPr id="92" name="TextBox 91">
          <a:extLst>
            <a:ext uri="{FF2B5EF4-FFF2-40B4-BE49-F238E27FC236}">
              <a16:creationId xmlns:a16="http://schemas.microsoft.com/office/drawing/2014/main" id="{C98CAA05-1DBF-4691-93F9-3AB08514FFE1}"/>
            </a:ext>
          </a:extLst>
        </xdr:cNvPr>
        <xdr:cNvSpPr txBox="1"/>
      </xdr:nvSpPr>
      <xdr:spPr>
        <a:xfrm>
          <a:off x="36787931" y="2007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874</xdr:row>
      <xdr:rowOff>0</xdr:rowOff>
    </xdr:from>
    <xdr:ext cx="65" cy="172227"/>
    <xdr:sp macro="" textlink="">
      <xdr:nvSpPr>
        <xdr:cNvPr id="93" name="TextBox 92">
          <a:extLst>
            <a:ext uri="{FF2B5EF4-FFF2-40B4-BE49-F238E27FC236}">
              <a16:creationId xmlns:a16="http://schemas.microsoft.com/office/drawing/2014/main" id="{6A85CCD3-9CE8-4F1D-A6E1-71E1121F1F1B}"/>
            </a:ext>
          </a:extLst>
        </xdr:cNvPr>
        <xdr:cNvSpPr txBox="1"/>
      </xdr:nvSpPr>
      <xdr:spPr>
        <a:xfrm>
          <a:off x="36787931" y="21103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874</xdr:row>
      <xdr:rowOff>0</xdr:rowOff>
    </xdr:from>
    <xdr:ext cx="65" cy="172227"/>
    <xdr:sp macro="" textlink="">
      <xdr:nvSpPr>
        <xdr:cNvPr id="94" name="TextBox 93">
          <a:extLst>
            <a:ext uri="{FF2B5EF4-FFF2-40B4-BE49-F238E27FC236}">
              <a16:creationId xmlns:a16="http://schemas.microsoft.com/office/drawing/2014/main" id="{C98CAA05-1DBF-4691-93F9-3AB08514FFE1}"/>
            </a:ext>
          </a:extLst>
        </xdr:cNvPr>
        <xdr:cNvSpPr txBox="1"/>
      </xdr:nvSpPr>
      <xdr:spPr>
        <a:xfrm>
          <a:off x="36787931" y="21103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900</xdr:row>
      <xdr:rowOff>0</xdr:rowOff>
    </xdr:from>
    <xdr:ext cx="65" cy="172227"/>
    <xdr:sp macro="" textlink="">
      <xdr:nvSpPr>
        <xdr:cNvPr id="95" name="TextBox 94">
          <a:extLst>
            <a:ext uri="{FF2B5EF4-FFF2-40B4-BE49-F238E27FC236}">
              <a16:creationId xmlns:a16="http://schemas.microsoft.com/office/drawing/2014/main" id="{6A85CCD3-9CE8-4F1D-A6E1-71E1121F1F1B}"/>
            </a:ext>
          </a:extLst>
        </xdr:cNvPr>
        <xdr:cNvSpPr txBox="1"/>
      </xdr:nvSpPr>
      <xdr:spPr>
        <a:xfrm>
          <a:off x="36787931" y="221313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900</xdr:row>
      <xdr:rowOff>0</xdr:rowOff>
    </xdr:from>
    <xdr:ext cx="65" cy="172227"/>
    <xdr:sp macro="" textlink="">
      <xdr:nvSpPr>
        <xdr:cNvPr id="96" name="TextBox 95">
          <a:extLst>
            <a:ext uri="{FF2B5EF4-FFF2-40B4-BE49-F238E27FC236}">
              <a16:creationId xmlns:a16="http://schemas.microsoft.com/office/drawing/2014/main" id="{C98CAA05-1DBF-4691-93F9-3AB08514FFE1}"/>
            </a:ext>
          </a:extLst>
        </xdr:cNvPr>
        <xdr:cNvSpPr txBox="1"/>
      </xdr:nvSpPr>
      <xdr:spPr>
        <a:xfrm>
          <a:off x="36787931" y="221313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931</xdr:row>
      <xdr:rowOff>0</xdr:rowOff>
    </xdr:from>
    <xdr:ext cx="65" cy="172227"/>
    <xdr:sp macro="" textlink="">
      <xdr:nvSpPr>
        <xdr:cNvPr id="97" name="TextBox 96">
          <a:extLst>
            <a:ext uri="{FF2B5EF4-FFF2-40B4-BE49-F238E27FC236}">
              <a16:creationId xmlns:a16="http://schemas.microsoft.com/office/drawing/2014/main" id="{6A85CCD3-9CE8-4F1D-A6E1-71E1121F1F1B}"/>
            </a:ext>
          </a:extLst>
        </xdr:cNvPr>
        <xdr:cNvSpPr txBox="1"/>
      </xdr:nvSpPr>
      <xdr:spPr>
        <a:xfrm>
          <a:off x="36787931" y="231695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931</xdr:row>
      <xdr:rowOff>0</xdr:rowOff>
    </xdr:from>
    <xdr:ext cx="65" cy="172227"/>
    <xdr:sp macro="" textlink="">
      <xdr:nvSpPr>
        <xdr:cNvPr id="98" name="TextBox 97">
          <a:extLst>
            <a:ext uri="{FF2B5EF4-FFF2-40B4-BE49-F238E27FC236}">
              <a16:creationId xmlns:a16="http://schemas.microsoft.com/office/drawing/2014/main" id="{C98CAA05-1DBF-4691-93F9-3AB08514FFE1}"/>
            </a:ext>
          </a:extLst>
        </xdr:cNvPr>
        <xdr:cNvSpPr txBox="1"/>
      </xdr:nvSpPr>
      <xdr:spPr>
        <a:xfrm>
          <a:off x="36787931" y="231695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1077</xdr:row>
      <xdr:rowOff>0</xdr:rowOff>
    </xdr:from>
    <xdr:ext cx="65" cy="172227"/>
    <xdr:sp macro="" textlink="">
      <xdr:nvSpPr>
        <xdr:cNvPr id="99" name="TextBox 98">
          <a:extLst>
            <a:ext uri="{FF2B5EF4-FFF2-40B4-BE49-F238E27FC236}">
              <a16:creationId xmlns:a16="http://schemas.microsoft.com/office/drawing/2014/main" id="{6A85CCD3-9CE8-4F1D-A6E1-71E1121F1F1B}"/>
            </a:ext>
          </a:extLst>
        </xdr:cNvPr>
        <xdr:cNvSpPr txBox="1"/>
      </xdr:nvSpPr>
      <xdr:spPr>
        <a:xfrm>
          <a:off x="36787931" y="267576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1077</xdr:row>
      <xdr:rowOff>0</xdr:rowOff>
    </xdr:from>
    <xdr:ext cx="65" cy="172227"/>
    <xdr:sp macro="" textlink="">
      <xdr:nvSpPr>
        <xdr:cNvPr id="100" name="TextBox 99">
          <a:extLst>
            <a:ext uri="{FF2B5EF4-FFF2-40B4-BE49-F238E27FC236}">
              <a16:creationId xmlns:a16="http://schemas.microsoft.com/office/drawing/2014/main" id="{C98CAA05-1DBF-4691-93F9-3AB08514FFE1}"/>
            </a:ext>
          </a:extLst>
        </xdr:cNvPr>
        <xdr:cNvSpPr txBox="1"/>
      </xdr:nvSpPr>
      <xdr:spPr>
        <a:xfrm>
          <a:off x="36787931" y="267576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1105</xdr:row>
      <xdr:rowOff>0</xdr:rowOff>
    </xdr:from>
    <xdr:ext cx="65" cy="172227"/>
    <xdr:sp macro="" textlink="">
      <xdr:nvSpPr>
        <xdr:cNvPr id="101" name="TextBox 100">
          <a:extLst>
            <a:ext uri="{FF2B5EF4-FFF2-40B4-BE49-F238E27FC236}">
              <a16:creationId xmlns:a16="http://schemas.microsoft.com/office/drawing/2014/main" id="{6A85CCD3-9CE8-4F1D-A6E1-71E1121F1F1B}"/>
            </a:ext>
          </a:extLst>
        </xdr:cNvPr>
        <xdr:cNvSpPr txBox="1"/>
      </xdr:nvSpPr>
      <xdr:spPr>
        <a:xfrm>
          <a:off x="36787931" y="27329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1105</xdr:row>
      <xdr:rowOff>0</xdr:rowOff>
    </xdr:from>
    <xdr:ext cx="65" cy="172227"/>
    <xdr:sp macro="" textlink="">
      <xdr:nvSpPr>
        <xdr:cNvPr id="102" name="TextBox 101">
          <a:extLst>
            <a:ext uri="{FF2B5EF4-FFF2-40B4-BE49-F238E27FC236}">
              <a16:creationId xmlns:a16="http://schemas.microsoft.com/office/drawing/2014/main" id="{C98CAA05-1DBF-4691-93F9-3AB08514FFE1}"/>
            </a:ext>
          </a:extLst>
        </xdr:cNvPr>
        <xdr:cNvSpPr txBox="1"/>
      </xdr:nvSpPr>
      <xdr:spPr>
        <a:xfrm>
          <a:off x="36787931" y="27329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xdr:row>
      <xdr:rowOff>0</xdr:rowOff>
    </xdr:from>
    <xdr:ext cx="65" cy="172227"/>
    <xdr:sp macro="" textlink="">
      <xdr:nvSpPr>
        <xdr:cNvPr id="103" name="TextBox 102">
          <a:extLst>
            <a:ext uri="{FF2B5EF4-FFF2-40B4-BE49-F238E27FC236}">
              <a16:creationId xmlns:a16="http://schemas.microsoft.com/office/drawing/2014/main" id="{6A85CCD3-9CE8-4F1D-A6E1-71E1121F1F1B}"/>
            </a:ext>
          </a:extLst>
        </xdr:cNvPr>
        <xdr:cNvSpPr txBox="1"/>
      </xdr:nvSpPr>
      <xdr:spPr>
        <a:xfrm>
          <a:off x="36787931" y="9277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xdr:row>
      <xdr:rowOff>0</xdr:rowOff>
    </xdr:from>
    <xdr:ext cx="65" cy="172227"/>
    <xdr:sp macro="" textlink="">
      <xdr:nvSpPr>
        <xdr:cNvPr id="104" name="TextBox 103">
          <a:extLst>
            <a:ext uri="{FF2B5EF4-FFF2-40B4-BE49-F238E27FC236}">
              <a16:creationId xmlns:a16="http://schemas.microsoft.com/office/drawing/2014/main" id="{C98CAA05-1DBF-4691-93F9-3AB08514FFE1}"/>
            </a:ext>
          </a:extLst>
        </xdr:cNvPr>
        <xdr:cNvSpPr txBox="1"/>
      </xdr:nvSpPr>
      <xdr:spPr>
        <a:xfrm>
          <a:off x="36787931" y="9277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82</xdr:row>
      <xdr:rowOff>0</xdr:rowOff>
    </xdr:from>
    <xdr:ext cx="65" cy="172227"/>
    <xdr:sp macro="" textlink="">
      <xdr:nvSpPr>
        <xdr:cNvPr id="105" name="TextBox 104">
          <a:extLst>
            <a:ext uri="{FF2B5EF4-FFF2-40B4-BE49-F238E27FC236}">
              <a16:creationId xmlns:a16="http://schemas.microsoft.com/office/drawing/2014/main" id="{6A85CCD3-9CE8-4F1D-A6E1-71E1121F1F1B}"/>
            </a:ext>
          </a:extLst>
        </xdr:cNvPr>
        <xdr:cNvSpPr txBox="1"/>
      </xdr:nvSpPr>
      <xdr:spPr>
        <a:xfrm>
          <a:off x="36787931" y="17402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82</xdr:row>
      <xdr:rowOff>0</xdr:rowOff>
    </xdr:from>
    <xdr:ext cx="65" cy="172227"/>
    <xdr:sp macro="" textlink="">
      <xdr:nvSpPr>
        <xdr:cNvPr id="106" name="TextBox 105">
          <a:extLst>
            <a:ext uri="{FF2B5EF4-FFF2-40B4-BE49-F238E27FC236}">
              <a16:creationId xmlns:a16="http://schemas.microsoft.com/office/drawing/2014/main" id="{C98CAA05-1DBF-4691-93F9-3AB08514FFE1}"/>
            </a:ext>
          </a:extLst>
        </xdr:cNvPr>
        <xdr:cNvSpPr txBox="1"/>
      </xdr:nvSpPr>
      <xdr:spPr>
        <a:xfrm>
          <a:off x="36787931" y="17402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82</xdr:row>
      <xdr:rowOff>0</xdr:rowOff>
    </xdr:from>
    <xdr:ext cx="65" cy="172227"/>
    <xdr:sp macro="" textlink="">
      <xdr:nvSpPr>
        <xdr:cNvPr id="107" name="TextBox 106">
          <a:extLst>
            <a:ext uri="{FF2B5EF4-FFF2-40B4-BE49-F238E27FC236}">
              <a16:creationId xmlns:a16="http://schemas.microsoft.com/office/drawing/2014/main" id="{6A85CCD3-9CE8-4F1D-A6E1-71E1121F1F1B}"/>
            </a:ext>
          </a:extLst>
        </xdr:cNvPr>
        <xdr:cNvSpPr txBox="1"/>
      </xdr:nvSpPr>
      <xdr:spPr>
        <a:xfrm>
          <a:off x="36787931" y="17402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82</xdr:row>
      <xdr:rowOff>0</xdr:rowOff>
    </xdr:from>
    <xdr:ext cx="65" cy="172227"/>
    <xdr:sp macro="" textlink="">
      <xdr:nvSpPr>
        <xdr:cNvPr id="108" name="TextBox 107">
          <a:extLst>
            <a:ext uri="{FF2B5EF4-FFF2-40B4-BE49-F238E27FC236}">
              <a16:creationId xmlns:a16="http://schemas.microsoft.com/office/drawing/2014/main" id="{C98CAA05-1DBF-4691-93F9-3AB08514FFE1}"/>
            </a:ext>
          </a:extLst>
        </xdr:cNvPr>
        <xdr:cNvSpPr txBox="1"/>
      </xdr:nvSpPr>
      <xdr:spPr>
        <a:xfrm>
          <a:off x="36787931" y="17402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403</xdr:row>
      <xdr:rowOff>0</xdr:rowOff>
    </xdr:from>
    <xdr:ext cx="65" cy="172227"/>
    <xdr:sp macro="" textlink="">
      <xdr:nvSpPr>
        <xdr:cNvPr id="109" name="TextBox 108">
          <a:extLst>
            <a:ext uri="{FF2B5EF4-FFF2-40B4-BE49-F238E27FC236}">
              <a16:creationId xmlns:a16="http://schemas.microsoft.com/office/drawing/2014/main" id="{6A85CCD3-9CE8-4F1D-A6E1-71E1121F1F1B}"/>
            </a:ext>
          </a:extLst>
        </xdr:cNvPr>
        <xdr:cNvSpPr txBox="1"/>
      </xdr:nvSpPr>
      <xdr:spPr>
        <a:xfrm>
          <a:off x="36787931" y="7943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403</xdr:row>
      <xdr:rowOff>0</xdr:rowOff>
    </xdr:from>
    <xdr:ext cx="65" cy="172227"/>
    <xdr:sp macro="" textlink="">
      <xdr:nvSpPr>
        <xdr:cNvPr id="110" name="TextBox 109">
          <a:extLst>
            <a:ext uri="{FF2B5EF4-FFF2-40B4-BE49-F238E27FC236}">
              <a16:creationId xmlns:a16="http://schemas.microsoft.com/office/drawing/2014/main" id="{C98CAA05-1DBF-4691-93F9-3AB08514FFE1}"/>
            </a:ext>
          </a:extLst>
        </xdr:cNvPr>
        <xdr:cNvSpPr txBox="1"/>
      </xdr:nvSpPr>
      <xdr:spPr>
        <a:xfrm>
          <a:off x="36787931" y="7943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403</xdr:row>
      <xdr:rowOff>0</xdr:rowOff>
    </xdr:from>
    <xdr:ext cx="65" cy="172227"/>
    <xdr:sp macro="" textlink="">
      <xdr:nvSpPr>
        <xdr:cNvPr id="111" name="TextBox 110">
          <a:extLst>
            <a:ext uri="{FF2B5EF4-FFF2-40B4-BE49-F238E27FC236}">
              <a16:creationId xmlns:a16="http://schemas.microsoft.com/office/drawing/2014/main" id="{6A85CCD3-9CE8-4F1D-A6E1-71E1121F1F1B}"/>
            </a:ext>
          </a:extLst>
        </xdr:cNvPr>
        <xdr:cNvSpPr txBox="1"/>
      </xdr:nvSpPr>
      <xdr:spPr>
        <a:xfrm>
          <a:off x="36787931" y="7943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403</xdr:row>
      <xdr:rowOff>0</xdr:rowOff>
    </xdr:from>
    <xdr:ext cx="65" cy="172227"/>
    <xdr:sp macro="" textlink="">
      <xdr:nvSpPr>
        <xdr:cNvPr id="112" name="TextBox 111">
          <a:extLst>
            <a:ext uri="{FF2B5EF4-FFF2-40B4-BE49-F238E27FC236}">
              <a16:creationId xmlns:a16="http://schemas.microsoft.com/office/drawing/2014/main" id="{C98CAA05-1DBF-4691-93F9-3AB08514FFE1}"/>
            </a:ext>
          </a:extLst>
        </xdr:cNvPr>
        <xdr:cNvSpPr txBox="1"/>
      </xdr:nvSpPr>
      <xdr:spPr>
        <a:xfrm>
          <a:off x="36787931" y="7943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403</xdr:row>
      <xdr:rowOff>0</xdr:rowOff>
    </xdr:from>
    <xdr:ext cx="65" cy="172227"/>
    <xdr:sp macro="" textlink="">
      <xdr:nvSpPr>
        <xdr:cNvPr id="113" name="TextBox 112">
          <a:extLst>
            <a:ext uri="{FF2B5EF4-FFF2-40B4-BE49-F238E27FC236}">
              <a16:creationId xmlns:a16="http://schemas.microsoft.com/office/drawing/2014/main" id="{6A85CCD3-9CE8-4F1D-A6E1-71E1121F1F1B}"/>
            </a:ext>
          </a:extLst>
        </xdr:cNvPr>
        <xdr:cNvSpPr txBox="1"/>
      </xdr:nvSpPr>
      <xdr:spPr>
        <a:xfrm>
          <a:off x="36787931" y="7943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403</xdr:row>
      <xdr:rowOff>0</xdr:rowOff>
    </xdr:from>
    <xdr:ext cx="65" cy="172227"/>
    <xdr:sp macro="" textlink="">
      <xdr:nvSpPr>
        <xdr:cNvPr id="114" name="TextBox 113">
          <a:extLst>
            <a:ext uri="{FF2B5EF4-FFF2-40B4-BE49-F238E27FC236}">
              <a16:creationId xmlns:a16="http://schemas.microsoft.com/office/drawing/2014/main" id="{C98CAA05-1DBF-4691-93F9-3AB08514FFE1}"/>
            </a:ext>
          </a:extLst>
        </xdr:cNvPr>
        <xdr:cNvSpPr txBox="1"/>
      </xdr:nvSpPr>
      <xdr:spPr>
        <a:xfrm>
          <a:off x="36787931" y="7943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453</xdr:row>
      <xdr:rowOff>0</xdr:rowOff>
    </xdr:from>
    <xdr:ext cx="65" cy="172227"/>
    <xdr:sp macro="" textlink="">
      <xdr:nvSpPr>
        <xdr:cNvPr id="115" name="TextBox 114">
          <a:extLst>
            <a:ext uri="{FF2B5EF4-FFF2-40B4-BE49-F238E27FC236}">
              <a16:creationId xmlns:a16="http://schemas.microsoft.com/office/drawing/2014/main" id="{6A85CCD3-9CE8-4F1D-A6E1-71E1121F1F1B}"/>
            </a:ext>
          </a:extLst>
        </xdr:cNvPr>
        <xdr:cNvSpPr txBox="1"/>
      </xdr:nvSpPr>
      <xdr:spPr>
        <a:xfrm>
          <a:off x="36787931" y="9003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453</xdr:row>
      <xdr:rowOff>0</xdr:rowOff>
    </xdr:from>
    <xdr:ext cx="65" cy="172227"/>
    <xdr:sp macro="" textlink="">
      <xdr:nvSpPr>
        <xdr:cNvPr id="116" name="TextBox 115">
          <a:extLst>
            <a:ext uri="{FF2B5EF4-FFF2-40B4-BE49-F238E27FC236}">
              <a16:creationId xmlns:a16="http://schemas.microsoft.com/office/drawing/2014/main" id="{C98CAA05-1DBF-4691-93F9-3AB08514FFE1}"/>
            </a:ext>
          </a:extLst>
        </xdr:cNvPr>
        <xdr:cNvSpPr txBox="1"/>
      </xdr:nvSpPr>
      <xdr:spPr>
        <a:xfrm>
          <a:off x="36787931" y="9003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117" name="TextBox 116">
          <a:extLst>
            <a:ext uri="{FF2B5EF4-FFF2-40B4-BE49-F238E27FC236}">
              <a16:creationId xmlns:a16="http://schemas.microsoft.com/office/drawing/2014/main" id="{6A85CCD3-9CE8-4F1D-A6E1-71E1121F1F1B}"/>
            </a:ext>
          </a:extLst>
        </xdr:cNvPr>
        <xdr:cNvSpPr txBox="1"/>
      </xdr:nvSpPr>
      <xdr:spPr>
        <a:xfrm>
          <a:off x="36787931" y="114166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118" name="TextBox 117">
          <a:extLst>
            <a:ext uri="{FF2B5EF4-FFF2-40B4-BE49-F238E27FC236}">
              <a16:creationId xmlns:a16="http://schemas.microsoft.com/office/drawing/2014/main" id="{C98CAA05-1DBF-4691-93F9-3AB08514FFE1}"/>
            </a:ext>
          </a:extLst>
        </xdr:cNvPr>
        <xdr:cNvSpPr txBox="1"/>
      </xdr:nvSpPr>
      <xdr:spPr>
        <a:xfrm>
          <a:off x="36787931" y="114166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119" name="TextBox 118">
          <a:extLst>
            <a:ext uri="{FF2B5EF4-FFF2-40B4-BE49-F238E27FC236}">
              <a16:creationId xmlns:a16="http://schemas.microsoft.com/office/drawing/2014/main" id="{6A85CCD3-9CE8-4F1D-A6E1-71E1121F1F1B}"/>
            </a:ext>
          </a:extLst>
        </xdr:cNvPr>
        <xdr:cNvSpPr txBox="1"/>
      </xdr:nvSpPr>
      <xdr:spPr>
        <a:xfrm>
          <a:off x="36787931" y="114166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120" name="TextBox 119">
          <a:extLst>
            <a:ext uri="{FF2B5EF4-FFF2-40B4-BE49-F238E27FC236}">
              <a16:creationId xmlns:a16="http://schemas.microsoft.com/office/drawing/2014/main" id="{C98CAA05-1DBF-4691-93F9-3AB08514FFE1}"/>
            </a:ext>
          </a:extLst>
        </xdr:cNvPr>
        <xdr:cNvSpPr txBox="1"/>
      </xdr:nvSpPr>
      <xdr:spPr>
        <a:xfrm>
          <a:off x="36787931" y="114166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527</xdr:row>
      <xdr:rowOff>0</xdr:rowOff>
    </xdr:from>
    <xdr:ext cx="65" cy="172227"/>
    <xdr:sp macro="" textlink="">
      <xdr:nvSpPr>
        <xdr:cNvPr id="121" name="TextBox 120">
          <a:extLst>
            <a:ext uri="{FF2B5EF4-FFF2-40B4-BE49-F238E27FC236}">
              <a16:creationId xmlns:a16="http://schemas.microsoft.com/office/drawing/2014/main" id="{6A85CCD3-9CE8-4F1D-A6E1-71E1121F1F1B}"/>
            </a:ext>
          </a:extLst>
        </xdr:cNvPr>
        <xdr:cNvSpPr txBox="1"/>
      </xdr:nvSpPr>
      <xdr:spPr>
        <a:xfrm>
          <a:off x="36787931" y="121262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527</xdr:row>
      <xdr:rowOff>0</xdr:rowOff>
    </xdr:from>
    <xdr:ext cx="65" cy="172227"/>
    <xdr:sp macro="" textlink="">
      <xdr:nvSpPr>
        <xdr:cNvPr id="122" name="TextBox 121">
          <a:extLst>
            <a:ext uri="{FF2B5EF4-FFF2-40B4-BE49-F238E27FC236}">
              <a16:creationId xmlns:a16="http://schemas.microsoft.com/office/drawing/2014/main" id="{C98CAA05-1DBF-4691-93F9-3AB08514FFE1}"/>
            </a:ext>
          </a:extLst>
        </xdr:cNvPr>
        <xdr:cNvSpPr txBox="1"/>
      </xdr:nvSpPr>
      <xdr:spPr>
        <a:xfrm>
          <a:off x="36787931" y="121262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527</xdr:row>
      <xdr:rowOff>0</xdr:rowOff>
    </xdr:from>
    <xdr:ext cx="65" cy="172227"/>
    <xdr:sp macro="" textlink="">
      <xdr:nvSpPr>
        <xdr:cNvPr id="123" name="TextBox 122">
          <a:extLst>
            <a:ext uri="{FF2B5EF4-FFF2-40B4-BE49-F238E27FC236}">
              <a16:creationId xmlns:a16="http://schemas.microsoft.com/office/drawing/2014/main" id="{6A85CCD3-9CE8-4F1D-A6E1-71E1121F1F1B}"/>
            </a:ext>
          </a:extLst>
        </xdr:cNvPr>
        <xdr:cNvSpPr txBox="1"/>
      </xdr:nvSpPr>
      <xdr:spPr>
        <a:xfrm>
          <a:off x="36787931" y="121262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527</xdr:row>
      <xdr:rowOff>0</xdr:rowOff>
    </xdr:from>
    <xdr:ext cx="65" cy="172227"/>
    <xdr:sp macro="" textlink="">
      <xdr:nvSpPr>
        <xdr:cNvPr id="124" name="TextBox 123">
          <a:extLst>
            <a:ext uri="{FF2B5EF4-FFF2-40B4-BE49-F238E27FC236}">
              <a16:creationId xmlns:a16="http://schemas.microsoft.com/office/drawing/2014/main" id="{C98CAA05-1DBF-4691-93F9-3AB08514FFE1}"/>
            </a:ext>
          </a:extLst>
        </xdr:cNvPr>
        <xdr:cNvSpPr txBox="1"/>
      </xdr:nvSpPr>
      <xdr:spPr>
        <a:xfrm>
          <a:off x="36787931" y="121262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527</xdr:row>
      <xdr:rowOff>0</xdr:rowOff>
    </xdr:from>
    <xdr:ext cx="65" cy="172227"/>
    <xdr:sp macro="" textlink="">
      <xdr:nvSpPr>
        <xdr:cNvPr id="125" name="TextBox 124">
          <a:extLst>
            <a:ext uri="{FF2B5EF4-FFF2-40B4-BE49-F238E27FC236}">
              <a16:creationId xmlns:a16="http://schemas.microsoft.com/office/drawing/2014/main" id="{6A85CCD3-9CE8-4F1D-A6E1-71E1121F1F1B}"/>
            </a:ext>
          </a:extLst>
        </xdr:cNvPr>
        <xdr:cNvSpPr txBox="1"/>
      </xdr:nvSpPr>
      <xdr:spPr>
        <a:xfrm>
          <a:off x="36787931" y="121262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527</xdr:row>
      <xdr:rowOff>0</xdr:rowOff>
    </xdr:from>
    <xdr:ext cx="65" cy="172227"/>
    <xdr:sp macro="" textlink="">
      <xdr:nvSpPr>
        <xdr:cNvPr id="126" name="TextBox 125">
          <a:extLst>
            <a:ext uri="{FF2B5EF4-FFF2-40B4-BE49-F238E27FC236}">
              <a16:creationId xmlns:a16="http://schemas.microsoft.com/office/drawing/2014/main" id="{C98CAA05-1DBF-4691-93F9-3AB08514FFE1}"/>
            </a:ext>
          </a:extLst>
        </xdr:cNvPr>
        <xdr:cNvSpPr txBox="1"/>
      </xdr:nvSpPr>
      <xdr:spPr>
        <a:xfrm>
          <a:off x="36787931" y="121262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127" name="TextBox 126">
          <a:extLst>
            <a:ext uri="{FF2B5EF4-FFF2-40B4-BE49-F238E27FC236}">
              <a16:creationId xmlns:a16="http://schemas.microsoft.com/office/drawing/2014/main" id="{6A85CCD3-9CE8-4F1D-A6E1-71E1121F1F1B}"/>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128" name="TextBox 127">
          <a:extLst>
            <a:ext uri="{FF2B5EF4-FFF2-40B4-BE49-F238E27FC236}">
              <a16:creationId xmlns:a16="http://schemas.microsoft.com/office/drawing/2014/main" id="{C98CAA05-1DBF-4691-93F9-3AB08514FFE1}"/>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129" name="TextBox 128">
          <a:extLst>
            <a:ext uri="{FF2B5EF4-FFF2-40B4-BE49-F238E27FC236}">
              <a16:creationId xmlns:a16="http://schemas.microsoft.com/office/drawing/2014/main" id="{6A85CCD3-9CE8-4F1D-A6E1-71E1121F1F1B}"/>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130" name="TextBox 129">
          <a:extLst>
            <a:ext uri="{FF2B5EF4-FFF2-40B4-BE49-F238E27FC236}">
              <a16:creationId xmlns:a16="http://schemas.microsoft.com/office/drawing/2014/main" id="{C98CAA05-1DBF-4691-93F9-3AB08514FFE1}"/>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131" name="TextBox 130">
          <a:extLst>
            <a:ext uri="{FF2B5EF4-FFF2-40B4-BE49-F238E27FC236}">
              <a16:creationId xmlns:a16="http://schemas.microsoft.com/office/drawing/2014/main" id="{6A85CCD3-9CE8-4F1D-A6E1-71E1121F1F1B}"/>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132" name="TextBox 131">
          <a:extLst>
            <a:ext uri="{FF2B5EF4-FFF2-40B4-BE49-F238E27FC236}">
              <a16:creationId xmlns:a16="http://schemas.microsoft.com/office/drawing/2014/main" id="{C98CAA05-1DBF-4691-93F9-3AB08514FFE1}"/>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133" name="TextBox 132">
          <a:extLst>
            <a:ext uri="{FF2B5EF4-FFF2-40B4-BE49-F238E27FC236}">
              <a16:creationId xmlns:a16="http://schemas.microsoft.com/office/drawing/2014/main" id="{6A85CCD3-9CE8-4F1D-A6E1-71E1121F1F1B}"/>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134" name="TextBox 133">
          <a:extLst>
            <a:ext uri="{FF2B5EF4-FFF2-40B4-BE49-F238E27FC236}">
              <a16:creationId xmlns:a16="http://schemas.microsoft.com/office/drawing/2014/main" id="{C98CAA05-1DBF-4691-93F9-3AB08514FFE1}"/>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839</xdr:row>
      <xdr:rowOff>0</xdr:rowOff>
    </xdr:from>
    <xdr:ext cx="65" cy="172227"/>
    <xdr:sp macro="" textlink="">
      <xdr:nvSpPr>
        <xdr:cNvPr id="135" name="TextBox 134">
          <a:extLst>
            <a:ext uri="{FF2B5EF4-FFF2-40B4-BE49-F238E27FC236}">
              <a16:creationId xmlns:a16="http://schemas.microsoft.com/office/drawing/2014/main" id="{6A85CCD3-9CE8-4F1D-A6E1-71E1121F1F1B}"/>
            </a:ext>
          </a:extLst>
        </xdr:cNvPr>
        <xdr:cNvSpPr txBox="1"/>
      </xdr:nvSpPr>
      <xdr:spPr>
        <a:xfrm>
          <a:off x="36787931" y="2007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839</xdr:row>
      <xdr:rowOff>0</xdr:rowOff>
    </xdr:from>
    <xdr:ext cx="65" cy="172227"/>
    <xdr:sp macro="" textlink="">
      <xdr:nvSpPr>
        <xdr:cNvPr id="136" name="TextBox 135">
          <a:extLst>
            <a:ext uri="{FF2B5EF4-FFF2-40B4-BE49-F238E27FC236}">
              <a16:creationId xmlns:a16="http://schemas.microsoft.com/office/drawing/2014/main" id="{C98CAA05-1DBF-4691-93F9-3AB08514FFE1}"/>
            </a:ext>
          </a:extLst>
        </xdr:cNvPr>
        <xdr:cNvSpPr txBox="1"/>
      </xdr:nvSpPr>
      <xdr:spPr>
        <a:xfrm>
          <a:off x="36787931" y="2007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874</xdr:row>
      <xdr:rowOff>0</xdr:rowOff>
    </xdr:from>
    <xdr:ext cx="65" cy="172227"/>
    <xdr:sp macro="" textlink="">
      <xdr:nvSpPr>
        <xdr:cNvPr id="137" name="TextBox 136">
          <a:extLst>
            <a:ext uri="{FF2B5EF4-FFF2-40B4-BE49-F238E27FC236}">
              <a16:creationId xmlns:a16="http://schemas.microsoft.com/office/drawing/2014/main" id="{6A85CCD3-9CE8-4F1D-A6E1-71E1121F1F1B}"/>
            </a:ext>
          </a:extLst>
        </xdr:cNvPr>
        <xdr:cNvSpPr txBox="1"/>
      </xdr:nvSpPr>
      <xdr:spPr>
        <a:xfrm>
          <a:off x="36787931" y="21103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874</xdr:row>
      <xdr:rowOff>0</xdr:rowOff>
    </xdr:from>
    <xdr:ext cx="65" cy="172227"/>
    <xdr:sp macro="" textlink="">
      <xdr:nvSpPr>
        <xdr:cNvPr id="138" name="TextBox 137">
          <a:extLst>
            <a:ext uri="{FF2B5EF4-FFF2-40B4-BE49-F238E27FC236}">
              <a16:creationId xmlns:a16="http://schemas.microsoft.com/office/drawing/2014/main" id="{C98CAA05-1DBF-4691-93F9-3AB08514FFE1}"/>
            </a:ext>
          </a:extLst>
        </xdr:cNvPr>
        <xdr:cNvSpPr txBox="1"/>
      </xdr:nvSpPr>
      <xdr:spPr>
        <a:xfrm>
          <a:off x="36787931" y="21103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874</xdr:row>
      <xdr:rowOff>0</xdr:rowOff>
    </xdr:from>
    <xdr:ext cx="65" cy="172227"/>
    <xdr:sp macro="" textlink="">
      <xdr:nvSpPr>
        <xdr:cNvPr id="139" name="TextBox 138">
          <a:extLst>
            <a:ext uri="{FF2B5EF4-FFF2-40B4-BE49-F238E27FC236}">
              <a16:creationId xmlns:a16="http://schemas.microsoft.com/office/drawing/2014/main" id="{6A85CCD3-9CE8-4F1D-A6E1-71E1121F1F1B}"/>
            </a:ext>
          </a:extLst>
        </xdr:cNvPr>
        <xdr:cNvSpPr txBox="1"/>
      </xdr:nvSpPr>
      <xdr:spPr>
        <a:xfrm>
          <a:off x="36787931" y="21103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874</xdr:row>
      <xdr:rowOff>0</xdr:rowOff>
    </xdr:from>
    <xdr:ext cx="65" cy="172227"/>
    <xdr:sp macro="" textlink="">
      <xdr:nvSpPr>
        <xdr:cNvPr id="140" name="TextBox 139">
          <a:extLst>
            <a:ext uri="{FF2B5EF4-FFF2-40B4-BE49-F238E27FC236}">
              <a16:creationId xmlns:a16="http://schemas.microsoft.com/office/drawing/2014/main" id="{C98CAA05-1DBF-4691-93F9-3AB08514FFE1}"/>
            </a:ext>
          </a:extLst>
        </xdr:cNvPr>
        <xdr:cNvSpPr txBox="1"/>
      </xdr:nvSpPr>
      <xdr:spPr>
        <a:xfrm>
          <a:off x="36787931" y="21103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931</xdr:row>
      <xdr:rowOff>0</xdr:rowOff>
    </xdr:from>
    <xdr:ext cx="65" cy="172227"/>
    <xdr:sp macro="" textlink="">
      <xdr:nvSpPr>
        <xdr:cNvPr id="141" name="TextBox 140">
          <a:extLst>
            <a:ext uri="{FF2B5EF4-FFF2-40B4-BE49-F238E27FC236}">
              <a16:creationId xmlns:a16="http://schemas.microsoft.com/office/drawing/2014/main" id="{6A85CCD3-9CE8-4F1D-A6E1-71E1121F1F1B}"/>
            </a:ext>
          </a:extLst>
        </xdr:cNvPr>
        <xdr:cNvSpPr txBox="1"/>
      </xdr:nvSpPr>
      <xdr:spPr>
        <a:xfrm>
          <a:off x="36787931" y="231695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931</xdr:row>
      <xdr:rowOff>0</xdr:rowOff>
    </xdr:from>
    <xdr:ext cx="65" cy="172227"/>
    <xdr:sp macro="" textlink="">
      <xdr:nvSpPr>
        <xdr:cNvPr id="142" name="TextBox 141">
          <a:extLst>
            <a:ext uri="{FF2B5EF4-FFF2-40B4-BE49-F238E27FC236}">
              <a16:creationId xmlns:a16="http://schemas.microsoft.com/office/drawing/2014/main" id="{C98CAA05-1DBF-4691-93F9-3AB08514FFE1}"/>
            </a:ext>
          </a:extLst>
        </xdr:cNvPr>
        <xdr:cNvSpPr txBox="1"/>
      </xdr:nvSpPr>
      <xdr:spPr>
        <a:xfrm>
          <a:off x="36787931" y="231695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1077</xdr:row>
      <xdr:rowOff>0</xdr:rowOff>
    </xdr:from>
    <xdr:ext cx="65" cy="172227"/>
    <xdr:sp macro="" textlink="">
      <xdr:nvSpPr>
        <xdr:cNvPr id="143" name="TextBox 142">
          <a:extLst>
            <a:ext uri="{FF2B5EF4-FFF2-40B4-BE49-F238E27FC236}">
              <a16:creationId xmlns:a16="http://schemas.microsoft.com/office/drawing/2014/main" id="{6A85CCD3-9CE8-4F1D-A6E1-71E1121F1F1B}"/>
            </a:ext>
          </a:extLst>
        </xdr:cNvPr>
        <xdr:cNvSpPr txBox="1"/>
      </xdr:nvSpPr>
      <xdr:spPr>
        <a:xfrm>
          <a:off x="36787931" y="267576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1077</xdr:row>
      <xdr:rowOff>0</xdr:rowOff>
    </xdr:from>
    <xdr:ext cx="65" cy="172227"/>
    <xdr:sp macro="" textlink="">
      <xdr:nvSpPr>
        <xdr:cNvPr id="144" name="TextBox 143">
          <a:extLst>
            <a:ext uri="{FF2B5EF4-FFF2-40B4-BE49-F238E27FC236}">
              <a16:creationId xmlns:a16="http://schemas.microsoft.com/office/drawing/2014/main" id="{C98CAA05-1DBF-4691-93F9-3AB08514FFE1}"/>
            </a:ext>
          </a:extLst>
        </xdr:cNvPr>
        <xdr:cNvSpPr txBox="1"/>
      </xdr:nvSpPr>
      <xdr:spPr>
        <a:xfrm>
          <a:off x="36787931" y="267576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1105</xdr:row>
      <xdr:rowOff>0</xdr:rowOff>
    </xdr:from>
    <xdr:ext cx="65" cy="172227"/>
    <xdr:sp macro="" textlink="">
      <xdr:nvSpPr>
        <xdr:cNvPr id="145" name="TextBox 144">
          <a:extLst>
            <a:ext uri="{FF2B5EF4-FFF2-40B4-BE49-F238E27FC236}">
              <a16:creationId xmlns:a16="http://schemas.microsoft.com/office/drawing/2014/main" id="{6A85CCD3-9CE8-4F1D-A6E1-71E1121F1F1B}"/>
            </a:ext>
          </a:extLst>
        </xdr:cNvPr>
        <xdr:cNvSpPr txBox="1"/>
      </xdr:nvSpPr>
      <xdr:spPr>
        <a:xfrm>
          <a:off x="36787931" y="27329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1105</xdr:row>
      <xdr:rowOff>0</xdr:rowOff>
    </xdr:from>
    <xdr:ext cx="65" cy="172227"/>
    <xdr:sp macro="" textlink="">
      <xdr:nvSpPr>
        <xdr:cNvPr id="146" name="TextBox 145">
          <a:extLst>
            <a:ext uri="{FF2B5EF4-FFF2-40B4-BE49-F238E27FC236}">
              <a16:creationId xmlns:a16="http://schemas.microsoft.com/office/drawing/2014/main" id="{C98CAA05-1DBF-4691-93F9-3AB08514FFE1}"/>
            </a:ext>
          </a:extLst>
        </xdr:cNvPr>
        <xdr:cNvSpPr txBox="1"/>
      </xdr:nvSpPr>
      <xdr:spPr>
        <a:xfrm>
          <a:off x="36787931" y="27329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62753</xdr:colOff>
      <xdr:row>1146</xdr:row>
      <xdr:rowOff>17930</xdr:rowOff>
    </xdr:from>
    <xdr:to>
      <xdr:col>5</xdr:col>
      <xdr:colOff>571334</xdr:colOff>
      <xdr:row>1149</xdr:row>
      <xdr:rowOff>131874</xdr:rowOff>
    </xdr:to>
    <mc:AlternateContent xmlns:mc="http://schemas.openxmlformats.org/markup-compatibility/2006" xmlns:a14="http://schemas.microsoft.com/office/drawing/2010/main">
      <mc:Choice Requires="a14">
        <xdr:sp macro="" textlink="">
          <xdr:nvSpPr>
            <xdr:cNvPr id="147" name="TextBox 146">
              <a:extLst>
                <a:ext uri="{FF2B5EF4-FFF2-40B4-BE49-F238E27FC236}">
                  <a16:creationId xmlns:a16="http://schemas.microsoft.com/office/drawing/2014/main" id="{DDCDC154-E934-4782-882E-B49F0E7527D8}"/>
                </a:ext>
              </a:extLst>
            </xdr:cNvPr>
            <xdr:cNvSpPr txBox="1"/>
          </xdr:nvSpPr>
          <xdr:spPr>
            <a:xfrm>
              <a:off x="3339353" y="283062830"/>
              <a:ext cx="574733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147" name="TextBox 146">
              <a:extLst>
                <a:ext uri="{FF2B5EF4-FFF2-40B4-BE49-F238E27FC236}">
                  <a16:creationId xmlns:a16="http://schemas.microsoft.com/office/drawing/2014/main" id="{DDCDC154-E934-4782-882E-B49F0E7527D8}"/>
                </a:ext>
              </a:extLst>
            </xdr:cNvPr>
            <xdr:cNvSpPr txBox="1"/>
          </xdr:nvSpPr>
          <xdr:spPr>
            <a:xfrm>
              <a:off x="3339353" y="283062830"/>
              <a:ext cx="574733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1151</xdr:row>
      <xdr:rowOff>26894</xdr:rowOff>
    </xdr:from>
    <xdr:to>
      <xdr:col>4</xdr:col>
      <xdr:colOff>1538611</xdr:colOff>
      <xdr:row>1152</xdr:row>
      <xdr:rowOff>55557</xdr:rowOff>
    </xdr:to>
    <mc:AlternateContent xmlns:mc="http://schemas.openxmlformats.org/markup-compatibility/2006" xmlns:a14="http://schemas.microsoft.com/office/drawing/2010/main">
      <mc:Choice Requires="a14">
        <xdr:sp macro="" textlink="">
          <xdr:nvSpPr>
            <xdr:cNvPr id="148" name="TextBox 147">
              <a:extLst>
                <a:ext uri="{FF2B5EF4-FFF2-40B4-BE49-F238E27FC236}">
                  <a16:creationId xmlns:a16="http://schemas.microsoft.com/office/drawing/2014/main" id="{1B230204-D4CA-4268-B1D1-C7C305C651D2}"/>
                </a:ext>
              </a:extLst>
            </xdr:cNvPr>
            <xdr:cNvSpPr txBox="1"/>
          </xdr:nvSpPr>
          <xdr:spPr>
            <a:xfrm>
              <a:off x="3287805" y="284024294"/>
              <a:ext cx="152740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48" name="TextBox 147">
              <a:extLst>
                <a:ext uri="{FF2B5EF4-FFF2-40B4-BE49-F238E27FC236}">
                  <a16:creationId xmlns:a16="http://schemas.microsoft.com/office/drawing/2014/main" id="{1B230204-D4CA-4268-B1D1-C7C305C651D2}"/>
                </a:ext>
              </a:extLst>
            </xdr:cNvPr>
            <xdr:cNvSpPr txBox="1"/>
          </xdr:nvSpPr>
          <xdr:spPr>
            <a:xfrm>
              <a:off x="3287805" y="284024294"/>
              <a:ext cx="152740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1138</xdr:row>
      <xdr:rowOff>0</xdr:rowOff>
    </xdr:from>
    <xdr:ext cx="65" cy="172227"/>
    <xdr:sp macro="" textlink="">
      <xdr:nvSpPr>
        <xdr:cNvPr id="149" name="TextBox 148">
          <a:extLst>
            <a:ext uri="{FF2B5EF4-FFF2-40B4-BE49-F238E27FC236}">
              <a16:creationId xmlns:a16="http://schemas.microsoft.com/office/drawing/2014/main" id="{6A85CCD3-9CE8-4F1D-A6E1-71E1121F1F1B}"/>
            </a:ext>
          </a:extLst>
        </xdr:cNvPr>
        <xdr:cNvSpPr txBox="1"/>
      </xdr:nvSpPr>
      <xdr:spPr>
        <a:xfrm>
          <a:off x="36787931" y="281139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1138</xdr:row>
      <xdr:rowOff>0</xdr:rowOff>
    </xdr:from>
    <xdr:ext cx="65" cy="172227"/>
    <xdr:sp macro="" textlink="">
      <xdr:nvSpPr>
        <xdr:cNvPr id="150" name="TextBox 149">
          <a:extLst>
            <a:ext uri="{FF2B5EF4-FFF2-40B4-BE49-F238E27FC236}">
              <a16:creationId xmlns:a16="http://schemas.microsoft.com/office/drawing/2014/main" id="{C98CAA05-1DBF-4691-93F9-3AB08514FFE1}"/>
            </a:ext>
          </a:extLst>
        </xdr:cNvPr>
        <xdr:cNvSpPr txBox="1"/>
      </xdr:nvSpPr>
      <xdr:spPr>
        <a:xfrm>
          <a:off x="36787931" y="281139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83081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83081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279392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279392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2269331</xdr:colOff>
      <xdr:row>414</xdr:row>
      <xdr:rowOff>0</xdr:rowOff>
    </xdr:from>
    <xdr:ext cx="65" cy="172227"/>
    <xdr:sp macro="" textlink="">
      <xdr:nvSpPr>
        <xdr:cNvPr id="2" name="TextBox 1">
          <a:extLst>
            <a:ext uri="{FF2B5EF4-FFF2-40B4-BE49-F238E27FC236}">
              <a16:creationId xmlns:a16="http://schemas.microsoft.com/office/drawing/2014/main" id="{9D0B2226-B0AD-4C5E-B8A3-7DEB20D3D813}"/>
            </a:ext>
          </a:extLst>
        </xdr:cNvPr>
        <xdr:cNvSpPr txBox="1"/>
      </xdr:nvSpPr>
      <xdr:spPr>
        <a:xfrm>
          <a:off x="10117931" y="103460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414</xdr:row>
      <xdr:rowOff>0</xdr:rowOff>
    </xdr:from>
    <xdr:ext cx="65" cy="172227"/>
    <xdr:sp macro="" textlink="">
      <xdr:nvSpPr>
        <xdr:cNvPr id="3" name="TextBox 2">
          <a:extLst>
            <a:ext uri="{FF2B5EF4-FFF2-40B4-BE49-F238E27FC236}">
              <a16:creationId xmlns:a16="http://schemas.microsoft.com/office/drawing/2014/main" id="{21785565-6AFF-448C-A2AA-CC3C1E5411C5}"/>
            </a:ext>
          </a:extLst>
        </xdr:cNvPr>
        <xdr:cNvSpPr txBox="1"/>
      </xdr:nvSpPr>
      <xdr:spPr>
        <a:xfrm>
          <a:off x="10117931" y="103460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17</xdr:row>
      <xdr:rowOff>453627</xdr:rowOff>
    </xdr:from>
    <xdr:ext cx="65" cy="172227"/>
    <xdr:sp macro="" textlink="">
      <xdr:nvSpPr>
        <xdr:cNvPr id="4" name="TextBox 3">
          <a:extLst>
            <a:ext uri="{FF2B5EF4-FFF2-40B4-BE49-F238E27FC236}">
              <a16:creationId xmlns:a16="http://schemas.microsoft.com/office/drawing/2014/main" id="{6D10CC00-0055-429C-9172-BC9FFA925EED}"/>
            </a:ext>
          </a:extLst>
        </xdr:cNvPr>
        <xdr:cNvSpPr txBox="1"/>
      </xdr:nvSpPr>
      <xdr:spPr>
        <a:xfrm>
          <a:off x="10117931" y="45970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5" name="TextBox 4">
          <a:extLst>
            <a:ext uri="{FF2B5EF4-FFF2-40B4-BE49-F238E27FC236}">
              <a16:creationId xmlns:a16="http://schemas.microsoft.com/office/drawing/2014/main" id="{1FFF9DCF-149B-4296-8515-479E82AD3728}"/>
            </a:ext>
          </a:extLst>
        </xdr:cNvPr>
        <xdr:cNvSpPr txBox="1"/>
      </xdr:nvSpPr>
      <xdr:spPr>
        <a:xfrm>
          <a:off x="12384881" y="1362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6" name="TextBox 5">
          <a:extLst>
            <a:ext uri="{FF2B5EF4-FFF2-40B4-BE49-F238E27FC236}">
              <a16:creationId xmlns:a16="http://schemas.microsoft.com/office/drawing/2014/main" id="{1F5CB37F-BA55-4C6F-8BFC-30769905A394}"/>
            </a:ext>
          </a:extLst>
        </xdr:cNvPr>
        <xdr:cNvSpPr txBox="1"/>
      </xdr:nvSpPr>
      <xdr:spPr>
        <a:xfrm>
          <a:off x="12384881" y="1362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1261935</xdr:colOff>
      <xdr:row>324</xdr:row>
      <xdr:rowOff>138544</xdr:rowOff>
    </xdr:from>
    <xdr:to>
      <xdr:col>9</xdr:col>
      <xdr:colOff>0</xdr:colOff>
      <xdr:row>328</xdr:row>
      <xdr:rowOff>43778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BDEFDFDB-57CF-4E48-9D53-9B04A4E42F98}"/>
                </a:ext>
              </a:extLst>
            </xdr:cNvPr>
            <xdr:cNvSpPr txBox="1"/>
          </xdr:nvSpPr>
          <xdr:spPr>
            <a:xfrm>
              <a:off x="2890710" y="73842994"/>
              <a:ext cx="10730040"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BDEFDFDB-57CF-4E48-9D53-9B04A4E42F98}"/>
                </a:ext>
              </a:extLst>
            </xdr:cNvPr>
            <xdr:cNvSpPr txBox="1"/>
          </xdr:nvSpPr>
          <xdr:spPr>
            <a:xfrm>
              <a:off x="2890710" y="73842994"/>
              <a:ext cx="10730040"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9</xdr:col>
      <xdr:colOff>598342</xdr:colOff>
      <xdr:row>324</xdr:row>
      <xdr:rowOff>178693</xdr:rowOff>
    </xdr:from>
    <xdr:to>
      <xdr:col>16</xdr:col>
      <xdr:colOff>378852</xdr:colOff>
      <xdr:row>327</xdr:row>
      <xdr:rowOff>171450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7659BE7A-91ED-4FEC-907E-97FC7A73FA9E}"/>
                </a:ext>
              </a:extLst>
            </xdr:cNvPr>
            <xdr:cNvSpPr txBox="1"/>
          </xdr:nvSpPr>
          <xdr:spPr>
            <a:xfrm>
              <a:off x="14219092" y="73883143"/>
              <a:ext cx="6114635" cy="56425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7659BE7A-91ED-4FEC-907E-97FC7A73FA9E}"/>
                </a:ext>
              </a:extLst>
            </xdr:cNvPr>
            <xdr:cNvSpPr txBox="1"/>
          </xdr:nvSpPr>
          <xdr:spPr>
            <a:xfrm>
              <a:off x="14219092" y="73883143"/>
              <a:ext cx="6114635" cy="56425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1675177</xdr:colOff>
      <xdr:row>358</xdr:row>
      <xdr:rowOff>144658</xdr:rowOff>
    </xdr:from>
    <xdr:to>
      <xdr:col>6</xdr:col>
      <xdr:colOff>1502140</xdr:colOff>
      <xdr:row>362</xdr:row>
      <xdr:rowOff>49892</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878646E9-966A-4B4F-AD4E-654EAE251194}"/>
                </a:ext>
              </a:extLst>
            </xdr:cNvPr>
            <xdr:cNvSpPr txBox="1"/>
          </xdr:nvSpPr>
          <xdr:spPr>
            <a:xfrm>
              <a:off x="2903902" y="86193508"/>
              <a:ext cx="7208838"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878646E9-966A-4B4F-AD4E-654EAE251194}"/>
                </a:ext>
              </a:extLst>
            </xdr:cNvPr>
            <xdr:cNvSpPr txBox="1"/>
          </xdr:nvSpPr>
          <xdr:spPr>
            <a:xfrm>
              <a:off x="2903902" y="86193508"/>
              <a:ext cx="7208838"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7</xdr:col>
      <xdr:colOff>733425</xdr:colOff>
      <xdr:row>358</xdr:row>
      <xdr:rowOff>136468</xdr:rowOff>
    </xdr:from>
    <xdr:to>
      <xdr:col>11</xdr:col>
      <xdr:colOff>951472</xdr:colOff>
      <xdr:row>362</xdr:row>
      <xdr:rowOff>54398</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FAF6BE84-7293-4DD7-9B9B-6F925474199F}"/>
                </a:ext>
              </a:extLst>
            </xdr:cNvPr>
            <xdr:cNvSpPr txBox="1"/>
          </xdr:nvSpPr>
          <xdr:spPr>
            <a:xfrm>
              <a:off x="10848975" y="86185318"/>
              <a:ext cx="5599672" cy="6799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FAF6BE84-7293-4DD7-9B9B-6F925474199F}"/>
                </a:ext>
              </a:extLst>
            </xdr:cNvPr>
            <xdr:cNvSpPr txBox="1"/>
          </xdr:nvSpPr>
          <xdr:spPr>
            <a:xfrm>
              <a:off x="10848975" y="86185318"/>
              <a:ext cx="5599672" cy="6799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6</xdr:col>
      <xdr:colOff>2269331</xdr:colOff>
      <xdr:row>17</xdr:row>
      <xdr:rowOff>453627</xdr:rowOff>
    </xdr:from>
    <xdr:ext cx="65" cy="172227"/>
    <xdr:sp macro="" textlink="">
      <xdr:nvSpPr>
        <xdr:cNvPr id="11" name="TextBox 10">
          <a:extLst>
            <a:ext uri="{FF2B5EF4-FFF2-40B4-BE49-F238E27FC236}">
              <a16:creationId xmlns:a16="http://schemas.microsoft.com/office/drawing/2014/main" id="{6D10CC00-0055-429C-9172-BC9FFA925EED}"/>
            </a:ext>
          </a:extLst>
        </xdr:cNvPr>
        <xdr:cNvSpPr txBox="1"/>
      </xdr:nvSpPr>
      <xdr:spPr>
        <a:xfrm>
          <a:off x="10117931" y="45970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17</xdr:row>
      <xdr:rowOff>453627</xdr:rowOff>
    </xdr:from>
    <xdr:ext cx="65" cy="172227"/>
    <xdr:sp macro="" textlink="">
      <xdr:nvSpPr>
        <xdr:cNvPr id="12" name="TextBox 11">
          <a:extLst>
            <a:ext uri="{FF2B5EF4-FFF2-40B4-BE49-F238E27FC236}">
              <a16:creationId xmlns:a16="http://schemas.microsoft.com/office/drawing/2014/main" id="{8ACDBCF3-DC86-4460-9426-07067DCAF324}"/>
            </a:ext>
          </a:extLst>
        </xdr:cNvPr>
        <xdr:cNvSpPr txBox="1"/>
      </xdr:nvSpPr>
      <xdr:spPr>
        <a:xfrm>
          <a:off x="10117931" y="45970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3" name="TextBox 12">
          <a:extLst>
            <a:ext uri="{FF2B5EF4-FFF2-40B4-BE49-F238E27FC236}">
              <a16:creationId xmlns:a16="http://schemas.microsoft.com/office/drawing/2014/main" id="{1FFF9DCF-149B-4296-8515-479E82AD3728}"/>
            </a:ext>
          </a:extLst>
        </xdr:cNvPr>
        <xdr:cNvSpPr txBox="1"/>
      </xdr:nvSpPr>
      <xdr:spPr>
        <a:xfrm>
          <a:off x="12384881" y="1362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4" name="TextBox 13">
          <a:extLst>
            <a:ext uri="{FF2B5EF4-FFF2-40B4-BE49-F238E27FC236}">
              <a16:creationId xmlns:a16="http://schemas.microsoft.com/office/drawing/2014/main" id="{1F5CB37F-BA55-4C6F-8BFC-30769905A394}"/>
            </a:ext>
          </a:extLst>
        </xdr:cNvPr>
        <xdr:cNvSpPr txBox="1"/>
      </xdr:nvSpPr>
      <xdr:spPr>
        <a:xfrm>
          <a:off x="12384881" y="1362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2269331</xdr:colOff>
      <xdr:row>17</xdr:row>
      <xdr:rowOff>453627</xdr:rowOff>
    </xdr:from>
    <xdr:to>
      <xdr:col>7</xdr:col>
      <xdr:colOff>7209</xdr:colOff>
      <xdr:row>18</xdr:row>
      <xdr:rowOff>173417</xdr:rowOff>
    </xdr:to>
    <xdr:sp macro="" textlink="">
      <xdr:nvSpPr>
        <xdr:cNvPr id="15" name="TextBox 14">
          <a:extLst>
            <a:ext uri="{FF2B5EF4-FFF2-40B4-BE49-F238E27FC236}">
              <a16:creationId xmlns:a16="http://schemas.microsoft.com/office/drawing/2014/main" id="{6D10CC00-0055-429C-9172-BC9FFA925EED}"/>
            </a:ext>
          </a:extLst>
        </xdr:cNvPr>
        <xdr:cNvSpPr txBox="1"/>
      </xdr:nvSpPr>
      <xdr:spPr>
        <a:xfrm>
          <a:off x="10117931" y="4597002"/>
          <a:ext cx="4828"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6</xdr:col>
      <xdr:colOff>2269331</xdr:colOff>
      <xdr:row>17</xdr:row>
      <xdr:rowOff>453627</xdr:rowOff>
    </xdr:from>
    <xdr:to>
      <xdr:col>7</xdr:col>
      <xdr:colOff>7209</xdr:colOff>
      <xdr:row>18</xdr:row>
      <xdr:rowOff>173417</xdr:rowOff>
    </xdr:to>
    <xdr:sp macro="" textlink="">
      <xdr:nvSpPr>
        <xdr:cNvPr id="16" name="TextBox 15">
          <a:extLst>
            <a:ext uri="{FF2B5EF4-FFF2-40B4-BE49-F238E27FC236}">
              <a16:creationId xmlns:a16="http://schemas.microsoft.com/office/drawing/2014/main" id="{8ACDBCF3-DC86-4460-9426-07067DCAF324}"/>
            </a:ext>
          </a:extLst>
        </xdr:cNvPr>
        <xdr:cNvSpPr txBox="1"/>
      </xdr:nvSpPr>
      <xdr:spPr>
        <a:xfrm>
          <a:off x="10117931" y="4597002"/>
          <a:ext cx="4828"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7" name="TextBox 16">
          <a:extLst>
            <a:ext uri="{FF2B5EF4-FFF2-40B4-BE49-F238E27FC236}">
              <a16:creationId xmlns:a16="http://schemas.microsoft.com/office/drawing/2014/main" id="{1FFF9DCF-149B-4296-8515-479E82AD3728}"/>
            </a:ext>
          </a:extLst>
        </xdr:cNvPr>
        <xdr:cNvSpPr txBox="1"/>
      </xdr:nvSpPr>
      <xdr:spPr>
        <a:xfrm>
          <a:off x="12384881" y="1362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8" name="TextBox 17">
          <a:extLst>
            <a:ext uri="{FF2B5EF4-FFF2-40B4-BE49-F238E27FC236}">
              <a16:creationId xmlns:a16="http://schemas.microsoft.com/office/drawing/2014/main" id="{1F5CB37F-BA55-4C6F-8BFC-30769905A394}"/>
            </a:ext>
          </a:extLst>
        </xdr:cNvPr>
        <xdr:cNvSpPr txBox="1"/>
      </xdr:nvSpPr>
      <xdr:spPr>
        <a:xfrm>
          <a:off x="12384881" y="1362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11205</xdr:colOff>
      <xdr:row>11</xdr:row>
      <xdr:rowOff>22412</xdr:rowOff>
    </xdr:from>
    <xdr:to>
      <xdr:col>6</xdr:col>
      <xdr:colOff>383700</xdr:colOff>
      <xdr:row>15</xdr:row>
      <xdr:rowOff>12093</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2D8DD28D-840E-46EE-9E38-DE9F13785C6B}"/>
                </a:ext>
              </a:extLst>
            </xdr:cNvPr>
            <xdr:cNvSpPr txBox="1"/>
          </xdr:nvSpPr>
          <xdr:spPr>
            <a:xfrm>
              <a:off x="2916330" y="2908487"/>
              <a:ext cx="6277995" cy="7516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𝑘𝑊h𝐶𝑒𝑛𝑡𝑟𝑎𝑙</m:t>
                    </m:r>
                    <m:r>
                      <a:rPr lang="en-US" sz="1400" i="1" baseline="-25000">
                        <a:solidFill>
                          <a:schemeClr val="tx1"/>
                        </a:solidFill>
                        <a:effectLst/>
                        <a:latin typeface="Cambria Math" panose="02040503050406030204" pitchFamily="18" charset="0"/>
                        <a:ea typeface="+mn-ea"/>
                        <a:cs typeface="+mn-cs"/>
                      </a:rPr>
                      <m:t> </m:t>
                    </m:r>
                    <m:r>
                      <a:rPr lang="en-US" sz="1400" i="1" baseline="-25000">
                        <a:solidFill>
                          <a:schemeClr val="tx1"/>
                        </a:solidFill>
                        <a:effectLst/>
                        <a:latin typeface="Cambria Math" panose="02040503050406030204" pitchFamily="18" charset="0"/>
                        <a:ea typeface="+mn-ea"/>
                        <a:cs typeface="+mn-cs"/>
                      </a:rPr>
                      <m:t>𝐴𝐶</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𝑐𝑜𝑜𝑙</m:t>
                            </m:r>
                          </m:sub>
                        </m:sSub>
                        <m:r>
                          <a:rPr lang="en-US" sz="1400" b="0" i="1">
                            <a:solidFill>
                              <a:schemeClr val="tx1"/>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𝑂𝑢𝑡</m:t>
                                    </m:r>
                                  </m:sub>
                                </m:sSub>
                              </m:den>
                            </m:f>
                          </m:e>
                        </m:d>
                      </m:num>
                      <m:den>
                        <m:r>
                          <a:rPr lang="en-US" sz="1400" i="1">
                            <a:solidFill>
                              <a:schemeClr val="tx1"/>
                            </a:solidFill>
                            <a:effectLst/>
                            <a:latin typeface="Cambria Math" panose="02040503050406030204" pitchFamily="18" charset="0"/>
                            <a:ea typeface="+mn-ea"/>
                            <a:cs typeface="+mn-cs"/>
                          </a:rPr>
                          <m:t>1000</m:t>
                        </m:r>
                      </m:den>
                    </m:f>
                  </m:oMath>
                </m:oMathPara>
              </a14:m>
              <a:endParaRPr lang="en-US" sz="1800">
                <a:solidFill>
                  <a:schemeClr val="tx1"/>
                </a:solidFill>
                <a:effectLst/>
                <a:latin typeface="+mn-lt"/>
                <a:ea typeface="+mn-ea"/>
                <a:cs typeface="+mn-cs"/>
              </a:endParaRPr>
            </a:p>
          </xdr:txBody>
        </xdr:sp>
      </mc:Choice>
      <mc:Fallback xmlns="">
        <xdr:sp macro="" textlink="">
          <xdr:nvSpPr>
            <xdr:cNvPr id="19" name="TextBox 18">
              <a:extLst>
                <a:ext uri="{FF2B5EF4-FFF2-40B4-BE49-F238E27FC236}">
                  <a16:creationId xmlns:a16="http://schemas.microsoft.com/office/drawing/2014/main" id="{2D8DD28D-840E-46EE-9E38-DE9F13785C6B}"/>
                </a:ext>
              </a:extLst>
            </xdr:cNvPr>
            <xdr:cNvSpPr txBox="1"/>
          </xdr:nvSpPr>
          <xdr:spPr>
            <a:xfrm>
              <a:off x="2916330" y="2908487"/>
              <a:ext cx="6277995" cy="7516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Δ𝑘𝑊ℎ𝐶𝑒𝑛𝑡𝑟𝑎𝑙</a:t>
              </a:r>
              <a:r>
                <a:rPr lang="en-US" sz="1400" i="0" baseline="-25000">
                  <a:solidFill>
                    <a:schemeClr val="tx1"/>
                  </a:solidFill>
                  <a:effectLst/>
                  <a:latin typeface="Cambria Math" panose="02040503050406030204" pitchFamily="18" charset="0"/>
                  <a:ea typeface="+mn-ea"/>
                  <a:cs typeface="+mn-cs"/>
                </a:rPr>
                <a:t> 𝐴𝐶</a:t>
              </a:r>
              <a:r>
                <a:rPr lang="en-US" sz="1400" i="0">
                  <a:solidFill>
                    <a:schemeClr val="tx1"/>
                  </a:solidFill>
                  <a:effectLst/>
                  <a:latin typeface="Cambria Math" panose="02040503050406030204" pitchFamily="18" charset="0"/>
                  <a:ea typeface="+mn-ea"/>
                  <a:cs typeface="+mn-cs"/>
                </a:rPr>
                <a:t>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a:t>
              </a:r>
              <a:r>
                <a:rPr lang="en-US" sz="1400" b="0" i="0">
                  <a:solidFill>
                    <a:schemeClr val="tx1"/>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a:t>
              </a:r>
              <a:r>
                <a:rPr lang="en-US" sz="1400" b="0" i="0">
                  <a:solidFill>
                    <a:schemeClr val="tx1"/>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𝑂𝑢𝑡 )))/</a:t>
              </a:r>
              <a:r>
                <a:rPr lang="en-US" sz="1400" i="0">
                  <a:solidFill>
                    <a:schemeClr val="tx1"/>
                  </a:solidFill>
                  <a:effectLst/>
                  <a:latin typeface="Cambria Math" panose="02040503050406030204" pitchFamily="18" charset="0"/>
                  <a:ea typeface="+mn-ea"/>
                  <a:cs typeface="+mn-cs"/>
                </a:rPr>
                <a:t>1000</a:t>
              </a:r>
              <a:endParaRPr lang="en-US" sz="1800">
                <a:solidFill>
                  <a:schemeClr val="tx1"/>
                </a:solidFill>
                <a:effectLst/>
                <a:latin typeface="+mn-lt"/>
                <a:ea typeface="+mn-ea"/>
                <a:cs typeface="+mn-cs"/>
              </a:endParaRPr>
            </a:p>
          </xdr:txBody>
        </xdr:sp>
      </mc:Fallback>
    </mc:AlternateContent>
    <xdr:clientData/>
  </xdr:twoCellAnchor>
  <xdr:twoCellAnchor>
    <xdr:from>
      <xdr:col>3</xdr:col>
      <xdr:colOff>1690743</xdr:colOff>
      <xdr:row>44</xdr:row>
      <xdr:rowOff>88975</xdr:rowOff>
    </xdr:from>
    <xdr:to>
      <xdr:col>8</xdr:col>
      <xdr:colOff>368957</xdr:colOff>
      <xdr:row>48</xdr:row>
      <xdr:rowOff>89647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381A7D28-AF34-432E-80DF-23C998CFF5AE}"/>
                </a:ext>
              </a:extLst>
            </xdr:cNvPr>
            <xdr:cNvSpPr txBox="1"/>
          </xdr:nvSpPr>
          <xdr:spPr>
            <a:xfrm>
              <a:off x="2900418" y="12271450"/>
              <a:ext cx="10108214" cy="11912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20" name="TextBox 19">
              <a:extLst>
                <a:ext uri="{FF2B5EF4-FFF2-40B4-BE49-F238E27FC236}">
                  <a16:creationId xmlns:a16="http://schemas.microsoft.com/office/drawing/2014/main" id="{381A7D28-AF34-432E-80DF-23C998CFF5AE}"/>
                </a:ext>
              </a:extLst>
            </xdr:cNvPr>
            <xdr:cNvSpPr txBox="1"/>
          </xdr:nvSpPr>
          <xdr:spPr>
            <a:xfrm>
              <a:off x="2900418" y="12271450"/>
              <a:ext cx="10108214" cy="11912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8</xdr:col>
      <xdr:colOff>789632</xdr:colOff>
      <xdr:row>45</xdr:row>
      <xdr:rowOff>16873</xdr:rowOff>
    </xdr:from>
    <xdr:to>
      <xdr:col>17</xdr:col>
      <xdr:colOff>363682</xdr:colOff>
      <xdr:row>50</xdr:row>
      <xdr:rowOff>69272</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4710D540-8777-4E80-AFDC-AB11A7AAA31A}"/>
                </a:ext>
              </a:extLst>
            </xdr:cNvPr>
            <xdr:cNvSpPr txBox="1"/>
          </xdr:nvSpPr>
          <xdr:spPr>
            <a:xfrm>
              <a:off x="13429307" y="12389848"/>
              <a:ext cx="7746500" cy="14335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21" name="TextBox 20">
              <a:extLst>
                <a:ext uri="{FF2B5EF4-FFF2-40B4-BE49-F238E27FC236}">
                  <a16:creationId xmlns:a16="http://schemas.microsoft.com/office/drawing/2014/main" id="{4710D540-8777-4E80-AFDC-AB11A7AAA31A}"/>
                </a:ext>
              </a:extLst>
            </xdr:cNvPr>
            <xdr:cNvSpPr txBox="1"/>
          </xdr:nvSpPr>
          <xdr:spPr>
            <a:xfrm>
              <a:off x="13429307" y="12389848"/>
              <a:ext cx="7746500" cy="14335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400"/>
            </a:p>
          </xdr:txBody>
        </xdr:sp>
      </mc:Fallback>
    </mc:AlternateContent>
    <xdr:clientData/>
  </xdr:twoCellAnchor>
  <xdr:twoCellAnchor>
    <xdr:from>
      <xdr:col>3</xdr:col>
      <xdr:colOff>513260</xdr:colOff>
      <xdr:row>48</xdr:row>
      <xdr:rowOff>181247</xdr:rowOff>
    </xdr:from>
    <xdr:to>
      <xdr:col>4</xdr:col>
      <xdr:colOff>2861555</xdr:colOff>
      <xdr:row>49</xdr:row>
      <xdr:rowOff>174067</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D87F0EFE-FDAA-4101-8C3E-B30F737954E6}"/>
                </a:ext>
              </a:extLst>
            </xdr:cNvPr>
            <xdr:cNvSpPr txBox="1"/>
          </xdr:nvSpPr>
          <xdr:spPr>
            <a:xfrm>
              <a:off x="2142035" y="13554347"/>
              <a:ext cx="3624645" cy="183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2" name="TextBox 21">
              <a:extLst>
                <a:ext uri="{FF2B5EF4-FFF2-40B4-BE49-F238E27FC236}">
                  <a16:creationId xmlns:a16="http://schemas.microsoft.com/office/drawing/2014/main" id="{D87F0EFE-FDAA-4101-8C3E-B30F737954E6}"/>
                </a:ext>
              </a:extLst>
            </xdr:cNvPr>
            <xdr:cNvSpPr txBox="1"/>
          </xdr:nvSpPr>
          <xdr:spPr>
            <a:xfrm>
              <a:off x="2142035" y="13554347"/>
              <a:ext cx="3624645" cy="183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5</xdr:col>
      <xdr:colOff>1595549</xdr:colOff>
      <xdr:row>47</xdr:row>
      <xdr:rowOff>303169</xdr:rowOff>
    </xdr:from>
    <xdr:to>
      <xdr:col>8</xdr:col>
      <xdr:colOff>791321</xdr:colOff>
      <xdr:row>50</xdr:row>
      <xdr:rowOff>51954</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C3F722BA-AF71-46A1-8241-0A991B260315}"/>
                </a:ext>
              </a:extLst>
            </xdr:cNvPr>
            <xdr:cNvSpPr txBox="1"/>
          </xdr:nvSpPr>
          <xdr:spPr>
            <a:xfrm>
              <a:off x="8539274" y="13057144"/>
              <a:ext cx="4891722" cy="7489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400"/>
            </a:p>
          </xdr:txBody>
        </xdr:sp>
      </mc:Choice>
      <mc:Fallback xmlns="">
        <xdr:sp macro="" textlink="">
          <xdr:nvSpPr>
            <xdr:cNvPr id="23" name="TextBox 22">
              <a:extLst>
                <a:ext uri="{FF2B5EF4-FFF2-40B4-BE49-F238E27FC236}">
                  <a16:creationId xmlns:a16="http://schemas.microsoft.com/office/drawing/2014/main" id="{C3F722BA-AF71-46A1-8241-0A991B260315}"/>
                </a:ext>
              </a:extLst>
            </xdr:cNvPr>
            <xdr:cNvSpPr txBox="1"/>
          </xdr:nvSpPr>
          <xdr:spPr>
            <a:xfrm>
              <a:off x="8539274" y="13057144"/>
              <a:ext cx="4891722" cy="7489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400"/>
            </a:p>
          </xdr:txBody>
        </xdr:sp>
      </mc:Fallback>
    </mc:AlternateContent>
    <xdr:clientData/>
  </xdr:twoCellAnchor>
  <xdr:twoCellAnchor>
    <xdr:from>
      <xdr:col>4</xdr:col>
      <xdr:colOff>61651</xdr:colOff>
      <xdr:row>156</xdr:row>
      <xdr:rowOff>83819</xdr:rowOff>
    </xdr:from>
    <xdr:to>
      <xdr:col>6</xdr:col>
      <xdr:colOff>69272</xdr:colOff>
      <xdr:row>158</xdr:row>
      <xdr:rowOff>155863</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F7A516A9-83DB-44FE-9A8B-C4744D2C8115}"/>
                </a:ext>
              </a:extLst>
            </xdr:cNvPr>
            <xdr:cNvSpPr txBox="1"/>
          </xdr:nvSpPr>
          <xdr:spPr>
            <a:xfrm>
              <a:off x="2966776" y="34488119"/>
              <a:ext cx="5913121" cy="4530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h𝑒𝑎𝑡𝑖𝑛𝑔</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𝐻𝑒𝑎𝑡𝑖𝑛𝑔</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𝐸𝐹𝐿</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m:t>
                        </m:r>
                      </m:e>
                      <m:sub>
                        <m:r>
                          <a:rPr lang="en-US" sz="1600" b="0" i="1">
                            <a:latin typeface="Cambria Math" panose="02040503050406030204" pitchFamily="18" charset="0"/>
                            <a:ea typeface="Cambria Math" panose="02040503050406030204" pitchFamily="18" charset="0"/>
                          </a:rPr>
                          <m:t>h𝑒𝑎𝑡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𝐸𝐼</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𝑈𝑡𝑖𝑙𝑖𝑡𝑦</m:t>
                    </m:r>
                    <m:r>
                      <a:rPr lang="en-US" sz="1600" b="0" i="1">
                        <a:latin typeface="Cambria Math" panose="02040503050406030204" pitchFamily="18" charset="0"/>
                        <a:ea typeface="Cambria Math" panose="02040503050406030204" pitchFamily="18" charset="0"/>
                      </a:rPr>
                      <m:t> </m:t>
                    </m:r>
                    <m:r>
                      <a:rPr lang="en-US" sz="1600" b="0" i="1">
                        <a:latin typeface="Cambria Math" panose="02040503050406030204" pitchFamily="18" charset="0"/>
                        <a:ea typeface="Cambria Math" panose="02040503050406030204" pitchFamily="18" charset="0"/>
                      </a:rPr>
                      <m:t>𝐴𝑑𝑗𝑢𝑠𝑡𝑚𝑒𝑛𝑡</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24" name="TextBox 23">
              <a:extLst>
                <a:ext uri="{FF2B5EF4-FFF2-40B4-BE49-F238E27FC236}">
                  <a16:creationId xmlns:a16="http://schemas.microsoft.com/office/drawing/2014/main" id="{F7A516A9-83DB-44FE-9A8B-C4744D2C8115}"/>
                </a:ext>
              </a:extLst>
            </xdr:cNvPr>
            <xdr:cNvSpPr txBox="1"/>
          </xdr:nvSpPr>
          <xdr:spPr>
            <a:xfrm>
              <a:off x="2966776" y="34488119"/>
              <a:ext cx="5913121" cy="4530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600"/>
            </a:p>
          </xdr:txBody>
        </xdr:sp>
      </mc:Fallback>
    </mc:AlternateContent>
    <xdr:clientData/>
  </xdr:twoCellAnchor>
  <xdr:twoCellAnchor>
    <xdr:from>
      <xdr:col>7</xdr:col>
      <xdr:colOff>54032</xdr:colOff>
      <xdr:row>156</xdr:row>
      <xdr:rowOff>127462</xdr:rowOff>
    </xdr:from>
    <xdr:to>
      <xdr:col>11</xdr:col>
      <xdr:colOff>1835726</xdr:colOff>
      <xdr:row>159</xdr:row>
      <xdr:rowOff>11092</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5429ED8-E1D5-443A-B210-CA821BEDD375}"/>
                </a:ext>
              </a:extLst>
            </xdr:cNvPr>
            <xdr:cNvSpPr txBox="1"/>
          </xdr:nvSpPr>
          <xdr:spPr>
            <a:xfrm>
              <a:off x="10169582" y="34531762"/>
              <a:ext cx="6277494" cy="4551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𝑐𝑜𝑜𝑙𝑖𝑛𝑔</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𝐴𝐶</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𝐸𝐹𝐿</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m:t>
                        </m:r>
                      </m:e>
                      <m:sub>
                        <m:r>
                          <a:rPr lang="en-US" sz="1600" b="0" i="1">
                            <a:latin typeface="Cambria Math" panose="02040503050406030204" pitchFamily="18" charset="0"/>
                            <a:ea typeface="Cambria Math" panose="02040503050406030204" pitchFamily="18" charset="0"/>
                          </a:rPr>
                          <m:t>𝑐𝑜𝑜𝑙</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𝐸𝐼</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𝑈𝑡𝑖𝑙𝑖𝑡𝑦</m:t>
                    </m:r>
                    <m:r>
                      <a:rPr lang="en-US" sz="1600" b="0" i="1">
                        <a:latin typeface="Cambria Math" panose="02040503050406030204" pitchFamily="18" charset="0"/>
                        <a:ea typeface="Cambria Math" panose="02040503050406030204" pitchFamily="18" charset="0"/>
                      </a:rPr>
                      <m:t> </m:t>
                    </m:r>
                    <m:r>
                      <a:rPr lang="en-US" sz="1600" b="0" i="1">
                        <a:latin typeface="Cambria Math" panose="02040503050406030204" pitchFamily="18" charset="0"/>
                        <a:ea typeface="Cambria Math" panose="02040503050406030204" pitchFamily="18" charset="0"/>
                      </a:rPr>
                      <m:t>𝐴𝑑𝑗𝑢𝑠𝑡𝑚𝑒𝑛𝑡</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25" name="TextBox 24">
              <a:extLst>
                <a:ext uri="{FF2B5EF4-FFF2-40B4-BE49-F238E27FC236}">
                  <a16:creationId xmlns:a16="http://schemas.microsoft.com/office/drawing/2014/main" id="{D5429ED8-E1D5-443A-B210-CA821BEDD375}"/>
                </a:ext>
              </a:extLst>
            </xdr:cNvPr>
            <xdr:cNvSpPr txBox="1"/>
          </xdr:nvSpPr>
          <xdr:spPr>
            <a:xfrm>
              <a:off x="10169582" y="34531762"/>
              <a:ext cx="6277494" cy="4551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600"/>
            </a:p>
          </xdr:txBody>
        </xdr:sp>
      </mc:Fallback>
    </mc:AlternateContent>
    <xdr:clientData/>
  </xdr:twoCellAnchor>
  <xdr:twoCellAnchor>
    <xdr:from>
      <xdr:col>4</xdr:col>
      <xdr:colOff>92132</xdr:colOff>
      <xdr:row>159</xdr:row>
      <xdr:rowOff>114645</xdr:rowOff>
    </xdr:from>
    <xdr:to>
      <xdr:col>4</xdr:col>
      <xdr:colOff>3567545</xdr:colOff>
      <xdr:row>162</xdr:row>
      <xdr:rowOff>-1</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5D857F6-2D9E-4BC4-84D5-4CC324EFAE79}"/>
                </a:ext>
              </a:extLst>
            </xdr:cNvPr>
            <xdr:cNvSpPr txBox="1"/>
          </xdr:nvSpPr>
          <xdr:spPr>
            <a:xfrm>
              <a:off x="2997257" y="35090445"/>
              <a:ext cx="3475413" cy="4568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𝑐𝑜𝑜𝑙𝑖𝑛𝑔</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26" name="TextBox 25">
              <a:extLst>
                <a:ext uri="{FF2B5EF4-FFF2-40B4-BE49-F238E27FC236}">
                  <a16:creationId xmlns:a16="http://schemas.microsoft.com/office/drawing/2014/main" id="{05D857F6-2D9E-4BC4-84D5-4CC324EFAE79}"/>
                </a:ext>
              </a:extLst>
            </xdr:cNvPr>
            <xdr:cNvSpPr txBox="1"/>
          </xdr:nvSpPr>
          <xdr:spPr>
            <a:xfrm>
              <a:off x="2997257" y="35090445"/>
              <a:ext cx="3475413" cy="4568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𝑘𝑊ℎ_𝑐𝑜𝑜𝑙𝑖𝑛𝑔∗𝐶𝐹</a:t>
              </a:r>
              <a:endParaRPr lang="en-US" sz="1600"/>
            </a:p>
          </xdr:txBody>
        </xdr:sp>
      </mc:Fallback>
    </mc:AlternateContent>
    <xdr:clientData/>
  </xdr:twoCellAnchor>
  <xdr:twoCellAnchor>
    <xdr:from>
      <xdr:col>4</xdr:col>
      <xdr:colOff>303415</xdr:colOff>
      <xdr:row>182</xdr:row>
      <xdr:rowOff>72390</xdr:rowOff>
    </xdr:from>
    <xdr:to>
      <xdr:col>6</xdr:col>
      <xdr:colOff>173182</xdr:colOff>
      <xdr:row>185</xdr:row>
      <xdr:rowOff>121227</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3D9B9B14-DC7B-4C04-B0CF-60F6D17B7808}"/>
                </a:ext>
              </a:extLst>
            </xdr:cNvPr>
            <xdr:cNvSpPr txBox="1"/>
          </xdr:nvSpPr>
          <xdr:spPr>
            <a:xfrm>
              <a:off x="3208540" y="39886890"/>
              <a:ext cx="5775267" cy="658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𝐴𝑆𝐻𝑃</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400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7" name="TextBox 26">
              <a:extLst>
                <a:ext uri="{FF2B5EF4-FFF2-40B4-BE49-F238E27FC236}">
                  <a16:creationId xmlns:a16="http://schemas.microsoft.com/office/drawing/2014/main" id="{3D9B9B14-DC7B-4C04-B0CF-60F6D17B7808}"/>
                </a:ext>
              </a:extLst>
            </xdr:cNvPr>
            <xdr:cNvSpPr txBox="1"/>
          </xdr:nvSpPr>
          <xdr:spPr>
            <a:xfrm>
              <a:off x="3208540" y="39886890"/>
              <a:ext cx="5775267" cy="658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𝑘𝑊ℎ_𝐻𝑒𝑎𝑡𝑖𝑛𝑔𝑀𝑜𝑑𝑒=(1−% 𝑤𝑖𝑡ℎ 𝑛𝑒𝑤 𝐴𝑆𝐻𝑃)∗(400 𝑘𝑊ℎ/𝑦𝑟∗(𝐸𝐹𝐿𝐻_𝐻𝑒𝑎𝑡𝑖𝑛𝑔)/(𝑊𝐼 𝐸𝐹𝐿𝐻_𝐻𝑒𝑎𝑡𝑖𝑛𝑔 ))∗𝐻𝐹</a:t>
              </a:r>
              <a:endParaRPr lang="en-US" sz="1400"/>
            </a:p>
          </xdr:txBody>
        </xdr:sp>
      </mc:Fallback>
    </mc:AlternateContent>
    <xdr:clientData/>
  </xdr:twoCellAnchor>
  <xdr:twoCellAnchor>
    <xdr:from>
      <xdr:col>7</xdr:col>
      <xdr:colOff>2369474</xdr:colOff>
      <xdr:row>186</xdr:row>
      <xdr:rowOff>133005</xdr:rowOff>
    </xdr:from>
    <xdr:to>
      <xdr:col>15</xdr:col>
      <xdr:colOff>294409</xdr:colOff>
      <xdr:row>186</xdr:row>
      <xdr:rowOff>744682</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A4F19301-8C68-401C-9D4D-8F8947711218}"/>
                </a:ext>
              </a:extLst>
            </xdr:cNvPr>
            <xdr:cNvSpPr txBox="1"/>
          </xdr:nvSpPr>
          <xdr:spPr>
            <a:xfrm>
              <a:off x="12485024" y="40747605"/>
              <a:ext cx="6973685" cy="6116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𝑁𝑒𝑤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𝐶𝑒𝑛𝑡𝑟𝑎𝑙</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𝐶𝑜𝑜𝑙𝑖𝑛𝑔</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A4F19301-8C68-401C-9D4D-8F8947711218}"/>
                </a:ext>
              </a:extLst>
            </xdr:cNvPr>
            <xdr:cNvSpPr txBox="1"/>
          </xdr:nvSpPr>
          <xdr:spPr>
            <a:xfrm>
              <a:off x="12485024" y="40747605"/>
              <a:ext cx="6973685" cy="6116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𝑘𝑊ℎ_𝐶𝑜𝑜𝑙𝑖𝑛𝑔𝑀𝑜𝑑𝑒=(1−% 𝑤𝑖𝑡ℎ 𝑁𝑒𝑤 𝐶𝑒𝑛𝑡𝑟𝑎𝑙 𝐶𝑜𝑜𝑙𝑖𝑛𝑔)∗(70 𝑘𝑊ℎ/𝑦𝑟∗(𝐸𝐹𝐿𝐻_𝑐𝑜𝑜𝑙𝑖𝑛𝑔)/(𝑊𝐼 𝐸𝐹𝐿𝐻_𝑐𝑜𝑜𝑙𝑖𝑛𝑔 ))∗𝐻𝐹</a:t>
              </a:r>
              <a:endParaRPr lang="en-US" sz="1400"/>
            </a:p>
          </xdr:txBody>
        </xdr:sp>
      </mc:Fallback>
    </mc:AlternateContent>
    <xdr:clientData/>
  </xdr:twoCellAnchor>
  <xdr:twoCellAnchor>
    <xdr:from>
      <xdr:col>3</xdr:col>
      <xdr:colOff>910243</xdr:colOff>
      <xdr:row>185</xdr:row>
      <xdr:rowOff>47798</xdr:rowOff>
    </xdr:from>
    <xdr:to>
      <xdr:col>7</xdr:col>
      <xdr:colOff>1194954</xdr:colOff>
      <xdr:row>186</xdr:row>
      <xdr:rowOff>623454</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74E5224B-1EB2-46B1-AD97-DA671F565AC5}"/>
                </a:ext>
              </a:extLst>
            </xdr:cNvPr>
            <xdr:cNvSpPr txBox="1"/>
          </xdr:nvSpPr>
          <xdr:spPr>
            <a:xfrm>
              <a:off x="2539018" y="40471898"/>
              <a:ext cx="8771486" cy="7661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𝐴𝑢𝑡𝑜𝐶𝑖𝑟𝑐𝑢𝑙𝑎𝑡𝑖𝑜𝑛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∗10%−30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9" name="TextBox 28">
              <a:extLst>
                <a:ext uri="{FF2B5EF4-FFF2-40B4-BE49-F238E27FC236}">
                  <a16:creationId xmlns:a16="http://schemas.microsoft.com/office/drawing/2014/main" id="{74E5224B-1EB2-46B1-AD97-DA671F565AC5}"/>
                </a:ext>
              </a:extLst>
            </xdr:cNvPr>
            <xdr:cNvSpPr txBox="1"/>
          </xdr:nvSpPr>
          <xdr:spPr>
            <a:xfrm>
              <a:off x="2539018" y="40471898"/>
              <a:ext cx="8771486" cy="7661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𝑘𝑊ℎ_𝐴𝑢𝑡𝑜𝐶𝑖𝑟𝑐𝑢𝑙𝑎𝑡𝑖𝑜𝑛=((25 𝑘𝑊ℎ/𝑦𝑟∗(𝐸𝐹𝐿𝐻_𝑐𝑜𝑜𝑙𝑖𝑛𝑔)/(𝑊𝐼 𝐸𝐹𝐿𝐻_𝑐𝑜𝑜𝑙𝑖𝑛𝑔 ))+2960 𝑘𝑊ℎ/𝑦𝑒𝑎𝑟∗10%−30 𝑘𝑊ℎ/𝑦𝑒𝑎𝑟)∗𝐻𝐹</a:t>
              </a:r>
              <a:endParaRPr lang="en-US" sz="1400"/>
            </a:p>
          </xdr:txBody>
        </xdr:sp>
      </mc:Fallback>
    </mc:AlternateContent>
    <xdr:clientData/>
  </xdr:twoCellAnchor>
  <xdr:twoCellAnchor>
    <xdr:from>
      <xdr:col>7</xdr:col>
      <xdr:colOff>1807325</xdr:colOff>
      <xdr:row>183</xdr:row>
      <xdr:rowOff>18009</xdr:rowOff>
    </xdr:from>
    <xdr:to>
      <xdr:col>15</xdr:col>
      <xdr:colOff>379267</xdr:colOff>
      <xdr:row>186</xdr:row>
      <xdr:rowOff>69271</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26C58F4E-CA84-473B-A67C-E75152F8EB78}"/>
                </a:ext>
              </a:extLst>
            </xdr:cNvPr>
            <xdr:cNvSpPr txBox="1"/>
          </xdr:nvSpPr>
          <xdr:spPr>
            <a:xfrm>
              <a:off x="11922875" y="40023009"/>
              <a:ext cx="7620692" cy="6608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30" name="TextBox 29">
              <a:extLst>
                <a:ext uri="{FF2B5EF4-FFF2-40B4-BE49-F238E27FC236}">
                  <a16:creationId xmlns:a16="http://schemas.microsoft.com/office/drawing/2014/main" id="{26C58F4E-CA84-473B-A67C-E75152F8EB78}"/>
                </a:ext>
              </a:extLst>
            </xdr:cNvPr>
            <xdr:cNvSpPr txBox="1"/>
          </xdr:nvSpPr>
          <xdr:spPr>
            <a:xfrm>
              <a:off x="11922875" y="40023009"/>
              <a:ext cx="7620692" cy="6608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𝑘𝑊ℎ_𝐶𝑜𝑛𝑡𝑖𝑛𝑢𝑜𝑢𝑠𝐶𝑖𝑟𝑐𝑢𝑙𝑎𝑡𝑖𝑜𝑛=((25 𝑘𝑊ℎ/𝑦𝑟∗(𝐸𝐹𝐿𝐻_𝑐𝑜𝑜𝑙𝑖𝑛𝑔)/(𝑊𝐼 𝐸𝐹𝐿𝐻_𝑐𝑜𝑜𝑙𝑖𝑛𝑔 ))+2960 𝑘𝑊ℎ/𝑦𝑒𝑎𝑟−30 𝑘𝑊ℎ/𝑦𝑒𝑎𝑟)∗𝐻𝐹</a:t>
              </a:r>
              <a:endParaRPr lang="en-US" sz="1400"/>
            </a:p>
          </xdr:txBody>
        </xdr:sp>
      </mc:Fallback>
    </mc:AlternateContent>
    <xdr:clientData/>
  </xdr:twoCellAnchor>
  <xdr:twoCellAnchor>
    <xdr:from>
      <xdr:col>10</xdr:col>
      <xdr:colOff>776328</xdr:colOff>
      <xdr:row>186</xdr:row>
      <xdr:rowOff>916478</xdr:rowOff>
    </xdr:from>
    <xdr:to>
      <xdr:col>16</xdr:col>
      <xdr:colOff>576452</xdr:colOff>
      <xdr:row>189</xdr:row>
      <xdr:rowOff>129887</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C4A7C50E-8F7B-42AA-AA7F-CAEF6AA9B8D0}"/>
                </a:ext>
              </a:extLst>
            </xdr:cNvPr>
            <xdr:cNvSpPr txBox="1"/>
          </xdr:nvSpPr>
          <xdr:spPr>
            <a:xfrm>
              <a:off x="15482928" y="41531078"/>
              <a:ext cx="5048399" cy="546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∗0.03412</m:t>
                            </m:r>
                          </m:num>
                          <m:den>
                            <m:r>
                              <a:rPr lang="en-US" sz="1400" b="0" i="1">
                                <a:latin typeface="Cambria Math" panose="02040503050406030204" pitchFamily="18" charset="0"/>
                                <a:ea typeface="Cambria Math" panose="02040503050406030204" pitchFamily="18" charset="0"/>
                              </a:rPr>
                              <m:t>𝐴𝐹𝑈𝐸</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31" name="TextBox 30">
              <a:extLst>
                <a:ext uri="{FF2B5EF4-FFF2-40B4-BE49-F238E27FC236}">
                  <a16:creationId xmlns:a16="http://schemas.microsoft.com/office/drawing/2014/main" id="{C4A7C50E-8F7B-42AA-AA7F-CAEF6AA9B8D0}"/>
                </a:ext>
              </a:extLst>
            </xdr:cNvPr>
            <xdr:cNvSpPr txBox="1"/>
          </xdr:nvSpPr>
          <xdr:spPr>
            <a:xfrm>
              <a:off x="15482928" y="41531078"/>
              <a:ext cx="5048399" cy="546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𝑇ℎ𝑒𝑟𝑚𝑠=((−𝐻𝑒𝑎𝑡𝑖𝑛𝑔 𝑆𝑎𝑣𝑖𝑛𝑔𝑠∗0.03412)/𝐴𝐹𝑈𝐸)∗𝐻𝐹</a:t>
              </a:r>
              <a:endParaRPr lang="en-US" sz="1400"/>
            </a:p>
          </xdr:txBody>
        </xdr:sp>
      </mc:Fallback>
    </mc:AlternateContent>
    <xdr:clientData/>
  </xdr:twoCellAnchor>
  <xdr:twoCellAnchor>
    <xdr:from>
      <xdr:col>3</xdr:col>
      <xdr:colOff>653935</xdr:colOff>
      <xdr:row>186</xdr:row>
      <xdr:rowOff>686146</xdr:rowOff>
    </xdr:from>
    <xdr:to>
      <xdr:col>4</xdr:col>
      <xdr:colOff>2926773</xdr:colOff>
      <xdr:row>187</xdr:row>
      <xdr:rowOff>51956</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753E0278-91BC-4903-BA3A-C229D8087ACA}"/>
                </a:ext>
              </a:extLst>
            </xdr:cNvPr>
            <xdr:cNvSpPr txBox="1"/>
          </xdr:nvSpPr>
          <xdr:spPr>
            <a:xfrm>
              <a:off x="2282710" y="41300746"/>
              <a:ext cx="3549188" cy="318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753E0278-91BC-4903-BA3A-C229D8087ACA}"/>
                </a:ext>
              </a:extLst>
            </xdr:cNvPr>
            <xdr:cNvSpPr txBox="1"/>
          </xdr:nvSpPr>
          <xdr:spPr>
            <a:xfrm>
              <a:off x="2282710" y="41300746"/>
              <a:ext cx="3549188" cy="318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2057781</xdr:colOff>
      <xdr:row>223</xdr:row>
      <xdr:rowOff>14823</xdr:rowOff>
    </xdr:from>
    <xdr:to>
      <xdr:col>5</xdr:col>
      <xdr:colOff>3838959</xdr:colOff>
      <xdr:row>224</xdr:row>
      <xdr:rowOff>74776</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6774EC05-3951-4444-90B5-DD574CCE2B43}"/>
                </a:ext>
              </a:extLst>
            </xdr:cNvPr>
            <xdr:cNvSpPr txBox="1"/>
          </xdr:nvSpPr>
          <xdr:spPr>
            <a:xfrm>
              <a:off x="4962906" y="50297298"/>
              <a:ext cx="3848103"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33" name="TextBox 32">
              <a:extLst>
                <a:ext uri="{FF2B5EF4-FFF2-40B4-BE49-F238E27FC236}">
                  <a16:creationId xmlns:a16="http://schemas.microsoft.com/office/drawing/2014/main" id="{6774EC05-3951-4444-90B5-DD574CCE2B43}"/>
                </a:ext>
              </a:extLst>
            </xdr:cNvPr>
            <xdr:cNvSpPr txBox="1"/>
          </xdr:nvSpPr>
          <xdr:spPr>
            <a:xfrm>
              <a:off x="4962906" y="50297298"/>
              <a:ext cx="3848103"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776999</xdr:colOff>
      <xdr:row>225</xdr:row>
      <xdr:rowOff>103</xdr:rowOff>
    </xdr:from>
    <xdr:to>
      <xdr:col>9</xdr:col>
      <xdr:colOff>1039090</xdr:colOff>
      <xdr:row>227</xdr:row>
      <xdr:rowOff>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E0C7A9E5-D6BF-4A4E-94FC-B9267484C538}"/>
                </a:ext>
              </a:extLst>
            </xdr:cNvPr>
            <xdr:cNvSpPr txBox="1"/>
          </xdr:nvSpPr>
          <xdr:spPr>
            <a:xfrm>
              <a:off x="3682124" y="50663578"/>
              <a:ext cx="10977716" cy="3808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4" name="TextBox 33">
              <a:extLst>
                <a:ext uri="{FF2B5EF4-FFF2-40B4-BE49-F238E27FC236}">
                  <a16:creationId xmlns:a16="http://schemas.microsoft.com/office/drawing/2014/main" id="{E0C7A9E5-D6BF-4A4E-94FC-B9267484C538}"/>
                </a:ext>
              </a:extLst>
            </xdr:cNvPr>
            <xdr:cNvSpPr txBox="1"/>
          </xdr:nvSpPr>
          <xdr:spPr>
            <a:xfrm>
              <a:off x="3682124" y="50663578"/>
              <a:ext cx="10977716" cy="3808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4</xdr:col>
      <xdr:colOff>1400353</xdr:colOff>
      <xdr:row>228</xdr:row>
      <xdr:rowOff>10594</xdr:rowOff>
    </xdr:from>
    <xdr:to>
      <xdr:col>9</xdr:col>
      <xdr:colOff>995962</xdr:colOff>
      <xdr:row>229</xdr:row>
      <xdr:rowOff>70547</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45B6AD86-EF52-410A-89F1-F7602262D9BC}"/>
                </a:ext>
              </a:extLst>
            </xdr:cNvPr>
            <xdr:cNvSpPr txBox="1"/>
          </xdr:nvSpPr>
          <xdr:spPr>
            <a:xfrm>
              <a:off x="4305478" y="51245569"/>
              <a:ext cx="10311234"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5" name="TextBox 34">
              <a:extLst>
                <a:ext uri="{FF2B5EF4-FFF2-40B4-BE49-F238E27FC236}">
                  <a16:creationId xmlns:a16="http://schemas.microsoft.com/office/drawing/2014/main" id="{45B6AD86-EF52-410A-89F1-F7602262D9BC}"/>
                </a:ext>
              </a:extLst>
            </xdr:cNvPr>
            <xdr:cNvSpPr txBox="1"/>
          </xdr:nvSpPr>
          <xdr:spPr>
            <a:xfrm>
              <a:off x="4305478" y="51245569"/>
              <a:ext cx="10311234"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722525</xdr:colOff>
      <xdr:row>230</xdr:row>
      <xdr:rowOff>165339</xdr:rowOff>
    </xdr:from>
    <xdr:to>
      <xdr:col>5</xdr:col>
      <xdr:colOff>634634</xdr:colOff>
      <xdr:row>232</xdr:row>
      <xdr:rowOff>34792</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84E3657D-4020-49A8-A915-34E7C1A65D5E}"/>
                </a:ext>
              </a:extLst>
            </xdr:cNvPr>
            <xdr:cNvSpPr txBox="1"/>
          </xdr:nvSpPr>
          <xdr:spPr>
            <a:xfrm>
              <a:off x="3627650" y="51781314"/>
              <a:ext cx="395070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6" name="TextBox 35">
              <a:extLst>
                <a:ext uri="{FF2B5EF4-FFF2-40B4-BE49-F238E27FC236}">
                  <a16:creationId xmlns:a16="http://schemas.microsoft.com/office/drawing/2014/main" id="{84E3657D-4020-49A8-A915-34E7C1A65D5E}"/>
                </a:ext>
              </a:extLst>
            </xdr:cNvPr>
            <xdr:cNvSpPr txBox="1"/>
          </xdr:nvSpPr>
          <xdr:spPr>
            <a:xfrm>
              <a:off x="3627650" y="51781314"/>
              <a:ext cx="395070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178685</xdr:colOff>
      <xdr:row>288</xdr:row>
      <xdr:rowOff>155864</xdr:rowOff>
    </xdr:from>
    <xdr:to>
      <xdr:col>9</xdr:col>
      <xdr:colOff>630079</xdr:colOff>
      <xdr:row>292</xdr:row>
      <xdr:rowOff>63406</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3D0C65C0-9C82-4C86-9046-A6E81C0EBD95}"/>
                </a:ext>
              </a:extLst>
            </xdr:cNvPr>
            <xdr:cNvSpPr txBox="1"/>
          </xdr:nvSpPr>
          <xdr:spPr>
            <a:xfrm>
              <a:off x="3083810" y="63239939"/>
              <a:ext cx="11167019" cy="66954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i="1">
                        <a:solidFill>
                          <a:sysClr val="windowText" lastClr="000000"/>
                        </a:solidFill>
                        <a:effectLst/>
                        <a:latin typeface="Cambria Math" panose="02040503050406030204" pitchFamily="18" charset="0"/>
                        <a:ea typeface="+mn-ea"/>
                        <a:cs typeface="+mn-cs"/>
                      </a:rPr>
                      <m:t>∆</m:t>
                    </m:r>
                    <m:r>
                      <a:rPr lang="en-US" sz="1800" i="1">
                        <a:solidFill>
                          <a:sysClr val="windowText" lastClr="000000"/>
                        </a:solidFill>
                        <a:effectLst/>
                        <a:latin typeface="Cambria Math" panose="02040503050406030204" pitchFamily="18" charset="0"/>
                        <a:ea typeface="+mn-ea"/>
                        <a:cs typeface="+mn-cs"/>
                      </a:rPr>
                      <m:t>𝑘𝑊h</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𝐸𝑙𝑒𝑐𝑡𝑟𝑖𝑐𝐷𝐻𝑊</m:t>
                            </m:r>
                            <m:r>
                              <a:rPr lang="en-US" sz="1400" b="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i="1" baseline="0">
                                <a:solidFill>
                                  <a:sysClr val="windowText" lastClr="000000"/>
                                </a:solidFill>
                                <a:effectLst/>
                                <a:latin typeface="Cambria Math" panose="02040503050406030204" pitchFamily="18" charset="0"/>
                                <a:ea typeface="+mn-ea"/>
                                <a:cs typeface="+mn-cs"/>
                              </a:rPr>
                              <m:t> </m:t>
                            </m:r>
                            <m:r>
                              <a:rPr lang="en-US" sz="1400" b="0" i="1" baseline="0">
                                <a:solidFill>
                                  <a:sysClr val="windowText" lastClr="000000"/>
                                </a:solidFill>
                                <a:effectLst/>
                                <a:latin typeface="Cambria Math" panose="02040503050406030204" pitchFamily="18" charset="0"/>
                                <a:ea typeface="+mn-ea"/>
                                <a:cs typeface="+mn-cs"/>
                              </a:rPr>
                              <m:t>∗ </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365.25 ∗ </m:t>
                            </m:r>
                            <m:r>
                              <a:rPr lang="en-US" sz="1400" b="0" i="1" baseline="0">
                                <a:solidFill>
                                  <a:sysClr val="windowText" lastClr="000000"/>
                                </a:solidFill>
                                <a:effectLst/>
                                <a:latin typeface="Cambria Math" panose="02040503050406030204" pitchFamily="18" charset="0"/>
                                <a:ea typeface="+mn-ea"/>
                                <a:cs typeface="+mn-cs"/>
                              </a:rPr>
                              <m:t>𝐷𝐹</m:t>
                            </m:r>
                            <m:r>
                              <a:rPr lang="en-US" sz="1400" b="0" i="1" baseline="0">
                                <a:solidFill>
                                  <a:sysClr val="windowText" lastClr="000000"/>
                                </a:solidFill>
                                <a:effectLst/>
                                <a:latin typeface="Cambria Math" panose="020405030504060302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𝐺</m:t>
                        </m:r>
                      </m:e>
                      <m:sub>
                        <m:r>
                          <a:rPr lang="en-US" sz="1800" b="0" i="1" baseline="0">
                            <a:solidFill>
                              <a:sysClr val="windowText" lastClr="000000"/>
                            </a:solidFill>
                            <a:latin typeface="Cambria Math" panose="02040503050406030204" pitchFamily="18" charset="0"/>
                          </a:rPr>
                          <m:t>𝑒𝑙𝑒𝑐𝑡𝑟𝑖𝑐</m:t>
                        </m:r>
                      </m:sub>
                    </m:sSub>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7" name="TextBox 36">
              <a:extLst>
                <a:ext uri="{FF2B5EF4-FFF2-40B4-BE49-F238E27FC236}">
                  <a16:creationId xmlns:a16="http://schemas.microsoft.com/office/drawing/2014/main" id="{3D0C65C0-9C82-4C86-9046-A6E81C0EBD95}"/>
                </a:ext>
              </a:extLst>
            </xdr:cNvPr>
            <xdr:cNvSpPr txBox="1"/>
          </xdr:nvSpPr>
          <xdr:spPr>
            <a:xfrm>
              <a:off x="3083810" y="63239939"/>
              <a:ext cx="11167019" cy="66954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∆𝑘𝑊ℎ</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%𝐸𝑙𝑒𝑐𝑡𝑟𝑖𝑐𝐷𝐻𝑊 ∗ (𝐺𝑃𝑀_𝑏𝑎𝑠𝑒 </a:t>
              </a:r>
              <a:r>
                <a:rPr lang="en-US" sz="1400" i="0" baseline="0">
                  <a:solidFill>
                    <a:sysClr val="windowText" lastClr="000000"/>
                  </a:solidFill>
                  <a:effectLst/>
                  <a:latin typeface="Cambria Math" panose="02040503050406030204" pitchFamily="18" charset="0"/>
                  <a:ea typeface="+mn-ea"/>
                  <a:cs typeface="+mn-cs"/>
                </a:rPr>
                <a:t> </a:t>
              </a:r>
              <a:r>
                <a:rPr lang="en-US" sz="1400" b="0" i="0" baseline="0">
                  <a:solidFill>
                    <a:sysClr val="windowText" lastClr="000000"/>
                  </a:solidFill>
                  <a:effectLst/>
                  <a:latin typeface="Cambria Math" panose="02040503050406030204" pitchFamily="18" charset="0"/>
                  <a:ea typeface="+mn-ea"/>
                  <a:cs typeface="+mn-cs"/>
                </a:rPr>
                <a:t>∗ 𝐿_𝑏𝑎𝑠𝑒−𝐺𝑃𝑀_𝑙𝑜𝑤∗𝐿_𝑙𝑜𝑤</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𝐻𝑜𝑢𝑠𝑒ℎ𝑜𝑙𝑑</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365.25 ∗ 𝐷𝐹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173184</xdr:colOff>
      <xdr:row>293</xdr:row>
      <xdr:rowOff>8110</xdr:rowOff>
    </xdr:from>
    <xdr:to>
      <xdr:col>7</xdr:col>
      <xdr:colOff>1777513</xdr:colOff>
      <xdr:row>296</xdr:row>
      <xdr:rowOff>146741</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DCB7FB0E-1B2C-4ED6-BBEB-3CE5D2C9BFE4}"/>
                </a:ext>
              </a:extLst>
            </xdr:cNvPr>
            <xdr:cNvSpPr txBox="1"/>
          </xdr:nvSpPr>
          <xdr:spPr>
            <a:xfrm>
              <a:off x="3078309" y="64044685"/>
              <a:ext cx="8814754" cy="7101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𝐸𝑃</m:t>
                    </m:r>
                    <m:sSub>
                      <m:sSubPr>
                        <m:ctrlPr>
                          <a:rPr lang="en-US" sz="1800" b="0" i="1">
                            <a:solidFill>
                              <a:sysClr val="windowText" lastClr="000000"/>
                            </a:solidFill>
                            <a:effectLst/>
                            <a:latin typeface="Cambria Math" panose="02040503050406030204" pitchFamily="18" charset="0"/>
                            <a:ea typeface="+mn-ea"/>
                            <a:cs typeface="+mn-cs"/>
                          </a:rPr>
                        </m:ctrlPr>
                      </m:sSubPr>
                      <m:e>
                        <m:r>
                          <a:rPr lang="en-US" sz="1800" b="0" i="1">
                            <a:solidFill>
                              <a:sysClr val="windowText" lastClr="000000"/>
                            </a:solidFill>
                            <a:effectLst/>
                            <a:latin typeface="Cambria Math" panose="02040503050406030204" pitchFamily="18" charset="0"/>
                            <a:ea typeface="+mn-ea"/>
                            <a:cs typeface="+mn-cs"/>
                          </a:rPr>
                          <m:t>𝐺</m:t>
                        </m:r>
                      </m:e>
                      <m:sub>
                        <m:r>
                          <a:rPr lang="en-US" sz="1800" b="0" i="1">
                            <a:solidFill>
                              <a:sysClr val="windowText" lastClr="000000"/>
                            </a:solidFill>
                            <a:effectLst/>
                            <a:latin typeface="Cambria Math" panose="02040503050406030204" pitchFamily="18" charset="0"/>
                            <a:ea typeface="+mn-ea"/>
                            <a:cs typeface="+mn-cs"/>
                          </a:rPr>
                          <m:t>𝑒𝑙𝑒𝑐𝑡𝑟𝑖𝑐</m:t>
                        </m:r>
                      </m:sub>
                    </m:sSub>
                    <m:r>
                      <a:rPr lang="en-US" sz="1800" i="1">
                        <a:solidFill>
                          <a:sysClr val="windowText" lastClr="000000"/>
                        </a:solidFill>
                        <a:effectLst/>
                        <a:latin typeface="Cambria Math" panose="020405030504060302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m:t>
                            </m:r>
                          </m:e>
                          <m:sub>
                            <m:r>
                              <a:rPr lang="en-US" sz="1400" b="0" i="1">
                                <a:solidFill>
                                  <a:schemeClr val="tx1"/>
                                </a:solidFill>
                                <a:effectLst/>
                                <a:latin typeface="Cambria Math" panose="02040503050406030204" pitchFamily="18" charset="0"/>
                                <a:ea typeface="+mn-ea"/>
                                <a:cs typeface="+mn-cs"/>
                              </a:rPr>
                              <m:t>𝑒𝑙𝑒𝑐𝑡𝑟𝑖𝑐</m:t>
                            </m:r>
                          </m:sub>
                        </m:sSub>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8" name="TextBox 37">
              <a:extLst>
                <a:ext uri="{FF2B5EF4-FFF2-40B4-BE49-F238E27FC236}">
                  <a16:creationId xmlns:a16="http://schemas.microsoft.com/office/drawing/2014/main" id="{DCB7FB0E-1B2C-4ED6-BBEB-3CE5D2C9BFE4}"/>
                </a:ext>
              </a:extLst>
            </xdr:cNvPr>
            <xdr:cNvSpPr txBox="1"/>
          </xdr:nvSpPr>
          <xdr:spPr>
            <a:xfrm>
              <a:off x="3078309" y="64044685"/>
              <a:ext cx="8814754" cy="7101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𝐸𝑃𝐺_𝑒𝑙𝑒𝑐𝑡𝑟𝑖𝑐 </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169328</xdr:colOff>
      <xdr:row>427</xdr:row>
      <xdr:rowOff>163744</xdr:rowOff>
    </xdr:from>
    <xdr:to>
      <xdr:col>5</xdr:col>
      <xdr:colOff>549851</xdr:colOff>
      <xdr:row>429</xdr:row>
      <xdr:rowOff>134216</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57B79156-47CE-43DE-B435-990B6A2738AB}"/>
                </a:ext>
              </a:extLst>
            </xdr:cNvPr>
            <xdr:cNvSpPr txBox="1"/>
          </xdr:nvSpPr>
          <xdr:spPr>
            <a:xfrm>
              <a:off x="3074453" y="106481794"/>
              <a:ext cx="4419123" cy="3514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𝐸𝑅𝑃</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𝐵𝑎𝑠𝑒𝑙𝑖𝑛𝑒𝐸𝑛𝑒𝑟𝑔𝑦𝐴𝑉</m:t>
                    </m:r>
                  </m:oMath>
                </m:oMathPara>
              </a14:m>
              <a:endParaRPr lang="en-US" sz="1600"/>
            </a:p>
          </xdr:txBody>
        </xdr:sp>
      </mc:Choice>
      <mc:Fallback xmlns="">
        <xdr:sp macro="" textlink="">
          <xdr:nvSpPr>
            <xdr:cNvPr id="39" name="TextBox 38">
              <a:extLst>
                <a:ext uri="{FF2B5EF4-FFF2-40B4-BE49-F238E27FC236}">
                  <a16:creationId xmlns:a16="http://schemas.microsoft.com/office/drawing/2014/main" id="{57B79156-47CE-43DE-B435-990B6A2738AB}"/>
                </a:ext>
              </a:extLst>
            </xdr:cNvPr>
            <xdr:cNvSpPr txBox="1"/>
          </xdr:nvSpPr>
          <xdr:spPr>
            <a:xfrm>
              <a:off x="3074453" y="106481794"/>
              <a:ext cx="4419123" cy="3514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𝑘𝑊ℎ=𝐸𝑅𝑃∗𝐵𝑎𝑠𝑒𝑙𝑖𝑛𝑒𝐸𝑛𝑒𝑟𝑔𝑦𝐴𝑉</a:t>
              </a:r>
              <a:endParaRPr lang="en-US" sz="1600"/>
            </a:p>
          </xdr:txBody>
        </xdr:sp>
      </mc:Fallback>
    </mc:AlternateContent>
    <xdr:clientData/>
  </xdr:twoCellAnchor>
  <xdr:twoCellAnchor>
    <xdr:from>
      <xdr:col>2</xdr:col>
      <xdr:colOff>396240</xdr:colOff>
      <xdr:row>452</xdr:row>
      <xdr:rowOff>68580</xdr:rowOff>
    </xdr:from>
    <xdr:to>
      <xdr:col>4</xdr:col>
      <xdr:colOff>3323077</xdr:colOff>
      <xdr:row>454</xdr:row>
      <xdr:rowOff>171623</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69E6DEB2-85C3-40A2-92A2-6CE007635A20}"/>
                </a:ext>
              </a:extLst>
            </xdr:cNvPr>
            <xdr:cNvSpPr txBox="1"/>
          </xdr:nvSpPr>
          <xdr:spPr>
            <a:xfrm>
              <a:off x="1205865" y="111825405"/>
              <a:ext cx="502233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𝑘𝑊h</m:t>
                            </m:r>
                          </m:num>
                          <m:den>
                            <m:r>
                              <a:rPr lang="en-US" sz="1400" b="0" i="1">
                                <a:latin typeface="Cambria Math" panose="02040503050406030204" pitchFamily="18" charset="0"/>
                              </a:rPr>
                              <m:t>𝑌𝑒𝑎𝑟</m:t>
                            </m:r>
                          </m:den>
                        </m:f>
                      </m:e>
                    </m:d>
                    <m:r>
                      <a:rPr lang="en-US" sz="1400" b="0" i="1">
                        <a:latin typeface="Cambria Math" panose="02040503050406030204" pitchFamily="18" charset="0"/>
                      </a:rPr>
                      <m:t>=</m:t>
                    </m:r>
                    <m:r>
                      <a:rPr lang="en-US" sz="1400" b="0" i="1">
                        <a:latin typeface="Cambria Math" panose="02040503050406030204" pitchFamily="18" charset="0"/>
                      </a:rPr>
                      <m:t>𝐷𝑎𝑦</m:t>
                    </m:r>
                    <m:sSub>
                      <m:sSubPr>
                        <m:ctrlPr>
                          <a:rPr lang="en-US" sz="1400" b="0" i="1">
                            <a:latin typeface="Cambria Math" panose="02040503050406030204" pitchFamily="18" charset="0"/>
                          </a:rPr>
                        </m:ctrlPr>
                      </m:sSubPr>
                      <m:e>
                        <m:r>
                          <a:rPr lang="en-US" sz="1400" b="0" i="1">
                            <a:latin typeface="Cambria Math" panose="02040503050406030204" pitchFamily="18" charset="0"/>
                          </a:rPr>
                          <m:t>𝑠</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e>
                    </m:d>
                  </m:oMath>
                </m:oMathPara>
              </a14:m>
              <a:endParaRPr lang="en-US" sz="1400"/>
            </a:p>
          </xdr:txBody>
        </xdr:sp>
      </mc:Choice>
      <mc:Fallback xmlns="">
        <xdr:sp macro="" textlink="">
          <xdr:nvSpPr>
            <xdr:cNvPr id="40" name="TextBox 39">
              <a:extLst>
                <a:ext uri="{FF2B5EF4-FFF2-40B4-BE49-F238E27FC236}">
                  <a16:creationId xmlns:a16="http://schemas.microsoft.com/office/drawing/2014/main" id="{69E6DEB2-85C3-40A2-92A2-6CE007635A20}"/>
                </a:ext>
              </a:extLst>
            </xdr:cNvPr>
            <xdr:cNvSpPr txBox="1"/>
          </xdr:nvSpPr>
          <xdr:spPr>
            <a:xfrm>
              <a:off x="1205865" y="111825405"/>
              <a:ext cx="502233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𝐸𝑛𝑒𝑟𝑔𝑦 𝑆𝑎𝑣𝑖𝑛𝑔𝑠 (𝑘𝑊ℎ/𝑌𝑒𝑎𝑟)=𝐷𝑎𝑦𝑠_𝑜𝑝𝑒𝑟∗{((𝑘𝑊ℎ_𝑠𝑠)/𝐷𝑎𝑦)−((𝑘𝑊ℎ_𝑑𝑠)/𝐷𝑎𝑦)}</a:t>
              </a:r>
              <a:endParaRPr lang="en-US" sz="1400"/>
            </a:p>
          </xdr:txBody>
        </xdr:sp>
      </mc:Fallback>
    </mc:AlternateContent>
    <xdr:clientData/>
  </xdr:twoCellAnchor>
  <xdr:twoCellAnchor>
    <xdr:from>
      <xdr:col>3</xdr:col>
      <xdr:colOff>137160</xdr:colOff>
      <xdr:row>460</xdr:row>
      <xdr:rowOff>144780</xdr:rowOff>
    </xdr:from>
    <xdr:to>
      <xdr:col>4</xdr:col>
      <xdr:colOff>981803</xdr:colOff>
      <xdr:row>463</xdr:row>
      <xdr:rowOff>57323</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73697A26-2E8C-47D6-88C2-99E6BCED6B20}"/>
                </a:ext>
              </a:extLst>
            </xdr:cNvPr>
            <xdr:cNvSpPr txBox="1"/>
          </xdr:nvSpPr>
          <xdr:spPr>
            <a:xfrm>
              <a:off x="1765935" y="113425605"/>
              <a:ext cx="212099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1" name="TextBox 40">
              <a:extLst>
                <a:ext uri="{FF2B5EF4-FFF2-40B4-BE49-F238E27FC236}">
                  <a16:creationId xmlns:a16="http://schemas.microsoft.com/office/drawing/2014/main" id="{73697A26-2E8C-47D6-88C2-99E6BCED6B20}"/>
                </a:ext>
              </a:extLst>
            </xdr:cNvPr>
            <xdr:cNvSpPr txBox="1"/>
          </xdr:nvSpPr>
          <xdr:spPr>
            <a:xfrm>
              <a:off x="1765935" y="113425605"/>
              <a:ext cx="212099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2</xdr:col>
      <xdr:colOff>480060</xdr:colOff>
      <xdr:row>456</xdr:row>
      <xdr:rowOff>76200</xdr:rowOff>
    </xdr:from>
    <xdr:to>
      <xdr:col>4</xdr:col>
      <xdr:colOff>1176926</xdr:colOff>
      <xdr:row>458</xdr:row>
      <xdr:rowOff>174253</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3BC465F9-85E9-4283-9235-E216AD13AFBA}"/>
                </a:ext>
              </a:extLst>
            </xdr:cNvPr>
            <xdr:cNvSpPr txBox="1"/>
          </xdr:nvSpPr>
          <xdr:spPr>
            <a:xfrm>
              <a:off x="1289685" y="112595025"/>
              <a:ext cx="2792366"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42" name="TextBox 41">
              <a:extLst>
                <a:ext uri="{FF2B5EF4-FFF2-40B4-BE49-F238E27FC236}">
                  <a16:creationId xmlns:a16="http://schemas.microsoft.com/office/drawing/2014/main" id="{3BC465F9-85E9-4283-9235-E216AD13AFBA}"/>
                </a:ext>
              </a:extLst>
            </xdr:cNvPr>
            <xdr:cNvSpPr txBox="1"/>
          </xdr:nvSpPr>
          <xdr:spPr>
            <a:xfrm>
              <a:off x="1289685" y="112595025"/>
              <a:ext cx="2792366"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1257300</xdr:colOff>
      <xdr:row>456</xdr:row>
      <xdr:rowOff>129540</xdr:rowOff>
    </xdr:from>
    <xdr:to>
      <xdr:col>5</xdr:col>
      <xdr:colOff>407896</xdr:colOff>
      <xdr:row>459</xdr:row>
      <xdr:rowOff>42083</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3FA96B75-6E5A-4726-9081-954F1FEF9D93}"/>
                </a:ext>
              </a:extLst>
            </xdr:cNvPr>
            <xdr:cNvSpPr txBox="1"/>
          </xdr:nvSpPr>
          <xdr:spPr>
            <a:xfrm>
              <a:off x="4162425" y="112648365"/>
              <a:ext cx="3189196"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3" name="TextBox 42">
              <a:extLst>
                <a:ext uri="{FF2B5EF4-FFF2-40B4-BE49-F238E27FC236}">
                  <a16:creationId xmlns:a16="http://schemas.microsoft.com/office/drawing/2014/main" id="{3FA96B75-6E5A-4726-9081-954F1FEF9D93}"/>
                </a:ext>
              </a:extLst>
            </xdr:cNvPr>
            <xdr:cNvSpPr txBox="1"/>
          </xdr:nvSpPr>
          <xdr:spPr>
            <a:xfrm>
              <a:off x="4162425" y="112648365"/>
              <a:ext cx="3189196"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4</xdr:col>
      <xdr:colOff>1097280</xdr:colOff>
      <xdr:row>461</xdr:row>
      <xdr:rowOff>0</xdr:rowOff>
    </xdr:from>
    <xdr:to>
      <xdr:col>5</xdr:col>
      <xdr:colOff>160470</xdr:colOff>
      <xdr:row>463</xdr:row>
      <xdr:rowOff>103043</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60EB4795-4042-417C-B61D-707782917EB1}"/>
                </a:ext>
              </a:extLst>
            </xdr:cNvPr>
            <xdr:cNvSpPr txBox="1"/>
          </xdr:nvSpPr>
          <xdr:spPr>
            <a:xfrm>
              <a:off x="4002405" y="113471325"/>
              <a:ext cx="3101790"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4" name="TextBox 43">
              <a:extLst>
                <a:ext uri="{FF2B5EF4-FFF2-40B4-BE49-F238E27FC236}">
                  <a16:creationId xmlns:a16="http://schemas.microsoft.com/office/drawing/2014/main" id="{60EB4795-4042-417C-B61D-707782917EB1}"/>
                </a:ext>
              </a:extLst>
            </xdr:cNvPr>
            <xdr:cNvSpPr txBox="1"/>
          </xdr:nvSpPr>
          <xdr:spPr>
            <a:xfrm>
              <a:off x="4002405" y="113471325"/>
              <a:ext cx="3101790"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5</xdr:col>
      <xdr:colOff>243840</xdr:colOff>
      <xdr:row>452</xdr:row>
      <xdr:rowOff>167640</xdr:rowOff>
    </xdr:from>
    <xdr:to>
      <xdr:col>7</xdr:col>
      <xdr:colOff>640773</xdr:colOff>
      <xdr:row>454</xdr:row>
      <xdr:rowOff>138546</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50222064-A112-489B-8777-78CC6C9AB760}"/>
                </a:ext>
              </a:extLst>
            </xdr:cNvPr>
            <xdr:cNvSpPr txBox="1"/>
          </xdr:nvSpPr>
          <xdr:spPr>
            <a:xfrm>
              <a:off x="7187565" y="111924465"/>
              <a:ext cx="3568758" cy="35190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45" name="TextBox 44">
              <a:extLst>
                <a:ext uri="{FF2B5EF4-FFF2-40B4-BE49-F238E27FC236}">
                  <a16:creationId xmlns:a16="http://schemas.microsoft.com/office/drawing/2014/main" id="{50222064-A112-489B-8777-78CC6C9AB760}"/>
                </a:ext>
              </a:extLst>
            </xdr:cNvPr>
            <xdr:cNvSpPr txBox="1"/>
          </xdr:nvSpPr>
          <xdr:spPr>
            <a:xfrm>
              <a:off x="7187565" y="111924465"/>
              <a:ext cx="3568758" cy="35190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0</xdr:colOff>
      <xdr:row>399</xdr:row>
      <xdr:rowOff>0</xdr:rowOff>
    </xdr:from>
    <xdr:to>
      <xdr:col>6</xdr:col>
      <xdr:colOff>227312</xdr:colOff>
      <xdr:row>400</xdr:row>
      <xdr:rowOff>165735</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504F25BD-AC92-49B8-ACFB-7F13926CB20A}"/>
                </a:ext>
              </a:extLst>
            </xdr:cNvPr>
            <xdr:cNvSpPr txBox="1"/>
          </xdr:nvSpPr>
          <xdr:spPr>
            <a:xfrm>
              <a:off x="2905125" y="100031550"/>
              <a:ext cx="6132812" cy="35623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𝑜𝑓𝑓𝑖𝑐𝑒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𝑂𝑓𝑓𝑖𝑐𝑒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𝐸𝑛𝑡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𝐸𝑛𝑡</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46" name="TextBox 45">
              <a:extLst>
                <a:ext uri="{FF2B5EF4-FFF2-40B4-BE49-F238E27FC236}">
                  <a16:creationId xmlns:a16="http://schemas.microsoft.com/office/drawing/2014/main" id="{504F25BD-AC92-49B8-ACFB-7F13926CB20A}"/>
                </a:ext>
              </a:extLst>
            </xdr:cNvPr>
            <xdr:cNvSpPr txBox="1"/>
          </xdr:nvSpPr>
          <xdr:spPr>
            <a:xfrm>
              <a:off x="2905125" y="100031550"/>
              <a:ext cx="6132812" cy="35623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600"/>
            </a:p>
          </xdr:txBody>
        </xdr:sp>
      </mc:Fallback>
    </mc:AlternateContent>
    <xdr:clientData/>
  </xdr:twoCellAnchor>
  <xdr:twoCellAnchor>
    <xdr:from>
      <xdr:col>3</xdr:col>
      <xdr:colOff>1318259</xdr:colOff>
      <xdr:row>488</xdr:row>
      <xdr:rowOff>64769</xdr:rowOff>
    </xdr:from>
    <xdr:to>
      <xdr:col>5</xdr:col>
      <xdr:colOff>1714499</xdr:colOff>
      <xdr:row>490</xdr:row>
      <xdr:rowOff>86590</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414D7435-0FD4-4D1A-8EEA-00D367F63A0B}"/>
                </a:ext>
              </a:extLst>
            </xdr:cNvPr>
            <xdr:cNvSpPr txBox="1"/>
          </xdr:nvSpPr>
          <xdr:spPr>
            <a:xfrm>
              <a:off x="2908934" y="120641744"/>
              <a:ext cx="5749290" cy="402821"/>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𝑢𝑛𝑖𝑡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𝑏𝑎𝑠𝑒</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𝑛𝑒𝑤</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𝑆𝑎𝑣𝑖𝑛𝑔𝑠</m:t>
                            </m:r>
                          </m:e>
                        </m:d>
                      </m:e>
                    </m:d>
                  </m:oMath>
                </m:oMathPara>
              </a14:m>
              <a:endParaRPr lang="en-US" sz="1600"/>
            </a:p>
          </xdr:txBody>
        </xdr:sp>
      </mc:Choice>
      <mc:Fallback xmlns="">
        <xdr:sp macro="" textlink="">
          <xdr:nvSpPr>
            <xdr:cNvPr id="47" name="TextBox 46">
              <a:extLst>
                <a:ext uri="{FF2B5EF4-FFF2-40B4-BE49-F238E27FC236}">
                  <a16:creationId xmlns:a16="http://schemas.microsoft.com/office/drawing/2014/main" id="{414D7435-0FD4-4D1A-8EEA-00D367F63A0B}"/>
                </a:ext>
              </a:extLst>
            </xdr:cNvPr>
            <xdr:cNvSpPr txBox="1"/>
          </xdr:nvSpPr>
          <xdr:spPr>
            <a:xfrm>
              <a:off x="2908934" y="120641744"/>
              <a:ext cx="5749290" cy="402821"/>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48" name="TextBox 47">
          <a:extLst>
            <a:ext uri="{FF2B5EF4-FFF2-40B4-BE49-F238E27FC236}">
              <a16:creationId xmlns:a16="http://schemas.microsoft.com/office/drawing/2014/main" id="{6A85CCD3-9CE8-4F1D-A6E1-71E1121F1F1B}"/>
            </a:ext>
          </a:extLst>
        </xdr:cNvPr>
        <xdr:cNvSpPr txBox="1"/>
      </xdr:nvSpPr>
      <xdr:spPr>
        <a:xfrm>
          <a:off x="30758606" y="942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9" name="TextBox 48">
          <a:extLst>
            <a:ext uri="{FF2B5EF4-FFF2-40B4-BE49-F238E27FC236}">
              <a16:creationId xmlns:a16="http://schemas.microsoft.com/office/drawing/2014/main" id="{C98CAA05-1DBF-4691-93F9-3AB08514FFE1}"/>
            </a:ext>
          </a:extLst>
        </xdr:cNvPr>
        <xdr:cNvSpPr txBox="1"/>
      </xdr:nvSpPr>
      <xdr:spPr>
        <a:xfrm>
          <a:off x="30758606" y="942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50" name="TextBox 49">
          <a:extLst>
            <a:ext uri="{FF2B5EF4-FFF2-40B4-BE49-F238E27FC236}">
              <a16:creationId xmlns:a16="http://schemas.microsoft.com/office/drawing/2014/main" id="{6A85CCD3-9CE8-4F1D-A6E1-71E1121F1F1B}"/>
            </a:ext>
          </a:extLst>
        </xdr:cNvPr>
        <xdr:cNvSpPr txBox="1"/>
      </xdr:nvSpPr>
      <xdr:spPr>
        <a:xfrm>
          <a:off x="30758606" y="9324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51" name="TextBox 50">
          <a:extLst>
            <a:ext uri="{FF2B5EF4-FFF2-40B4-BE49-F238E27FC236}">
              <a16:creationId xmlns:a16="http://schemas.microsoft.com/office/drawing/2014/main" id="{C98CAA05-1DBF-4691-93F9-3AB08514FFE1}"/>
            </a:ext>
          </a:extLst>
        </xdr:cNvPr>
        <xdr:cNvSpPr txBox="1"/>
      </xdr:nvSpPr>
      <xdr:spPr>
        <a:xfrm>
          <a:off x="30758606" y="9324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151</xdr:row>
      <xdr:rowOff>0</xdr:rowOff>
    </xdr:from>
    <xdr:ext cx="65" cy="172227"/>
    <xdr:sp macro="" textlink="">
      <xdr:nvSpPr>
        <xdr:cNvPr id="52" name="TextBox 51">
          <a:extLst>
            <a:ext uri="{FF2B5EF4-FFF2-40B4-BE49-F238E27FC236}">
              <a16:creationId xmlns:a16="http://schemas.microsoft.com/office/drawing/2014/main" id="{6A85CCD3-9CE8-4F1D-A6E1-71E1121F1F1B}"/>
            </a:ext>
          </a:extLst>
        </xdr:cNvPr>
        <xdr:cNvSpPr txBox="1"/>
      </xdr:nvSpPr>
      <xdr:spPr>
        <a:xfrm>
          <a:off x="30758606" y="3307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151</xdr:row>
      <xdr:rowOff>0</xdr:rowOff>
    </xdr:from>
    <xdr:ext cx="65" cy="172227"/>
    <xdr:sp macro="" textlink="">
      <xdr:nvSpPr>
        <xdr:cNvPr id="53" name="TextBox 52">
          <a:extLst>
            <a:ext uri="{FF2B5EF4-FFF2-40B4-BE49-F238E27FC236}">
              <a16:creationId xmlns:a16="http://schemas.microsoft.com/office/drawing/2014/main" id="{C98CAA05-1DBF-4691-93F9-3AB08514FFE1}"/>
            </a:ext>
          </a:extLst>
        </xdr:cNvPr>
        <xdr:cNvSpPr txBox="1"/>
      </xdr:nvSpPr>
      <xdr:spPr>
        <a:xfrm>
          <a:off x="30758606" y="3307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176</xdr:row>
      <xdr:rowOff>0</xdr:rowOff>
    </xdr:from>
    <xdr:ext cx="65" cy="172227"/>
    <xdr:sp macro="" textlink="">
      <xdr:nvSpPr>
        <xdr:cNvPr id="54" name="TextBox 53">
          <a:extLst>
            <a:ext uri="{FF2B5EF4-FFF2-40B4-BE49-F238E27FC236}">
              <a16:creationId xmlns:a16="http://schemas.microsoft.com/office/drawing/2014/main" id="{6A85CCD3-9CE8-4F1D-A6E1-71E1121F1F1B}"/>
            </a:ext>
          </a:extLst>
        </xdr:cNvPr>
        <xdr:cNvSpPr txBox="1"/>
      </xdr:nvSpPr>
      <xdr:spPr>
        <a:xfrm>
          <a:off x="30758606" y="382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176</xdr:row>
      <xdr:rowOff>0</xdr:rowOff>
    </xdr:from>
    <xdr:ext cx="65" cy="172227"/>
    <xdr:sp macro="" textlink="">
      <xdr:nvSpPr>
        <xdr:cNvPr id="55" name="TextBox 54">
          <a:extLst>
            <a:ext uri="{FF2B5EF4-FFF2-40B4-BE49-F238E27FC236}">
              <a16:creationId xmlns:a16="http://schemas.microsoft.com/office/drawing/2014/main" id="{C98CAA05-1DBF-4691-93F9-3AB08514FFE1}"/>
            </a:ext>
          </a:extLst>
        </xdr:cNvPr>
        <xdr:cNvSpPr txBox="1"/>
      </xdr:nvSpPr>
      <xdr:spPr>
        <a:xfrm>
          <a:off x="30758606" y="382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206</xdr:row>
      <xdr:rowOff>0</xdr:rowOff>
    </xdr:from>
    <xdr:ext cx="65" cy="172227"/>
    <xdr:sp macro="" textlink="">
      <xdr:nvSpPr>
        <xdr:cNvPr id="56" name="TextBox 55">
          <a:extLst>
            <a:ext uri="{FF2B5EF4-FFF2-40B4-BE49-F238E27FC236}">
              <a16:creationId xmlns:a16="http://schemas.microsoft.com/office/drawing/2014/main" id="{6A85CCD3-9CE8-4F1D-A6E1-71E1121F1F1B}"/>
            </a:ext>
          </a:extLst>
        </xdr:cNvPr>
        <xdr:cNvSpPr txBox="1"/>
      </xdr:nvSpPr>
      <xdr:spPr>
        <a:xfrm>
          <a:off x="30758606" y="46472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206</xdr:row>
      <xdr:rowOff>0</xdr:rowOff>
    </xdr:from>
    <xdr:ext cx="65" cy="172227"/>
    <xdr:sp macro="" textlink="">
      <xdr:nvSpPr>
        <xdr:cNvPr id="57" name="TextBox 56">
          <a:extLst>
            <a:ext uri="{FF2B5EF4-FFF2-40B4-BE49-F238E27FC236}">
              <a16:creationId xmlns:a16="http://schemas.microsoft.com/office/drawing/2014/main" id="{C98CAA05-1DBF-4691-93F9-3AB08514FFE1}"/>
            </a:ext>
          </a:extLst>
        </xdr:cNvPr>
        <xdr:cNvSpPr txBox="1"/>
      </xdr:nvSpPr>
      <xdr:spPr>
        <a:xfrm>
          <a:off x="30758606" y="46472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284</xdr:row>
      <xdr:rowOff>0</xdr:rowOff>
    </xdr:from>
    <xdr:ext cx="65" cy="172227"/>
    <xdr:sp macro="" textlink="">
      <xdr:nvSpPr>
        <xdr:cNvPr id="58" name="TextBox 57">
          <a:extLst>
            <a:ext uri="{FF2B5EF4-FFF2-40B4-BE49-F238E27FC236}">
              <a16:creationId xmlns:a16="http://schemas.microsoft.com/office/drawing/2014/main" id="{6A85CCD3-9CE8-4F1D-A6E1-71E1121F1F1B}"/>
            </a:ext>
          </a:extLst>
        </xdr:cNvPr>
        <xdr:cNvSpPr txBox="1"/>
      </xdr:nvSpPr>
      <xdr:spPr>
        <a:xfrm>
          <a:off x="30758606" y="61902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284</xdr:row>
      <xdr:rowOff>0</xdr:rowOff>
    </xdr:from>
    <xdr:ext cx="65" cy="172227"/>
    <xdr:sp macro="" textlink="">
      <xdr:nvSpPr>
        <xdr:cNvPr id="59" name="TextBox 58">
          <a:extLst>
            <a:ext uri="{FF2B5EF4-FFF2-40B4-BE49-F238E27FC236}">
              <a16:creationId xmlns:a16="http://schemas.microsoft.com/office/drawing/2014/main" id="{C98CAA05-1DBF-4691-93F9-3AB08514FFE1}"/>
            </a:ext>
          </a:extLst>
        </xdr:cNvPr>
        <xdr:cNvSpPr txBox="1"/>
      </xdr:nvSpPr>
      <xdr:spPr>
        <a:xfrm>
          <a:off x="30758606" y="61902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319</xdr:row>
      <xdr:rowOff>0</xdr:rowOff>
    </xdr:from>
    <xdr:ext cx="65" cy="172227"/>
    <xdr:sp macro="" textlink="">
      <xdr:nvSpPr>
        <xdr:cNvPr id="60" name="TextBox 59">
          <a:extLst>
            <a:ext uri="{FF2B5EF4-FFF2-40B4-BE49-F238E27FC236}">
              <a16:creationId xmlns:a16="http://schemas.microsoft.com/office/drawing/2014/main" id="{6A85CCD3-9CE8-4F1D-A6E1-71E1121F1F1B}"/>
            </a:ext>
          </a:extLst>
        </xdr:cNvPr>
        <xdr:cNvSpPr txBox="1"/>
      </xdr:nvSpPr>
      <xdr:spPr>
        <a:xfrm>
          <a:off x="30758606" y="72332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319</xdr:row>
      <xdr:rowOff>0</xdr:rowOff>
    </xdr:from>
    <xdr:ext cx="65" cy="172227"/>
    <xdr:sp macro="" textlink="">
      <xdr:nvSpPr>
        <xdr:cNvPr id="61" name="TextBox 60">
          <a:extLst>
            <a:ext uri="{FF2B5EF4-FFF2-40B4-BE49-F238E27FC236}">
              <a16:creationId xmlns:a16="http://schemas.microsoft.com/office/drawing/2014/main" id="{C98CAA05-1DBF-4691-93F9-3AB08514FFE1}"/>
            </a:ext>
          </a:extLst>
        </xdr:cNvPr>
        <xdr:cNvSpPr txBox="1"/>
      </xdr:nvSpPr>
      <xdr:spPr>
        <a:xfrm>
          <a:off x="30758606" y="72332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353</xdr:row>
      <xdr:rowOff>0</xdr:rowOff>
    </xdr:from>
    <xdr:ext cx="65" cy="172227"/>
    <xdr:sp macro="" textlink="">
      <xdr:nvSpPr>
        <xdr:cNvPr id="62" name="TextBox 61">
          <a:extLst>
            <a:ext uri="{FF2B5EF4-FFF2-40B4-BE49-F238E27FC236}">
              <a16:creationId xmlns:a16="http://schemas.microsoft.com/office/drawing/2014/main" id="{6A85CCD3-9CE8-4F1D-A6E1-71E1121F1F1B}"/>
            </a:ext>
          </a:extLst>
        </xdr:cNvPr>
        <xdr:cNvSpPr txBox="1"/>
      </xdr:nvSpPr>
      <xdr:spPr>
        <a:xfrm>
          <a:off x="30758606" y="8471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353</xdr:row>
      <xdr:rowOff>0</xdr:rowOff>
    </xdr:from>
    <xdr:ext cx="65" cy="172227"/>
    <xdr:sp macro="" textlink="">
      <xdr:nvSpPr>
        <xdr:cNvPr id="63" name="TextBox 62">
          <a:extLst>
            <a:ext uri="{FF2B5EF4-FFF2-40B4-BE49-F238E27FC236}">
              <a16:creationId xmlns:a16="http://schemas.microsoft.com/office/drawing/2014/main" id="{C98CAA05-1DBF-4691-93F9-3AB08514FFE1}"/>
            </a:ext>
          </a:extLst>
        </xdr:cNvPr>
        <xdr:cNvSpPr txBox="1"/>
      </xdr:nvSpPr>
      <xdr:spPr>
        <a:xfrm>
          <a:off x="30758606" y="8471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388</xdr:row>
      <xdr:rowOff>0</xdr:rowOff>
    </xdr:from>
    <xdr:ext cx="65" cy="172227"/>
    <xdr:sp macro="" textlink="">
      <xdr:nvSpPr>
        <xdr:cNvPr id="64" name="TextBox 63">
          <a:extLst>
            <a:ext uri="{FF2B5EF4-FFF2-40B4-BE49-F238E27FC236}">
              <a16:creationId xmlns:a16="http://schemas.microsoft.com/office/drawing/2014/main" id="{6A85CCD3-9CE8-4F1D-A6E1-71E1121F1F1B}"/>
            </a:ext>
          </a:extLst>
        </xdr:cNvPr>
        <xdr:cNvSpPr txBox="1"/>
      </xdr:nvSpPr>
      <xdr:spPr>
        <a:xfrm>
          <a:off x="30758606" y="9755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388</xdr:row>
      <xdr:rowOff>0</xdr:rowOff>
    </xdr:from>
    <xdr:ext cx="65" cy="172227"/>
    <xdr:sp macro="" textlink="">
      <xdr:nvSpPr>
        <xdr:cNvPr id="65" name="TextBox 64">
          <a:extLst>
            <a:ext uri="{FF2B5EF4-FFF2-40B4-BE49-F238E27FC236}">
              <a16:creationId xmlns:a16="http://schemas.microsoft.com/office/drawing/2014/main" id="{C98CAA05-1DBF-4691-93F9-3AB08514FFE1}"/>
            </a:ext>
          </a:extLst>
        </xdr:cNvPr>
        <xdr:cNvSpPr txBox="1"/>
      </xdr:nvSpPr>
      <xdr:spPr>
        <a:xfrm>
          <a:off x="30758606" y="9755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414</xdr:row>
      <xdr:rowOff>0</xdr:rowOff>
    </xdr:from>
    <xdr:ext cx="65" cy="172227"/>
    <xdr:sp macro="" textlink="">
      <xdr:nvSpPr>
        <xdr:cNvPr id="66" name="TextBox 65">
          <a:extLst>
            <a:ext uri="{FF2B5EF4-FFF2-40B4-BE49-F238E27FC236}">
              <a16:creationId xmlns:a16="http://schemas.microsoft.com/office/drawing/2014/main" id="{6A85CCD3-9CE8-4F1D-A6E1-71E1121F1F1B}"/>
            </a:ext>
          </a:extLst>
        </xdr:cNvPr>
        <xdr:cNvSpPr txBox="1"/>
      </xdr:nvSpPr>
      <xdr:spPr>
        <a:xfrm>
          <a:off x="30758606" y="103460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414</xdr:row>
      <xdr:rowOff>0</xdr:rowOff>
    </xdr:from>
    <xdr:ext cx="65" cy="172227"/>
    <xdr:sp macro="" textlink="">
      <xdr:nvSpPr>
        <xdr:cNvPr id="67" name="TextBox 66">
          <a:extLst>
            <a:ext uri="{FF2B5EF4-FFF2-40B4-BE49-F238E27FC236}">
              <a16:creationId xmlns:a16="http://schemas.microsoft.com/office/drawing/2014/main" id="{C98CAA05-1DBF-4691-93F9-3AB08514FFE1}"/>
            </a:ext>
          </a:extLst>
        </xdr:cNvPr>
        <xdr:cNvSpPr txBox="1"/>
      </xdr:nvSpPr>
      <xdr:spPr>
        <a:xfrm>
          <a:off x="30758606" y="103460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446</xdr:row>
      <xdr:rowOff>0</xdr:rowOff>
    </xdr:from>
    <xdr:ext cx="65" cy="172227"/>
    <xdr:sp macro="" textlink="">
      <xdr:nvSpPr>
        <xdr:cNvPr id="68" name="TextBox 67">
          <a:extLst>
            <a:ext uri="{FF2B5EF4-FFF2-40B4-BE49-F238E27FC236}">
              <a16:creationId xmlns:a16="http://schemas.microsoft.com/office/drawing/2014/main" id="{6A85CCD3-9CE8-4F1D-A6E1-71E1121F1F1B}"/>
            </a:ext>
          </a:extLst>
        </xdr:cNvPr>
        <xdr:cNvSpPr txBox="1"/>
      </xdr:nvSpPr>
      <xdr:spPr>
        <a:xfrm>
          <a:off x="30758606" y="110128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446</xdr:row>
      <xdr:rowOff>0</xdr:rowOff>
    </xdr:from>
    <xdr:ext cx="65" cy="172227"/>
    <xdr:sp macro="" textlink="">
      <xdr:nvSpPr>
        <xdr:cNvPr id="69" name="TextBox 68">
          <a:extLst>
            <a:ext uri="{FF2B5EF4-FFF2-40B4-BE49-F238E27FC236}">
              <a16:creationId xmlns:a16="http://schemas.microsoft.com/office/drawing/2014/main" id="{C98CAA05-1DBF-4691-93F9-3AB08514FFE1}"/>
            </a:ext>
          </a:extLst>
        </xdr:cNvPr>
        <xdr:cNvSpPr txBox="1"/>
      </xdr:nvSpPr>
      <xdr:spPr>
        <a:xfrm>
          <a:off x="30758606" y="110128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482</xdr:row>
      <xdr:rowOff>0</xdr:rowOff>
    </xdr:from>
    <xdr:ext cx="65" cy="172227"/>
    <xdr:sp macro="" textlink="">
      <xdr:nvSpPr>
        <xdr:cNvPr id="70" name="TextBox 69">
          <a:extLst>
            <a:ext uri="{FF2B5EF4-FFF2-40B4-BE49-F238E27FC236}">
              <a16:creationId xmlns:a16="http://schemas.microsoft.com/office/drawing/2014/main" id="{6A85CCD3-9CE8-4F1D-A6E1-71E1121F1F1B}"/>
            </a:ext>
          </a:extLst>
        </xdr:cNvPr>
        <xdr:cNvSpPr txBox="1"/>
      </xdr:nvSpPr>
      <xdr:spPr>
        <a:xfrm>
          <a:off x="30758606" y="118862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482</xdr:row>
      <xdr:rowOff>0</xdr:rowOff>
    </xdr:from>
    <xdr:ext cx="65" cy="172227"/>
    <xdr:sp macro="" textlink="">
      <xdr:nvSpPr>
        <xdr:cNvPr id="71" name="TextBox 70">
          <a:extLst>
            <a:ext uri="{FF2B5EF4-FFF2-40B4-BE49-F238E27FC236}">
              <a16:creationId xmlns:a16="http://schemas.microsoft.com/office/drawing/2014/main" id="{C98CAA05-1DBF-4691-93F9-3AB08514FFE1}"/>
            </a:ext>
          </a:extLst>
        </xdr:cNvPr>
        <xdr:cNvSpPr txBox="1"/>
      </xdr:nvSpPr>
      <xdr:spPr>
        <a:xfrm>
          <a:off x="30758606" y="118862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85939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85939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xdr:row>
      <xdr:rowOff>0</xdr:rowOff>
    </xdr:from>
    <xdr:ext cx="65" cy="172227"/>
    <xdr:sp macro="" textlink="">
      <xdr:nvSpPr>
        <xdr:cNvPr id="4" name="TextBox 3">
          <a:extLst>
            <a:ext uri="{FF2B5EF4-FFF2-40B4-BE49-F238E27FC236}">
              <a16:creationId xmlns:a16="http://schemas.microsoft.com/office/drawing/2014/main" id="{B01B875B-1655-4FF7-85B9-92B8594200DF}"/>
            </a:ext>
          </a:extLst>
        </xdr:cNvPr>
        <xdr:cNvSpPr txBox="1"/>
      </xdr:nvSpPr>
      <xdr:spPr>
        <a:xfrm>
          <a:off x="8593931" y="454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xdr:row>
      <xdr:rowOff>0</xdr:rowOff>
    </xdr:from>
    <xdr:ext cx="65" cy="172227"/>
    <xdr:sp macro="" textlink="">
      <xdr:nvSpPr>
        <xdr:cNvPr id="5" name="TextBox 4">
          <a:extLst>
            <a:ext uri="{FF2B5EF4-FFF2-40B4-BE49-F238E27FC236}">
              <a16:creationId xmlns:a16="http://schemas.microsoft.com/office/drawing/2014/main" id="{72077759-98AD-4E78-AE84-11633BD394DA}"/>
            </a:ext>
          </a:extLst>
        </xdr:cNvPr>
        <xdr:cNvSpPr txBox="1"/>
      </xdr:nvSpPr>
      <xdr:spPr>
        <a:xfrm>
          <a:off x="8593931" y="454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35</xdr:row>
      <xdr:rowOff>0</xdr:rowOff>
    </xdr:from>
    <xdr:ext cx="65" cy="172227"/>
    <xdr:sp macro="" textlink="">
      <xdr:nvSpPr>
        <xdr:cNvPr id="6" name="TextBox 5">
          <a:extLst>
            <a:ext uri="{FF2B5EF4-FFF2-40B4-BE49-F238E27FC236}">
              <a16:creationId xmlns:a16="http://schemas.microsoft.com/office/drawing/2014/main" id="{3E66A867-CF61-4730-B242-BED8DD4BFB9E}"/>
            </a:ext>
          </a:extLst>
        </xdr:cNvPr>
        <xdr:cNvSpPr txBox="1"/>
      </xdr:nvSpPr>
      <xdr:spPr>
        <a:xfrm>
          <a:off x="8593931" y="778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35</xdr:row>
      <xdr:rowOff>0</xdr:rowOff>
    </xdr:from>
    <xdr:ext cx="65" cy="172227"/>
    <xdr:sp macro="" textlink="">
      <xdr:nvSpPr>
        <xdr:cNvPr id="7" name="TextBox 6">
          <a:extLst>
            <a:ext uri="{FF2B5EF4-FFF2-40B4-BE49-F238E27FC236}">
              <a16:creationId xmlns:a16="http://schemas.microsoft.com/office/drawing/2014/main" id="{678C4720-5D7F-4EB7-9B91-CFE462B9C78D}"/>
            </a:ext>
          </a:extLst>
        </xdr:cNvPr>
        <xdr:cNvSpPr txBox="1"/>
      </xdr:nvSpPr>
      <xdr:spPr>
        <a:xfrm>
          <a:off x="8593931" y="778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238125</xdr:colOff>
      <xdr:row>42</xdr:row>
      <xdr:rowOff>123825</xdr:rowOff>
    </xdr:from>
    <xdr:to>
      <xdr:col>7</xdr:col>
      <xdr:colOff>256543</xdr:colOff>
      <xdr:row>47</xdr:row>
      <xdr:rowOff>28468</xdr:rowOff>
    </xdr:to>
    <xdr:pic>
      <xdr:nvPicPr>
        <xdr:cNvPr id="8" name="Picture 7">
          <a:extLst>
            <a:ext uri="{FF2B5EF4-FFF2-40B4-BE49-F238E27FC236}">
              <a16:creationId xmlns:a16="http://schemas.microsoft.com/office/drawing/2014/main" id="{26CCDEFA-3EED-4DDB-A8F1-4D08E54BA059}"/>
            </a:ext>
          </a:extLst>
        </xdr:cNvPr>
        <xdr:cNvPicPr>
          <a:picLocks noChangeAspect="1"/>
        </xdr:cNvPicPr>
      </xdr:nvPicPr>
      <xdr:blipFill>
        <a:blip xmlns:r="http://schemas.openxmlformats.org/officeDocument/2006/relationships" r:embed="rId1"/>
        <a:stretch>
          <a:fillRect/>
        </a:stretch>
      </xdr:blipFill>
      <xdr:spPr>
        <a:xfrm>
          <a:off x="3790950" y="9620250"/>
          <a:ext cx="5057143" cy="857143"/>
        </a:xfrm>
        <a:prstGeom prst="rect">
          <a:avLst/>
        </a:prstGeom>
      </xdr:spPr>
    </xdr:pic>
    <xdr:clientData/>
  </xdr:twoCellAnchor>
  <xdr:twoCellAnchor>
    <xdr:from>
      <xdr:col>7</xdr:col>
      <xdr:colOff>800100</xdr:colOff>
      <xdr:row>43</xdr:row>
      <xdr:rowOff>171450</xdr:rowOff>
    </xdr:from>
    <xdr:to>
      <xdr:col>9</xdr:col>
      <xdr:colOff>561770</xdr:colOff>
      <xdr:row>45</xdr:row>
      <xdr:rowOff>66640</xdr:rowOff>
    </xdr:to>
    <xdr:pic>
      <xdr:nvPicPr>
        <xdr:cNvPr id="9" name="Picture 8">
          <a:extLst>
            <a:ext uri="{FF2B5EF4-FFF2-40B4-BE49-F238E27FC236}">
              <a16:creationId xmlns:a16="http://schemas.microsoft.com/office/drawing/2014/main" id="{FB0C7CB2-51F2-4CD0-B13F-2A14302D1096}"/>
            </a:ext>
          </a:extLst>
        </xdr:cNvPr>
        <xdr:cNvPicPr>
          <a:picLocks noChangeAspect="1"/>
        </xdr:cNvPicPr>
      </xdr:nvPicPr>
      <xdr:blipFill>
        <a:blip xmlns:r="http://schemas.openxmlformats.org/officeDocument/2006/relationships" r:embed="rId2"/>
        <a:stretch>
          <a:fillRect/>
        </a:stretch>
      </xdr:blipFill>
      <xdr:spPr>
        <a:xfrm>
          <a:off x="9391650" y="9858375"/>
          <a:ext cx="1638095" cy="276190"/>
        </a:xfrm>
        <a:prstGeom prst="rect">
          <a:avLst/>
        </a:prstGeom>
      </xdr:spPr>
    </xdr:pic>
    <xdr:clientData/>
  </xdr:twoCellAnchor>
  <xdr:twoCellAnchor>
    <xdr:from>
      <xdr:col>3</xdr:col>
      <xdr:colOff>9525</xdr:colOff>
      <xdr:row>10</xdr:row>
      <xdr:rowOff>152400</xdr:rowOff>
    </xdr:from>
    <xdr:to>
      <xdr:col>12</xdr:col>
      <xdr:colOff>155682</xdr:colOff>
      <xdr:row>12</xdr:row>
      <xdr:rowOff>14543</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019300" y="2790825"/>
              <a:ext cx="11309457"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kWhUnit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0" name="TextBox 9">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019300" y="2790825"/>
              <a:ext cx="11309457"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"∆kWhUnit " </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5</xdr:col>
      <xdr:colOff>2269331</xdr:colOff>
      <xdr:row>15</xdr:row>
      <xdr:rowOff>453627</xdr:rowOff>
    </xdr:from>
    <xdr:ext cx="65" cy="172227"/>
    <xdr:sp macro="" textlink="">
      <xdr:nvSpPr>
        <xdr:cNvPr id="11" name="TextBox 10">
          <a:extLst>
            <a:ext uri="{FF2B5EF4-FFF2-40B4-BE49-F238E27FC236}">
              <a16:creationId xmlns:a16="http://schemas.microsoft.com/office/drawing/2014/main" id="{6D10CC00-0055-429C-9172-BC9FFA925EED}"/>
            </a:ext>
          </a:extLst>
        </xdr:cNvPr>
        <xdr:cNvSpPr txBox="1"/>
      </xdr:nvSpPr>
      <xdr:spPr>
        <a:xfrm>
          <a:off x="7346156" y="37778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12" name="TextBox 11">
          <a:extLst>
            <a:ext uri="{FF2B5EF4-FFF2-40B4-BE49-F238E27FC236}">
              <a16:creationId xmlns:a16="http://schemas.microsoft.com/office/drawing/2014/main" id="{6D10CC00-0055-429C-9172-BC9FFA925EED}"/>
            </a:ext>
          </a:extLst>
        </xdr:cNvPr>
        <xdr:cNvSpPr txBox="1"/>
      </xdr:nvSpPr>
      <xdr:spPr>
        <a:xfrm>
          <a:off x="7346156" y="37778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13" name="TextBox 12">
          <a:extLst>
            <a:ext uri="{FF2B5EF4-FFF2-40B4-BE49-F238E27FC236}">
              <a16:creationId xmlns:a16="http://schemas.microsoft.com/office/drawing/2014/main" id="{8ACDBCF3-DC86-4460-9426-07067DCAF324}"/>
            </a:ext>
          </a:extLst>
        </xdr:cNvPr>
        <xdr:cNvSpPr txBox="1"/>
      </xdr:nvSpPr>
      <xdr:spPr>
        <a:xfrm>
          <a:off x="7346156" y="37778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453627</xdr:rowOff>
    </xdr:from>
    <xdr:to>
      <xdr:col>6</xdr:col>
      <xdr:colOff>7209</xdr:colOff>
      <xdr:row>16</xdr:row>
      <xdr:rowOff>173417</xdr:rowOff>
    </xdr:to>
    <xdr:sp macro="" textlink="">
      <xdr:nvSpPr>
        <xdr:cNvPr id="14" name="TextBox 13">
          <a:extLst>
            <a:ext uri="{FF2B5EF4-FFF2-40B4-BE49-F238E27FC236}">
              <a16:creationId xmlns:a16="http://schemas.microsoft.com/office/drawing/2014/main" id="{6D10CC00-0055-429C-9172-BC9FFA925EED}"/>
            </a:ext>
          </a:extLst>
        </xdr:cNvPr>
        <xdr:cNvSpPr txBox="1"/>
      </xdr:nvSpPr>
      <xdr:spPr>
        <a:xfrm>
          <a:off x="7346156" y="3777852"/>
          <a:ext cx="4828"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453627</xdr:rowOff>
    </xdr:from>
    <xdr:to>
      <xdr:col>6</xdr:col>
      <xdr:colOff>7209</xdr:colOff>
      <xdr:row>16</xdr:row>
      <xdr:rowOff>173417</xdr:rowOff>
    </xdr:to>
    <xdr:sp macro="" textlink="">
      <xdr:nvSpPr>
        <xdr:cNvPr id="15" name="TextBox 14">
          <a:extLst>
            <a:ext uri="{FF2B5EF4-FFF2-40B4-BE49-F238E27FC236}">
              <a16:creationId xmlns:a16="http://schemas.microsoft.com/office/drawing/2014/main" id="{8ACDBCF3-DC86-4460-9426-07067DCAF324}"/>
            </a:ext>
          </a:extLst>
        </xdr:cNvPr>
        <xdr:cNvSpPr txBox="1"/>
      </xdr:nvSpPr>
      <xdr:spPr>
        <a:xfrm>
          <a:off x="7346156" y="3777852"/>
          <a:ext cx="4828"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31</xdr:row>
      <xdr:rowOff>453627</xdr:rowOff>
    </xdr:from>
    <xdr:ext cx="65" cy="172227"/>
    <xdr:sp macro="" textlink="">
      <xdr:nvSpPr>
        <xdr:cNvPr id="16" name="TextBox 15">
          <a:extLst>
            <a:ext uri="{FF2B5EF4-FFF2-40B4-BE49-F238E27FC236}">
              <a16:creationId xmlns:a16="http://schemas.microsoft.com/office/drawing/2014/main" id="{6D10CC00-0055-429C-9172-BC9FFA925EED}"/>
            </a:ext>
          </a:extLst>
        </xdr:cNvPr>
        <xdr:cNvSpPr txBox="1"/>
      </xdr:nvSpPr>
      <xdr:spPr>
        <a:xfrm>
          <a:off x="7346156" y="72068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31</xdr:row>
      <xdr:rowOff>453627</xdr:rowOff>
    </xdr:from>
    <xdr:ext cx="65" cy="172227"/>
    <xdr:sp macro="" textlink="">
      <xdr:nvSpPr>
        <xdr:cNvPr id="17" name="TextBox 16">
          <a:extLst>
            <a:ext uri="{FF2B5EF4-FFF2-40B4-BE49-F238E27FC236}">
              <a16:creationId xmlns:a16="http://schemas.microsoft.com/office/drawing/2014/main" id="{6D10CC00-0055-429C-9172-BC9FFA925EED}"/>
            </a:ext>
          </a:extLst>
        </xdr:cNvPr>
        <xdr:cNvSpPr txBox="1"/>
      </xdr:nvSpPr>
      <xdr:spPr>
        <a:xfrm>
          <a:off x="7346156" y="72068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31</xdr:row>
      <xdr:rowOff>453627</xdr:rowOff>
    </xdr:from>
    <xdr:ext cx="65" cy="172227"/>
    <xdr:sp macro="" textlink="">
      <xdr:nvSpPr>
        <xdr:cNvPr id="18" name="TextBox 17">
          <a:extLst>
            <a:ext uri="{FF2B5EF4-FFF2-40B4-BE49-F238E27FC236}">
              <a16:creationId xmlns:a16="http://schemas.microsoft.com/office/drawing/2014/main" id="{8ACDBCF3-DC86-4460-9426-07067DCAF324}"/>
            </a:ext>
          </a:extLst>
        </xdr:cNvPr>
        <xdr:cNvSpPr txBox="1"/>
      </xdr:nvSpPr>
      <xdr:spPr>
        <a:xfrm>
          <a:off x="7346156" y="72068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31</xdr:row>
      <xdr:rowOff>453627</xdr:rowOff>
    </xdr:from>
    <xdr:to>
      <xdr:col>6</xdr:col>
      <xdr:colOff>7209</xdr:colOff>
      <xdr:row>32</xdr:row>
      <xdr:rowOff>173417</xdr:rowOff>
    </xdr:to>
    <xdr:sp macro="" textlink="">
      <xdr:nvSpPr>
        <xdr:cNvPr id="19" name="TextBox 18">
          <a:extLst>
            <a:ext uri="{FF2B5EF4-FFF2-40B4-BE49-F238E27FC236}">
              <a16:creationId xmlns:a16="http://schemas.microsoft.com/office/drawing/2014/main" id="{6D10CC00-0055-429C-9172-BC9FFA925EED}"/>
            </a:ext>
          </a:extLst>
        </xdr:cNvPr>
        <xdr:cNvSpPr txBox="1"/>
      </xdr:nvSpPr>
      <xdr:spPr>
        <a:xfrm>
          <a:off x="7346156" y="7206852"/>
          <a:ext cx="4828"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31</xdr:row>
      <xdr:rowOff>453627</xdr:rowOff>
    </xdr:from>
    <xdr:to>
      <xdr:col>6</xdr:col>
      <xdr:colOff>7209</xdr:colOff>
      <xdr:row>32</xdr:row>
      <xdr:rowOff>173417</xdr:rowOff>
    </xdr:to>
    <xdr:sp macro="" textlink="">
      <xdr:nvSpPr>
        <xdr:cNvPr id="20" name="TextBox 19">
          <a:extLst>
            <a:ext uri="{FF2B5EF4-FFF2-40B4-BE49-F238E27FC236}">
              <a16:creationId xmlns:a16="http://schemas.microsoft.com/office/drawing/2014/main" id="{8ACDBCF3-DC86-4460-9426-07067DCAF324}"/>
            </a:ext>
          </a:extLst>
        </xdr:cNvPr>
        <xdr:cNvSpPr txBox="1"/>
      </xdr:nvSpPr>
      <xdr:spPr>
        <a:xfrm>
          <a:off x="7346156" y="7206852"/>
          <a:ext cx="4828"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3</xdr:col>
      <xdr:colOff>9525</xdr:colOff>
      <xdr:row>26</xdr:row>
      <xdr:rowOff>114300</xdr:rowOff>
    </xdr:from>
    <xdr:to>
      <xdr:col>12</xdr:col>
      <xdr:colOff>155682</xdr:colOff>
      <xdr:row>27</xdr:row>
      <xdr:rowOff>166943</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019300" y="6181725"/>
              <a:ext cx="11309457"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kWhUnit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21" name="TextBox 20">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019300" y="6181725"/>
              <a:ext cx="11309457"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"∆kWhUnit " </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2269331</xdr:colOff>
      <xdr:row>3</xdr:row>
      <xdr:rowOff>0</xdr:rowOff>
    </xdr:from>
    <xdr:ext cx="65" cy="172227"/>
    <xdr:sp macro="" textlink="">
      <xdr:nvSpPr>
        <xdr:cNvPr id="22" name="TextBox 21">
          <a:extLst>
            <a:ext uri="{FF2B5EF4-FFF2-40B4-BE49-F238E27FC236}">
              <a16:creationId xmlns:a16="http://schemas.microsoft.com/office/drawing/2014/main" id="{6A85CCD3-9CE8-4F1D-A6E1-71E1121F1F1B}"/>
            </a:ext>
          </a:extLst>
        </xdr:cNvPr>
        <xdr:cNvSpPr txBox="1"/>
      </xdr:nvSpPr>
      <xdr:spPr>
        <a:xfrm>
          <a:off x="2214800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3" name="TextBox 22">
          <a:extLst>
            <a:ext uri="{FF2B5EF4-FFF2-40B4-BE49-F238E27FC236}">
              <a16:creationId xmlns:a16="http://schemas.microsoft.com/office/drawing/2014/main" id="{C98CAA05-1DBF-4691-93F9-3AB08514FFE1}"/>
            </a:ext>
          </a:extLst>
        </xdr:cNvPr>
        <xdr:cNvSpPr txBox="1"/>
      </xdr:nvSpPr>
      <xdr:spPr>
        <a:xfrm>
          <a:off x="2214800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4" name="TextBox 23">
          <a:extLst>
            <a:ext uri="{FF2B5EF4-FFF2-40B4-BE49-F238E27FC236}">
              <a16:creationId xmlns:a16="http://schemas.microsoft.com/office/drawing/2014/main" id="{6A85CCD3-9CE8-4F1D-A6E1-71E1121F1F1B}"/>
            </a:ext>
          </a:extLst>
        </xdr:cNvPr>
        <xdr:cNvSpPr txBox="1"/>
      </xdr:nvSpPr>
      <xdr:spPr>
        <a:xfrm>
          <a:off x="2214800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5" name="TextBox 24">
          <a:extLst>
            <a:ext uri="{FF2B5EF4-FFF2-40B4-BE49-F238E27FC236}">
              <a16:creationId xmlns:a16="http://schemas.microsoft.com/office/drawing/2014/main" id="{C98CAA05-1DBF-4691-93F9-3AB08514FFE1}"/>
            </a:ext>
          </a:extLst>
        </xdr:cNvPr>
        <xdr:cNvSpPr txBox="1"/>
      </xdr:nvSpPr>
      <xdr:spPr>
        <a:xfrm>
          <a:off x="2214800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6" name="TextBox 25">
          <a:extLst>
            <a:ext uri="{FF2B5EF4-FFF2-40B4-BE49-F238E27FC236}">
              <a16:creationId xmlns:a16="http://schemas.microsoft.com/office/drawing/2014/main" id="{6A85CCD3-9CE8-4F1D-A6E1-71E1121F1F1B}"/>
            </a:ext>
          </a:extLst>
        </xdr:cNvPr>
        <xdr:cNvSpPr txBox="1"/>
      </xdr:nvSpPr>
      <xdr:spPr>
        <a:xfrm>
          <a:off x="22148006" y="454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7" name="TextBox 26">
          <a:extLst>
            <a:ext uri="{FF2B5EF4-FFF2-40B4-BE49-F238E27FC236}">
              <a16:creationId xmlns:a16="http://schemas.microsoft.com/office/drawing/2014/main" id="{C98CAA05-1DBF-4691-93F9-3AB08514FFE1}"/>
            </a:ext>
          </a:extLst>
        </xdr:cNvPr>
        <xdr:cNvSpPr txBox="1"/>
      </xdr:nvSpPr>
      <xdr:spPr>
        <a:xfrm>
          <a:off x="22148006" y="454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8" name="TextBox 27">
          <a:extLst>
            <a:ext uri="{FF2B5EF4-FFF2-40B4-BE49-F238E27FC236}">
              <a16:creationId xmlns:a16="http://schemas.microsoft.com/office/drawing/2014/main" id="{6A85CCD3-9CE8-4F1D-A6E1-71E1121F1F1B}"/>
            </a:ext>
          </a:extLst>
        </xdr:cNvPr>
        <xdr:cNvSpPr txBox="1"/>
      </xdr:nvSpPr>
      <xdr:spPr>
        <a:xfrm>
          <a:off x="22148006" y="454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9" name="TextBox 28">
          <a:extLst>
            <a:ext uri="{FF2B5EF4-FFF2-40B4-BE49-F238E27FC236}">
              <a16:creationId xmlns:a16="http://schemas.microsoft.com/office/drawing/2014/main" id="{C98CAA05-1DBF-4691-93F9-3AB08514FFE1}"/>
            </a:ext>
          </a:extLst>
        </xdr:cNvPr>
        <xdr:cNvSpPr txBox="1"/>
      </xdr:nvSpPr>
      <xdr:spPr>
        <a:xfrm>
          <a:off x="22148006" y="454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0" name="TextBox 29">
          <a:extLst>
            <a:ext uri="{FF2B5EF4-FFF2-40B4-BE49-F238E27FC236}">
              <a16:creationId xmlns:a16="http://schemas.microsoft.com/office/drawing/2014/main" id="{6A85CCD3-9CE8-4F1D-A6E1-71E1121F1F1B}"/>
            </a:ext>
          </a:extLst>
        </xdr:cNvPr>
        <xdr:cNvSpPr txBox="1"/>
      </xdr:nvSpPr>
      <xdr:spPr>
        <a:xfrm>
          <a:off x="22148006" y="778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1" name="TextBox 30">
          <a:extLst>
            <a:ext uri="{FF2B5EF4-FFF2-40B4-BE49-F238E27FC236}">
              <a16:creationId xmlns:a16="http://schemas.microsoft.com/office/drawing/2014/main" id="{C98CAA05-1DBF-4691-93F9-3AB08514FFE1}"/>
            </a:ext>
          </a:extLst>
        </xdr:cNvPr>
        <xdr:cNvSpPr txBox="1"/>
      </xdr:nvSpPr>
      <xdr:spPr>
        <a:xfrm>
          <a:off x="22148006" y="778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2" name="TextBox 31">
          <a:extLst>
            <a:ext uri="{FF2B5EF4-FFF2-40B4-BE49-F238E27FC236}">
              <a16:creationId xmlns:a16="http://schemas.microsoft.com/office/drawing/2014/main" id="{6A85CCD3-9CE8-4F1D-A6E1-71E1121F1F1B}"/>
            </a:ext>
          </a:extLst>
        </xdr:cNvPr>
        <xdr:cNvSpPr txBox="1"/>
      </xdr:nvSpPr>
      <xdr:spPr>
        <a:xfrm>
          <a:off x="22148006" y="778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3" name="TextBox 32">
          <a:extLst>
            <a:ext uri="{FF2B5EF4-FFF2-40B4-BE49-F238E27FC236}">
              <a16:creationId xmlns:a16="http://schemas.microsoft.com/office/drawing/2014/main" id="{C98CAA05-1DBF-4691-93F9-3AB08514FFE1}"/>
            </a:ext>
          </a:extLst>
        </xdr:cNvPr>
        <xdr:cNvSpPr txBox="1"/>
      </xdr:nvSpPr>
      <xdr:spPr>
        <a:xfrm>
          <a:off x="22148006" y="778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4" name="TextBox 33">
          <a:extLst>
            <a:ext uri="{FF2B5EF4-FFF2-40B4-BE49-F238E27FC236}">
              <a16:creationId xmlns:a16="http://schemas.microsoft.com/office/drawing/2014/main" id="{6A85CCD3-9CE8-4F1D-A6E1-71E1121F1F1B}"/>
            </a:ext>
          </a:extLst>
        </xdr:cNvPr>
        <xdr:cNvSpPr txBox="1"/>
      </xdr:nvSpPr>
      <xdr:spPr>
        <a:xfrm>
          <a:off x="22148006" y="1330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5" name="TextBox 34">
          <a:extLst>
            <a:ext uri="{FF2B5EF4-FFF2-40B4-BE49-F238E27FC236}">
              <a16:creationId xmlns:a16="http://schemas.microsoft.com/office/drawing/2014/main" id="{C98CAA05-1DBF-4691-93F9-3AB08514FFE1}"/>
            </a:ext>
          </a:extLst>
        </xdr:cNvPr>
        <xdr:cNvSpPr txBox="1"/>
      </xdr:nvSpPr>
      <xdr:spPr>
        <a:xfrm>
          <a:off x="22148006" y="1330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6" name="TextBox 35">
          <a:extLst>
            <a:ext uri="{FF2B5EF4-FFF2-40B4-BE49-F238E27FC236}">
              <a16:creationId xmlns:a16="http://schemas.microsoft.com/office/drawing/2014/main" id="{6A85CCD3-9CE8-4F1D-A6E1-71E1121F1F1B}"/>
            </a:ext>
          </a:extLst>
        </xdr:cNvPr>
        <xdr:cNvSpPr txBox="1"/>
      </xdr:nvSpPr>
      <xdr:spPr>
        <a:xfrm>
          <a:off x="22148006" y="1330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7" name="TextBox 36">
          <a:extLst>
            <a:ext uri="{FF2B5EF4-FFF2-40B4-BE49-F238E27FC236}">
              <a16:creationId xmlns:a16="http://schemas.microsoft.com/office/drawing/2014/main" id="{C98CAA05-1DBF-4691-93F9-3AB08514FFE1}"/>
            </a:ext>
          </a:extLst>
        </xdr:cNvPr>
        <xdr:cNvSpPr txBox="1"/>
      </xdr:nvSpPr>
      <xdr:spPr>
        <a:xfrm>
          <a:off x="22148006" y="1330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200025</xdr:colOff>
      <xdr:row>67</xdr:row>
      <xdr:rowOff>133350</xdr:rowOff>
    </xdr:from>
    <xdr:to>
      <xdr:col>4</xdr:col>
      <xdr:colOff>2254081</xdr:colOff>
      <xdr:row>68</xdr:row>
      <xdr:rowOff>162013</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A713EEAF-4622-4EBF-B2C3-A2AD689FE21F}"/>
                </a:ext>
              </a:extLst>
            </xdr:cNvPr>
            <xdr:cNvSpPr txBox="1"/>
          </xdr:nvSpPr>
          <xdr:spPr>
            <a:xfrm>
              <a:off x="2209800" y="11306175"/>
              <a:ext cx="3597106"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n-US" sz="1000" i="0">
                      <a:latin typeface="Cambria Math" panose="02040503050406030204" pitchFamily="18" charset="0"/>
                      <a:ea typeface="Cambria Math" panose="02040503050406030204" pitchFamily="18" charset="0"/>
                    </a:rPr>
                    <m:t>D</m:t>
                  </m:r>
                  <m:r>
                    <m:rPr>
                      <m:sty m:val="p"/>
                    </m:rPr>
                    <a:rPr lang="en-US" sz="1000" b="0" i="0">
                      <a:latin typeface="Cambria Math" panose="02040503050406030204" pitchFamily="18" charset="0"/>
                      <a:ea typeface="Cambria Math" panose="02040503050406030204" pitchFamily="18" charset="0"/>
                    </a:rPr>
                    <m:t>eemed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Value</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per</m:t>
                  </m:r>
                  <m:r>
                    <a:rPr lang="en-US" sz="1000" b="0" i="0">
                      <a:latin typeface="Cambria Math" panose="02040503050406030204" pitchFamily="18" charset="0"/>
                      <a:ea typeface="Cambria Math" panose="02040503050406030204" pitchFamily="18" charset="0"/>
                    </a:rPr>
                    <m:t> 2018 </m:t>
                  </m:r>
                  <m:r>
                    <m:rPr>
                      <m:sty m:val="p"/>
                    </m:rPr>
                    <a:rPr lang="en-US" sz="1000" b="0" i="0">
                      <a:latin typeface="Cambria Math" panose="02040503050406030204" pitchFamily="18" charset="0"/>
                      <a:ea typeface="Cambria Math" panose="02040503050406030204" pitchFamily="18" charset="0"/>
                    </a:rPr>
                    <m:t>MEMD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Database</m:t>
                  </m:r>
                </m:oMath>
              </a14:m>
              <a:r>
                <a:rPr lang="en-US" sz="1000" i="0">
                  <a:latin typeface="+mn-lt"/>
                </a:rPr>
                <a:t> </a:t>
              </a:r>
            </a:p>
          </xdr:txBody>
        </xdr:sp>
      </mc:Choice>
      <mc:Fallback xmlns="">
        <xdr:sp macro="" textlink="">
          <xdr:nvSpPr>
            <xdr:cNvPr id="38" name="TextBox 37">
              <a:extLst>
                <a:ext uri="{FF2B5EF4-FFF2-40B4-BE49-F238E27FC236}">
                  <a16:creationId xmlns:a16="http://schemas.microsoft.com/office/drawing/2014/main" id="{A713EEAF-4622-4EBF-B2C3-A2AD689FE21F}"/>
                </a:ext>
              </a:extLst>
            </xdr:cNvPr>
            <xdr:cNvSpPr txBox="1"/>
          </xdr:nvSpPr>
          <xdr:spPr>
            <a:xfrm>
              <a:off x="2209800" y="11306175"/>
              <a:ext cx="3597106"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000" i="0">
                  <a:latin typeface="Cambria Math" panose="02040503050406030204" pitchFamily="18" charset="0"/>
                  <a:ea typeface="Cambria Math" panose="02040503050406030204" pitchFamily="18" charset="0"/>
                </a:rPr>
                <a:t>D</a:t>
              </a:r>
              <a:r>
                <a:rPr lang="en-US" sz="1000" b="0" i="0">
                  <a:latin typeface="Cambria Math" panose="02040503050406030204" pitchFamily="18" charset="0"/>
                  <a:ea typeface="Cambria Math" panose="02040503050406030204" pitchFamily="18" charset="0"/>
                </a:rPr>
                <a:t>eemed Value, per 2018 MEMD Database</a:t>
              </a:r>
              <a:r>
                <a:rPr lang="en-US" sz="1000" i="0">
                  <a:latin typeface="+mn-lt"/>
                </a:rPr>
                <a:t> </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Users\jordan.christenson\Desktop\OGE\Edited%20EXAMPLE%20Site%20Visit%20Calculator.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P\1609\2.%20Multifamily%20DI\Analysis\Duct%20Sealing_Trade%20Allies_M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P\1315\1315-16%20Low%20Income%20Home%20Efficiency\PNM%20Low%20Income%20SAMPLE%201409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dmusgroup.org\energy\Users\Sam%20Chen\Desktop\AUE%20Lighting%20Impact%20Workbook%2028Jan201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L:\P\1609\2.%20Multifamily%20DI\Analysis\Final%20Analysis%20MFDI_V2_JC.zk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sites\6320-P02\phase01\Shared%20Documents\Programs\Energy%20Efficiency%20Kits\PY16\5.%20Impact%20analysis\InstallationRates%20COPY%20FOR%20NTG.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sites\6320-P02\phase01\Shared%20Documents\Programs\Energy%20Efficiency%20Kits\PY16\5.%20Impact%20analysis\Ameren%20MO_Lighting_PY16_Dashboard_Q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Users\jennifer.shen\Downloads\Jen%20Dec%20ABQ%20Scheduling%20Workbookl.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aseworks.ameren.com/DSM/2016%20Evaluation/ADM_Annual_Reporting_Documentation/Impact/BizSavers%20Analysis/BizSavers%20Site-Level%20Analysis/1078_14649_&#173;Bethesda%20Health%20Group%20Inc/LM_docs/14649%20-%20Application%20Fin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Transfer\Zephaniah\Res%20and%20LI%20analysis%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 Summary"/>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Y Data"/>
      <sheetName val="Duct analysis"/>
      <sheetName val="PRJ Lookup"/>
      <sheetName val="Bob Results"/>
      <sheetName val="Inputs"/>
    </sheetNames>
    <sheetDataSet>
      <sheetData sheetId="0"/>
      <sheetData sheetId="1"/>
      <sheetData sheetId="2"/>
      <sheetData sheetId="3">
        <row r="68">
          <cell r="AT68">
            <v>2.1929618768328445</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 Summary"/>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Bulb Lookup"/>
      <sheetName val="LightSavers"/>
      <sheetName val="LightSavers_GrossDetails"/>
      <sheetName val="Qty Summary"/>
      <sheetName val="LightSavers_NetDetails"/>
      <sheetName val="Savings Parameters"/>
      <sheetName val="Data Summary"/>
      <sheetName val="Savings Pivot"/>
      <sheetName val="POP Sales"/>
      <sheetName val="Coupon Sales"/>
      <sheetName val="SMD Distributio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te Visit Data"/>
      <sheetName val="Sample Data"/>
      <sheetName val="Stratum Count"/>
      <sheetName val="Project Level Analysis"/>
      <sheetName val="Tables"/>
      <sheetName val="Inputs"/>
      <sheetName val="Tracking data pivot"/>
      <sheetName val="Reference Project Numbers"/>
      <sheetName val="Final Data"/>
      <sheetName val="Aerators"/>
      <sheetName val="Air sealing"/>
      <sheetName val="Duct sealing.zkd"/>
      <sheetName val="Duct sealing"/>
      <sheetName val="CLF and LED"/>
      <sheetName val="Smart Strips"/>
      <sheetName val="Showerheads"/>
    </sheetNames>
    <sheetDataSet>
      <sheetData sheetId="0" refreshError="1"/>
      <sheetData sheetId="1" refreshError="1"/>
      <sheetData sheetId="2" refreshError="1"/>
      <sheetData sheetId="3" refreshError="1"/>
      <sheetData sheetId="4" refreshError="1"/>
      <sheetData sheetId="5" refreshError="1">
        <row r="15">
          <cell r="G15">
            <v>0.68199999999999994</v>
          </cell>
        </row>
        <row r="16">
          <cell r="I16">
            <v>0.87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W Key"/>
      <sheetName val="HEW Raw Data"/>
      <sheetName val="Schools_HEW questions_summary"/>
      <sheetName val="Cadmus Parent Survey"/>
      <sheetName val="Child Parent Survey Summary"/>
      <sheetName val="Installation Rates"/>
      <sheetName val="Raw Cadmus Survey Data"/>
      <sheetName val="Sheet2"/>
      <sheetName val="Sheet3"/>
      <sheetName val="Sheet1"/>
      <sheetName val="Pivot"/>
      <sheetName val="AMo Customers by School"/>
      <sheetName val="AMo Customers by School Final"/>
      <sheetName val="Whistle Pivot Raw Data "/>
      <sheetName val="Whistle Equipment"/>
    </sheetNames>
    <sheetDataSet>
      <sheetData sheetId="0" refreshError="1"/>
      <sheetData sheetId="1" refreshError="1"/>
      <sheetData sheetId="2" refreshError="1"/>
      <sheetData sheetId="3" refreshError="1"/>
      <sheetData sheetId="4" refreshError="1"/>
      <sheetData sheetId="5" refreshError="1"/>
      <sheetData sheetId="6" refreshError="1">
        <row r="1">
          <cell r="F1" t="str">
            <v>V10</v>
          </cell>
          <cell r="O1" t="str">
            <v>LED QTY</v>
          </cell>
          <cell r="CI1" t="str">
            <v>LED Validity</v>
          </cell>
          <cell r="CJ1" t="str">
            <v>Greater than 4 =4</v>
          </cell>
          <cell r="DI1" t="str">
            <v>Valid</v>
          </cell>
          <cell r="DJ1" t="str">
            <v>New</v>
          </cell>
        </row>
        <row r="2">
          <cell r="F2" t="str">
            <v>Finished</v>
          </cell>
          <cell r="O2" t="str">
            <v>LED QTY</v>
          </cell>
          <cell r="CI2">
            <v>0</v>
          </cell>
          <cell r="CJ2">
            <v>0</v>
          </cell>
          <cell r="DI2" t="str">
            <v>LED</v>
          </cell>
          <cell r="DJ2" t="str">
            <v>LED</v>
          </cell>
        </row>
        <row r="3">
          <cell r="F3">
            <v>1</v>
          </cell>
          <cell r="O3">
            <v>4</v>
          </cell>
          <cell r="CI3">
            <v>1</v>
          </cell>
          <cell r="CJ3">
            <v>4</v>
          </cell>
          <cell r="DI3">
            <v>1</v>
          </cell>
          <cell r="DJ3">
            <v>0</v>
          </cell>
        </row>
        <row r="4">
          <cell r="F4">
            <v>1</v>
          </cell>
          <cell r="O4">
            <v>0</v>
          </cell>
          <cell r="CI4">
            <v>1</v>
          </cell>
          <cell r="CJ4">
            <v>0</v>
          </cell>
          <cell r="DI4">
            <v>1</v>
          </cell>
          <cell r="DJ4">
            <v>2</v>
          </cell>
        </row>
        <row r="5">
          <cell r="F5">
            <v>1</v>
          </cell>
          <cell r="O5">
            <v>4</v>
          </cell>
          <cell r="CI5">
            <v>1</v>
          </cell>
          <cell r="CJ5">
            <v>4</v>
          </cell>
          <cell r="DI5">
            <v>1</v>
          </cell>
          <cell r="DJ5">
            <v>0</v>
          </cell>
        </row>
        <row r="6">
          <cell r="F6">
            <v>1</v>
          </cell>
          <cell r="O6">
            <v>4</v>
          </cell>
          <cell r="CI6">
            <v>1</v>
          </cell>
          <cell r="CJ6">
            <v>4</v>
          </cell>
          <cell r="DI6">
            <v>1</v>
          </cell>
          <cell r="DJ6">
            <v>0</v>
          </cell>
        </row>
        <row r="7">
          <cell r="F7">
            <v>1</v>
          </cell>
          <cell r="O7">
            <v>4</v>
          </cell>
          <cell r="CI7">
            <v>1</v>
          </cell>
          <cell r="CJ7">
            <v>4</v>
          </cell>
          <cell r="DI7">
            <v>1</v>
          </cell>
          <cell r="DJ7">
            <v>0</v>
          </cell>
        </row>
        <row r="8">
          <cell r="F8">
            <v>1</v>
          </cell>
          <cell r="O8">
            <v>4</v>
          </cell>
          <cell r="CI8">
            <v>1</v>
          </cell>
          <cell r="CJ8">
            <v>4</v>
          </cell>
          <cell r="DI8">
            <v>1</v>
          </cell>
          <cell r="DJ8">
            <v>0</v>
          </cell>
        </row>
        <row r="9">
          <cell r="F9">
            <v>1</v>
          </cell>
          <cell r="O9">
            <v>4</v>
          </cell>
          <cell r="CI9">
            <v>1</v>
          </cell>
          <cell r="CJ9">
            <v>4</v>
          </cell>
          <cell r="DI9">
            <v>1</v>
          </cell>
          <cell r="DJ9">
            <v>0</v>
          </cell>
        </row>
        <row r="10">
          <cell r="F10">
            <v>1</v>
          </cell>
          <cell r="O10">
            <v>4</v>
          </cell>
          <cell r="CI10">
            <v>1</v>
          </cell>
          <cell r="CJ10">
            <v>4</v>
          </cell>
          <cell r="DI10">
            <v>1</v>
          </cell>
          <cell r="DJ10">
            <v>0</v>
          </cell>
        </row>
        <row r="11">
          <cell r="F11">
            <v>1</v>
          </cell>
          <cell r="O11">
            <v>0</v>
          </cell>
          <cell r="CI11">
            <v>1</v>
          </cell>
          <cell r="CJ11">
            <v>0</v>
          </cell>
          <cell r="DI11">
            <v>1</v>
          </cell>
          <cell r="DJ11">
            <v>4</v>
          </cell>
        </row>
        <row r="12">
          <cell r="F12">
            <v>1</v>
          </cell>
          <cell r="O12">
            <v>4</v>
          </cell>
          <cell r="CI12">
            <v>1</v>
          </cell>
          <cell r="CJ12">
            <v>4</v>
          </cell>
          <cell r="DI12">
            <v>1</v>
          </cell>
          <cell r="DJ12">
            <v>0</v>
          </cell>
        </row>
        <row r="13">
          <cell r="F13">
            <v>1</v>
          </cell>
          <cell r="O13">
            <v>4</v>
          </cell>
          <cell r="CI13">
            <v>1</v>
          </cell>
          <cell r="CJ13">
            <v>4</v>
          </cell>
          <cell r="DI13">
            <v>1</v>
          </cell>
          <cell r="DJ13">
            <v>0</v>
          </cell>
        </row>
        <row r="14">
          <cell r="F14">
            <v>1</v>
          </cell>
          <cell r="O14">
            <v>4</v>
          </cell>
          <cell r="CI14">
            <v>1</v>
          </cell>
          <cell r="CJ14">
            <v>4</v>
          </cell>
          <cell r="DI14">
            <v>1</v>
          </cell>
          <cell r="DJ14">
            <v>0</v>
          </cell>
        </row>
        <row r="15">
          <cell r="F15">
            <v>1</v>
          </cell>
          <cell r="O15">
            <v>4</v>
          </cell>
          <cell r="CI15">
            <v>1</v>
          </cell>
          <cell r="CJ15">
            <v>4</v>
          </cell>
          <cell r="DI15">
            <v>1</v>
          </cell>
          <cell r="DJ15">
            <v>0</v>
          </cell>
        </row>
        <row r="16">
          <cell r="F16">
            <v>1</v>
          </cell>
          <cell r="O16">
            <v>4</v>
          </cell>
          <cell r="CI16">
            <v>1</v>
          </cell>
          <cell r="CJ16">
            <v>4</v>
          </cell>
          <cell r="DI16">
            <v>1</v>
          </cell>
          <cell r="DJ16">
            <v>0</v>
          </cell>
        </row>
        <row r="17">
          <cell r="F17">
            <v>1</v>
          </cell>
          <cell r="O17">
            <v>4</v>
          </cell>
          <cell r="CI17">
            <v>1</v>
          </cell>
          <cell r="CJ17">
            <v>4</v>
          </cell>
          <cell r="DI17">
            <v>1</v>
          </cell>
          <cell r="DJ17">
            <v>0</v>
          </cell>
        </row>
        <row r="18">
          <cell r="F18">
            <v>1</v>
          </cell>
          <cell r="O18">
            <v>0</v>
          </cell>
          <cell r="CI18">
            <v>1</v>
          </cell>
          <cell r="CJ18">
            <v>0</v>
          </cell>
          <cell r="DI18">
            <v>1</v>
          </cell>
          <cell r="DJ18">
            <v>4</v>
          </cell>
        </row>
        <row r="19">
          <cell r="F19">
            <v>1</v>
          </cell>
          <cell r="O19">
            <v>4</v>
          </cell>
          <cell r="CI19">
            <v>1</v>
          </cell>
          <cell r="CJ19">
            <v>4</v>
          </cell>
          <cell r="DI19">
            <v>1</v>
          </cell>
          <cell r="DJ19">
            <v>0</v>
          </cell>
        </row>
        <row r="20">
          <cell r="F20">
            <v>1</v>
          </cell>
          <cell r="O20">
            <v>4</v>
          </cell>
          <cell r="CI20">
            <v>1</v>
          </cell>
          <cell r="CJ20">
            <v>4</v>
          </cell>
          <cell r="DI20">
            <v>1</v>
          </cell>
          <cell r="DJ20">
            <v>0</v>
          </cell>
        </row>
        <row r="21">
          <cell r="F21">
            <v>1</v>
          </cell>
          <cell r="O21">
            <v>4</v>
          </cell>
          <cell r="CI21">
            <v>1</v>
          </cell>
          <cell r="CJ21">
            <v>4</v>
          </cell>
          <cell r="DI21">
            <v>1</v>
          </cell>
          <cell r="DJ21">
            <v>0</v>
          </cell>
        </row>
        <row r="22">
          <cell r="F22">
            <v>1</v>
          </cell>
          <cell r="O22">
            <v>4</v>
          </cell>
          <cell r="CI22">
            <v>1</v>
          </cell>
          <cell r="CJ22">
            <v>4</v>
          </cell>
          <cell r="DI22">
            <v>1</v>
          </cell>
          <cell r="DJ22">
            <v>0</v>
          </cell>
        </row>
        <row r="23">
          <cell r="F23">
            <v>1</v>
          </cell>
          <cell r="O23">
            <v>4</v>
          </cell>
          <cell r="CI23">
            <v>1</v>
          </cell>
          <cell r="CJ23">
            <v>4</v>
          </cell>
          <cell r="DI23">
            <v>1</v>
          </cell>
          <cell r="DJ23">
            <v>0</v>
          </cell>
        </row>
        <row r="24">
          <cell r="F24">
            <v>1</v>
          </cell>
          <cell r="O24">
            <v>1</v>
          </cell>
          <cell r="CI24">
            <v>1</v>
          </cell>
          <cell r="CJ24">
            <v>1</v>
          </cell>
          <cell r="DI24">
            <v>1</v>
          </cell>
          <cell r="DJ24">
            <v>3</v>
          </cell>
        </row>
        <row r="25">
          <cell r="F25">
            <v>1</v>
          </cell>
          <cell r="O25">
            <v>1</v>
          </cell>
          <cell r="CI25">
            <v>1</v>
          </cell>
          <cell r="CJ25">
            <v>1</v>
          </cell>
          <cell r="DI25">
            <v>1</v>
          </cell>
          <cell r="DJ25">
            <v>3</v>
          </cell>
        </row>
        <row r="26">
          <cell r="F26">
            <v>1</v>
          </cell>
          <cell r="O26">
            <v>2</v>
          </cell>
          <cell r="CI26">
            <v>1</v>
          </cell>
          <cell r="CJ26">
            <v>2</v>
          </cell>
          <cell r="DI26">
            <v>1</v>
          </cell>
          <cell r="DJ26">
            <v>2</v>
          </cell>
        </row>
        <row r="27">
          <cell r="F27">
            <v>1</v>
          </cell>
          <cell r="O27">
            <v>4</v>
          </cell>
          <cell r="CI27">
            <v>1</v>
          </cell>
          <cell r="CJ27">
            <v>0</v>
          </cell>
          <cell r="DI27">
            <v>1</v>
          </cell>
          <cell r="DJ27">
            <v>0</v>
          </cell>
        </row>
        <row r="28">
          <cell r="F28">
            <v>1</v>
          </cell>
          <cell r="O28">
            <v>4</v>
          </cell>
          <cell r="CI28">
            <v>1</v>
          </cell>
          <cell r="CJ28">
            <v>1</v>
          </cell>
          <cell r="DI28">
            <v>1</v>
          </cell>
          <cell r="DJ28">
            <v>0</v>
          </cell>
        </row>
        <row r="29">
          <cell r="F29">
            <v>1</v>
          </cell>
          <cell r="O29">
            <v>4</v>
          </cell>
          <cell r="CI29">
            <v>1</v>
          </cell>
          <cell r="CJ29">
            <v>4</v>
          </cell>
          <cell r="DI29">
            <v>1</v>
          </cell>
          <cell r="DJ29">
            <v>0</v>
          </cell>
        </row>
        <row r="30">
          <cell r="F30">
            <v>1</v>
          </cell>
          <cell r="O30">
            <v>4</v>
          </cell>
          <cell r="CI30">
            <v>1</v>
          </cell>
          <cell r="CJ30">
            <v>4</v>
          </cell>
          <cell r="DI30">
            <v>1</v>
          </cell>
          <cell r="DJ30">
            <v>0</v>
          </cell>
        </row>
        <row r="31">
          <cell r="F31">
            <v>1</v>
          </cell>
          <cell r="O31">
            <v>1</v>
          </cell>
          <cell r="CI31">
            <v>1</v>
          </cell>
          <cell r="CJ31">
            <v>1</v>
          </cell>
          <cell r="DI31">
            <v>1</v>
          </cell>
          <cell r="DJ31">
            <v>3</v>
          </cell>
        </row>
        <row r="32">
          <cell r="F32">
            <v>1</v>
          </cell>
          <cell r="O32">
            <v>4</v>
          </cell>
          <cell r="CI32">
            <v>1</v>
          </cell>
          <cell r="CJ32">
            <v>4</v>
          </cell>
          <cell r="DI32">
            <v>1</v>
          </cell>
          <cell r="DJ32">
            <v>0</v>
          </cell>
        </row>
        <row r="33">
          <cell r="F33">
            <v>1</v>
          </cell>
          <cell r="O33">
            <v>0</v>
          </cell>
          <cell r="CI33">
            <v>1</v>
          </cell>
          <cell r="CJ33">
            <v>0</v>
          </cell>
          <cell r="DI33">
            <v>1</v>
          </cell>
          <cell r="DJ33">
            <v>4</v>
          </cell>
        </row>
        <row r="34">
          <cell r="F34">
            <v>1</v>
          </cell>
          <cell r="O34">
            <v>4</v>
          </cell>
          <cell r="CI34">
            <v>1</v>
          </cell>
          <cell r="CJ34">
            <v>4</v>
          </cell>
          <cell r="DI34">
            <v>1</v>
          </cell>
          <cell r="DJ34">
            <v>0</v>
          </cell>
        </row>
        <row r="35">
          <cell r="F35">
            <v>1</v>
          </cell>
          <cell r="O35">
            <v>0</v>
          </cell>
          <cell r="CI35">
            <v>1</v>
          </cell>
          <cell r="CJ35">
            <v>0</v>
          </cell>
          <cell r="DI35">
            <v>1</v>
          </cell>
          <cell r="DJ35">
            <v>2</v>
          </cell>
        </row>
        <row r="36">
          <cell r="F36">
            <v>1</v>
          </cell>
          <cell r="O36">
            <v>4</v>
          </cell>
          <cell r="CI36">
            <v>1</v>
          </cell>
          <cell r="CJ36">
            <v>4</v>
          </cell>
          <cell r="DI36">
            <v>1</v>
          </cell>
          <cell r="DJ36">
            <v>0</v>
          </cell>
        </row>
        <row r="37">
          <cell r="F37">
            <v>1</v>
          </cell>
          <cell r="O37">
            <v>0</v>
          </cell>
          <cell r="CI37">
            <v>1</v>
          </cell>
          <cell r="CJ37">
            <v>0</v>
          </cell>
          <cell r="DI37">
            <v>1</v>
          </cell>
          <cell r="DJ37">
            <v>4</v>
          </cell>
        </row>
        <row r="38">
          <cell r="F38">
            <v>1</v>
          </cell>
          <cell r="O38">
            <v>4</v>
          </cell>
          <cell r="CI38">
            <v>1</v>
          </cell>
          <cell r="CJ38">
            <v>4</v>
          </cell>
          <cell r="DI38">
            <v>1</v>
          </cell>
          <cell r="DJ38">
            <v>0</v>
          </cell>
        </row>
        <row r="39">
          <cell r="F39">
            <v>1</v>
          </cell>
          <cell r="O39">
            <v>0</v>
          </cell>
          <cell r="CI39">
            <v>1</v>
          </cell>
          <cell r="CJ39">
            <v>0</v>
          </cell>
          <cell r="DI39">
            <v>1</v>
          </cell>
          <cell r="DJ39">
            <v>4</v>
          </cell>
        </row>
        <row r="40">
          <cell r="F40">
            <v>1</v>
          </cell>
          <cell r="O40">
            <v>2</v>
          </cell>
          <cell r="CI40">
            <v>1</v>
          </cell>
          <cell r="CJ40">
            <v>2</v>
          </cell>
          <cell r="DI40">
            <v>1</v>
          </cell>
          <cell r="DJ40">
            <v>2</v>
          </cell>
        </row>
        <row r="41">
          <cell r="F41">
            <v>1</v>
          </cell>
          <cell r="O41">
            <v>4</v>
          </cell>
          <cell r="CI41">
            <v>1</v>
          </cell>
          <cell r="CJ41">
            <v>4</v>
          </cell>
          <cell r="DI41">
            <v>1</v>
          </cell>
          <cell r="DJ41">
            <v>0</v>
          </cell>
        </row>
        <row r="42">
          <cell r="F42">
            <v>1</v>
          </cell>
          <cell r="O42">
            <v>4</v>
          </cell>
          <cell r="CI42">
            <v>1</v>
          </cell>
          <cell r="CJ42">
            <v>4</v>
          </cell>
          <cell r="DI42">
            <v>1</v>
          </cell>
          <cell r="DJ42">
            <v>0</v>
          </cell>
        </row>
        <row r="43">
          <cell r="F43">
            <v>1</v>
          </cell>
          <cell r="O43">
            <v>4</v>
          </cell>
          <cell r="CI43">
            <v>1</v>
          </cell>
          <cell r="CJ43">
            <v>4</v>
          </cell>
          <cell r="DI43">
            <v>1</v>
          </cell>
          <cell r="DJ43">
            <v>0</v>
          </cell>
        </row>
        <row r="44">
          <cell r="F44">
            <v>1</v>
          </cell>
          <cell r="O44">
            <v>4</v>
          </cell>
          <cell r="CI44">
            <v>1</v>
          </cell>
          <cell r="CJ44">
            <v>4</v>
          </cell>
          <cell r="DI44">
            <v>1</v>
          </cell>
          <cell r="DJ44">
            <v>0</v>
          </cell>
        </row>
        <row r="45">
          <cell r="F45">
            <v>1</v>
          </cell>
          <cell r="O45">
            <v>3</v>
          </cell>
          <cell r="CI45">
            <v>1</v>
          </cell>
          <cell r="CJ45">
            <v>3</v>
          </cell>
          <cell r="DI45">
            <v>1</v>
          </cell>
          <cell r="DJ45">
            <v>1</v>
          </cell>
        </row>
        <row r="46">
          <cell r="F46">
            <v>1</v>
          </cell>
          <cell r="O46">
            <v>4</v>
          </cell>
          <cell r="CI46">
            <v>1</v>
          </cell>
          <cell r="CJ46">
            <v>4</v>
          </cell>
          <cell r="DI46">
            <v>1</v>
          </cell>
          <cell r="DJ46">
            <v>0</v>
          </cell>
        </row>
        <row r="47">
          <cell r="F47">
            <v>1</v>
          </cell>
          <cell r="O47">
            <v>4</v>
          </cell>
          <cell r="CI47">
            <v>1</v>
          </cell>
          <cell r="CJ47">
            <v>4</v>
          </cell>
          <cell r="DI47">
            <v>1</v>
          </cell>
          <cell r="DJ47">
            <v>0</v>
          </cell>
        </row>
        <row r="48">
          <cell r="F48">
            <v>1</v>
          </cell>
          <cell r="O48">
            <v>4</v>
          </cell>
          <cell r="CI48">
            <v>1</v>
          </cell>
          <cell r="CJ48">
            <v>4</v>
          </cell>
          <cell r="DI48">
            <v>1</v>
          </cell>
          <cell r="DJ48">
            <v>0</v>
          </cell>
        </row>
        <row r="49">
          <cell r="F49">
            <v>1</v>
          </cell>
          <cell r="O49">
            <v>4</v>
          </cell>
          <cell r="CI49">
            <v>1</v>
          </cell>
          <cell r="CJ49">
            <v>4</v>
          </cell>
          <cell r="DI49">
            <v>1</v>
          </cell>
          <cell r="DJ49">
            <v>0</v>
          </cell>
        </row>
        <row r="50">
          <cell r="F50">
            <v>1</v>
          </cell>
          <cell r="O50">
            <v>4</v>
          </cell>
          <cell r="CI50">
            <v>1</v>
          </cell>
          <cell r="CJ50">
            <v>4</v>
          </cell>
          <cell r="DI50">
            <v>1</v>
          </cell>
          <cell r="DJ50">
            <v>0</v>
          </cell>
        </row>
        <row r="51">
          <cell r="F51">
            <v>1</v>
          </cell>
          <cell r="O51">
            <v>4</v>
          </cell>
          <cell r="CI51">
            <v>1</v>
          </cell>
          <cell r="CJ51">
            <v>4</v>
          </cell>
          <cell r="DI51">
            <v>1</v>
          </cell>
          <cell r="DJ51">
            <v>0</v>
          </cell>
        </row>
        <row r="52">
          <cell r="F52">
            <v>1</v>
          </cell>
          <cell r="O52">
            <v>0</v>
          </cell>
          <cell r="CI52">
            <v>1</v>
          </cell>
          <cell r="CJ52">
            <v>0</v>
          </cell>
          <cell r="DI52">
            <v>1</v>
          </cell>
          <cell r="DJ52">
            <v>4</v>
          </cell>
        </row>
        <row r="53">
          <cell r="F53">
            <v>1</v>
          </cell>
          <cell r="O53">
            <v>4</v>
          </cell>
          <cell r="CI53">
            <v>1</v>
          </cell>
          <cell r="CJ53">
            <v>4</v>
          </cell>
          <cell r="DI53">
            <v>1</v>
          </cell>
          <cell r="DJ53">
            <v>0</v>
          </cell>
        </row>
        <row r="54">
          <cell r="F54">
            <v>1</v>
          </cell>
          <cell r="O54">
            <v>4</v>
          </cell>
          <cell r="CI54">
            <v>1</v>
          </cell>
          <cell r="CJ54">
            <v>4</v>
          </cell>
          <cell r="DI54">
            <v>1</v>
          </cell>
          <cell r="DJ54">
            <v>0</v>
          </cell>
        </row>
        <row r="55">
          <cell r="F55">
            <v>1</v>
          </cell>
          <cell r="O55">
            <v>2</v>
          </cell>
          <cell r="CI55">
            <v>1</v>
          </cell>
          <cell r="CJ55">
            <v>2</v>
          </cell>
          <cell r="DI55">
            <v>1</v>
          </cell>
          <cell r="DJ55">
            <v>2</v>
          </cell>
        </row>
        <row r="56">
          <cell r="F56">
            <v>1</v>
          </cell>
          <cell r="O56">
            <v>4</v>
          </cell>
          <cell r="CI56">
            <v>1</v>
          </cell>
          <cell r="CJ56">
            <v>4</v>
          </cell>
          <cell r="DI56">
            <v>1</v>
          </cell>
          <cell r="DJ56">
            <v>0</v>
          </cell>
        </row>
        <row r="57">
          <cell r="F57">
            <v>1</v>
          </cell>
          <cell r="O57">
            <v>4</v>
          </cell>
          <cell r="CI57">
            <v>1</v>
          </cell>
          <cell r="CJ57">
            <v>4</v>
          </cell>
          <cell r="DI57">
            <v>1</v>
          </cell>
          <cell r="DJ57">
            <v>0</v>
          </cell>
        </row>
        <row r="58">
          <cell r="F58">
            <v>1</v>
          </cell>
          <cell r="O58">
            <v>0</v>
          </cell>
          <cell r="CI58">
            <v>1</v>
          </cell>
          <cell r="CJ58">
            <v>0</v>
          </cell>
          <cell r="DI58">
            <v>1</v>
          </cell>
          <cell r="DJ58">
            <v>4</v>
          </cell>
        </row>
        <row r="59">
          <cell r="F59">
            <v>1</v>
          </cell>
          <cell r="O59">
            <v>2</v>
          </cell>
          <cell r="CI59">
            <v>1</v>
          </cell>
          <cell r="CJ59">
            <v>2</v>
          </cell>
          <cell r="DI59">
            <v>1</v>
          </cell>
          <cell r="DJ59">
            <v>2</v>
          </cell>
        </row>
        <row r="60">
          <cell r="F60">
            <v>1</v>
          </cell>
          <cell r="O60">
            <v>4</v>
          </cell>
          <cell r="CI60">
            <v>1</v>
          </cell>
          <cell r="CJ60">
            <v>4</v>
          </cell>
          <cell r="DI60">
            <v>1</v>
          </cell>
          <cell r="DJ60">
            <v>0</v>
          </cell>
        </row>
        <row r="61">
          <cell r="F61">
            <v>1</v>
          </cell>
          <cell r="O61">
            <v>2</v>
          </cell>
          <cell r="CI61">
            <v>1</v>
          </cell>
          <cell r="CJ61">
            <v>2</v>
          </cell>
          <cell r="DI61">
            <v>1</v>
          </cell>
          <cell r="DJ61">
            <v>2</v>
          </cell>
        </row>
        <row r="62">
          <cell r="F62">
            <v>1</v>
          </cell>
          <cell r="O62">
            <v>4</v>
          </cell>
          <cell r="CI62">
            <v>1</v>
          </cell>
          <cell r="CJ62">
            <v>4</v>
          </cell>
          <cell r="DI62">
            <v>1</v>
          </cell>
          <cell r="DJ62">
            <v>0</v>
          </cell>
        </row>
        <row r="63">
          <cell r="F63">
            <v>1</v>
          </cell>
          <cell r="O63">
            <v>3</v>
          </cell>
          <cell r="CI63">
            <v>1</v>
          </cell>
          <cell r="CJ63">
            <v>3</v>
          </cell>
          <cell r="DI63">
            <v>1</v>
          </cell>
          <cell r="DJ63">
            <v>1</v>
          </cell>
        </row>
        <row r="64">
          <cell r="F64">
            <v>1</v>
          </cell>
          <cell r="O64">
            <v>4</v>
          </cell>
          <cell r="CI64">
            <v>1</v>
          </cell>
          <cell r="CJ64">
            <v>4</v>
          </cell>
          <cell r="DI64">
            <v>1</v>
          </cell>
          <cell r="DJ64">
            <v>0</v>
          </cell>
        </row>
        <row r="65">
          <cell r="F65">
            <v>1</v>
          </cell>
          <cell r="O65">
            <v>4</v>
          </cell>
          <cell r="CI65">
            <v>1</v>
          </cell>
          <cell r="CJ65">
            <v>4</v>
          </cell>
          <cell r="DI65">
            <v>1</v>
          </cell>
          <cell r="DJ65">
            <v>0</v>
          </cell>
        </row>
        <row r="66">
          <cell r="F66">
            <v>1</v>
          </cell>
          <cell r="O66">
            <v>4</v>
          </cell>
          <cell r="CI66">
            <v>1</v>
          </cell>
          <cell r="CJ66">
            <v>4</v>
          </cell>
          <cell r="DI66">
            <v>1</v>
          </cell>
          <cell r="DJ66">
            <v>0</v>
          </cell>
        </row>
        <row r="67">
          <cell r="F67">
            <v>1</v>
          </cell>
          <cell r="O67">
            <v>4</v>
          </cell>
          <cell r="CI67">
            <v>1</v>
          </cell>
          <cell r="CJ67">
            <v>4</v>
          </cell>
          <cell r="DI67">
            <v>1</v>
          </cell>
          <cell r="DJ67">
            <v>0</v>
          </cell>
        </row>
        <row r="68">
          <cell r="F68">
            <v>1</v>
          </cell>
          <cell r="O68">
            <v>0</v>
          </cell>
          <cell r="CI68">
            <v>1</v>
          </cell>
          <cell r="CJ68">
            <v>0</v>
          </cell>
          <cell r="DI68">
            <v>1</v>
          </cell>
          <cell r="DJ68">
            <v>4</v>
          </cell>
        </row>
        <row r="69">
          <cell r="F69">
            <v>1</v>
          </cell>
          <cell r="O69">
            <v>4</v>
          </cell>
          <cell r="CI69">
            <v>1</v>
          </cell>
          <cell r="CJ69">
            <v>4</v>
          </cell>
          <cell r="DI69">
            <v>1</v>
          </cell>
          <cell r="DJ69">
            <v>0</v>
          </cell>
        </row>
        <row r="70">
          <cell r="F70">
            <v>1</v>
          </cell>
          <cell r="O70">
            <v>0</v>
          </cell>
          <cell r="CI70">
            <v>1</v>
          </cell>
          <cell r="CJ70">
            <v>0</v>
          </cell>
          <cell r="DI70">
            <v>1</v>
          </cell>
          <cell r="DJ70">
            <v>4</v>
          </cell>
        </row>
        <row r="71">
          <cell r="F71">
            <v>1</v>
          </cell>
          <cell r="O71">
            <v>2</v>
          </cell>
          <cell r="CI71">
            <v>1</v>
          </cell>
          <cell r="CJ71">
            <v>2</v>
          </cell>
          <cell r="DI71">
            <v>1</v>
          </cell>
          <cell r="DJ71">
            <v>2</v>
          </cell>
        </row>
        <row r="72">
          <cell r="F72">
            <v>1</v>
          </cell>
          <cell r="O72">
            <v>0</v>
          </cell>
          <cell r="CI72">
            <v>1</v>
          </cell>
          <cell r="CJ72">
            <v>0</v>
          </cell>
          <cell r="DI72">
            <v>1</v>
          </cell>
          <cell r="DJ72">
            <v>0</v>
          </cell>
        </row>
        <row r="73">
          <cell r="F73">
            <v>1</v>
          </cell>
          <cell r="O73">
            <v>2</v>
          </cell>
          <cell r="CI73">
            <v>1</v>
          </cell>
          <cell r="CJ73">
            <v>2</v>
          </cell>
          <cell r="DI73">
            <v>1</v>
          </cell>
          <cell r="DJ73">
            <v>2</v>
          </cell>
        </row>
        <row r="74">
          <cell r="F74">
            <v>1</v>
          </cell>
          <cell r="O74">
            <v>4</v>
          </cell>
          <cell r="CI74">
            <v>1</v>
          </cell>
          <cell r="CJ74">
            <v>4</v>
          </cell>
          <cell r="DI74">
            <v>1</v>
          </cell>
          <cell r="DJ74">
            <v>0</v>
          </cell>
        </row>
        <row r="75">
          <cell r="F75">
            <v>1</v>
          </cell>
          <cell r="O75">
            <v>0</v>
          </cell>
          <cell r="CI75">
            <v>1</v>
          </cell>
          <cell r="CJ75">
            <v>0</v>
          </cell>
          <cell r="DI75">
            <v>1</v>
          </cell>
          <cell r="DJ75">
            <v>4</v>
          </cell>
        </row>
        <row r="76">
          <cell r="F76">
            <v>1</v>
          </cell>
          <cell r="O76">
            <v>4</v>
          </cell>
          <cell r="CI76">
            <v>1</v>
          </cell>
          <cell r="CJ76">
            <v>4</v>
          </cell>
          <cell r="DI76">
            <v>1</v>
          </cell>
          <cell r="DJ76">
            <v>0</v>
          </cell>
        </row>
        <row r="77">
          <cell r="F77">
            <v>1</v>
          </cell>
          <cell r="O77">
            <v>4</v>
          </cell>
          <cell r="CI77">
            <v>1</v>
          </cell>
          <cell r="CJ77">
            <v>4</v>
          </cell>
          <cell r="DI77">
            <v>1</v>
          </cell>
          <cell r="DJ77">
            <v>0</v>
          </cell>
        </row>
        <row r="78">
          <cell r="F78">
            <v>1</v>
          </cell>
          <cell r="O78">
            <v>4</v>
          </cell>
          <cell r="CI78">
            <v>1</v>
          </cell>
          <cell r="CJ78">
            <v>4</v>
          </cell>
          <cell r="DI78">
            <v>1</v>
          </cell>
          <cell r="DJ78">
            <v>0</v>
          </cell>
        </row>
        <row r="79">
          <cell r="F79">
            <v>1</v>
          </cell>
          <cell r="O79">
            <v>4</v>
          </cell>
          <cell r="CI79">
            <v>1</v>
          </cell>
          <cell r="CJ79">
            <v>4</v>
          </cell>
          <cell r="DI79">
            <v>1</v>
          </cell>
          <cell r="DJ79">
            <v>0</v>
          </cell>
        </row>
        <row r="80">
          <cell r="F80">
            <v>1</v>
          </cell>
          <cell r="O80">
            <v>4</v>
          </cell>
          <cell r="CI80">
            <v>1</v>
          </cell>
          <cell r="CJ80">
            <v>4</v>
          </cell>
          <cell r="DI80">
            <v>1</v>
          </cell>
          <cell r="DJ80">
            <v>0</v>
          </cell>
        </row>
        <row r="81">
          <cell r="F81">
            <v>1</v>
          </cell>
          <cell r="O81">
            <v>0</v>
          </cell>
          <cell r="CI81">
            <v>1</v>
          </cell>
          <cell r="CJ81">
            <v>0</v>
          </cell>
          <cell r="DI81">
            <v>1</v>
          </cell>
          <cell r="DJ81">
            <v>4</v>
          </cell>
        </row>
        <row r="82">
          <cell r="F82">
            <v>1</v>
          </cell>
          <cell r="O82">
            <v>4</v>
          </cell>
          <cell r="CI82">
            <v>1</v>
          </cell>
          <cell r="CJ82">
            <v>4</v>
          </cell>
          <cell r="DI82">
            <v>1</v>
          </cell>
          <cell r="DJ82">
            <v>0</v>
          </cell>
        </row>
        <row r="83">
          <cell r="F83">
            <v>1</v>
          </cell>
          <cell r="O83">
            <v>0</v>
          </cell>
          <cell r="CI83">
            <v>1</v>
          </cell>
          <cell r="CJ83">
            <v>0</v>
          </cell>
          <cell r="DI83">
            <v>1</v>
          </cell>
          <cell r="DJ83">
            <v>2</v>
          </cell>
        </row>
        <row r="84">
          <cell r="F84">
            <v>1</v>
          </cell>
          <cell r="O84">
            <v>4</v>
          </cell>
          <cell r="CI84">
            <v>1</v>
          </cell>
          <cell r="CJ84">
            <v>4</v>
          </cell>
          <cell r="DI84">
            <v>1</v>
          </cell>
          <cell r="DJ84">
            <v>0</v>
          </cell>
        </row>
        <row r="85">
          <cell r="F85">
            <v>1</v>
          </cell>
          <cell r="O85">
            <v>0</v>
          </cell>
          <cell r="CI85">
            <v>1</v>
          </cell>
          <cell r="CJ85">
            <v>0</v>
          </cell>
          <cell r="DI85">
            <v>1</v>
          </cell>
          <cell r="DJ85">
            <v>4</v>
          </cell>
        </row>
        <row r="86">
          <cell r="F86">
            <v>1</v>
          </cell>
          <cell r="O86">
            <v>4</v>
          </cell>
          <cell r="CI86">
            <v>1</v>
          </cell>
          <cell r="CJ86">
            <v>4</v>
          </cell>
          <cell r="DI86">
            <v>1</v>
          </cell>
          <cell r="DJ86">
            <v>0</v>
          </cell>
        </row>
        <row r="87">
          <cell r="F87">
            <v>1</v>
          </cell>
          <cell r="O87">
            <v>0</v>
          </cell>
          <cell r="CI87">
            <v>1</v>
          </cell>
          <cell r="CJ87">
            <v>0</v>
          </cell>
          <cell r="DI87">
            <v>1</v>
          </cell>
          <cell r="DJ87">
            <v>4</v>
          </cell>
        </row>
        <row r="88">
          <cell r="F88">
            <v>1</v>
          </cell>
          <cell r="O88">
            <v>1</v>
          </cell>
          <cell r="CI88">
            <v>1</v>
          </cell>
          <cell r="CJ88">
            <v>1</v>
          </cell>
          <cell r="DI88">
            <v>1</v>
          </cell>
          <cell r="DJ88">
            <v>3</v>
          </cell>
        </row>
        <row r="89">
          <cell r="F89">
            <v>1</v>
          </cell>
          <cell r="O89">
            <v>4</v>
          </cell>
          <cell r="CI89">
            <v>1</v>
          </cell>
          <cell r="CJ89">
            <v>4</v>
          </cell>
          <cell r="DI89">
            <v>1</v>
          </cell>
          <cell r="DJ89">
            <v>0</v>
          </cell>
        </row>
        <row r="90">
          <cell r="F90">
            <v>1</v>
          </cell>
          <cell r="O90">
            <v>4</v>
          </cell>
          <cell r="CI90">
            <v>1</v>
          </cell>
          <cell r="CJ90">
            <v>4</v>
          </cell>
          <cell r="DI90">
            <v>1</v>
          </cell>
          <cell r="DJ90">
            <v>0</v>
          </cell>
        </row>
        <row r="91">
          <cell r="F91">
            <v>1</v>
          </cell>
          <cell r="O91">
            <v>0</v>
          </cell>
          <cell r="CI91">
            <v>1</v>
          </cell>
          <cell r="CJ91">
            <v>0</v>
          </cell>
          <cell r="DI91">
            <v>1</v>
          </cell>
          <cell r="DJ91">
            <v>2</v>
          </cell>
        </row>
        <row r="92">
          <cell r="F92">
            <v>1</v>
          </cell>
          <cell r="O92">
            <v>4</v>
          </cell>
          <cell r="CI92">
            <v>1</v>
          </cell>
          <cell r="CJ92">
            <v>4</v>
          </cell>
          <cell r="DI92">
            <v>1</v>
          </cell>
          <cell r="DJ92">
            <v>0</v>
          </cell>
        </row>
        <row r="93">
          <cell r="F93">
            <v>1</v>
          </cell>
          <cell r="O93">
            <v>0</v>
          </cell>
          <cell r="CI93">
            <v>1</v>
          </cell>
          <cell r="CJ93">
            <v>0</v>
          </cell>
          <cell r="DI93">
            <v>1</v>
          </cell>
          <cell r="DJ93">
            <v>4</v>
          </cell>
        </row>
        <row r="94">
          <cell r="F94">
            <v>1</v>
          </cell>
          <cell r="O94">
            <v>0</v>
          </cell>
          <cell r="CI94">
            <v>1</v>
          </cell>
          <cell r="CJ94">
            <v>0</v>
          </cell>
          <cell r="DI94">
            <v>1</v>
          </cell>
          <cell r="DJ94">
            <v>4</v>
          </cell>
        </row>
        <row r="95">
          <cell r="F95">
            <v>1</v>
          </cell>
          <cell r="O95">
            <v>4</v>
          </cell>
          <cell r="CI95">
            <v>1</v>
          </cell>
          <cell r="CJ95">
            <v>4</v>
          </cell>
          <cell r="DI95">
            <v>1</v>
          </cell>
          <cell r="DJ95">
            <v>0</v>
          </cell>
        </row>
        <row r="96">
          <cell r="F96">
            <v>1</v>
          </cell>
          <cell r="O96">
            <v>0</v>
          </cell>
          <cell r="CI96">
            <v>1</v>
          </cell>
          <cell r="CJ96">
            <v>0</v>
          </cell>
          <cell r="DI96">
            <v>1</v>
          </cell>
          <cell r="DJ96">
            <v>3</v>
          </cell>
        </row>
        <row r="97">
          <cell r="F97">
            <v>1</v>
          </cell>
          <cell r="O97">
            <v>4</v>
          </cell>
          <cell r="CI97">
            <v>1</v>
          </cell>
          <cell r="CJ97">
            <v>4</v>
          </cell>
          <cell r="DI97">
            <v>1</v>
          </cell>
          <cell r="DJ97">
            <v>0</v>
          </cell>
        </row>
        <row r="98">
          <cell r="F98">
            <v>1</v>
          </cell>
          <cell r="O98">
            <v>0</v>
          </cell>
          <cell r="CI98">
            <v>1</v>
          </cell>
          <cell r="CJ98">
            <v>0</v>
          </cell>
          <cell r="DI98">
            <v>1</v>
          </cell>
          <cell r="DJ98">
            <v>4</v>
          </cell>
        </row>
        <row r="99">
          <cell r="F99">
            <v>1</v>
          </cell>
          <cell r="O99">
            <v>4</v>
          </cell>
          <cell r="CI99">
            <v>1</v>
          </cell>
          <cell r="CJ99">
            <v>4</v>
          </cell>
          <cell r="DI99">
            <v>1</v>
          </cell>
          <cell r="DJ99">
            <v>0</v>
          </cell>
        </row>
        <row r="100">
          <cell r="F100">
            <v>1</v>
          </cell>
          <cell r="O100">
            <v>4</v>
          </cell>
          <cell r="CI100">
            <v>1</v>
          </cell>
          <cell r="CJ100">
            <v>4</v>
          </cell>
          <cell r="DI100">
            <v>1</v>
          </cell>
          <cell r="DJ100">
            <v>0</v>
          </cell>
        </row>
        <row r="101">
          <cell r="F101">
            <v>1</v>
          </cell>
          <cell r="O101">
            <v>0</v>
          </cell>
          <cell r="CI101">
            <v>1</v>
          </cell>
          <cell r="CJ101">
            <v>0</v>
          </cell>
          <cell r="DI101">
            <v>1</v>
          </cell>
          <cell r="DJ101">
            <v>0</v>
          </cell>
        </row>
        <row r="102">
          <cell r="F102">
            <v>1</v>
          </cell>
          <cell r="O102">
            <v>0</v>
          </cell>
          <cell r="CI102">
            <v>1</v>
          </cell>
          <cell r="CJ102">
            <v>0</v>
          </cell>
          <cell r="DI102">
            <v>0</v>
          </cell>
          <cell r="DJ102">
            <v>1</v>
          </cell>
        </row>
        <row r="103">
          <cell r="F103">
            <v>1</v>
          </cell>
          <cell r="O103">
            <v>4</v>
          </cell>
          <cell r="CI103">
            <v>1</v>
          </cell>
          <cell r="CJ103">
            <v>4</v>
          </cell>
          <cell r="DI103">
            <v>1</v>
          </cell>
          <cell r="DJ103">
            <v>0</v>
          </cell>
        </row>
        <row r="104">
          <cell r="F104">
            <v>1</v>
          </cell>
          <cell r="O104">
            <v>0</v>
          </cell>
          <cell r="CI104">
            <v>1</v>
          </cell>
          <cell r="CJ104">
            <v>0</v>
          </cell>
          <cell r="DI104">
            <v>1</v>
          </cell>
          <cell r="DJ104">
            <v>4</v>
          </cell>
        </row>
        <row r="105">
          <cell r="F105">
            <v>1</v>
          </cell>
          <cell r="O105">
            <v>1</v>
          </cell>
          <cell r="CI105">
            <v>1</v>
          </cell>
          <cell r="CJ105">
            <v>3</v>
          </cell>
          <cell r="DI105">
            <v>0</v>
          </cell>
          <cell r="DJ105">
            <v>3</v>
          </cell>
        </row>
        <row r="106">
          <cell r="F106">
            <v>1</v>
          </cell>
          <cell r="O106">
            <v>0</v>
          </cell>
          <cell r="CI106">
            <v>1</v>
          </cell>
          <cell r="CJ106">
            <v>0</v>
          </cell>
          <cell r="DI106">
            <v>1</v>
          </cell>
          <cell r="DJ106">
            <v>4</v>
          </cell>
        </row>
        <row r="107">
          <cell r="F107">
            <v>1</v>
          </cell>
          <cell r="O107">
            <v>0</v>
          </cell>
          <cell r="CI107">
            <v>1</v>
          </cell>
          <cell r="CJ107">
            <v>0</v>
          </cell>
          <cell r="DI107">
            <v>1</v>
          </cell>
          <cell r="DJ107">
            <v>4</v>
          </cell>
        </row>
        <row r="108">
          <cell r="F108">
            <v>1</v>
          </cell>
          <cell r="O108">
            <v>0</v>
          </cell>
          <cell r="CI108">
            <v>1</v>
          </cell>
          <cell r="CJ108">
            <v>0</v>
          </cell>
          <cell r="DI108">
            <v>1</v>
          </cell>
          <cell r="DJ108">
            <v>2</v>
          </cell>
        </row>
        <row r="109">
          <cell r="F109">
            <v>1</v>
          </cell>
          <cell r="O109">
            <v>4</v>
          </cell>
          <cell r="CI109">
            <v>1</v>
          </cell>
          <cell r="CJ109">
            <v>4</v>
          </cell>
          <cell r="DI109">
            <v>1</v>
          </cell>
          <cell r="DJ109">
            <v>0</v>
          </cell>
        </row>
        <row r="110">
          <cell r="F110">
            <v>1</v>
          </cell>
          <cell r="O110">
            <v>3</v>
          </cell>
          <cell r="CI110">
            <v>1</v>
          </cell>
          <cell r="CJ110">
            <v>3</v>
          </cell>
          <cell r="DI110">
            <v>0</v>
          </cell>
          <cell r="DJ110">
            <v>3</v>
          </cell>
        </row>
        <row r="111">
          <cell r="F111">
            <v>1</v>
          </cell>
          <cell r="O111">
            <v>1</v>
          </cell>
          <cell r="CI111">
            <v>1</v>
          </cell>
          <cell r="CJ111">
            <v>1</v>
          </cell>
          <cell r="DI111">
            <v>1</v>
          </cell>
          <cell r="DJ111">
            <v>3</v>
          </cell>
        </row>
        <row r="112">
          <cell r="F112">
            <v>1</v>
          </cell>
          <cell r="O112">
            <v>4</v>
          </cell>
          <cell r="CI112">
            <v>1</v>
          </cell>
          <cell r="CJ112">
            <v>4</v>
          </cell>
          <cell r="DI112">
            <v>1</v>
          </cell>
          <cell r="DJ112">
            <v>0</v>
          </cell>
        </row>
        <row r="113">
          <cell r="F113">
            <v>1</v>
          </cell>
          <cell r="O113">
            <v>4</v>
          </cell>
          <cell r="CI113">
            <v>1</v>
          </cell>
          <cell r="CJ113">
            <v>4</v>
          </cell>
          <cell r="DI113">
            <v>1</v>
          </cell>
          <cell r="DJ113">
            <v>0</v>
          </cell>
        </row>
        <row r="114">
          <cell r="F114">
            <v>1</v>
          </cell>
          <cell r="O114">
            <v>4</v>
          </cell>
          <cell r="CI114">
            <v>1</v>
          </cell>
          <cell r="CJ114">
            <v>4</v>
          </cell>
          <cell r="DI114">
            <v>1</v>
          </cell>
          <cell r="DJ114">
            <v>0</v>
          </cell>
        </row>
        <row r="115">
          <cell r="F115">
            <v>1</v>
          </cell>
          <cell r="O115">
            <v>4</v>
          </cell>
          <cell r="CI115">
            <v>1</v>
          </cell>
          <cell r="CJ115">
            <v>4</v>
          </cell>
          <cell r="DI115">
            <v>1</v>
          </cell>
          <cell r="DJ115">
            <v>0</v>
          </cell>
        </row>
        <row r="116">
          <cell r="F116">
            <v>1</v>
          </cell>
          <cell r="O116">
            <v>4</v>
          </cell>
          <cell r="CI116">
            <v>1</v>
          </cell>
          <cell r="CJ116">
            <v>4</v>
          </cell>
          <cell r="DI116">
            <v>1</v>
          </cell>
          <cell r="DJ116">
            <v>0</v>
          </cell>
        </row>
        <row r="117">
          <cell r="F117">
            <v>1</v>
          </cell>
          <cell r="O117">
            <v>0</v>
          </cell>
          <cell r="CI117">
            <v>1</v>
          </cell>
          <cell r="CJ117">
            <v>0</v>
          </cell>
          <cell r="DI117">
            <v>1</v>
          </cell>
          <cell r="DJ117">
            <v>4</v>
          </cell>
        </row>
        <row r="118">
          <cell r="F118">
            <v>1</v>
          </cell>
          <cell r="O118">
            <v>4</v>
          </cell>
          <cell r="CI118">
            <v>1</v>
          </cell>
          <cell r="CJ118">
            <v>4</v>
          </cell>
          <cell r="DI118">
            <v>1</v>
          </cell>
          <cell r="DJ118">
            <v>0</v>
          </cell>
        </row>
        <row r="119">
          <cell r="F119">
            <v>1</v>
          </cell>
          <cell r="O119">
            <v>2</v>
          </cell>
          <cell r="CI119">
            <v>1</v>
          </cell>
          <cell r="CJ119">
            <v>2</v>
          </cell>
          <cell r="DI119">
            <v>1</v>
          </cell>
          <cell r="DJ119">
            <v>2</v>
          </cell>
        </row>
        <row r="120">
          <cell r="F120">
            <v>1</v>
          </cell>
          <cell r="O120">
            <v>3</v>
          </cell>
          <cell r="CI120">
            <v>1</v>
          </cell>
          <cell r="CJ120">
            <v>3</v>
          </cell>
          <cell r="DI120">
            <v>1</v>
          </cell>
          <cell r="DJ120">
            <v>1</v>
          </cell>
        </row>
        <row r="121">
          <cell r="F121">
            <v>1</v>
          </cell>
          <cell r="O121">
            <v>0</v>
          </cell>
          <cell r="CI121">
            <v>1</v>
          </cell>
          <cell r="CJ121">
            <v>0</v>
          </cell>
          <cell r="DI121">
            <v>1</v>
          </cell>
          <cell r="DJ121">
            <v>4</v>
          </cell>
        </row>
        <row r="122">
          <cell r="F122">
            <v>1</v>
          </cell>
          <cell r="O122">
            <v>0</v>
          </cell>
          <cell r="CI122">
            <v>1</v>
          </cell>
          <cell r="CJ122">
            <v>0</v>
          </cell>
          <cell r="DI122">
            <v>1</v>
          </cell>
          <cell r="DJ122">
            <v>4</v>
          </cell>
        </row>
        <row r="123">
          <cell r="F123">
            <v>1</v>
          </cell>
          <cell r="O123">
            <v>4</v>
          </cell>
          <cell r="CI123">
            <v>1</v>
          </cell>
          <cell r="CJ123">
            <v>4</v>
          </cell>
          <cell r="DI123">
            <v>1</v>
          </cell>
          <cell r="DJ123">
            <v>0</v>
          </cell>
        </row>
        <row r="124">
          <cell r="F124">
            <v>1</v>
          </cell>
          <cell r="O124">
            <v>0</v>
          </cell>
          <cell r="CI124">
            <v>1</v>
          </cell>
          <cell r="CJ124">
            <v>0</v>
          </cell>
          <cell r="DI124">
            <v>1</v>
          </cell>
          <cell r="DJ124">
            <v>4</v>
          </cell>
        </row>
        <row r="125">
          <cell r="F125">
            <v>1</v>
          </cell>
          <cell r="O125">
            <v>4</v>
          </cell>
          <cell r="CI125">
            <v>1</v>
          </cell>
          <cell r="CJ125">
            <v>4</v>
          </cell>
          <cell r="DI125">
            <v>1</v>
          </cell>
          <cell r="DJ125">
            <v>0</v>
          </cell>
        </row>
        <row r="126">
          <cell r="F126">
            <v>1</v>
          </cell>
          <cell r="O126">
            <v>4</v>
          </cell>
          <cell r="CI126">
            <v>1</v>
          </cell>
          <cell r="CJ126">
            <v>1</v>
          </cell>
          <cell r="DI126">
            <v>1</v>
          </cell>
          <cell r="DJ126">
            <v>0</v>
          </cell>
        </row>
        <row r="127">
          <cell r="F127">
            <v>1</v>
          </cell>
          <cell r="O127">
            <v>4</v>
          </cell>
          <cell r="CI127">
            <v>1</v>
          </cell>
          <cell r="CJ127">
            <v>4</v>
          </cell>
          <cell r="DI127">
            <v>1</v>
          </cell>
          <cell r="DJ127">
            <v>0</v>
          </cell>
        </row>
        <row r="128">
          <cell r="F128">
            <v>1</v>
          </cell>
          <cell r="O128">
            <v>4</v>
          </cell>
          <cell r="CI128">
            <v>1</v>
          </cell>
          <cell r="CJ128">
            <v>4</v>
          </cell>
          <cell r="DI128">
            <v>1</v>
          </cell>
          <cell r="DJ128">
            <v>0</v>
          </cell>
        </row>
        <row r="129">
          <cell r="F129">
            <v>1</v>
          </cell>
          <cell r="O129">
            <v>4</v>
          </cell>
          <cell r="CI129">
            <v>1</v>
          </cell>
          <cell r="CJ129">
            <v>0</v>
          </cell>
          <cell r="DI129">
            <v>1</v>
          </cell>
          <cell r="DJ129">
            <v>0</v>
          </cell>
        </row>
        <row r="130">
          <cell r="F130">
            <v>1</v>
          </cell>
          <cell r="O130">
            <v>4</v>
          </cell>
          <cell r="CI130">
            <v>1</v>
          </cell>
          <cell r="CJ130">
            <v>4</v>
          </cell>
          <cell r="DI130">
            <v>1</v>
          </cell>
          <cell r="DJ130">
            <v>0</v>
          </cell>
        </row>
        <row r="131">
          <cell r="F131">
            <v>1</v>
          </cell>
          <cell r="O131">
            <v>4</v>
          </cell>
          <cell r="CI131">
            <v>1</v>
          </cell>
          <cell r="CJ131">
            <v>4</v>
          </cell>
          <cell r="DI131">
            <v>1</v>
          </cell>
          <cell r="DJ131">
            <v>0</v>
          </cell>
        </row>
        <row r="132">
          <cell r="F132">
            <v>1</v>
          </cell>
          <cell r="O132">
            <v>1</v>
          </cell>
          <cell r="CI132">
            <v>0</v>
          </cell>
          <cell r="CJ132">
            <v>4</v>
          </cell>
          <cell r="DI132">
            <v>0</v>
          </cell>
          <cell r="DJ132">
            <v>4</v>
          </cell>
        </row>
        <row r="133">
          <cell r="F133">
            <v>1</v>
          </cell>
          <cell r="O133">
            <v>4</v>
          </cell>
          <cell r="CI133">
            <v>1</v>
          </cell>
          <cell r="CJ133">
            <v>4</v>
          </cell>
          <cell r="DI133">
            <v>1</v>
          </cell>
          <cell r="DJ133">
            <v>0</v>
          </cell>
        </row>
        <row r="134">
          <cell r="F134">
            <v>1</v>
          </cell>
          <cell r="O134">
            <v>0</v>
          </cell>
          <cell r="CI134">
            <v>1</v>
          </cell>
          <cell r="CJ134">
            <v>0</v>
          </cell>
          <cell r="DI134">
            <v>1</v>
          </cell>
          <cell r="DJ134">
            <v>4</v>
          </cell>
        </row>
        <row r="135">
          <cell r="F135">
            <v>1</v>
          </cell>
          <cell r="O135">
            <v>4</v>
          </cell>
          <cell r="CI135">
            <v>1</v>
          </cell>
          <cell r="CJ135">
            <v>4</v>
          </cell>
          <cell r="DI135">
            <v>1</v>
          </cell>
          <cell r="DJ135">
            <v>0</v>
          </cell>
        </row>
        <row r="136">
          <cell r="F136">
            <v>1</v>
          </cell>
          <cell r="O136">
            <v>4</v>
          </cell>
          <cell r="CI136">
            <v>1</v>
          </cell>
          <cell r="CJ136">
            <v>4</v>
          </cell>
          <cell r="DI136">
            <v>1</v>
          </cell>
          <cell r="DJ136">
            <v>0</v>
          </cell>
        </row>
        <row r="137">
          <cell r="F137">
            <v>1</v>
          </cell>
          <cell r="O137">
            <v>4</v>
          </cell>
          <cell r="CI137">
            <v>1</v>
          </cell>
          <cell r="CJ137">
            <v>4</v>
          </cell>
          <cell r="DI137">
            <v>1</v>
          </cell>
          <cell r="DJ137">
            <v>0</v>
          </cell>
        </row>
        <row r="138">
          <cell r="F138">
            <v>1</v>
          </cell>
          <cell r="O138">
            <v>0</v>
          </cell>
          <cell r="CI138">
            <v>1</v>
          </cell>
          <cell r="CJ138">
            <v>0</v>
          </cell>
          <cell r="DI138">
            <v>1</v>
          </cell>
          <cell r="DJ138">
            <v>4</v>
          </cell>
        </row>
        <row r="139">
          <cell r="F139">
            <v>1</v>
          </cell>
          <cell r="O139">
            <v>4</v>
          </cell>
          <cell r="CI139">
            <v>1</v>
          </cell>
          <cell r="CJ139">
            <v>4</v>
          </cell>
          <cell r="DI139">
            <v>1</v>
          </cell>
          <cell r="DJ139">
            <v>0</v>
          </cell>
        </row>
        <row r="140">
          <cell r="F140">
            <v>1</v>
          </cell>
          <cell r="O140">
            <v>2</v>
          </cell>
          <cell r="CI140">
            <v>1</v>
          </cell>
          <cell r="CJ140">
            <v>2</v>
          </cell>
          <cell r="DI140">
            <v>1</v>
          </cell>
          <cell r="DJ140">
            <v>2</v>
          </cell>
        </row>
        <row r="141">
          <cell r="F141">
            <v>1</v>
          </cell>
          <cell r="O141">
            <v>2</v>
          </cell>
          <cell r="CI141">
            <v>1</v>
          </cell>
          <cell r="CJ141">
            <v>2</v>
          </cell>
          <cell r="DI141">
            <v>1</v>
          </cell>
          <cell r="DJ141">
            <v>2</v>
          </cell>
        </row>
        <row r="142">
          <cell r="F142">
            <v>1</v>
          </cell>
          <cell r="O142">
            <v>1</v>
          </cell>
          <cell r="CI142">
            <v>1</v>
          </cell>
          <cell r="CJ142">
            <v>1</v>
          </cell>
          <cell r="DI142">
            <v>1</v>
          </cell>
          <cell r="DJ142">
            <v>2</v>
          </cell>
        </row>
        <row r="143">
          <cell r="F143">
            <v>1</v>
          </cell>
          <cell r="O143">
            <v>4</v>
          </cell>
          <cell r="CI143">
            <v>1</v>
          </cell>
          <cell r="CJ143">
            <v>4</v>
          </cell>
          <cell r="DI143">
            <v>1</v>
          </cell>
          <cell r="DJ143">
            <v>0</v>
          </cell>
        </row>
        <row r="144">
          <cell r="F144">
            <v>1</v>
          </cell>
          <cell r="O144">
            <v>4</v>
          </cell>
          <cell r="CI144">
            <v>1</v>
          </cell>
          <cell r="CJ144">
            <v>4</v>
          </cell>
          <cell r="DI144">
            <v>1</v>
          </cell>
          <cell r="DJ144">
            <v>0</v>
          </cell>
        </row>
        <row r="145">
          <cell r="F145">
            <v>1</v>
          </cell>
          <cell r="O145">
            <v>0</v>
          </cell>
          <cell r="CI145">
            <v>1</v>
          </cell>
          <cell r="CJ145">
            <v>0</v>
          </cell>
          <cell r="DI145">
            <v>1</v>
          </cell>
          <cell r="DJ145">
            <v>2</v>
          </cell>
        </row>
        <row r="146">
          <cell r="F146">
            <v>1</v>
          </cell>
          <cell r="O146">
            <v>4</v>
          </cell>
          <cell r="CI146">
            <v>1</v>
          </cell>
          <cell r="CJ146">
            <v>4</v>
          </cell>
          <cell r="DI146">
            <v>1</v>
          </cell>
          <cell r="DJ146">
            <v>0</v>
          </cell>
        </row>
        <row r="147">
          <cell r="F147">
            <v>1</v>
          </cell>
          <cell r="O147">
            <v>0</v>
          </cell>
          <cell r="CI147">
            <v>1</v>
          </cell>
          <cell r="CJ147">
            <v>0</v>
          </cell>
          <cell r="DI147">
            <v>1</v>
          </cell>
          <cell r="DJ147">
            <v>4</v>
          </cell>
        </row>
        <row r="148">
          <cell r="F148">
            <v>1</v>
          </cell>
          <cell r="O148">
            <v>0</v>
          </cell>
          <cell r="CI148">
            <v>1</v>
          </cell>
          <cell r="CJ148">
            <v>0</v>
          </cell>
          <cell r="DI148">
            <v>1</v>
          </cell>
          <cell r="DJ148">
            <v>4</v>
          </cell>
        </row>
        <row r="149">
          <cell r="F149">
            <v>1</v>
          </cell>
          <cell r="O149">
            <v>0</v>
          </cell>
          <cell r="CI149">
            <v>1</v>
          </cell>
          <cell r="CJ149">
            <v>0</v>
          </cell>
          <cell r="DI149">
            <v>1</v>
          </cell>
          <cell r="DJ149">
            <v>3</v>
          </cell>
        </row>
        <row r="150">
          <cell r="F150">
            <v>1</v>
          </cell>
          <cell r="O150">
            <v>0</v>
          </cell>
          <cell r="CI150">
            <v>1</v>
          </cell>
          <cell r="CJ150">
            <v>0</v>
          </cell>
          <cell r="DI150">
            <v>1</v>
          </cell>
          <cell r="DJ150">
            <v>4</v>
          </cell>
        </row>
        <row r="151">
          <cell r="F151">
            <v>1</v>
          </cell>
          <cell r="O151">
            <v>4</v>
          </cell>
          <cell r="CI151">
            <v>1</v>
          </cell>
          <cell r="CJ151">
            <v>4</v>
          </cell>
          <cell r="DI151">
            <v>1</v>
          </cell>
          <cell r="DJ151">
            <v>0</v>
          </cell>
        </row>
        <row r="152">
          <cell r="F152">
            <v>1</v>
          </cell>
          <cell r="O152">
            <v>4</v>
          </cell>
          <cell r="CI152">
            <v>1</v>
          </cell>
          <cell r="CJ152">
            <v>4</v>
          </cell>
          <cell r="DI152">
            <v>1</v>
          </cell>
          <cell r="DJ152">
            <v>0</v>
          </cell>
        </row>
        <row r="153">
          <cell r="F153">
            <v>1</v>
          </cell>
          <cell r="O153">
            <v>4</v>
          </cell>
          <cell r="CI153">
            <v>1</v>
          </cell>
          <cell r="CJ153">
            <v>4</v>
          </cell>
          <cell r="DI153">
            <v>1</v>
          </cell>
          <cell r="DJ153">
            <v>0</v>
          </cell>
        </row>
        <row r="154">
          <cell r="F154">
            <v>1</v>
          </cell>
          <cell r="O154">
            <v>4</v>
          </cell>
          <cell r="CI154">
            <v>1</v>
          </cell>
          <cell r="CJ154">
            <v>4</v>
          </cell>
          <cell r="DI154">
            <v>1</v>
          </cell>
          <cell r="DJ154">
            <v>0</v>
          </cell>
        </row>
        <row r="155">
          <cell r="F155">
            <v>1</v>
          </cell>
          <cell r="O155">
            <v>4</v>
          </cell>
          <cell r="CI155">
            <v>1</v>
          </cell>
          <cell r="CJ155">
            <v>4</v>
          </cell>
          <cell r="DI155">
            <v>1</v>
          </cell>
          <cell r="DJ155">
            <v>0</v>
          </cell>
        </row>
        <row r="156">
          <cell r="F156">
            <v>1</v>
          </cell>
          <cell r="O156">
            <v>4</v>
          </cell>
          <cell r="CI156">
            <v>1</v>
          </cell>
          <cell r="CJ156">
            <v>4</v>
          </cell>
          <cell r="DI156">
            <v>1</v>
          </cell>
          <cell r="DJ156">
            <v>0</v>
          </cell>
        </row>
        <row r="157">
          <cell r="F157">
            <v>1</v>
          </cell>
          <cell r="O157">
            <v>4</v>
          </cell>
          <cell r="CI157">
            <v>1</v>
          </cell>
          <cell r="CJ157">
            <v>4</v>
          </cell>
          <cell r="DI157">
            <v>1</v>
          </cell>
          <cell r="DJ157">
            <v>0</v>
          </cell>
        </row>
        <row r="158">
          <cell r="F158">
            <v>1</v>
          </cell>
          <cell r="O158">
            <v>0</v>
          </cell>
          <cell r="CI158">
            <v>1</v>
          </cell>
          <cell r="CJ158">
            <v>0</v>
          </cell>
          <cell r="DI158">
            <v>1</v>
          </cell>
          <cell r="DJ158">
            <v>4</v>
          </cell>
        </row>
        <row r="159">
          <cell r="F159">
            <v>1</v>
          </cell>
          <cell r="O159">
            <v>0</v>
          </cell>
          <cell r="CI159">
            <v>1</v>
          </cell>
          <cell r="CJ159">
            <v>0</v>
          </cell>
          <cell r="DI159">
            <v>1</v>
          </cell>
          <cell r="DJ159">
            <v>4</v>
          </cell>
        </row>
        <row r="160">
          <cell r="F160">
            <v>1</v>
          </cell>
          <cell r="O160">
            <v>0</v>
          </cell>
          <cell r="CI160">
            <v>1</v>
          </cell>
          <cell r="CJ160">
            <v>0</v>
          </cell>
          <cell r="DI160">
            <v>1</v>
          </cell>
          <cell r="DJ160">
            <v>0</v>
          </cell>
        </row>
        <row r="161">
          <cell r="F161">
            <v>1</v>
          </cell>
          <cell r="O161">
            <v>4</v>
          </cell>
          <cell r="CI161">
            <v>1</v>
          </cell>
          <cell r="CJ161">
            <v>4</v>
          </cell>
          <cell r="DI161">
            <v>1</v>
          </cell>
          <cell r="DJ161">
            <v>0</v>
          </cell>
        </row>
        <row r="162">
          <cell r="F162">
            <v>1</v>
          </cell>
          <cell r="O162">
            <v>0</v>
          </cell>
          <cell r="CI162">
            <v>1</v>
          </cell>
          <cell r="CJ162">
            <v>0</v>
          </cell>
          <cell r="DI162">
            <v>0</v>
          </cell>
          <cell r="DJ162">
            <v>4</v>
          </cell>
        </row>
        <row r="163">
          <cell r="F163">
            <v>1</v>
          </cell>
          <cell r="O163">
            <v>4</v>
          </cell>
          <cell r="CI163">
            <v>1</v>
          </cell>
          <cell r="CJ163">
            <v>4</v>
          </cell>
          <cell r="DI163">
            <v>1</v>
          </cell>
          <cell r="DJ163">
            <v>0</v>
          </cell>
        </row>
        <row r="164">
          <cell r="F164">
            <v>1</v>
          </cell>
          <cell r="O164">
            <v>1</v>
          </cell>
          <cell r="CI164">
            <v>1</v>
          </cell>
          <cell r="CJ164">
            <v>4</v>
          </cell>
          <cell r="DI164">
            <v>0</v>
          </cell>
          <cell r="DJ164">
            <v>4</v>
          </cell>
        </row>
        <row r="165">
          <cell r="F165">
            <v>1</v>
          </cell>
          <cell r="O165">
            <v>4</v>
          </cell>
          <cell r="CI165">
            <v>1</v>
          </cell>
          <cell r="CJ165">
            <v>4</v>
          </cell>
          <cell r="DI165">
            <v>1</v>
          </cell>
          <cell r="DJ165">
            <v>0</v>
          </cell>
        </row>
        <row r="166">
          <cell r="F166">
            <v>1</v>
          </cell>
          <cell r="O166">
            <v>0</v>
          </cell>
          <cell r="CI166">
            <v>1</v>
          </cell>
          <cell r="CJ166">
            <v>0</v>
          </cell>
          <cell r="DI166">
            <v>1</v>
          </cell>
          <cell r="DJ166">
            <v>4</v>
          </cell>
        </row>
        <row r="167">
          <cell r="F167">
            <v>1</v>
          </cell>
          <cell r="O167">
            <v>4</v>
          </cell>
          <cell r="CI167">
            <v>1</v>
          </cell>
          <cell r="CJ167">
            <v>4</v>
          </cell>
          <cell r="DI167">
            <v>1</v>
          </cell>
          <cell r="DJ167">
            <v>0</v>
          </cell>
        </row>
        <row r="168">
          <cell r="F168">
            <v>1</v>
          </cell>
          <cell r="O168">
            <v>4</v>
          </cell>
          <cell r="CI168">
            <v>1</v>
          </cell>
          <cell r="CJ168">
            <v>4</v>
          </cell>
          <cell r="DI168">
            <v>1</v>
          </cell>
          <cell r="DJ168">
            <v>0</v>
          </cell>
        </row>
        <row r="169">
          <cell r="F169">
            <v>1</v>
          </cell>
          <cell r="O169">
            <v>2</v>
          </cell>
          <cell r="CI169">
            <v>1</v>
          </cell>
          <cell r="CJ169">
            <v>2</v>
          </cell>
          <cell r="DI169">
            <v>1</v>
          </cell>
          <cell r="DJ169">
            <v>0</v>
          </cell>
        </row>
        <row r="170">
          <cell r="F170">
            <v>1</v>
          </cell>
          <cell r="O170">
            <v>4</v>
          </cell>
          <cell r="CI170">
            <v>1</v>
          </cell>
          <cell r="CJ170">
            <v>4</v>
          </cell>
          <cell r="DI170">
            <v>1</v>
          </cell>
          <cell r="DJ170">
            <v>0</v>
          </cell>
        </row>
        <row r="171">
          <cell r="F171">
            <v>1</v>
          </cell>
          <cell r="O171">
            <v>4</v>
          </cell>
          <cell r="CI171">
            <v>1</v>
          </cell>
          <cell r="CJ171">
            <v>4</v>
          </cell>
          <cell r="DI171">
            <v>1</v>
          </cell>
          <cell r="DJ171">
            <v>0</v>
          </cell>
        </row>
        <row r="172">
          <cell r="F172">
            <v>1</v>
          </cell>
          <cell r="O172">
            <v>4</v>
          </cell>
          <cell r="CI172">
            <v>1</v>
          </cell>
          <cell r="CJ172">
            <v>4</v>
          </cell>
          <cell r="DI172">
            <v>1</v>
          </cell>
          <cell r="DJ172">
            <v>0</v>
          </cell>
        </row>
        <row r="173">
          <cell r="F173">
            <v>1</v>
          </cell>
          <cell r="O173">
            <v>4</v>
          </cell>
          <cell r="CI173">
            <v>1</v>
          </cell>
          <cell r="CJ173">
            <v>4</v>
          </cell>
          <cell r="DI173">
            <v>1</v>
          </cell>
          <cell r="DJ173">
            <v>0</v>
          </cell>
        </row>
        <row r="174">
          <cell r="F174">
            <v>1</v>
          </cell>
          <cell r="O174">
            <v>0</v>
          </cell>
          <cell r="CI174">
            <v>1</v>
          </cell>
          <cell r="CJ174">
            <v>0</v>
          </cell>
          <cell r="DI174">
            <v>1</v>
          </cell>
          <cell r="DJ174">
            <v>4</v>
          </cell>
        </row>
        <row r="175">
          <cell r="F175">
            <v>1</v>
          </cell>
          <cell r="O175">
            <v>1</v>
          </cell>
          <cell r="CI175">
            <v>1</v>
          </cell>
          <cell r="CJ175">
            <v>1</v>
          </cell>
          <cell r="DI175">
            <v>1</v>
          </cell>
          <cell r="DJ175">
            <v>1</v>
          </cell>
        </row>
        <row r="176">
          <cell r="F176">
            <v>1</v>
          </cell>
          <cell r="O176">
            <v>0</v>
          </cell>
          <cell r="CI176">
            <v>1</v>
          </cell>
          <cell r="CJ176">
            <v>0</v>
          </cell>
          <cell r="DI176">
            <v>1</v>
          </cell>
          <cell r="DJ176">
            <v>4</v>
          </cell>
        </row>
        <row r="177">
          <cell r="F177">
            <v>1</v>
          </cell>
          <cell r="O177">
            <v>4</v>
          </cell>
          <cell r="CI177">
            <v>1</v>
          </cell>
          <cell r="CJ177">
            <v>4</v>
          </cell>
          <cell r="DI177">
            <v>1</v>
          </cell>
          <cell r="DJ177">
            <v>0</v>
          </cell>
        </row>
        <row r="178">
          <cell r="F178">
            <v>1</v>
          </cell>
          <cell r="O178">
            <v>0</v>
          </cell>
          <cell r="CI178">
            <v>1</v>
          </cell>
          <cell r="CJ178">
            <v>0</v>
          </cell>
          <cell r="DI178">
            <v>1</v>
          </cell>
          <cell r="DJ178">
            <v>4</v>
          </cell>
        </row>
        <row r="179">
          <cell r="F179">
            <v>1</v>
          </cell>
          <cell r="O179">
            <v>0</v>
          </cell>
          <cell r="CI179">
            <v>1</v>
          </cell>
          <cell r="CJ179">
            <v>0</v>
          </cell>
          <cell r="DI179">
            <v>1</v>
          </cell>
          <cell r="DJ179">
            <v>4</v>
          </cell>
        </row>
        <row r="180">
          <cell r="F180">
            <v>1</v>
          </cell>
          <cell r="O180">
            <v>4</v>
          </cell>
          <cell r="CI180">
            <v>1</v>
          </cell>
          <cell r="CJ180">
            <v>4</v>
          </cell>
          <cell r="DI180">
            <v>1</v>
          </cell>
          <cell r="DJ180">
            <v>0</v>
          </cell>
        </row>
        <row r="181">
          <cell r="F181">
            <v>1</v>
          </cell>
          <cell r="O181">
            <v>4</v>
          </cell>
          <cell r="CI181">
            <v>1</v>
          </cell>
          <cell r="CJ181">
            <v>4</v>
          </cell>
          <cell r="DI181">
            <v>1</v>
          </cell>
          <cell r="DJ181">
            <v>0</v>
          </cell>
        </row>
        <row r="182">
          <cell r="F182">
            <v>1</v>
          </cell>
          <cell r="O182">
            <v>4</v>
          </cell>
          <cell r="CI182">
            <v>1</v>
          </cell>
          <cell r="CJ182">
            <v>4</v>
          </cell>
          <cell r="DI182">
            <v>1</v>
          </cell>
          <cell r="DJ182">
            <v>0</v>
          </cell>
        </row>
        <row r="183">
          <cell r="F183">
            <v>1</v>
          </cell>
          <cell r="O183">
            <v>0</v>
          </cell>
          <cell r="CI183">
            <v>1</v>
          </cell>
          <cell r="CJ183">
            <v>0</v>
          </cell>
          <cell r="DI183">
            <v>1</v>
          </cell>
          <cell r="DJ183">
            <v>2</v>
          </cell>
        </row>
        <row r="184">
          <cell r="F184">
            <v>1</v>
          </cell>
          <cell r="O184">
            <v>4</v>
          </cell>
          <cell r="CI184">
            <v>1</v>
          </cell>
          <cell r="CJ184">
            <v>1</v>
          </cell>
          <cell r="DI184">
            <v>1</v>
          </cell>
          <cell r="DJ184">
            <v>0</v>
          </cell>
        </row>
        <row r="185">
          <cell r="F185">
            <v>1</v>
          </cell>
          <cell r="O185">
            <v>4</v>
          </cell>
          <cell r="CI185">
            <v>1</v>
          </cell>
          <cell r="CJ185">
            <v>4</v>
          </cell>
          <cell r="DI185">
            <v>1</v>
          </cell>
          <cell r="DJ185">
            <v>0</v>
          </cell>
        </row>
        <row r="186">
          <cell r="F186">
            <v>1</v>
          </cell>
          <cell r="O186">
            <v>4</v>
          </cell>
          <cell r="CI186">
            <v>1</v>
          </cell>
          <cell r="CJ186">
            <v>4</v>
          </cell>
          <cell r="DI186">
            <v>1</v>
          </cell>
          <cell r="DJ186">
            <v>0</v>
          </cell>
        </row>
        <row r="187">
          <cell r="F187">
            <v>1</v>
          </cell>
          <cell r="O187">
            <v>0</v>
          </cell>
          <cell r="CI187">
            <v>1</v>
          </cell>
          <cell r="CJ187">
            <v>0</v>
          </cell>
          <cell r="DI187">
            <v>1</v>
          </cell>
          <cell r="DJ187">
            <v>4</v>
          </cell>
        </row>
        <row r="188">
          <cell r="F188">
            <v>1</v>
          </cell>
          <cell r="O188">
            <v>1</v>
          </cell>
          <cell r="CI188">
            <v>1</v>
          </cell>
          <cell r="CJ188">
            <v>0</v>
          </cell>
          <cell r="DI188">
            <v>1</v>
          </cell>
          <cell r="DJ188">
            <v>0</v>
          </cell>
        </row>
        <row r="189">
          <cell r="F189">
            <v>1</v>
          </cell>
          <cell r="O189">
            <v>4</v>
          </cell>
          <cell r="CI189">
            <v>1</v>
          </cell>
          <cell r="CJ189">
            <v>4</v>
          </cell>
          <cell r="DI189">
            <v>1</v>
          </cell>
          <cell r="DJ189">
            <v>0</v>
          </cell>
        </row>
        <row r="190">
          <cell r="F190">
            <v>1</v>
          </cell>
          <cell r="O190">
            <v>0</v>
          </cell>
          <cell r="CI190">
            <v>1</v>
          </cell>
          <cell r="CJ190">
            <v>0</v>
          </cell>
          <cell r="DI190">
            <v>1</v>
          </cell>
          <cell r="DJ190">
            <v>4</v>
          </cell>
        </row>
        <row r="191">
          <cell r="F191">
            <v>1</v>
          </cell>
          <cell r="O191">
            <v>4</v>
          </cell>
          <cell r="CI191">
            <v>1</v>
          </cell>
          <cell r="CJ191">
            <v>4</v>
          </cell>
          <cell r="DI191">
            <v>1</v>
          </cell>
          <cell r="DJ191">
            <v>0</v>
          </cell>
        </row>
        <row r="192">
          <cell r="F192">
            <v>1</v>
          </cell>
          <cell r="O192">
            <v>4</v>
          </cell>
          <cell r="CI192">
            <v>1</v>
          </cell>
          <cell r="CJ192">
            <v>4</v>
          </cell>
          <cell r="DI192">
            <v>1</v>
          </cell>
          <cell r="DJ192">
            <v>0</v>
          </cell>
        </row>
        <row r="193">
          <cell r="F193">
            <v>1</v>
          </cell>
          <cell r="O193">
            <v>1</v>
          </cell>
          <cell r="CI193">
            <v>1</v>
          </cell>
          <cell r="CJ193">
            <v>2</v>
          </cell>
          <cell r="DI193">
            <v>1</v>
          </cell>
          <cell r="DJ193">
            <v>2</v>
          </cell>
        </row>
        <row r="194">
          <cell r="F194">
            <v>1</v>
          </cell>
          <cell r="O194">
            <v>4</v>
          </cell>
          <cell r="CI194">
            <v>1</v>
          </cell>
          <cell r="CJ194">
            <v>4</v>
          </cell>
          <cell r="DI194">
            <v>1</v>
          </cell>
          <cell r="DJ194">
            <v>0</v>
          </cell>
        </row>
        <row r="195">
          <cell r="F195">
            <v>1</v>
          </cell>
          <cell r="O195">
            <v>2</v>
          </cell>
          <cell r="CI195">
            <v>1</v>
          </cell>
          <cell r="CJ195">
            <v>2</v>
          </cell>
          <cell r="DI195">
            <v>1</v>
          </cell>
          <cell r="DJ195">
            <v>2</v>
          </cell>
        </row>
        <row r="196">
          <cell r="F196">
            <v>1</v>
          </cell>
          <cell r="O196">
            <v>0</v>
          </cell>
          <cell r="CI196">
            <v>1</v>
          </cell>
          <cell r="CJ196">
            <v>0</v>
          </cell>
          <cell r="DI196">
            <v>1</v>
          </cell>
          <cell r="DJ196">
            <v>4</v>
          </cell>
        </row>
        <row r="197">
          <cell r="F197">
            <v>1</v>
          </cell>
          <cell r="O197">
            <v>4</v>
          </cell>
          <cell r="CI197">
            <v>1</v>
          </cell>
          <cell r="CJ197">
            <v>4</v>
          </cell>
          <cell r="DI197">
            <v>1</v>
          </cell>
          <cell r="DJ197">
            <v>0</v>
          </cell>
        </row>
        <row r="198">
          <cell r="F198">
            <v>1</v>
          </cell>
          <cell r="O198">
            <v>0</v>
          </cell>
          <cell r="CI198">
            <v>1</v>
          </cell>
          <cell r="CJ198">
            <v>0</v>
          </cell>
          <cell r="DI198">
            <v>1</v>
          </cell>
          <cell r="DJ198">
            <v>4</v>
          </cell>
        </row>
        <row r="199">
          <cell r="F199">
            <v>1</v>
          </cell>
          <cell r="O199">
            <v>4</v>
          </cell>
          <cell r="CI199">
            <v>1</v>
          </cell>
          <cell r="CJ199">
            <v>4</v>
          </cell>
          <cell r="DI199">
            <v>1</v>
          </cell>
          <cell r="DJ199">
            <v>0</v>
          </cell>
        </row>
        <row r="200">
          <cell r="F200">
            <v>1</v>
          </cell>
          <cell r="O200">
            <v>3</v>
          </cell>
          <cell r="CI200">
            <v>1</v>
          </cell>
          <cell r="CJ200">
            <v>3</v>
          </cell>
          <cell r="DI200">
            <v>1</v>
          </cell>
          <cell r="DJ200">
            <v>1</v>
          </cell>
        </row>
        <row r="201">
          <cell r="F201">
            <v>1</v>
          </cell>
          <cell r="O201">
            <v>4</v>
          </cell>
          <cell r="CI201">
            <v>1</v>
          </cell>
          <cell r="CJ201">
            <v>4</v>
          </cell>
          <cell r="DI201">
            <v>1</v>
          </cell>
          <cell r="DJ201">
            <v>0</v>
          </cell>
        </row>
        <row r="202">
          <cell r="F202">
            <v>1</v>
          </cell>
          <cell r="O202">
            <v>0</v>
          </cell>
          <cell r="CI202">
            <v>1</v>
          </cell>
          <cell r="CJ202">
            <v>0</v>
          </cell>
          <cell r="DI202">
            <v>1</v>
          </cell>
          <cell r="DJ202">
            <v>2</v>
          </cell>
        </row>
        <row r="203">
          <cell r="F203">
            <v>1</v>
          </cell>
          <cell r="O203">
            <v>4</v>
          </cell>
          <cell r="CI203">
            <v>1</v>
          </cell>
          <cell r="CJ203">
            <v>4</v>
          </cell>
          <cell r="DI203">
            <v>1</v>
          </cell>
          <cell r="DJ203">
            <v>0</v>
          </cell>
        </row>
        <row r="204">
          <cell r="F204">
            <v>1</v>
          </cell>
          <cell r="O204">
            <v>4</v>
          </cell>
          <cell r="CI204">
            <v>1</v>
          </cell>
          <cell r="CJ204">
            <v>4</v>
          </cell>
          <cell r="DI204">
            <v>1</v>
          </cell>
          <cell r="DJ204">
            <v>0</v>
          </cell>
        </row>
        <row r="205">
          <cell r="F205">
            <v>1</v>
          </cell>
          <cell r="O205">
            <v>0</v>
          </cell>
          <cell r="CI205">
            <v>1</v>
          </cell>
          <cell r="CJ205">
            <v>0</v>
          </cell>
          <cell r="DI205">
            <v>1</v>
          </cell>
          <cell r="DJ205">
            <v>4</v>
          </cell>
        </row>
        <row r="206">
          <cell r="F206">
            <v>1</v>
          </cell>
          <cell r="O206">
            <v>0</v>
          </cell>
          <cell r="CI206">
            <v>1</v>
          </cell>
          <cell r="CJ206">
            <v>0</v>
          </cell>
          <cell r="DI206">
            <v>1</v>
          </cell>
          <cell r="DJ206">
            <v>4</v>
          </cell>
        </row>
        <row r="207">
          <cell r="F207">
            <v>1</v>
          </cell>
          <cell r="O207">
            <v>0</v>
          </cell>
          <cell r="CI207">
            <v>1</v>
          </cell>
          <cell r="CJ207">
            <v>0</v>
          </cell>
          <cell r="DI207">
            <v>1</v>
          </cell>
          <cell r="DJ207">
            <v>3</v>
          </cell>
        </row>
        <row r="208">
          <cell r="F208">
            <v>1</v>
          </cell>
          <cell r="O208">
            <v>3</v>
          </cell>
          <cell r="CI208">
            <v>1</v>
          </cell>
          <cell r="CJ208">
            <v>3</v>
          </cell>
          <cell r="DI208">
            <v>1</v>
          </cell>
          <cell r="DJ208">
            <v>1</v>
          </cell>
        </row>
        <row r="209">
          <cell r="F209">
            <v>1</v>
          </cell>
          <cell r="O209">
            <v>4</v>
          </cell>
          <cell r="CI209">
            <v>1</v>
          </cell>
          <cell r="CJ209">
            <v>4</v>
          </cell>
          <cell r="DI209">
            <v>1</v>
          </cell>
          <cell r="DJ209">
            <v>0</v>
          </cell>
        </row>
        <row r="210">
          <cell r="F210">
            <v>1</v>
          </cell>
          <cell r="O210">
            <v>0</v>
          </cell>
          <cell r="CI210">
            <v>1</v>
          </cell>
          <cell r="CJ210">
            <v>0</v>
          </cell>
          <cell r="DI210">
            <v>0</v>
          </cell>
          <cell r="DJ210">
            <v>2</v>
          </cell>
        </row>
        <row r="211">
          <cell r="F211">
            <v>1</v>
          </cell>
          <cell r="O211">
            <v>1</v>
          </cell>
          <cell r="CI211">
            <v>0</v>
          </cell>
          <cell r="CJ211">
            <v>3</v>
          </cell>
          <cell r="DI211">
            <v>0</v>
          </cell>
          <cell r="DJ211">
            <v>3</v>
          </cell>
        </row>
        <row r="212">
          <cell r="F212">
            <v>1</v>
          </cell>
          <cell r="O212">
            <v>0</v>
          </cell>
          <cell r="CI212">
            <v>1</v>
          </cell>
          <cell r="CJ212">
            <v>0</v>
          </cell>
          <cell r="DI212">
            <v>1</v>
          </cell>
          <cell r="DJ212">
            <v>2</v>
          </cell>
        </row>
        <row r="213">
          <cell r="F213">
            <v>1</v>
          </cell>
          <cell r="O213">
            <v>0</v>
          </cell>
          <cell r="CI213">
            <v>1</v>
          </cell>
          <cell r="CJ213">
            <v>0</v>
          </cell>
          <cell r="DI213">
            <v>0</v>
          </cell>
          <cell r="DJ213">
            <v>0</v>
          </cell>
        </row>
        <row r="214">
          <cell r="F214">
            <v>1</v>
          </cell>
          <cell r="O214">
            <v>4</v>
          </cell>
          <cell r="CI214">
            <v>1</v>
          </cell>
          <cell r="CJ214">
            <v>4</v>
          </cell>
          <cell r="DI214">
            <v>1</v>
          </cell>
          <cell r="DJ214">
            <v>0</v>
          </cell>
        </row>
        <row r="215">
          <cell r="F215">
            <v>1</v>
          </cell>
          <cell r="O215">
            <v>1</v>
          </cell>
          <cell r="CI215">
            <v>1</v>
          </cell>
          <cell r="CJ215">
            <v>1</v>
          </cell>
          <cell r="DI215">
            <v>1</v>
          </cell>
          <cell r="DJ215">
            <v>1</v>
          </cell>
        </row>
        <row r="216">
          <cell r="F216">
            <v>1</v>
          </cell>
          <cell r="O216">
            <v>0</v>
          </cell>
          <cell r="CI216">
            <v>1</v>
          </cell>
          <cell r="CJ216">
            <v>0</v>
          </cell>
          <cell r="DI216">
            <v>1</v>
          </cell>
          <cell r="DJ216">
            <v>4</v>
          </cell>
        </row>
        <row r="217">
          <cell r="F217">
            <v>1</v>
          </cell>
          <cell r="O217">
            <v>4</v>
          </cell>
          <cell r="CI217">
            <v>1</v>
          </cell>
          <cell r="CJ217">
            <v>4</v>
          </cell>
          <cell r="DI217">
            <v>1</v>
          </cell>
          <cell r="DJ217">
            <v>0</v>
          </cell>
        </row>
        <row r="218">
          <cell r="F218">
            <v>1</v>
          </cell>
          <cell r="O218">
            <v>4</v>
          </cell>
          <cell r="CI218">
            <v>1</v>
          </cell>
          <cell r="CJ218">
            <v>4</v>
          </cell>
          <cell r="DI218">
            <v>1</v>
          </cell>
          <cell r="DJ218">
            <v>0</v>
          </cell>
        </row>
        <row r="219">
          <cell r="F219">
            <v>1</v>
          </cell>
          <cell r="O219">
            <v>2</v>
          </cell>
          <cell r="CI219">
            <v>1</v>
          </cell>
          <cell r="CJ219">
            <v>2</v>
          </cell>
          <cell r="DI219">
            <v>1</v>
          </cell>
          <cell r="DJ219">
            <v>2</v>
          </cell>
        </row>
        <row r="220">
          <cell r="F220">
            <v>1</v>
          </cell>
          <cell r="O220">
            <v>4</v>
          </cell>
          <cell r="CI220">
            <v>1</v>
          </cell>
          <cell r="CJ220">
            <v>4</v>
          </cell>
          <cell r="DI220">
            <v>1</v>
          </cell>
          <cell r="DJ220">
            <v>0</v>
          </cell>
        </row>
        <row r="221">
          <cell r="F221">
            <v>1</v>
          </cell>
          <cell r="O221">
            <v>0</v>
          </cell>
          <cell r="CI221">
            <v>1</v>
          </cell>
          <cell r="CJ221">
            <v>0</v>
          </cell>
          <cell r="DI221">
            <v>0</v>
          </cell>
          <cell r="DJ221">
            <v>4</v>
          </cell>
        </row>
        <row r="222">
          <cell r="F222">
            <v>1</v>
          </cell>
          <cell r="O222">
            <v>4</v>
          </cell>
          <cell r="CI222">
            <v>1</v>
          </cell>
          <cell r="CJ222">
            <v>4</v>
          </cell>
          <cell r="DI222">
            <v>1</v>
          </cell>
          <cell r="DJ222">
            <v>0</v>
          </cell>
        </row>
        <row r="223">
          <cell r="F223">
            <v>1</v>
          </cell>
          <cell r="O223">
            <v>4</v>
          </cell>
          <cell r="CI223">
            <v>1</v>
          </cell>
          <cell r="CJ223">
            <v>2</v>
          </cell>
          <cell r="DI223">
            <v>1</v>
          </cell>
          <cell r="DJ223">
            <v>0</v>
          </cell>
        </row>
        <row r="224">
          <cell r="F224">
            <v>1</v>
          </cell>
          <cell r="O224">
            <v>0</v>
          </cell>
          <cell r="CI224">
            <v>1</v>
          </cell>
          <cell r="CJ224">
            <v>0</v>
          </cell>
          <cell r="DI224">
            <v>1</v>
          </cell>
          <cell r="DJ224">
            <v>4</v>
          </cell>
        </row>
        <row r="225">
          <cell r="F225">
            <v>1</v>
          </cell>
          <cell r="O225">
            <v>4</v>
          </cell>
          <cell r="CI225">
            <v>1</v>
          </cell>
          <cell r="CJ225">
            <v>4</v>
          </cell>
          <cell r="DI225">
            <v>1</v>
          </cell>
          <cell r="DJ225">
            <v>0</v>
          </cell>
        </row>
        <row r="226">
          <cell r="F226">
            <v>1</v>
          </cell>
          <cell r="O226">
            <v>3</v>
          </cell>
          <cell r="CI226">
            <v>1</v>
          </cell>
          <cell r="CJ226">
            <v>3</v>
          </cell>
          <cell r="DI226">
            <v>1</v>
          </cell>
          <cell r="DJ226">
            <v>1</v>
          </cell>
        </row>
        <row r="227">
          <cell r="F227">
            <v>1</v>
          </cell>
          <cell r="O227">
            <v>1</v>
          </cell>
          <cell r="CI227">
            <v>1</v>
          </cell>
          <cell r="CJ227">
            <v>1</v>
          </cell>
          <cell r="DI227">
            <v>1</v>
          </cell>
          <cell r="DJ227">
            <v>3</v>
          </cell>
        </row>
        <row r="228">
          <cell r="F228">
            <v>1</v>
          </cell>
          <cell r="O228">
            <v>1</v>
          </cell>
          <cell r="CI228">
            <v>1</v>
          </cell>
          <cell r="CJ228">
            <v>1</v>
          </cell>
          <cell r="DI228">
            <v>1</v>
          </cell>
          <cell r="DJ228">
            <v>3</v>
          </cell>
        </row>
        <row r="229">
          <cell r="F229">
            <v>1</v>
          </cell>
          <cell r="O229">
            <v>2</v>
          </cell>
          <cell r="CI229">
            <v>1</v>
          </cell>
          <cell r="CJ229">
            <v>2</v>
          </cell>
          <cell r="DI229">
            <v>1</v>
          </cell>
          <cell r="DJ229">
            <v>2</v>
          </cell>
        </row>
        <row r="230">
          <cell r="F230">
            <v>1</v>
          </cell>
          <cell r="O230">
            <v>4</v>
          </cell>
          <cell r="CI230">
            <v>1</v>
          </cell>
          <cell r="CJ230">
            <v>4</v>
          </cell>
          <cell r="DI230">
            <v>1</v>
          </cell>
          <cell r="DJ230">
            <v>0</v>
          </cell>
        </row>
        <row r="231">
          <cell r="F231">
            <v>1</v>
          </cell>
          <cell r="O231">
            <v>2</v>
          </cell>
          <cell r="CI231">
            <v>1</v>
          </cell>
          <cell r="CJ231">
            <v>2</v>
          </cell>
          <cell r="DI231">
            <v>1</v>
          </cell>
          <cell r="DJ231">
            <v>2</v>
          </cell>
        </row>
        <row r="232">
          <cell r="F232">
            <v>1</v>
          </cell>
          <cell r="O232">
            <v>4</v>
          </cell>
          <cell r="CI232">
            <v>1</v>
          </cell>
          <cell r="CJ232">
            <v>1</v>
          </cell>
          <cell r="DI232">
            <v>1</v>
          </cell>
          <cell r="DJ232">
            <v>0</v>
          </cell>
        </row>
        <row r="233">
          <cell r="F233">
            <v>1</v>
          </cell>
          <cell r="O233">
            <v>2</v>
          </cell>
          <cell r="CI233">
            <v>1</v>
          </cell>
          <cell r="CJ233">
            <v>2</v>
          </cell>
          <cell r="DI233">
            <v>1</v>
          </cell>
          <cell r="DJ233">
            <v>2</v>
          </cell>
        </row>
        <row r="234">
          <cell r="F234">
            <v>1</v>
          </cell>
          <cell r="O234">
            <v>2</v>
          </cell>
          <cell r="CI234">
            <v>1</v>
          </cell>
          <cell r="CJ234">
            <v>2</v>
          </cell>
          <cell r="DI234">
            <v>1</v>
          </cell>
          <cell r="DJ234">
            <v>2</v>
          </cell>
        </row>
        <row r="235">
          <cell r="F235">
            <v>1</v>
          </cell>
          <cell r="O235">
            <v>2</v>
          </cell>
          <cell r="CI235">
            <v>1</v>
          </cell>
          <cell r="CJ235">
            <v>2</v>
          </cell>
          <cell r="DI235">
            <v>1</v>
          </cell>
          <cell r="DJ235">
            <v>2</v>
          </cell>
        </row>
        <row r="236">
          <cell r="F236">
            <v>1</v>
          </cell>
          <cell r="O236">
            <v>3</v>
          </cell>
          <cell r="CI236">
            <v>1</v>
          </cell>
          <cell r="CJ236">
            <v>3</v>
          </cell>
          <cell r="DI236">
            <v>1</v>
          </cell>
          <cell r="DJ236">
            <v>0</v>
          </cell>
        </row>
        <row r="237">
          <cell r="F237">
            <v>1</v>
          </cell>
          <cell r="O237">
            <v>4</v>
          </cell>
          <cell r="CI237">
            <v>1</v>
          </cell>
          <cell r="CJ237">
            <v>3</v>
          </cell>
          <cell r="DI237">
            <v>1</v>
          </cell>
          <cell r="DJ237">
            <v>0</v>
          </cell>
        </row>
        <row r="238">
          <cell r="F238">
            <v>1</v>
          </cell>
          <cell r="O238">
            <v>0</v>
          </cell>
          <cell r="CI238">
            <v>1</v>
          </cell>
          <cell r="CJ238">
            <v>0</v>
          </cell>
          <cell r="DI238">
            <v>1</v>
          </cell>
          <cell r="DJ238">
            <v>4</v>
          </cell>
        </row>
        <row r="239">
          <cell r="F239">
            <v>1</v>
          </cell>
          <cell r="O239">
            <v>0</v>
          </cell>
          <cell r="CI239">
            <v>1</v>
          </cell>
          <cell r="CJ239">
            <v>0</v>
          </cell>
          <cell r="DI239">
            <v>1</v>
          </cell>
          <cell r="DJ239">
            <v>0</v>
          </cell>
        </row>
        <row r="240">
          <cell r="F240">
            <v>1</v>
          </cell>
          <cell r="O240">
            <v>2</v>
          </cell>
          <cell r="CI240">
            <v>1</v>
          </cell>
          <cell r="CJ240">
            <v>2</v>
          </cell>
          <cell r="DI240">
            <v>1</v>
          </cell>
          <cell r="DJ240">
            <v>2</v>
          </cell>
        </row>
        <row r="241">
          <cell r="F241">
            <v>1</v>
          </cell>
          <cell r="O241">
            <v>0</v>
          </cell>
          <cell r="CI241">
            <v>1</v>
          </cell>
          <cell r="CJ241">
            <v>0</v>
          </cell>
          <cell r="DI241">
            <v>1</v>
          </cell>
          <cell r="DJ241">
            <v>2</v>
          </cell>
        </row>
        <row r="242">
          <cell r="F242">
            <v>1</v>
          </cell>
          <cell r="O242">
            <v>4</v>
          </cell>
          <cell r="CI242">
            <v>1</v>
          </cell>
          <cell r="CJ242">
            <v>1</v>
          </cell>
          <cell r="DI242">
            <v>1</v>
          </cell>
          <cell r="DJ242">
            <v>0</v>
          </cell>
        </row>
        <row r="243">
          <cell r="F243">
            <v>1</v>
          </cell>
          <cell r="O243">
            <v>0</v>
          </cell>
          <cell r="CI243">
            <v>1</v>
          </cell>
          <cell r="CJ243">
            <v>0</v>
          </cell>
          <cell r="DI243">
            <v>1</v>
          </cell>
          <cell r="DJ243">
            <v>4</v>
          </cell>
        </row>
        <row r="244">
          <cell r="F244">
            <v>1</v>
          </cell>
          <cell r="O244">
            <v>4</v>
          </cell>
          <cell r="CI244">
            <v>1</v>
          </cell>
          <cell r="CJ244">
            <v>4</v>
          </cell>
          <cell r="DI244">
            <v>1</v>
          </cell>
          <cell r="DJ244">
            <v>0</v>
          </cell>
        </row>
        <row r="245">
          <cell r="F245">
            <v>1</v>
          </cell>
          <cell r="O245">
            <v>4</v>
          </cell>
          <cell r="CI245">
            <v>1</v>
          </cell>
          <cell r="CJ245">
            <v>4</v>
          </cell>
          <cell r="DI245">
            <v>1</v>
          </cell>
          <cell r="DJ245">
            <v>0</v>
          </cell>
        </row>
        <row r="246">
          <cell r="F246">
            <v>1</v>
          </cell>
          <cell r="O246">
            <v>4</v>
          </cell>
          <cell r="CI246">
            <v>1</v>
          </cell>
          <cell r="CJ246">
            <v>4</v>
          </cell>
          <cell r="DI246">
            <v>1</v>
          </cell>
          <cell r="DJ246">
            <v>0</v>
          </cell>
        </row>
        <row r="247">
          <cell r="F247">
            <v>1</v>
          </cell>
          <cell r="O247">
            <v>4</v>
          </cell>
          <cell r="CI247">
            <v>1</v>
          </cell>
          <cell r="CJ247">
            <v>4</v>
          </cell>
          <cell r="DI247">
            <v>1</v>
          </cell>
          <cell r="DJ247">
            <v>0</v>
          </cell>
        </row>
        <row r="248">
          <cell r="F248">
            <v>1</v>
          </cell>
          <cell r="O248">
            <v>4</v>
          </cell>
          <cell r="CI248">
            <v>1</v>
          </cell>
          <cell r="CJ248">
            <v>4</v>
          </cell>
          <cell r="DI248">
            <v>1</v>
          </cell>
          <cell r="DJ248">
            <v>0</v>
          </cell>
        </row>
        <row r="249">
          <cell r="F249">
            <v>1</v>
          </cell>
          <cell r="O249">
            <v>4</v>
          </cell>
          <cell r="CI249">
            <v>1</v>
          </cell>
          <cell r="CJ249">
            <v>4</v>
          </cell>
          <cell r="DI249">
            <v>1</v>
          </cell>
          <cell r="DJ249">
            <v>0</v>
          </cell>
        </row>
        <row r="250">
          <cell r="F250">
            <v>1</v>
          </cell>
          <cell r="O250">
            <v>4</v>
          </cell>
          <cell r="CI250">
            <v>1</v>
          </cell>
          <cell r="CJ250">
            <v>2</v>
          </cell>
          <cell r="DI250">
            <v>1</v>
          </cell>
          <cell r="DJ250">
            <v>0</v>
          </cell>
        </row>
        <row r="251">
          <cell r="F251">
            <v>1</v>
          </cell>
          <cell r="O251">
            <v>2</v>
          </cell>
          <cell r="CI251">
            <v>1</v>
          </cell>
          <cell r="CJ251">
            <v>2</v>
          </cell>
          <cell r="DI251">
            <v>1</v>
          </cell>
          <cell r="DJ251">
            <v>2</v>
          </cell>
        </row>
        <row r="252">
          <cell r="F252">
            <v>1</v>
          </cell>
          <cell r="O252">
            <v>4</v>
          </cell>
          <cell r="CI252">
            <v>1</v>
          </cell>
          <cell r="CJ252">
            <v>4</v>
          </cell>
          <cell r="DI252">
            <v>1</v>
          </cell>
          <cell r="DJ252">
            <v>0</v>
          </cell>
        </row>
        <row r="253">
          <cell r="F253">
            <v>1</v>
          </cell>
          <cell r="O253">
            <v>2</v>
          </cell>
          <cell r="CI253">
            <v>1</v>
          </cell>
          <cell r="CJ253">
            <v>2</v>
          </cell>
          <cell r="DI253">
            <v>1</v>
          </cell>
          <cell r="DJ253">
            <v>2</v>
          </cell>
        </row>
        <row r="254">
          <cell r="F254">
            <v>1</v>
          </cell>
          <cell r="O254">
            <v>4</v>
          </cell>
          <cell r="CI254">
            <v>1</v>
          </cell>
          <cell r="CJ254">
            <v>4</v>
          </cell>
          <cell r="DI254">
            <v>1</v>
          </cell>
          <cell r="DJ254">
            <v>0</v>
          </cell>
        </row>
        <row r="255">
          <cell r="F255">
            <v>1</v>
          </cell>
          <cell r="O255">
            <v>4</v>
          </cell>
          <cell r="CI255">
            <v>1</v>
          </cell>
          <cell r="CJ255">
            <v>4</v>
          </cell>
          <cell r="DI255">
            <v>1</v>
          </cell>
          <cell r="DJ255">
            <v>0</v>
          </cell>
        </row>
        <row r="256">
          <cell r="F256">
            <v>1</v>
          </cell>
          <cell r="O256">
            <v>4</v>
          </cell>
          <cell r="CI256">
            <v>1</v>
          </cell>
          <cell r="CJ256">
            <v>4</v>
          </cell>
          <cell r="DI256">
            <v>1</v>
          </cell>
          <cell r="DJ256">
            <v>0</v>
          </cell>
        </row>
        <row r="257">
          <cell r="F257">
            <v>1</v>
          </cell>
          <cell r="O257">
            <v>2</v>
          </cell>
          <cell r="CI257">
            <v>1</v>
          </cell>
          <cell r="CJ257">
            <v>2</v>
          </cell>
          <cell r="DI257">
            <v>1</v>
          </cell>
          <cell r="DJ257">
            <v>2</v>
          </cell>
        </row>
        <row r="258">
          <cell r="F258">
            <v>1</v>
          </cell>
          <cell r="O258">
            <v>0</v>
          </cell>
          <cell r="CI258">
            <v>1</v>
          </cell>
          <cell r="CJ258">
            <v>0</v>
          </cell>
          <cell r="DI258">
            <v>1</v>
          </cell>
          <cell r="DJ258">
            <v>4</v>
          </cell>
        </row>
        <row r="259">
          <cell r="F259">
            <v>1</v>
          </cell>
          <cell r="O259">
            <v>4</v>
          </cell>
          <cell r="CI259">
            <v>0</v>
          </cell>
          <cell r="CJ259">
            <v>0</v>
          </cell>
          <cell r="DI259">
            <v>1</v>
          </cell>
          <cell r="DJ259">
            <v>0</v>
          </cell>
        </row>
        <row r="260">
          <cell r="F260">
            <v>1</v>
          </cell>
          <cell r="O260">
            <v>4</v>
          </cell>
          <cell r="CI260">
            <v>1</v>
          </cell>
          <cell r="CJ260">
            <v>4</v>
          </cell>
          <cell r="DI260">
            <v>1</v>
          </cell>
          <cell r="DJ260">
            <v>0</v>
          </cell>
        </row>
        <row r="261">
          <cell r="F261">
            <v>1</v>
          </cell>
          <cell r="O261">
            <v>4</v>
          </cell>
          <cell r="CI261">
            <v>1</v>
          </cell>
          <cell r="CJ261">
            <v>4</v>
          </cell>
          <cell r="DI261">
            <v>1</v>
          </cell>
          <cell r="DJ261">
            <v>0</v>
          </cell>
        </row>
        <row r="262">
          <cell r="F262">
            <v>1</v>
          </cell>
          <cell r="O262">
            <v>0</v>
          </cell>
          <cell r="CI262">
            <v>1</v>
          </cell>
          <cell r="CJ262">
            <v>0</v>
          </cell>
          <cell r="DI262">
            <v>1</v>
          </cell>
          <cell r="DJ262">
            <v>2</v>
          </cell>
        </row>
        <row r="263">
          <cell r="F263">
            <v>1</v>
          </cell>
          <cell r="O263">
            <v>4</v>
          </cell>
          <cell r="CI263">
            <v>1</v>
          </cell>
          <cell r="CJ263">
            <v>4</v>
          </cell>
          <cell r="DI263">
            <v>1</v>
          </cell>
          <cell r="DJ263">
            <v>0</v>
          </cell>
        </row>
        <row r="264">
          <cell r="F264">
            <v>1</v>
          </cell>
          <cell r="O264">
            <v>4</v>
          </cell>
          <cell r="CI264">
            <v>1</v>
          </cell>
          <cell r="CJ264">
            <v>4</v>
          </cell>
          <cell r="DI264">
            <v>1</v>
          </cell>
          <cell r="DJ264">
            <v>0</v>
          </cell>
        </row>
        <row r="265">
          <cell r="F265">
            <v>1</v>
          </cell>
          <cell r="O265">
            <v>1</v>
          </cell>
          <cell r="CI265">
            <v>0</v>
          </cell>
          <cell r="CJ265">
            <v>0</v>
          </cell>
          <cell r="DI265">
            <v>1</v>
          </cell>
          <cell r="DJ265">
            <v>3</v>
          </cell>
        </row>
        <row r="266">
          <cell r="F266">
            <v>1</v>
          </cell>
          <cell r="O266">
            <v>2</v>
          </cell>
          <cell r="CI266">
            <v>1</v>
          </cell>
          <cell r="CJ266">
            <v>2</v>
          </cell>
          <cell r="DI266">
            <v>1</v>
          </cell>
          <cell r="DJ266">
            <v>2</v>
          </cell>
        </row>
        <row r="267">
          <cell r="F267">
            <v>1</v>
          </cell>
          <cell r="O267">
            <v>0</v>
          </cell>
          <cell r="CI267">
            <v>1</v>
          </cell>
          <cell r="CJ267">
            <v>0</v>
          </cell>
          <cell r="DI267">
            <v>1</v>
          </cell>
          <cell r="DJ267">
            <v>4</v>
          </cell>
        </row>
        <row r="268">
          <cell r="F268">
            <v>1</v>
          </cell>
          <cell r="O268">
            <v>4</v>
          </cell>
          <cell r="CI268">
            <v>1</v>
          </cell>
          <cell r="CJ268">
            <v>4</v>
          </cell>
          <cell r="DI268">
            <v>1</v>
          </cell>
          <cell r="DJ268">
            <v>0</v>
          </cell>
        </row>
        <row r="269">
          <cell r="F269">
            <v>1</v>
          </cell>
          <cell r="O269">
            <v>4</v>
          </cell>
          <cell r="CI269">
            <v>1</v>
          </cell>
          <cell r="CJ269">
            <v>4</v>
          </cell>
          <cell r="DI269">
            <v>1</v>
          </cell>
          <cell r="DJ269">
            <v>0</v>
          </cell>
        </row>
        <row r="270">
          <cell r="F270">
            <v>1</v>
          </cell>
          <cell r="O270">
            <v>4</v>
          </cell>
          <cell r="CI270">
            <v>1</v>
          </cell>
          <cell r="CJ270">
            <v>4</v>
          </cell>
          <cell r="DI270">
            <v>1</v>
          </cell>
          <cell r="DJ270">
            <v>0</v>
          </cell>
        </row>
        <row r="271">
          <cell r="F271">
            <v>1</v>
          </cell>
          <cell r="O271">
            <v>4</v>
          </cell>
          <cell r="CI271">
            <v>1</v>
          </cell>
          <cell r="CJ271">
            <v>4</v>
          </cell>
          <cell r="DI271">
            <v>1</v>
          </cell>
          <cell r="DJ271">
            <v>0</v>
          </cell>
        </row>
        <row r="272">
          <cell r="F272">
            <v>1</v>
          </cell>
          <cell r="O272">
            <v>4</v>
          </cell>
          <cell r="CI272">
            <v>1</v>
          </cell>
          <cell r="CJ272">
            <v>4</v>
          </cell>
          <cell r="DI272">
            <v>1</v>
          </cell>
          <cell r="DJ272">
            <v>0</v>
          </cell>
        </row>
        <row r="273">
          <cell r="F273">
            <v>1</v>
          </cell>
          <cell r="O273">
            <v>4</v>
          </cell>
          <cell r="CI273">
            <v>1</v>
          </cell>
          <cell r="CJ273">
            <v>0</v>
          </cell>
          <cell r="DI273">
            <v>1</v>
          </cell>
          <cell r="DJ273">
            <v>0</v>
          </cell>
        </row>
        <row r="274">
          <cell r="F274">
            <v>1</v>
          </cell>
          <cell r="O274">
            <v>4</v>
          </cell>
          <cell r="CI274">
            <v>1</v>
          </cell>
          <cell r="CJ274">
            <v>4</v>
          </cell>
          <cell r="DI274">
            <v>1</v>
          </cell>
          <cell r="DJ274">
            <v>0</v>
          </cell>
        </row>
        <row r="275">
          <cell r="F275">
            <v>1</v>
          </cell>
          <cell r="O275">
            <v>2</v>
          </cell>
          <cell r="CI275">
            <v>1</v>
          </cell>
          <cell r="CJ275">
            <v>2</v>
          </cell>
          <cell r="DI275">
            <v>1</v>
          </cell>
          <cell r="DJ275">
            <v>1</v>
          </cell>
        </row>
        <row r="276">
          <cell r="F276">
            <v>1</v>
          </cell>
          <cell r="O276">
            <v>4</v>
          </cell>
          <cell r="CI276">
            <v>1</v>
          </cell>
          <cell r="CJ276">
            <v>4</v>
          </cell>
          <cell r="DI276">
            <v>1</v>
          </cell>
          <cell r="DJ276">
            <v>0</v>
          </cell>
        </row>
        <row r="277">
          <cell r="F277">
            <v>1</v>
          </cell>
          <cell r="O277">
            <v>4</v>
          </cell>
          <cell r="CI277">
            <v>1</v>
          </cell>
          <cell r="CJ277">
            <v>4</v>
          </cell>
          <cell r="DI277">
            <v>1</v>
          </cell>
          <cell r="DJ277">
            <v>0</v>
          </cell>
        </row>
        <row r="278">
          <cell r="F278">
            <v>1</v>
          </cell>
          <cell r="O278">
            <v>3</v>
          </cell>
          <cell r="CI278">
            <v>1</v>
          </cell>
          <cell r="CJ278">
            <v>3</v>
          </cell>
          <cell r="DI278">
            <v>1</v>
          </cell>
          <cell r="DJ278">
            <v>1</v>
          </cell>
        </row>
        <row r="279">
          <cell r="F279">
            <v>1</v>
          </cell>
          <cell r="O279">
            <v>4</v>
          </cell>
          <cell r="CI279">
            <v>1</v>
          </cell>
          <cell r="CJ279">
            <v>4</v>
          </cell>
          <cell r="DI279">
            <v>1</v>
          </cell>
          <cell r="DJ279">
            <v>0</v>
          </cell>
        </row>
        <row r="280">
          <cell r="F280">
            <v>1</v>
          </cell>
          <cell r="O280">
            <v>3</v>
          </cell>
          <cell r="CI280">
            <v>1</v>
          </cell>
          <cell r="CJ280">
            <v>3</v>
          </cell>
          <cell r="DI280">
            <v>1</v>
          </cell>
          <cell r="DJ280">
            <v>1</v>
          </cell>
        </row>
        <row r="281">
          <cell r="F281">
            <v>1</v>
          </cell>
          <cell r="O281">
            <v>4</v>
          </cell>
          <cell r="CI281">
            <v>1</v>
          </cell>
          <cell r="CJ281">
            <v>4</v>
          </cell>
          <cell r="DI281">
            <v>1</v>
          </cell>
          <cell r="DJ281">
            <v>0</v>
          </cell>
        </row>
        <row r="282">
          <cell r="F282">
            <v>1</v>
          </cell>
          <cell r="O282">
            <v>4</v>
          </cell>
          <cell r="CI282">
            <v>1</v>
          </cell>
          <cell r="CJ282">
            <v>4</v>
          </cell>
          <cell r="DI282">
            <v>1</v>
          </cell>
          <cell r="DJ282">
            <v>0</v>
          </cell>
        </row>
        <row r="283">
          <cell r="F283">
            <v>1</v>
          </cell>
          <cell r="O283">
            <v>0</v>
          </cell>
          <cell r="CI283">
            <v>1</v>
          </cell>
          <cell r="CJ283">
            <v>0</v>
          </cell>
          <cell r="DI283">
            <v>1</v>
          </cell>
          <cell r="DJ283">
            <v>1</v>
          </cell>
        </row>
        <row r="284">
          <cell r="F284">
            <v>1</v>
          </cell>
          <cell r="O284">
            <v>4</v>
          </cell>
          <cell r="CI284">
            <v>1</v>
          </cell>
          <cell r="CJ284">
            <v>4</v>
          </cell>
          <cell r="DI284">
            <v>1</v>
          </cell>
          <cell r="DJ284">
            <v>0</v>
          </cell>
        </row>
        <row r="285">
          <cell r="F285">
            <v>1</v>
          </cell>
          <cell r="O285">
            <v>4</v>
          </cell>
          <cell r="CI285">
            <v>1</v>
          </cell>
          <cell r="CJ285">
            <v>2</v>
          </cell>
          <cell r="DI285">
            <v>1</v>
          </cell>
          <cell r="DJ285">
            <v>0</v>
          </cell>
        </row>
        <row r="286">
          <cell r="F286">
            <v>1</v>
          </cell>
          <cell r="O286">
            <v>4</v>
          </cell>
          <cell r="CI286">
            <v>1</v>
          </cell>
          <cell r="CJ286">
            <v>4</v>
          </cell>
          <cell r="DI286">
            <v>1</v>
          </cell>
          <cell r="DJ286">
            <v>0</v>
          </cell>
        </row>
        <row r="287">
          <cell r="F287">
            <v>1</v>
          </cell>
          <cell r="O287">
            <v>1</v>
          </cell>
          <cell r="CI287">
            <v>0</v>
          </cell>
          <cell r="CJ287">
            <v>2</v>
          </cell>
          <cell r="DI287">
            <v>0</v>
          </cell>
          <cell r="DJ287">
            <v>3</v>
          </cell>
        </row>
        <row r="288">
          <cell r="F288">
            <v>1</v>
          </cell>
          <cell r="O288">
            <v>0</v>
          </cell>
          <cell r="CI288">
            <v>1</v>
          </cell>
          <cell r="CJ288">
            <v>0</v>
          </cell>
          <cell r="DI288">
            <v>1</v>
          </cell>
          <cell r="DJ288">
            <v>0</v>
          </cell>
        </row>
        <row r="289">
          <cell r="F289">
            <v>1</v>
          </cell>
          <cell r="O289">
            <v>4</v>
          </cell>
          <cell r="CI289">
            <v>1</v>
          </cell>
          <cell r="CJ289">
            <v>4</v>
          </cell>
          <cell r="DI289">
            <v>1</v>
          </cell>
          <cell r="DJ289">
            <v>0</v>
          </cell>
        </row>
        <row r="290">
          <cell r="F290">
            <v>1</v>
          </cell>
          <cell r="O290">
            <v>4</v>
          </cell>
          <cell r="CI290">
            <v>1</v>
          </cell>
          <cell r="CJ290">
            <v>4</v>
          </cell>
          <cell r="DI290">
            <v>1</v>
          </cell>
          <cell r="DJ290">
            <v>0</v>
          </cell>
        </row>
        <row r="291">
          <cell r="F291">
            <v>1</v>
          </cell>
          <cell r="O291">
            <v>1</v>
          </cell>
          <cell r="CI291">
            <v>1</v>
          </cell>
          <cell r="CJ291">
            <v>3</v>
          </cell>
          <cell r="DI291">
            <v>0</v>
          </cell>
          <cell r="DJ291">
            <v>3</v>
          </cell>
        </row>
        <row r="292">
          <cell r="F292">
            <v>1</v>
          </cell>
          <cell r="O292">
            <v>4</v>
          </cell>
          <cell r="CI292">
            <v>1</v>
          </cell>
          <cell r="CJ292">
            <v>4</v>
          </cell>
          <cell r="DI292">
            <v>1</v>
          </cell>
          <cell r="DJ292">
            <v>0</v>
          </cell>
        </row>
        <row r="293">
          <cell r="F293">
            <v>1</v>
          </cell>
          <cell r="O293">
            <v>0</v>
          </cell>
          <cell r="CI293">
            <v>1</v>
          </cell>
          <cell r="CJ293">
            <v>0</v>
          </cell>
          <cell r="DI293">
            <v>1</v>
          </cell>
          <cell r="DJ293">
            <v>4</v>
          </cell>
        </row>
        <row r="294">
          <cell r="F294">
            <v>1</v>
          </cell>
          <cell r="O294">
            <v>2</v>
          </cell>
          <cell r="CI294">
            <v>1</v>
          </cell>
          <cell r="CJ294">
            <v>2</v>
          </cell>
          <cell r="DI294">
            <v>1</v>
          </cell>
          <cell r="DJ294">
            <v>0</v>
          </cell>
        </row>
        <row r="295">
          <cell r="F295">
            <v>1</v>
          </cell>
          <cell r="O295">
            <v>2</v>
          </cell>
          <cell r="CI295">
            <v>1</v>
          </cell>
          <cell r="CJ295">
            <v>0</v>
          </cell>
          <cell r="DI295">
            <v>1</v>
          </cell>
          <cell r="DJ295">
            <v>0</v>
          </cell>
        </row>
        <row r="296">
          <cell r="F296">
            <v>1</v>
          </cell>
          <cell r="O296">
            <v>4</v>
          </cell>
          <cell r="CI296">
            <v>1</v>
          </cell>
          <cell r="CJ296">
            <v>4</v>
          </cell>
          <cell r="DI296">
            <v>1</v>
          </cell>
          <cell r="DJ296">
            <v>0</v>
          </cell>
        </row>
        <row r="297">
          <cell r="F297">
            <v>1</v>
          </cell>
          <cell r="O297">
            <v>4</v>
          </cell>
          <cell r="CI297">
            <v>1</v>
          </cell>
          <cell r="CJ297">
            <v>4</v>
          </cell>
          <cell r="DI297">
            <v>1</v>
          </cell>
          <cell r="DJ297">
            <v>0</v>
          </cell>
        </row>
        <row r="298">
          <cell r="F298">
            <v>1</v>
          </cell>
          <cell r="O298">
            <v>4</v>
          </cell>
          <cell r="CI298">
            <v>1</v>
          </cell>
          <cell r="CJ298">
            <v>4</v>
          </cell>
          <cell r="DI298">
            <v>1</v>
          </cell>
          <cell r="DJ298">
            <v>0</v>
          </cell>
        </row>
        <row r="299">
          <cell r="F299">
            <v>1</v>
          </cell>
          <cell r="O299">
            <v>4</v>
          </cell>
          <cell r="CI299">
            <v>1</v>
          </cell>
          <cell r="CJ299">
            <v>4</v>
          </cell>
          <cell r="DI299">
            <v>1</v>
          </cell>
          <cell r="DJ299">
            <v>0</v>
          </cell>
        </row>
        <row r="300">
          <cell r="F300">
            <v>1</v>
          </cell>
          <cell r="O300">
            <v>2</v>
          </cell>
          <cell r="CI300">
            <v>1</v>
          </cell>
          <cell r="CJ300">
            <v>2</v>
          </cell>
          <cell r="DI300">
            <v>1</v>
          </cell>
          <cell r="DJ300">
            <v>2</v>
          </cell>
        </row>
        <row r="301">
          <cell r="F301">
            <v>1</v>
          </cell>
          <cell r="O301">
            <v>4</v>
          </cell>
          <cell r="CI301">
            <v>1</v>
          </cell>
          <cell r="CJ301">
            <v>4</v>
          </cell>
          <cell r="DI301">
            <v>1</v>
          </cell>
          <cell r="DJ301">
            <v>0</v>
          </cell>
        </row>
        <row r="302">
          <cell r="F302">
            <v>1</v>
          </cell>
          <cell r="O302">
            <v>4</v>
          </cell>
          <cell r="CI302">
            <v>1</v>
          </cell>
          <cell r="CJ302">
            <v>4</v>
          </cell>
          <cell r="DI302">
            <v>1</v>
          </cell>
          <cell r="DJ302">
            <v>0</v>
          </cell>
        </row>
        <row r="303">
          <cell r="F303">
            <v>1</v>
          </cell>
          <cell r="O303">
            <v>4</v>
          </cell>
          <cell r="CI303">
            <v>1</v>
          </cell>
          <cell r="CJ303">
            <v>4</v>
          </cell>
          <cell r="DI303">
            <v>1</v>
          </cell>
          <cell r="DJ303">
            <v>0</v>
          </cell>
        </row>
        <row r="304">
          <cell r="F304">
            <v>1</v>
          </cell>
          <cell r="O304">
            <v>1</v>
          </cell>
          <cell r="CI304">
            <v>1</v>
          </cell>
          <cell r="CJ304">
            <v>1</v>
          </cell>
          <cell r="DI304">
            <v>1</v>
          </cell>
          <cell r="DJ304">
            <v>1</v>
          </cell>
        </row>
        <row r="305">
          <cell r="F305">
            <v>1</v>
          </cell>
          <cell r="O305">
            <v>4</v>
          </cell>
          <cell r="CI305">
            <v>1</v>
          </cell>
          <cell r="CJ305">
            <v>4</v>
          </cell>
          <cell r="DI305">
            <v>1</v>
          </cell>
          <cell r="DJ305">
            <v>0</v>
          </cell>
        </row>
        <row r="306">
          <cell r="F306">
            <v>1</v>
          </cell>
          <cell r="O306">
            <v>4</v>
          </cell>
          <cell r="CI306">
            <v>1</v>
          </cell>
          <cell r="CJ306">
            <v>4</v>
          </cell>
          <cell r="DI306">
            <v>1</v>
          </cell>
          <cell r="DJ306">
            <v>0</v>
          </cell>
        </row>
        <row r="307">
          <cell r="F307">
            <v>1</v>
          </cell>
          <cell r="O307">
            <v>0</v>
          </cell>
          <cell r="CI307">
            <v>1</v>
          </cell>
          <cell r="CJ307">
            <v>0</v>
          </cell>
          <cell r="DI307">
            <v>1</v>
          </cell>
          <cell r="DJ307">
            <v>4</v>
          </cell>
        </row>
        <row r="308">
          <cell r="F308">
            <v>1</v>
          </cell>
          <cell r="O308">
            <v>4</v>
          </cell>
          <cell r="CI308">
            <v>1</v>
          </cell>
          <cell r="CJ308">
            <v>4</v>
          </cell>
          <cell r="DI308">
            <v>1</v>
          </cell>
          <cell r="DJ308">
            <v>0</v>
          </cell>
        </row>
        <row r="309">
          <cell r="F309">
            <v>1</v>
          </cell>
          <cell r="O309">
            <v>4</v>
          </cell>
          <cell r="CI309">
            <v>1</v>
          </cell>
          <cell r="CJ309">
            <v>4</v>
          </cell>
          <cell r="DI309">
            <v>1</v>
          </cell>
          <cell r="DJ309">
            <v>0</v>
          </cell>
        </row>
        <row r="310">
          <cell r="F310">
            <v>1</v>
          </cell>
          <cell r="O310">
            <v>4</v>
          </cell>
          <cell r="CI310">
            <v>1</v>
          </cell>
          <cell r="CJ310">
            <v>4</v>
          </cell>
          <cell r="DI310">
            <v>1</v>
          </cell>
          <cell r="DJ310">
            <v>0</v>
          </cell>
        </row>
        <row r="311">
          <cell r="F311">
            <v>1</v>
          </cell>
          <cell r="O311">
            <v>0</v>
          </cell>
          <cell r="CI311">
            <v>1</v>
          </cell>
          <cell r="CJ311">
            <v>0</v>
          </cell>
          <cell r="DI311">
            <v>1</v>
          </cell>
          <cell r="DJ311">
            <v>4</v>
          </cell>
        </row>
        <row r="312">
          <cell r="F312">
            <v>1</v>
          </cell>
          <cell r="O312">
            <v>4</v>
          </cell>
          <cell r="CI312">
            <v>1</v>
          </cell>
          <cell r="CJ312">
            <v>4</v>
          </cell>
          <cell r="DI312">
            <v>1</v>
          </cell>
          <cell r="DJ312">
            <v>0</v>
          </cell>
        </row>
        <row r="313">
          <cell r="F313">
            <v>1</v>
          </cell>
          <cell r="O313">
            <v>2</v>
          </cell>
          <cell r="CI313">
            <v>1</v>
          </cell>
          <cell r="CJ313">
            <v>3</v>
          </cell>
          <cell r="DI313">
            <v>0</v>
          </cell>
          <cell r="DJ313">
            <v>2</v>
          </cell>
        </row>
        <row r="314">
          <cell r="F314">
            <v>1</v>
          </cell>
          <cell r="O314">
            <v>2</v>
          </cell>
          <cell r="CI314">
            <v>1</v>
          </cell>
          <cell r="CJ314">
            <v>2</v>
          </cell>
          <cell r="DI314">
            <v>1</v>
          </cell>
          <cell r="DJ314">
            <v>2</v>
          </cell>
        </row>
        <row r="315">
          <cell r="F315">
            <v>1</v>
          </cell>
          <cell r="O315">
            <v>4</v>
          </cell>
          <cell r="CI315">
            <v>1</v>
          </cell>
          <cell r="CJ315">
            <v>4</v>
          </cell>
          <cell r="DI315">
            <v>1</v>
          </cell>
          <cell r="DJ315">
            <v>0</v>
          </cell>
        </row>
        <row r="316">
          <cell r="F316">
            <v>1</v>
          </cell>
          <cell r="O316">
            <v>4</v>
          </cell>
          <cell r="CI316">
            <v>1</v>
          </cell>
          <cell r="CJ316">
            <v>4</v>
          </cell>
          <cell r="DI316">
            <v>1</v>
          </cell>
          <cell r="DJ316">
            <v>0</v>
          </cell>
        </row>
        <row r="317">
          <cell r="F317">
            <v>1</v>
          </cell>
          <cell r="O317">
            <v>4</v>
          </cell>
          <cell r="CI317">
            <v>1</v>
          </cell>
          <cell r="CJ317">
            <v>4</v>
          </cell>
          <cell r="DI317">
            <v>1</v>
          </cell>
          <cell r="DJ317">
            <v>0</v>
          </cell>
        </row>
        <row r="318">
          <cell r="F318">
            <v>1</v>
          </cell>
          <cell r="O318">
            <v>4</v>
          </cell>
          <cell r="CI318">
            <v>1</v>
          </cell>
          <cell r="CJ318">
            <v>4</v>
          </cell>
          <cell r="DI318">
            <v>1</v>
          </cell>
          <cell r="DJ318">
            <v>0</v>
          </cell>
        </row>
        <row r="319">
          <cell r="F319">
            <v>1</v>
          </cell>
          <cell r="O319">
            <v>0</v>
          </cell>
          <cell r="CI319">
            <v>1</v>
          </cell>
          <cell r="CJ319">
            <v>0</v>
          </cell>
          <cell r="DI319">
            <v>1</v>
          </cell>
          <cell r="DJ319">
            <v>0</v>
          </cell>
        </row>
        <row r="320">
          <cell r="F320">
            <v>1</v>
          </cell>
          <cell r="O320">
            <v>4</v>
          </cell>
          <cell r="CI320">
            <v>1</v>
          </cell>
          <cell r="CJ320">
            <v>4</v>
          </cell>
          <cell r="DI320">
            <v>1</v>
          </cell>
          <cell r="DJ320">
            <v>0</v>
          </cell>
        </row>
        <row r="321">
          <cell r="F321">
            <v>1</v>
          </cell>
          <cell r="O321">
            <v>1</v>
          </cell>
          <cell r="CI321">
            <v>1</v>
          </cell>
          <cell r="CJ321">
            <v>1</v>
          </cell>
          <cell r="DI321">
            <v>1</v>
          </cell>
          <cell r="DJ321">
            <v>3</v>
          </cell>
        </row>
        <row r="322">
          <cell r="F322">
            <v>1</v>
          </cell>
          <cell r="O322">
            <v>0</v>
          </cell>
          <cell r="CI322">
            <v>1</v>
          </cell>
          <cell r="CJ322">
            <v>0</v>
          </cell>
          <cell r="DI322">
            <v>1</v>
          </cell>
          <cell r="DJ322">
            <v>4</v>
          </cell>
        </row>
        <row r="323">
          <cell r="F323">
            <v>1</v>
          </cell>
          <cell r="O323">
            <v>0</v>
          </cell>
          <cell r="CI323">
            <v>1</v>
          </cell>
          <cell r="CJ323">
            <v>0</v>
          </cell>
          <cell r="DI323">
            <v>1</v>
          </cell>
          <cell r="DJ323">
            <v>3</v>
          </cell>
        </row>
        <row r="324">
          <cell r="F324">
            <v>1</v>
          </cell>
          <cell r="O324">
            <v>4</v>
          </cell>
          <cell r="CI324">
            <v>1</v>
          </cell>
          <cell r="CJ324">
            <v>4</v>
          </cell>
          <cell r="DI324">
            <v>1</v>
          </cell>
          <cell r="DJ324">
            <v>0</v>
          </cell>
        </row>
        <row r="325">
          <cell r="F325">
            <v>1</v>
          </cell>
          <cell r="O325">
            <v>4</v>
          </cell>
          <cell r="CI325">
            <v>1</v>
          </cell>
          <cell r="CJ325">
            <v>0</v>
          </cell>
          <cell r="DI325">
            <v>1</v>
          </cell>
          <cell r="DJ325">
            <v>0</v>
          </cell>
        </row>
        <row r="326">
          <cell r="F326">
            <v>1</v>
          </cell>
          <cell r="O326">
            <v>4</v>
          </cell>
          <cell r="CI326">
            <v>1</v>
          </cell>
          <cell r="CJ326">
            <v>4</v>
          </cell>
          <cell r="DI326">
            <v>1</v>
          </cell>
          <cell r="DJ326">
            <v>0</v>
          </cell>
        </row>
        <row r="327">
          <cell r="F327">
            <v>1</v>
          </cell>
          <cell r="O327">
            <v>0</v>
          </cell>
          <cell r="CI327">
            <v>1</v>
          </cell>
          <cell r="CJ327">
            <v>0</v>
          </cell>
          <cell r="DI327">
            <v>1</v>
          </cell>
          <cell r="DJ327">
            <v>4</v>
          </cell>
        </row>
        <row r="328">
          <cell r="F328">
            <v>1</v>
          </cell>
          <cell r="O328">
            <v>4</v>
          </cell>
          <cell r="CI328">
            <v>1</v>
          </cell>
          <cell r="CJ328">
            <v>4</v>
          </cell>
          <cell r="DI328">
            <v>1</v>
          </cell>
          <cell r="DJ328">
            <v>0</v>
          </cell>
        </row>
        <row r="329">
          <cell r="F329">
            <v>1</v>
          </cell>
          <cell r="O329">
            <v>0</v>
          </cell>
          <cell r="CI329">
            <v>1</v>
          </cell>
          <cell r="CJ329">
            <v>0</v>
          </cell>
          <cell r="DI329">
            <v>1</v>
          </cell>
          <cell r="DJ329">
            <v>4</v>
          </cell>
        </row>
        <row r="330">
          <cell r="F330">
            <v>1</v>
          </cell>
          <cell r="O330">
            <v>4</v>
          </cell>
          <cell r="CI330">
            <v>1</v>
          </cell>
          <cell r="CJ330">
            <v>4</v>
          </cell>
          <cell r="DI330">
            <v>1</v>
          </cell>
          <cell r="DJ330">
            <v>0</v>
          </cell>
        </row>
        <row r="331">
          <cell r="F331">
            <v>1</v>
          </cell>
          <cell r="O331">
            <v>4</v>
          </cell>
          <cell r="CI331">
            <v>1</v>
          </cell>
          <cell r="CJ331">
            <v>4</v>
          </cell>
          <cell r="DI331">
            <v>1</v>
          </cell>
          <cell r="DJ331">
            <v>0</v>
          </cell>
        </row>
        <row r="332">
          <cell r="F332">
            <v>1</v>
          </cell>
          <cell r="O332">
            <v>4</v>
          </cell>
          <cell r="CI332">
            <v>1</v>
          </cell>
          <cell r="CJ332">
            <v>4</v>
          </cell>
          <cell r="DI332">
            <v>1</v>
          </cell>
          <cell r="DJ332">
            <v>0</v>
          </cell>
        </row>
        <row r="333">
          <cell r="F333">
            <v>1</v>
          </cell>
          <cell r="O333">
            <v>4</v>
          </cell>
          <cell r="CI333">
            <v>1</v>
          </cell>
          <cell r="CJ333">
            <v>4</v>
          </cell>
          <cell r="DI333">
            <v>1</v>
          </cell>
          <cell r="DJ333">
            <v>0</v>
          </cell>
        </row>
        <row r="334">
          <cell r="F334">
            <v>1</v>
          </cell>
          <cell r="O334">
            <v>1</v>
          </cell>
          <cell r="CI334">
            <v>0</v>
          </cell>
          <cell r="CJ334">
            <v>2</v>
          </cell>
          <cell r="DI334">
            <v>0</v>
          </cell>
          <cell r="DJ334">
            <v>3</v>
          </cell>
        </row>
        <row r="335">
          <cell r="F335">
            <v>1</v>
          </cell>
          <cell r="O335">
            <v>0</v>
          </cell>
          <cell r="CI335">
            <v>1</v>
          </cell>
          <cell r="CJ335">
            <v>0</v>
          </cell>
          <cell r="DI335">
            <v>1</v>
          </cell>
          <cell r="DJ335">
            <v>4</v>
          </cell>
        </row>
        <row r="336">
          <cell r="F336">
            <v>1</v>
          </cell>
          <cell r="O336">
            <v>4</v>
          </cell>
          <cell r="CI336">
            <v>1</v>
          </cell>
          <cell r="CJ336">
            <v>4</v>
          </cell>
          <cell r="DI336">
            <v>1</v>
          </cell>
          <cell r="DJ336">
            <v>0</v>
          </cell>
        </row>
        <row r="337">
          <cell r="F337">
            <v>1</v>
          </cell>
          <cell r="O337">
            <v>1</v>
          </cell>
          <cell r="CI337">
            <v>1</v>
          </cell>
          <cell r="CJ337">
            <v>1</v>
          </cell>
          <cell r="DI337">
            <v>1</v>
          </cell>
          <cell r="DJ337">
            <v>3</v>
          </cell>
        </row>
        <row r="338">
          <cell r="F338">
            <v>1</v>
          </cell>
          <cell r="O338">
            <v>4</v>
          </cell>
          <cell r="CI338">
            <v>1</v>
          </cell>
          <cell r="CJ338">
            <v>4</v>
          </cell>
          <cell r="DI338">
            <v>1</v>
          </cell>
          <cell r="DJ338">
            <v>0</v>
          </cell>
        </row>
        <row r="339">
          <cell r="F339">
            <v>1</v>
          </cell>
          <cell r="O339">
            <v>3</v>
          </cell>
          <cell r="CI339">
            <v>1</v>
          </cell>
          <cell r="CJ339">
            <v>3</v>
          </cell>
          <cell r="DI339">
            <v>1</v>
          </cell>
          <cell r="DJ339">
            <v>1</v>
          </cell>
        </row>
        <row r="340">
          <cell r="F340">
            <v>1</v>
          </cell>
          <cell r="O340">
            <v>4</v>
          </cell>
          <cell r="CI340">
            <v>1</v>
          </cell>
          <cell r="CJ340">
            <v>4</v>
          </cell>
          <cell r="DI340">
            <v>1</v>
          </cell>
          <cell r="DJ340">
            <v>0</v>
          </cell>
        </row>
        <row r="341">
          <cell r="F341">
            <v>1</v>
          </cell>
          <cell r="O341">
            <v>4</v>
          </cell>
          <cell r="CI341">
            <v>1</v>
          </cell>
          <cell r="CJ341">
            <v>4</v>
          </cell>
          <cell r="DI341">
            <v>1</v>
          </cell>
          <cell r="DJ341">
            <v>0</v>
          </cell>
        </row>
        <row r="342">
          <cell r="F342">
            <v>1</v>
          </cell>
          <cell r="O342">
            <v>4</v>
          </cell>
          <cell r="CI342">
            <v>1</v>
          </cell>
          <cell r="CJ342">
            <v>4</v>
          </cell>
          <cell r="DI342">
            <v>1</v>
          </cell>
          <cell r="DJ342">
            <v>0</v>
          </cell>
        </row>
        <row r="343">
          <cell r="F343">
            <v>1</v>
          </cell>
          <cell r="O343">
            <v>4</v>
          </cell>
          <cell r="CI343">
            <v>1</v>
          </cell>
          <cell r="CJ343">
            <v>4</v>
          </cell>
          <cell r="DI343">
            <v>1</v>
          </cell>
          <cell r="DJ343">
            <v>0</v>
          </cell>
        </row>
        <row r="344">
          <cell r="F344">
            <v>1</v>
          </cell>
          <cell r="O344">
            <v>4</v>
          </cell>
          <cell r="CI344">
            <v>1</v>
          </cell>
          <cell r="CJ344">
            <v>4</v>
          </cell>
          <cell r="DI344">
            <v>1</v>
          </cell>
          <cell r="DJ344">
            <v>0</v>
          </cell>
        </row>
        <row r="345">
          <cell r="F345">
            <v>1</v>
          </cell>
          <cell r="O345">
            <v>1</v>
          </cell>
          <cell r="CI345">
            <v>1</v>
          </cell>
          <cell r="CJ345">
            <v>1</v>
          </cell>
          <cell r="DI345">
            <v>1</v>
          </cell>
          <cell r="DJ345">
            <v>3</v>
          </cell>
        </row>
        <row r="346">
          <cell r="F346">
            <v>1</v>
          </cell>
          <cell r="O346">
            <v>0</v>
          </cell>
          <cell r="CI346">
            <v>1</v>
          </cell>
          <cell r="CJ346">
            <v>0</v>
          </cell>
          <cell r="DI346">
            <v>1</v>
          </cell>
          <cell r="DJ346">
            <v>4</v>
          </cell>
        </row>
        <row r="347">
          <cell r="F347">
            <v>1</v>
          </cell>
          <cell r="O347">
            <v>4</v>
          </cell>
          <cell r="CI347">
            <v>1</v>
          </cell>
          <cell r="CJ347">
            <v>4</v>
          </cell>
          <cell r="DI347">
            <v>1</v>
          </cell>
          <cell r="DJ347">
            <v>0</v>
          </cell>
        </row>
        <row r="348">
          <cell r="F348">
            <v>1</v>
          </cell>
          <cell r="O348">
            <v>4</v>
          </cell>
          <cell r="CI348">
            <v>1</v>
          </cell>
          <cell r="CJ348">
            <v>4</v>
          </cell>
          <cell r="DI348">
            <v>1</v>
          </cell>
          <cell r="DJ348">
            <v>0</v>
          </cell>
        </row>
        <row r="349">
          <cell r="F349">
            <v>1</v>
          </cell>
          <cell r="O349">
            <v>4</v>
          </cell>
          <cell r="CI349">
            <v>1</v>
          </cell>
          <cell r="CJ349">
            <v>4</v>
          </cell>
          <cell r="DI349">
            <v>1</v>
          </cell>
          <cell r="DJ349">
            <v>0</v>
          </cell>
        </row>
        <row r="350">
          <cell r="F350">
            <v>1</v>
          </cell>
          <cell r="O350">
            <v>1</v>
          </cell>
          <cell r="CI350">
            <v>1</v>
          </cell>
          <cell r="CJ350">
            <v>4</v>
          </cell>
          <cell r="DI350">
            <v>0</v>
          </cell>
          <cell r="DJ350">
            <v>4</v>
          </cell>
        </row>
        <row r="351">
          <cell r="F351">
            <v>1</v>
          </cell>
          <cell r="O351">
            <v>4</v>
          </cell>
          <cell r="CI351">
            <v>1</v>
          </cell>
          <cell r="CJ351">
            <v>4</v>
          </cell>
          <cell r="DI351">
            <v>1</v>
          </cell>
          <cell r="DJ351">
            <v>0</v>
          </cell>
        </row>
        <row r="352">
          <cell r="F352">
            <v>1</v>
          </cell>
          <cell r="O352">
            <v>4</v>
          </cell>
          <cell r="CI352">
            <v>1</v>
          </cell>
          <cell r="CJ352">
            <v>4</v>
          </cell>
          <cell r="DI352">
            <v>1</v>
          </cell>
          <cell r="DJ352">
            <v>0</v>
          </cell>
        </row>
        <row r="353">
          <cell r="F353">
            <v>1</v>
          </cell>
          <cell r="O353">
            <v>4</v>
          </cell>
          <cell r="CI353">
            <v>1</v>
          </cell>
          <cell r="CJ353">
            <v>4</v>
          </cell>
          <cell r="DI353">
            <v>1</v>
          </cell>
          <cell r="DJ353">
            <v>0</v>
          </cell>
        </row>
        <row r="354">
          <cell r="F354">
            <v>1</v>
          </cell>
          <cell r="O354">
            <v>4</v>
          </cell>
          <cell r="CI354">
            <v>1</v>
          </cell>
          <cell r="CJ354">
            <v>4</v>
          </cell>
          <cell r="DI354">
            <v>1</v>
          </cell>
          <cell r="DJ354">
            <v>0</v>
          </cell>
        </row>
        <row r="355">
          <cell r="F355">
            <v>1</v>
          </cell>
          <cell r="O355">
            <v>0</v>
          </cell>
          <cell r="CI355">
            <v>1</v>
          </cell>
          <cell r="CJ355">
            <v>0</v>
          </cell>
          <cell r="DI355">
            <v>1</v>
          </cell>
          <cell r="DJ355">
            <v>2</v>
          </cell>
        </row>
        <row r="356">
          <cell r="F356">
            <v>1</v>
          </cell>
          <cell r="O356">
            <v>4</v>
          </cell>
          <cell r="CI356">
            <v>1</v>
          </cell>
          <cell r="CJ356">
            <v>4</v>
          </cell>
          <cell r="DI356">
            <v>1</v>
          </cell>
          <cell r="DJ356">
            <v>0</v>
          </cell>
        </row>
        <row r="357">
          <cell r="F357">
            <v>1</v>
          </cell>
          <cell r="O357">
            <v>0</v>
          </cell>
          <cell r="CI357">
            <v>1</v>
          </cell>
          <cell r="CJ357">
            <v>0</v>
          </cell>
          <cell r="DI357">
            <v>1</v>
          </cell>
          <cell r="DJ357">
            <v>4</v>
          </cell>
        </row>
        <row r="358">
          <cell r="F358">
            <v>1</v>
          </cell>
          <cell r="O358">
            <v>4</v>
          </cell>
          <cell r="CI358">
            <v>1</v>
          </cell>
          <cell r="CJ358">
            <v>4</v>
          </cell>
          <cell r="DI358">
            <v>1</v>
          </cell>
          <cell r="DJ358">
            <v>0</v>
          </cell>
        </row>
        <row r="359">
          <cell r="F359">
            <v>1</v>
          </cell>
          <cell r="O359">
            <v>4</v>
          </cell>
          <cell r="CI359">
            <v>1</v>
          </cell>
          <cell r="CJ359">
            <v>4</v>
          </cell>
          <cell r="DI359">
            <v>1</v>
          </cell>
          <cell r="DJ359">
            <v>0</v>
          </cell>
        </row>
        <row r="360">
          <cell r="F360">
            <v>1</v>
          </cell>
          <cell r="O360">
            <v>4</v>
          </cell>
          <cell r="CI360">
            <v>1</v>
          </cell>
          <cell r="CJ360">
            <v>4</v>
          </cell>
          <cell r="DI360">
            <v>1</v>
          </cell>
          <cell r="DJ360">
            <v>0</v>
          </cell>
        </row>
        <row r="361">
          <cell r="F361">
            <v>1</v>
          </cell>
          <cell r="O361">
            <v>4</v>
          </cell>
          <cell r="CI361">
            <v>1</v>
          </cell>
          <cell r="CJ361">
            <v>4</v>
          </cell>
          <cell r="DI361">
            <v>1</v>
          </cell>
          <cell r="DJ361">
            <v>0</v>
          </cell>
        </row>
        <row r="362">
          <cell r="F362">
            <v>1</v>
          </cell>
          <cell r="O362">
            <v>0</v>
          </cell>
          <cell r="CI362">
            <v>1</v>
          </cell>
          <cell r="CJ362">
            <v>0</v>
          </cell>
          <cell r="DI362">
            <v>1</v>
          </cell>
          <cell r="DJ362">
            <v>3</v>
          </cell>
        </row>
        <row r="363">
          <cell r="F363">
            <v>1</v>
          </cell>
          <cell r="O363">
            <v>4</v>
          </cell>
          <cell r="CI363">
            <v>1</v>
          </cell>
          <cell r="CJ363">
            <v>2</v>
          </cell>
          <cell r="DI363">
            <v>1</v>
          </cell>
          <cell r="DJ363">
            <v>0</v>
          </cell>
        </row>
        <row r="364">
          <cell r="F364">
            <v>1</v>
          </cell>
          <cell r="O364">
            <v>4</v>
          </cell>
          <cell r="CI364">
            <v>1</v>
          </cell>
          <cell r="CJ364">
            <v>4</v>
          </cell>
          <cell r="DI364">
            <v>1</v>
          </cell>
          <cell r="DJ364">
            <v>0</v>
          </cell>
        </row>
        <row r="365">
          <cell r="F365">
            <v>1</v>
          </cell>
          <cell r="O365">
            <v>4</v>
          </cell>
          <cell r="CI365">
            <v>1</v>
          </cell>
          <cell r="CJ365">
            <v>4</v>
          </cell>
          <cell r="DI365">
            <v>1</v>
          </cell>
          <cell r="DJ365">
            <v>0</v>
          </cell>
        </row>
        <row r="366">
          <cell r="F366">
            <v>1</v>
          </cell>
          <cell r="O366">
            <v>0</v>
          </cell>
          <cell r="CI366">
            <v>1</v>
          </cell>
          <cell r="CJ366">
            <v>0</v>
          </cell>
          <cell r="DI366">
            <v>1</v>
          </cell>
          <cell r="DJ366">
            <v>4</v>
          </cell>
        </row>
        <row r="367">
          <cell r="F367">
            <v>1</v>
          </cell>
          <cell r="O367">
            <v>0</v>
          </cell>
          <cell r="CI367">
            <v>1</v>
          </cell>
          <cell r="CJ367">
            <v>0</v>
          </cell>
          <cell r="DI367">
            <v>1</v>
          </cell>
          <cell r="DJ367">
            <v>4</v>
          </cell>
        </row>
        <row r="368">
          <cell r="F368">
            <v>1</v>
          </cell>
          <cell r="O368">
            <v>4</v>
          </cell>
          <cell r="CI368">
            <v>1</v>
          </cell>
          <cell r="CJ368">
            <v>4</v>
          </cell>
          <cell r="DI368">
            <v>1</v>
          </cell>
          <cell r="DJ368">
            <v>0</v>
          </cell>
        </row>
        <row r="369">
          <cell r="F369">
            <v>1</v>
          </cell>
          <cell r="O369">
            <v>4</v>
          </cell>
          <cell r="CI369">
            <v>1</v>
          </cell>
          <cell r="CJ369">
            <v>4</v>
          </cell>
          <cell r="DI369">
            <v>1</v>
          </cell>
          <cell r="DJ369">
            <v>0</v>
          </cell>
        </row>
        <row r="370">
          <cell r="F370">
            <v>1</v>
          </cell>
          <cell r="O370">
            <v>4</v>
          </cell>
          <cell r="CI370">
            <v>1</v>
          </cell>
          <cell r="CJ370">
            <v>4</v>
          </cell>
          <cell r="DI370">
            <v>1</v>
          </cell>
          <cell r="DJ370">
            <v>0</v>
          </cell>
        </row>
        <row r="371">
          <cell r="F371">
            <v>1</v>
          </cell>
          <cell r="O371">
            <v>0</v>
          </cell>
          <cell r="CI371">
            <v>1</v>
          </cell>
          <cell r="CJ371">
            <v>0</v>
          </cell>
          <cell r="DI371">
            <v>1</v>
          </cell>
          <cell r="DJ371">
            <v>3</v>
          </cell>
        </row>
        <row r="372">
          <cell r="F372">
            <v>1</v>
          </cell>
          <cell r="O372">
            <v>3</v>
          </cell>
          <cell r="CI372">
            <v>1</v>
          </cell>
          <cell r="CJ372">
            <v>3</v>
          </cell>
          <cell r="DI372">
            <v>1</v>
          </cell>
          <cell r="DJ372">
            <v>1</v>
          </cell>
        </row>
        <row r="373">
          <cell r="F373">
            <v>1</v>
          </cell>
          <cell r="O373">
            <v>1</v>
          </cell>
          <cell r="CI373">
            <v>1</v>
          </cell>
          <cell r="CJ373">
            <v>1</v>
          </cell>
          <cell r="DI373">
            <v>1</v>
          </cell>
          <cell r="DJ373">
            <v>3</v>
          </cell>
        </row>
        <row r="374">
          <cell r="F374">
            <v>1</v>
          </cell>
          <cell r="O374">
            <v>0</v>
          </cell>
          <cell r="CI374">
            <v>1</v>
          </cell>
          <cell r="CJ374">
            <v>0</v>
          </cell>
          <cell r="DI374">
            <v>1</v>
          </cell>
          <cell r="DJ374">
            <v>2</v>
          </cell>
        </row>
        <row r="375">
          <cell r="F375">
            <v>1</v>
          </cell>
          <cell r="O375">
            <v>0</v>
          </cell>
          <cell r="CI375">
            <v>1</v>
          </cell>
          <cell r="CJ375">
            <v>0</v>
          </cell>
          <cell r="DI375">
            <v>1</v>
          </cell>
          <cell r="DJ375">
            <v>4</v>
          </cell>
        </row>
        <row r="376">
          <cell r="F376">
            <v>1</v>
          </cell>
          <cell r="O376">
            <v>2</v>
          </cell>
          <cell r="CI376">
            <v>1</v>
          </cell>
          <cell r="CJ376">
            <v>2</v>
          </cell>
          <cell r="DI376">
            <v>1</v>
          </cell>
          <cell r="DJ376">
            <v>2</v>
          </cell>
        </row>
        <row r="377">
          <cell r="F377">
            <v>1</v>
          </cell>
          <cell r="O377">
            <v>3</v>
          </cell>
          <cell r="CI377">
            <v>1</v>
          </cell>
          <cell r="CJ377">
            <v>3</v>
          </cell>
          <cell r="DI377">
            <v>1</v>
          </cell>
          <cell r="DJ377">
            <v>1</v>
          </cell>
        </row>
        <row r="378">
          <cell r="F378">
            <v>1</v>
          </cell>
          <cell r="O378">
            <v>0</v>
          </cell>
          <cell r="CI378">
            <v>1</v>
          </cell>
          <cell r="CJ378">
            <v>0</v>
          </cell>
          <cell r="DI378">
            <v>1</v>
          </cell>
          <cell r="DJ378">
            <v>2</v>
          </cell>
        </row>
        <row r="379">
          <cell r="F379">
            <v>1</v>
          </cell>
          <cell r="O379">
            <v>4</v>
          </cell>
          <cell r="CI379">
            <v>1</v>
          </cell>
          <cell r="CJ379">
            <v>4</v>
          </cell>
          <cell r="DI379">
            <v>1</v>
          </cell>
          <cell r="DJ379">
            <v>0</v>
          </cell>
        </row>
        <row r="380">
          <cell r="F380">
            <v>1</v>
          </cell>
          <cell r="O380">
            <v>2</v>
          </cell>
          <cell r="CI380">
            <v>1</v>
          </cell>
          <cell r="CJ380">
            <v>2</v>
          </cell>
          <cell r="DI380">
            <v>1</v>
          </cell>
          <cell r="DJ380">
            <v>0</v>
          </cell>
        </row>
        <row r="381">
          <cell r="F381">
            <v>1</v>
          </cell>
          <cell r="O381">
            <v>4</v>
          </cell>
          <cell r="CI381">
            <v>1</v>
          </cell>
          <cell r="CJ381">
            <v>4</v>
          </cell>
          <cell r="DI381">
            <v>1</v>
          </cell>
          <cell r="DJ381">
            <v>0</v>
          </cell>
        </row>
        <row r="382">
          <cell r="F382">
            <v>1</v>
          </cell>
          <cell r="O382">
            <v>4</v>
          </cell>
          <cell r="CI382">
            <v>1</v>
          </cell>
          <cell r="CJ382">
            <v>4</v>
          </cell>
          <cell r="DI382">
            <v>1</v>
          </cell>
          <cell r="DJ382">
            <v>0</v>
          </cell>
        </row>
        <row r="383">
          <cell r="F383">
            <v>1</v>
          </cell>
          <cell r="O383">
            <v>4</v>
          </cell>
          <cell r="CI383">
            <v>1</v>
          </cell>
          <cell r="CJ383">
            <v>4</v>
          </cell>
          <cell r="DI383">
            <v>1</v>
          </cell>
          <cell r="DJ383">
            <v>0</v>
          </cell>
        </row>
        <row r="384">
          <cell r="F384">
            <v>1</v>
          </cell>
          <cell r="O384">
            <v>3</v>
          </cell>
          <cell r="CI384">
            <v>1</v>
          </cell>
          <cell r="CJ384">
            <v>3</v>
          </cell>
          <cell r="DI384">
            <v>1</v>
          </cell>
          <cell r="DJ384">
            <v>1</v>
          </cell>
        </row>
        <row r="385">
          <cell r="F385">
            <v>1</v>
          </cell>
          <cell r="O385">
            <v>4</v>
          </cell>
          <cell r="CI385">
            <v>1</v>
          </cell>
          <cell r="CJ385">
            <v>4</v>
          </cell>
          <cell r="DI385">
            <v>1</v>
          </cell>
          <cell r="DJ385">
            <v>0</v>
          </cell>
        </row>
        <row r="386">
          <cell r="F386">
            <v>1</v>
          </cell>
          <cell r="O386">
            <v>3</v>
          </cell>
          <cell r="CI386">
            <v>1</v>
          </cell>
          <cell r="CJ386">
            <v>2</v>
          </cell>
          <cell r="DI386">
            <v>1</v>
          </cell>
          <cell r="DJ386">
            <v>2</v>
          </cell>
        </row>
        <row r="387">
          <cell r="F387">
            <v>1</v>
          </cell>
          <cell r="O387">
            <v>4</v>
          </cell>
          <cell r="CI387">
            <v>1</v>
          </cell>
          <cell r="CJ387">
            <v>4</v>
          </cell>
          <cell r="DI387">
            <v>1</v>
          </cell>
          <cell r="DJ387">
            <v>0</v>
          </cell>
        </row>
        <row r="388">
          <cell r="F388">
            <v>1</v>
          </cell>
          <cell r="O388">
            <v>4</v>
          </cell>
          <cell r="CI388">
            <v>1</v>
          </cell>
          <cell r="CJ388">
            <v>4</v>
          </cell>
          <cell r="DI388">
            <v>1</v>
          </cell>
          <cell r="DJ388">
            <v>0</v>
          </cell>
        </row>
        <row r="389">
          <cell r="F389">
            <v>1</v>
          </cell>
          <cell r="O389">
            <v>4</v>
          </cell>
          <cell r="CI389">
            <v>1</v>
          </cell>
          <cell r="CJ389">
            <v>4</v>
          </cell>
          <cell r="DI389">
            <v>1</v>
          </cell>
          <cell r="DJ389">
            <v>0</v>
          </cell>
        </row>
        <row r="390">
          <cell r="F390">
            <v>1</v>
          </cell>
          <cell r="O390">
            <v>4</v>
          </cell>
          <cell r="CI390">
            <v>1</v>
          </cell>
          <cell r="CJ390">
            <v>4</v>
          </cell>
          <cell r="DI390">
            <v>1</v>
          </cell>
          <cell r="DJ390">
            <v>0</v>
          </cell>
        </row>
        <row r="391">
          <cell r="F391">
            <v>1</v>
          </cell>
          <cell r="O391">
            <v>2</v>
          </cell>
          <cell r="CI391">
            <v>1</v>
          </cell>
          <cell r="CJ391">
            <v>2</v>
          </cell>
          <cell r="DI391">
            <v>1</v>
          </cell>
          <cell r="DJ391">
            <v>2</v>
          </cell>
        </row>
        <row r="392">
          <cell r="F392">
            <v>1</v>
          </cell>
          <cell r="O392">
            <v>4</v>
          </cell>
          <cell r="CI392">
            <v>1</v>
          </cell>
          <cell r="CJ392">
            <v>4</v>
          </cell>
          <cell r="DI392">
            <v>1</v>
          </cell>
          <cell r="DJ392">
            <v>0</v>
          </cell>
        </row>
        <row r="393">
          <cell r="F393">
            <v>1</v>
          </cell>
          <cell r="O393">
            <v>4</v>
          </cell>
          <cell r="CI393">
            <v>1</v>
          </cell>
          <cell r="CJ393">
            <v>4</v>
          </cell>
          <cell r="DI393">
            <v>1</v>
          </cell>
          <cell r="DJ393">
            <v>0</v>
          </cell>
        </row>
        <row r="394">
          <cell r="F394">
            <v>1</v>
          </cell>
          <cell r="O394">
            <v>4</v>
          </cell>
          <cell r="CI394">
            <v>1</v>
          </cell>
          <cell r="CJ394">
            <v>4</v>
          </cell>
          <cell r="DI394">
            <v>1</v>
          </cell>
          <cell r="DJ394">
            <v>0</v>
          </cell>
        </row>
        <row r="395">
          <cell r="F395">
            <v>1</v>
          </cell>
          <cell r="O395">
            <v>4</v>
          </cell>
          <cell r="CI395">
            <v>1</v>
          </cell>
          <cell r="CJ395">
            <v>4</v>
          </cell>
          <cell r="DI395">
            <v>1</v>
          </cell>
          <cell r="DJ395">
            <v>0</v>
          </cell>
        </row>
        <row r="396">
          <cell r="F396">
            <v>1</v>
          </cell>
          <cell r="O396">
            <v>2</v>
          </cell>
          <cell r="CI396">
            <v>1</v>
          </cell>
          <cell r="CJ396">
            <v>4</v>
          </cell>
          <cell r="DI396">
            <v>0</v>
          </cell>
          <cell r="DJ396">
            <v>2</v>
          </cell>
        </row>
        <row r="397">
          <cell r="F397">
            <v>1</v>
          </cell>
          <cell r="O397">
            <v>4</v>
          </cell>
          <cell r="CI397">
            <v>1</v>
          </cell>
          <cell r="CJ397">
            <v>2</v>
          </cell>
          <cell r="DI397">
            <v>1</v>
          </cell>
          <cell r="DJ397">
            <v>0</v>
          </cell>
        </row>
        <row r="398">
          <cell r="F398">
            <v>1</v>
          </cell>
          <cell r="O398">
            <v>4</v>
          </cell>
          <cell r="CI398">
            <v>1</v>
          </cell>
          <cell r="CJ398">
            <v>4</v>
          </cell>
          <cell r="DI398">
            <v>1</v>
          </cell>
          <cell r="DJ398">
            <v>0</v>
          </cell>
        </row>
        <row r="399">
          <cell r="F399">
            <v>1</v>
          </cell>
          <cell r="O399">
            <v>0</v>
          </cell>
          <cell r="CI399">
            <v>1</v>
          </cell>
          <cell r="CJ399">
            <v>0</v>
          </cell>
          <cell r="DI399">
            <v>1</v>
          </cell>
          <cell r="DJ399">
            <v>1</v>
          </cell>
        </row>
        <row r="400">
          <cell r="F400">
            <v>1</v>
          </cell>
          <cell r="O400">
            <v>4</v>
          </cell>
          <cell r="CI400">
            <v>1</v>
          </cell>
          <cell r="CJ400">
            <v>4</v>
          </cell>
          <cell r="DI400">
            <v>1</v>
          </cell>
          <cell r="DJ400">
            <v>0</v>
          </cell>
        </row>
        <row r="401">
          <cell r="F401">
            <v>1</v>
          </cell>
          <cell r="O401">
            <v>2</v>
          </cell>
          <cell r="CI401">
            <v>1</v>
          </cell>
          <cell r="CJ401">
            <v>2</v>
          </cell>
          <cell r="DI401">
            <v>1</v>
          </cell>
          <cell r="DJ401">
            <v>2</v>
          </cell>
        </row>
        <row r="402">
          <cell r="F402">
            <v>1</v>
          </cell>
          <cell r="O402">
            <v>4</v>
          </cell>
          <cell r="CI402">
            <v>1</v>
          </cell>
          <cell r="CJ402">
            <v>4</v>
          </cell>
          <cell r="DI402">
            <v>1</v>
          </cell>
          <cell r="DJ402">
            <v>0</v>
          </cell>
        </row>
        <row r="403">
          <cell r="F403">
            <v>1</v>
          </cell>
          <cell r="O403">
            <v>0</v>
          </cell>
          <cell r="CI403">
            <v>1</v>
          </cell>
          <cell r="CJ403">
            <v>0</v>
          </cell>
          <cell r="DI403">
            <v>1</v>
          </cell>
          <cell r="DJ403">
            <v>3</v>
          </cell>
        </row>
        <row r="404">
          <cell r="F404">
            <v>1</v>
          </cell>
          <cell r="O404">
            <v>4</v>
          </cell>
          <cell r="CI404">
            <v>1</v>
          </cell>
          <cell r="CJ404">
            <v>4</v>
          </cell>
          <cell r="DI404">
            <v>1</v>
          </cell>
          <cell r="DJ404">
            <v>0</v>
          </cell>
        </row>
        <row r="405">
          <cell r="F405">
            <v>1</v>
          </cell>
          <cell r="O405">
            <v>4</v>
          </cell>
          <cell r="CI405">
            <v>1</v>
          </cell>
          <cell r="CJ405">
            <v>4</v>
          </cell>
          <cell r="DI405">
            <v>1</v>
          </cell>
          <cell r="DJ405">
            <v>0</v>
          </cell>
        </row>
        <row r="406">
          <cell r="F406">
            <v>1</v>
          </cell>
          <cell r="O406">
            <v>4</v>
          </cell>
          <cell r="CI406">
            <v>1</v>
          </cell>
          <cell r="CJ406">
            <v>4</v>
          </cell>
          <cell r="DI406">
            <v>1</v>
          </cell>
          <cell r="DJ406">
            <v>0</v>
          </cell>
        </row>
      </sheetData>
      <sheetData sheetId="7"/>
      <sheetData sheetId="8"/>
      <sheetData sheetId="9"/>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Calcs"/>
      <sheetName val="Input Values"/>
      <sheetName val="WattsEE"/>
      <sheetName val="WattsB"/>
      <sheetName val="HOU"/>
      <sheetName val="ISR"/>
      <sheetName val="Pivot"/>
      <sheetName val="Tracking Data"/>
      <sheetName val="Measure Category Descriptions"/>
      <sheetName val="Retailer-Manuf."/>
    </sheetNames>
    <sheetDataSet>
      <sheetData sheetId="0"/>
      <sheetData sheetId="1"/>
      <sheetData sheetId="2">
        <row r="31">
          <cell r="C31">
            <v>3.1494444444444443</v>
          </cell>
        </row>
        <row r="32">
          <cell r="C32">
            <v>9.8958904109589039</v>
          </cell>
        </row>
        <row r="33">
          <cell r="C33">
            <v>0.99</v>
          </cell>
        </row>
        <row r="34">
          <cell r="C34">
            <v>1.1000000000000001</v>
          </cell>
        </row>
        <row r="35">
          <cell r="C35">
            <v>0.95</v>
          </cell>
        </row>
      </sheetData>
      <sheetData sheetId="3"/>
      <sheetData sheetId="4"/>
      <sheetData sheetId="5"/>
      <sheetData sheetId="6"/>
      <sheetData sheetId="7"/>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hole House"/>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PRESCRIPTIVE"/>
      <sheetName val="SBDI"/>
      <sheetName val="CUSTOMRCXNC"/>
      <sheetName val="CBDATA"/>
      <sheetName val="DATA TABLES"/>
      <sheetName val="EXPORT"/>
      <sheetName val="Changelog"/>
      <sheetName val="M01-S01"/>
      <sheetName val="M01-S02"/>
      <sheetName val="M01-S03"/>
      <sheetName val="M01-S04"/>
      <sheetName val="M01-S05"/>
      <sheetName val="M01-S06"/>
      <sheetName val="M02-S01"/>
      <sheetName val="M02-S02"/>
      <sheetName val="M02-S03"/>
      <sheetName val="M02-S04"/>
      <sheetName val="M02-S05"/>
      <sheetName val="M03-S01"/>
      <sheetName val="M03-S01-2"/>
      <sheetName val="M03-S02"/>
      <sheetName val="M03-S03"/>
      <sheetName val="M03-S04"/>
      <sheetName val="M03-S05"/>
      <sheetName val="M03-S06"/>
      <sheetName val="M03-S07"/>
      <sheetName val="M03-S08"/>
      <sheetName val="M04-S01"/>
      <sheetName val="M04-S02"/>
      <sheetName val="M04-S02-2"/>
      <sheetName val="M04-S03"/>
      <sheetName val="M04-S04"/>
      <sheetName val="M04-S05"/>
      <sheetName val="M04-S06"/>
      <sheetName val="M04-S07"/>
      <sheetName val="M04-S08"/>
      <sheetName val="M05-S01"/>
      <sheetName val="M05-S02"/>
      <sheetName val="M05-S03"/>
      <sheetName val="M05-S04"/>
      <sheetName val="M05-S05"/>
      <sheetName val="M05-S06"/>
      <sheetName val="M05-S07"/>
      <sheetName val="M05-S08"/>
      <sheetName val="14649 - Application Final"/>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Tracking Data"/>
      <sheetName val="Inputs"/>
      <sheetName val="zone lookups"/>
      <sheetName val="Air Infiltration"/>
      <sheetName val="Duct Sealing"/>
      <sheetName val="Ceiling Insultion"/>
      <sheetName val="CFL &amp; LED"/>
      <sheetName val="Smart Strips"/>
      <sheetName val="Aerators"/>
      <sheetName val="Showerheads"/>
    </sheetNames>
    <sheetDataSet>
      <sheetData sheetId="0"/>
      <sheetData sheetId="1"/>
      <sheetData sheetId="2">
        <row r="23">
          <cell r="C23">
            <v>103.6049</v>
          </cell>
        </row>
        <row r="24">
          <cell r="C24">
            <v>70.467920000000007</v>
          </cell>
        </row>
        <row r="28">
          <cell r="C28">
            <v>1.0399999999999999E-4</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efis.psc.mo.gov/mpsc/commoncomponents/viewdocument.asp?DocId=935658483" TargetMode="External"/><Relationship Id="rId13" Type="http://schemas.openxmlformats.org/officeDocument/2006/relationships/printerSettings" Target="../printerSettings/printerSettings5.bin"/><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hyperlink" Target="https://www.efis.psc.mo.gov/mpsc/commoncomponents/viewdocument.asp?DocId=935658483" TargetMode="External"/><Relationship Id="rId12" Type="http://schemas.openxmlformats.org/officeDocument/2006/relationships/hyperlink" Target="http://www.nrel.gov/docs/fy10osti/47246.pdf" TargetMode="External"/><Relationship Id="rId2" Type="http://schemas.openxmlformats.org/officeDocument/2006/relationships/hyperlink" Target="http://www.nrel.gov/docs/fy10osti/47246.pdf" TargetMode="External"/><Relationship Id="rId16" Type="http://schemas.openxmlformats.org/officeDocument/2006/relationships/comments" Target="../comments4.xm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hyperlink" Target="http://www.nrel.gov/docs/fy10osti/47246.pdf" TargetMode="External"/><Relationship Id="rId11" Type="http://schemas.openxmlformats.org/officeDocument/2006/relationships/hyperlink" Target="https://www.efis.psc.mo.gov/mpsc/commoncomponents/viewdocument.asp?DocId=935658483" TargetMode="External"/><Relationship Id="rId5" Type="http://schemas.openxmlformats.org/officeDocument/2006/relationships/hyperlink" Target="http://ilsagfiles.org/SAG_files/Technical_Reference_Manual/Version_5/Final/IL-TRM_Version_5.0_dated_February-11-2016_Final_Compiled_Volumes_1-4.pdf" TargetMode="External"/><Relationship Id="rId15" Type="http://schemas.openxmlformats.org/officeDocument/2006/relationships/vmlDrawing" Target="../drawings/vmlDrawing4.vml"/><Relationship Id="rId10" Type="http://schemas.openxmlformats.org/officeDocument/2006/relationships/hyperlink" Target="http://ilsagfiles.org/SAG_files/Technical_Reference_Manual/Version_5/Final/IL-TRM_Version_5.0_dated_February-11-2016_Final_Compiled_Volumes_1-4.pdf" TargetMode="External"/><Relationship Id="rId4" Type="http://schemas.openxmlformats.org/officeDocument/2006/relationships/hyperlink" Target="http://ilsagfiles.org/SAG_files/Technical_Reference_Manual/Version_5/Final/IL-TRM_Version_5.0_dated_February-11-2016_Final_Compiled_Volumes_1-4.pdf" TargetMode="External"/><Relationship Id="rId9" Type="http://schemas.openxmlformats.org/officeDocument/2006/relationships/hyperlink" Target="http://ilsagfiles.org/SAG_files/Technical_Reference_Manual/Version_5/Final/IL-TRM_Version_5.0_dated_February-11-2016_Final_Compiled_Volumes_1-4.pdf" TargetMode="External"/><Relationship Id="rId1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www.efis.psc.mo.gov/mpsc/commoncomponents/viewdocument.asp?DocId=935658483" TargetMode="External"/><Relationship Id="rId7" Type="http://schemas.openxmlformats.org/officeDocument/2006/relationships/printerSettings" Target="../printerSettings/printerSettings7.bin"/><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s://www.efis.psc.mo.gov/mpsc/commoncomponents/viewdocument.asp?DocId=935658483" TargetMode="External"/><Relationship Id="rId6" Type="http://schemas.openxmlformats.org/officeDocument/2006/relationships/hyperlink" Target="https://www.efis.psc.mo.gov/mpsc/commoncomponents/viewdocument.asp?DocId=935658483" TargetMode="External"/><Relationship Id="rId5" Type="http://schemas.openxmlformats.org/officeDocument/2006/relationships/hyperlink" Target="https://www.efis.psc.mo.gov/mpsc/commoncomponents/viewdocument.asp?DocId=935658483" TargetMode="External"/><Relationship Id="rId10" Type="http://schemas.openxmlformats.org/officeDocument/2006/relationships/comments" Target="../comments6.xml"/><Relationship Id="rId4" Type="http://schemas.openxmlformats.org/officeDocument/2006/relationships/hyperlink" Target="https://www.efis.psc.mo.gov/mpsc/commoncomponents/viewdocument.asp?DocId=935658483" TargetMode="External"/><Relationship Id="rId9"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vmlDrawing" Target="../drawings/vmlDrawing7.v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drawing" Target="../drawings/drawing8.xm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printerSettings" Target="../printerSettings/printerSettings9.bin"/><Relationship Id="rId5" Type="http://schemas.openxmlformats.org/officeDocument/2006/relationships/hyperlink" Target="http://www.nrel.gov/docs/fy10osti/47246.pdf" TargetMode="External"/><Relationship Id="rId4" Type="http://schemas.openxmlformats.org/officeDocument/2006/relationships/hyperlink" Target="https://www.efis.psc.mo.gov/mpsc/commoncomponents/viewdocument.asp?DocId=935658483" TargetMode="External"/><Relationship Id="rId9"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view="pageBreakPreview" zoomScale="85" zoomScaleNormal="100" zoomScaleSheetLayoutView="85" workbookViewId="0">
      <selection activeCell="A12" sqref="A12"/>
    </sheetView>
  </sheetViews>
  <sheetFormatPr defaultRowHeight="15" x14ac:dyDescent="0.25"/>
  <cols>
    <col min="1" max="1" width="20.7109375" customWidth="1"/>
    <col min="2" max="2" width="14.140625" customWidth="1"/>
    <col min="3" max="5" width="20.7109375" customWidth="1"/>
    <col min="6" max="6" width="72.28515625" customWidth="1"/>
    <col min="7" max="7" width="3" customWidth="1"/>
  </cols>
  <sheetData>
    <row r="1" spans="1:13" x14ac:dyDescent="0.25">
      <c r="D1" s="1976"/>
      <c r="E1" s="1976"/>
      <c r="F1" s="1977"/>
      <c r="G1" s="1977"/>
    </row>
    <row r="3" spans="1:13" ht="46.5" x14ac:dyDescent="0.7">
      <c r="A3" s="1978" t="s">
        <v>0</v>
      </c>
      <c r="B3" s="1978"/>
      <c r="C3" s="1978"/>
      <c r="D3" s="1978"/>
      <c r="E3" s="1978"/>
      <c r="F3" s="1978"/>
      <c r="G3" s="1"/>
      <c r="H3" s="1"/>
      <c r="I3" s="1"/>
      <c r="J3" s="1"/>
      <c r="K3" s="1"/>
      <c r="L3" s="1"/>
      <c r="M3" s="1"/>
    </row>
    <row r="4" spans="1:13" ht="18.75" customHeight="1" thickBot="1" x14ac:dyDescent="0.6">
      <c r="D4" s="1979"/>
      <c r="E4" s="1979"/>
      <c r="F4" s="1980"/>
      <c r="G4" s="1980"/>
    </row>
    <row r="5" spans="1:13" ht="18.75" x14ac:dyDescent="0.25">
      <c r="A5" s="1981" t="s">
        <v>1</v>
      </c>
      <c r="B5" s="1981" t="s">
        <v>2</v>
      </c>
      <c r="C5" s="1985" t="s">
        <v>3</v>
      </c>
      <c r="D5" s="1986"/>
      <c r="E5" s="1987"/>
      <c r="F5" s="1981" t="s">
        <v>4</v>
      </c>
    </row>
    <row r="6" spans="1:13" ht="77.25" customHeight="1" x14ac:dyDescent="0.25">
      <c r="A6" s="1982"/>
      <c r="B6" s="1983"/>
      <c r="C6" s="2" t="s">
        <v>5</v>
      </c>
      <c r="D6" s="3" t="s">
        <v>6</v>
      </c>
      <c r="E6" s="4" t="s">
        <v>7</v>
      </c>
      <c r="F6" s="1983"/>
    </row>
    <row r="7" spans="1:13" ht="15.75" thickBot="1" x14ac:dyDescent="0.3">
      <c r="A7" s="5" t="s">
        <v>8</v>
      </c>
      <c r="B7" s="1984"/>
      <c r="C7" s="6" t="s">
        <v>8</v>
      </c>
      <c r="D7" s="7" t="s">
        <v>8</v>
      </c>
      <c r="E7" s="8" t="s">
        <v>8</v>
      </c>
      <c r="F7" s="1984"/>
    </row>
    <row r="8" spans="1:13" ht="35.1" customHeight="1" x14ac:dyDescent="0.25">
      <c r="A8" s="9">
        <v>1</v>
      </c>
      <c r="B8" s="10">
        <v>43250</v>
      </c>
      <c r="C8" s="11">
        <v>1</v>
      </c>
      <c r="D8" s="11">
        <v>1</v>
      </c>
      <c r="E8" s="11">
        <v>1</v>
      </c>
      <c r="F8" s="12" t="s">
        <v>9</v>
      </c>
    </row>
    <row r="9" spans="1:13" ht="35.1" customHeight="1" x14ac:dyDescent="0.25">
      <c r="A9" s="1132">
        <v>2</v>
      </c>
      <c r="B9" s="1133">
        <v>43465</v>
      </c>
      <c r="C9" s="1134">
        <v>1</v>
      </c>
      <c r="D9" s="1134">
        <v>1</v>
      </c>
      <c r="E9" s="1134">
        <v>2</v>
      </c>
      <c r="F9" s="1135" t="s">
        <v>1771</v>
      </c>
    </row>
    <row r="10" spans="1:13" ht="35.1" customHeight="1" x14ac:dyDescent="0.25">
      <c r="A10" s="13"/>
      <c r="B10" s="14"/>
      <c r="C10" s="15"/>
      <c r="D10" s="15"/>
      <c r="E10" s="15"/>
      <c r="F10" s="16"/>
    </row>
    <row r="11" spans="1:13" ht="35.1" customHeight="1" x14ac:dyDescent="0.25">
      <c r="A11" s="13"/>
      <c r="B11" s="14"/>
      <c r="C11" s="15"/>
      <c r="D11" s="15"/>
      <c r="E11" s="15"/>
      <c r="F11" s="16"/>
    </row>
    <row r="12" spans="1:13" ht="35.1" customHeight="1" x14ac:dyDescent="0.25">
      <c r="A12" s="13"/>
      <c r="B12" s="14"/>
      <c r="C12" s="15"/>
      <c r="D12" s="15"/>
      <c r="E12" s="15"/>
      <c r="F12" s="16"/>
    </row>
    <row r="13" spans="1:13" ht="35.1" customHeight="1" x14ac:dyDescent="0.25">
      <c r="A13" s="13"/>
      <c r="B13" s="14"/>
      <c r="C13" s="15"/>
      <c r="D13" s="15"/>
      <c r="E13" s="15"/>
      <c r="F13" s="16"/>
    </row>
    <row r="14" spans="1:13" ht="35.1" customHeight="1" x14ac:dyDescent="0.25">
      <c r="A14" s="13"/>
      <c r="B14" s="14"/>
      <c r="C14" s="15"/>
      <c r="D14" s="15"/>
      <c r="E14" s="15"/>
      <c r="F14" s="16"/>
    </row>
    <row r="15" spans="1:13" ht="35.1" customHeight="1" x14ac:dyDescent="0.25">
      <c r="A15" s="13"/>
      <c r="B15" s="14"/>
      <c r="C15" s="15"/>
      <c r="D15" s="15"/>
      <c r="E15" s="15"/>
      <c r="F15" s="16"/>
    </row>
    <row r="16" spans="1:13" ht="35.1" customHeight="1" x14ac:dyDescent="0.25">
      <c r="A16" s="13"/>
      <c r="B16" s="14"/>
      <c r="C16" s="15"/>
      <c r="D16" s="15"/>
      <c r="E16" s="15"/>
      <c r="F16" s="16"/>
    </row>
    <row r="17" spans="1:6" ht="35.1" customHeight="1" x14ac:dyDescent="0.25">
      <c r="A17" s="13"/>
      <c r="B17" s="14"/>
      <c r="C17" s="15"/>
      <c r="D17" s="15"/>
      <c r="E17" s="15"/>
      <c r="F17" s="16"/>
    </row>
    <row r="18" spans="1:6" ht="35.1" customHeight="1" x14ac:dyDescent="0.25">
      <c r="A18" s="13"/>
      <c r="B18" s="14"/>
      <c r="C18" s="15"/>
      <c r="D18" s="15"/>
      <c r="E18" s="15"/>
      <c r="F18" s="16"/>
    </row>
    <row r="19" spans="1:6" ht="35.1" customHeight="1" x14ac:dyDescent="0.25">
      <c r="A19" s="13"/>
      <c r="B19" s="14"/>
      <c r="C19" s="15"/>
      <c r="D19" s="15"/>
      <c r="E19" s="15"/>
      <c r="F19" s="16"/>
    </row>
    <row r="20" spans="1:6" ht="35.1" customHeight="1" x14ac:dyDescent="0.25">
      <c r="A20" s="13"/>
      <c r="B20" s="14"/>
      <c r="C20" s="15"/>
      <c r="D20" s="15"/>
      <c r="E20" s="15"/>
      <c r="F20" s="16"/>
    </row>
    <row r="21" spans="1:6" ht="35.1" customHeight="1" x14ac:dyDescent="0.25">
      <c r="A21" s="13"/>
      <c r="B21" s="14"/>
      <c r="C21" s="15"/>
      <c r="D21" s="15"/>
      <c r="E21" s="15"/>
      <c r="F21" s="16"/>
    </row>
    <row r="22" spans="1:6" ht="35.1" customHeight="1" x14ac:dyDescent="0.25">
      <c r="A22" s="13"/>
      <c r="B22" s="14"/>
      <c r="C22" s="15"/>
      <c r="D22" s="15"/>
      <c r="E22" s="15"/>
      <c r="F22" s="16"/>
    </row>
    <row r="23" spans="1:6" ht="35.1" customHeight="1" x14ac:dyDescent="0.25">
      <c r="A23" s="13"/>
      <c r="B23" s="14"/>
      <c r="C23" s="15"/>
      <c r="D23" s="15"/>
      <c r="E23" s="15"/>
      <c r="F23" s="16"/>
    </row>
    <row r="24" spans="1:6" ht="35.1" customHeight="1" x14ac:dyDescent="0.25">
      <c r="A24" s="13"/>
      <c r="B24" s="14"/>
      <c r="C24" s="15"/>
      <c r="D24" s="15"/>
      <c r="E24" s="15"/>
      <c r="F24" s="16"/>
    </row>
    <row r="25" spans="1:6" ht="35.1" customHeight="1" x14ac:dyDescent="0.25">
      <c r="A25" s="13"/>
      <c r="B25" s="14"/>
      <c r="C25" s="15"/>
      <c r="D25" s="15"/>
      <c r="E25" s="15"/>
      <c r="F25" s="16"/>
    </row>
    <row r="26" spans="1:6" ht="35.1" customHeight="1" x14ac:dyDescent="0.25">
      <c r="A26" s="13"/>
      <c r="B26" s="14"/>
      <c r="C26" s="15"/>
      <c r="D26" s="15"/>
      <c r="E26" s="15"/>
      <c r="F26" s="16"/>
    </row>
    <row r="27" spans="1:6" ht="35.1" customHeight="1" x14ac:dyDescent="0.25">
      <c r="A27" s="13"/>
      <c r="B27" s="14"/>
      <c r="C27" s="15"/>
      <c r="D27" s="15"/>
      <c r="E27" s="15"/>
      <c r="F27" s="16"/>
    </row>
    <row r="28" spans="1:6" ht="35.1" customHeight="1" x14ac:dyDescent="0.25">
      <c r="A28" s="13"/>
      <c r="B28" s="14"/>
      <c r="C28" s="15"/>
      <c r="D28" s="15"/>
      <c r="E28" s="15"/>
      <c r="F28" s="16"/>
    </row>
    <row r="29" spans="1:6" ht="35.1" customHeight="1" x14ac:dyDescent="0.25">
      <c r="A29" s="13"/>
      <c r="B29" s="14"/>
      <c r="C29" s="15"/>
      <c r="D29" s="15"/>
      <c r="E29" s="15"/>
      <c r="F29" s="16"/>
    </row>
    <row r="30" spans="1:6" ht="35.1" customHeight="1" x14ac:dyDescent="0.25">
      <c r="A30" s="13"/>
      <c r="B30" s="14"/>
      <c r="C30" s="15"/>
      <c r="D30" s="15"/>
      <c r="E30" s="15"/>
      <c r="F30" s="16"/>
    </row>
    <row r="31" spans="1:6" ht="35.1" customHeight="1" x14ac:dyDescent="0.25">
      <c r="A31" s="13"/>
      <c r="B31" s="14"/>
      <c r="C31" s="15"/>
      <c r="D31" s="15"/>
      <c r="E31" s="15"/>
      <c r="F31" s="16"/>
    </row>
    <row r="32" spans="1:6" ht="35.1" customHeight="1" x14ac:dyDescent="0.25">
      <c r="A32" s="13"/>
      <c r="B32" s="14"/>
      <c r="C32" s="15"/>
      <c r="D32" s="15"/>
      <c r="E32" s="15"/>
      <c r="F32" s="16"/>
    </row>
    <row r="33" spans="1:6" ht="35.1" customHeight="1" x14ac:dyDescent="0.25">
      <c r="A33" s="13"/>
      <c r="B33" s="14"/>
      <c r="C33" s="15"/>
      <c r="D33" s="15"/>
      <c r="E33" s="15"/>
      <c r="F33" s="16"/>
    </row>
    <row r="34" spans="1:6" ht="35.1" customHeight="1" x14ac:dyDescent="0.25">
      <c r="A34" s="13"/>
      <c r="B34" s="14"/>
      <c r="C34" s="15"/>
      <c r="D34" s="15"/>
      <c r="E34" s="15"/>
      <c r="F34" s="16"/>
    </row>
    <row r="35" spans="1:6" ht="35.1" customHeight="1" x14ac:dyDescent="0.25">
      <c r="A35" s="13"/>
      <c r="B35" s="14"/>
      <c r="C35" s="15"/>
      <c r="D35" s="15"/>
      <c r="E35" s="15"/>
      <c r="F35" s="16"/>
    </row>
    <row r="36" spans="1:6" ht="35.1" customHeight="1" x14ac:dyDescent="0.25">
      <c r="A36" s="13"/>
      <c r="B36" s="14"/>
      <c r="C36" s="15"/>
      <c r="D36" s="15"/>
      <c r="E36" s="15"/>
      <c r="F36" s="16"/>
    </row>
    <row r="37" spans="1:6" ht="35.1" customHeight="1" x14ac:dyDescent="0.25">
      <c r="A37" s="13"/>
      <c r="B37" s="14"/>
      <c r="C37" s="15"/>
      <c r="D37" s="15"/>
      <c r="E37" s="15"/>
      <c r="F37" s="16"/>
    </row>
    <row r="38" spans="1:6" ht="35.1" customHeight="1" x14ac:dyDescent="0.25">
      <c r="A38" s="13"/>
      <c r="B38" s="14"/>
      <c r="C38" s="15"/>
      <c r="D38" s="15"/>
      <c r="E38" s="15"/>
      <c r="F38" s="16"/>
    </row>
    <row r="39" spans="1:6" ht="35.1" customHeight="1" thickBot="1" x14ac:dyDescent="0.3">
      <c r="A39" s="17"/>
      <c r="B39" s="18"/>
      <c r="C39" s="19"/>
      <c r="D39" s="19"/>
      <c r="E39" s="19"/>
      <c r="F39" s="20"/>
    </row>
  </sheetData>
  <mergeCells count="7">
    <mergeCell ref="D1:G1"/>
    <mergeCell ref="A3:F3"/>
    <mergeCell ref="D4:G4"/>
    <mergeCell ref="A5:A6"/>
    <mergeCell ref="B5:B7"/>
    <mergeCell ref="C5:E5"/>
    <mergeCell ref="F5:F7"/>
  </mergeCells>
  <printOptions horizontalCentered="1"/>
  <pageMargins left="0.7" right="0.7" top="0.75" bottom="0.75" header="0.3" footer="0.3"/>
  <pageSetup scale="5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I72"/>
  <sheetViews>
    <sheetView showGridLines="0" view="pageBreakPreview" topLeftCell="A37" zoomScale="85" zoomScaleNormal="70" zoomScaleSheetLayoutView="85" workbookViewId="0">
      <selection activeCell="W32" sqref="W32:X32"/>
    </sheetView>
  </sheetViews>
  <sheetFormatPr defaultRowHeight="15" outlineLevelRow="1" x14ac:dyDescent="0.25"/>
  <cols>
    <col min="3" max="3" width="11.85546875" style="113" customWidth="1"/>
    <col min="4" max="4" width="23.140625" style="127" customWidth="1"/>
    <col min="5" max="5" width="37" style="127" customWidth="1"/>
    <col min="6" max="6" width="19.85546875" customWidth="1"/>
    <col min="7" max="7" width="18.7109375" bestFit="1" customWidth="1"/>
    <col min="8" max="8" width="15.5703125" customWidth="1"/>
    <col min="9" max="11" width="12.5703125" customWidth="1"/>
    <col min="12" max="12" width="15.42578125" customWidth="1"/>
    <col min="13" max="13" width="3.28515625" customWidth="1"/>
    <col min="14" max="14" width="2.28515625" customWidth="1"/>
    <col min="15" max="15" width="2.7109375" customWidth="1"/>
    <col min="16" max="16" width="3.28515625" customWidth="1"/>
    <col min="17" max="17" width="2.42578125" customWidth="1"/>
    <col min="18" max="20" width="9.140625" bestFit="1" customWidth="1"/>
    <col min="21" max="21" width="21.5703125" bestFit="1" customWidth="1"/>
    <col min="22" max="22" width="21.42578125" customWidth="1"/>
    <col min="23" max="23" width="9.140625" customWidth="1"/>
    <col min="24" max="24" width="13.5703125" customWidth="1"/>
  </cols>
  <sheetData>
    <row r="1" spans="1:35" s="22" customFormat="1" ht="18.75" x14ac:dyDescent="0.3">
      <c r="A1" s="2028" t="s">
        <v>1725</v>
      </c>
      <c r="B1" s="2097"/>
      <c r="C1" s="2097"/>
      <c r="D1" s="2097"/>
      <c r="E1" s="2097"/>
      <c r="F1" s="2097"/>
      <c r="G1" s="2097"/>
      <c r="H1" s="2097"/>
      <c r="I1" s="2097"/>
      <c r="J1" s="2097"/>
      <c r="K1" s="2097"/>
      <c r="L1" s="2097"/>
      <c r="M1" s="2097"/>
      <c r="N1" s="2097"/>
      <c r="O1" s="2097"/>
      <c r="P1" s="2097"/>
      <c r="Q1" s="2097"/>
      <c r="V1" s="27"/>
      <c r="W1" s="28"/>
      <c r="X1" s="28"/>
      <c r="Y1" s="29"/>
      <c r="Z1" s="29"/>
      <c r="AA1" s="29"/>
      <c r="AB1" s="29"/>
      <c r="AC1" s="29"/>
      <c r="AD1" s="29"/>
      <c r="AE1" s="29"/>
      <c r="AF1" s="29"/>
      <c r="AG1" s="29"/>
      <c r="AH1" s="29"/>
    </row>
    <row r="2" spans="1:35" s="22" customFormat="1" ht="30" customHeight="1" outlineLevel="1" x14ac:dyDescent="0.35">
      <c r="B2" s="25"/>
      <c r="C2" s="30"/>
      <c r="D2" s="2389" t="s">
        <v>13</v>
      </c>
      <c r="E2" s="2390"/>
      <c r="F2" s="2391"/>
      <c r="G2" s="2391"/>
      <c r="H2" s="2391"/>
      <c r="I2" s="2391"/>
      <c r="J2" s="2391"/>
      <c r="K2" s="26"/>
      <c r="L2" s="26"/>
    </row>
    <row r="3" spans="1:35" s="22" customFormat="1" ht="24" customHeight="1" x14ac:dyDescent="0.35">
      <c r="B3" s="25"/>
      <c r="C3" s="30"/>
      <c r="D3" s="1047"/>
      <c r="E3" s="1048"/>
      <c r="F3" s="1049"/>
      <c r="G3" s="1049"/>
      <c r="H3" s="1049"/>
      <c r="I3" s="1049"/>
      <c r="J3" s="1049"/>
      <c r="K3" s="26"/>
      <c r="L3" s="26"/>
      <c r="V3" s="24"/>
      <c r="W3" s="24"/>
      <c r="X3" s="24"/>
      <c r="Y3" s="24"/>
      <c r="Z3" s="24"/>
      <c r="AA3" s="24"/>
      <c r="AB3" s="24"/>
      <c r="AC3" s="24"/>
      <c r="AD3" s="24"/>
      <c r="AE3" s="24"/>
      <c r="AF3" s="24"/>
      <c r="AG3" s="24"/>
      <c r="AH3" s="24"/>
      <c r="AI3" s="24"/>
    </row>
    <row r="4" spans="1:35" s="100" customFormat="1" x14ac:dyDescent="0.25">
      <c r="A4"/>
      <c r="B4" s="2022" t="s">
        <v>1726</v>
      </c>
      <c r="C4" s="2023"/>
      <c r="D4" s="2023"/>
      <c r="E4" s="2023"/>
      <c r="F4" s="2023"/>
      <c r="G4" s="2023"/>
      <c r="H4" s="2023"/>
      <c r="I4" s="2023"/>
      <c r="J4" s="2023"/>
      <c r="K4" s="2023"/>
      <c r="L4" s="2196"/>
      <c r="M4" s="166"/>
      <c r="V4" s="2022" t="str">
        <f>B4</f>
        <v>Refrigerator Recycling</v>
      </c>
      <c r="W4" s="2023"/>
      <c r="X4" s="2023"/>
      <c r="Y4" s="2023"/>
      <c r="Z4" s="2023"/>
      <c r="AA4" s="2023"/>
      <c r="AB4" s="2023"/>
      <c r="AC4" s="2024"/>
      <c r="AD4" s="2024"/>
      <c r="AE4" s="2024"/>
      <c r="AF4" s="2024"/>
      <c r="AG4" s="2024"/>
      <c r="AH4" s="2024"/>
      <c r="AI4" s="2025"/>
    </row>
    <row r="5" spans="1:35" x14ac:dyDescent="0.25">
      <c r="V5" s="249"/>
      <c r="W5" s="249"/>
      <c r="X5" s="249"/>
      <c r="Y5" s="249"/>
      <c r="Z5" s="249"/>
      <c r="AA5" s="249"/>
      <c r="AB5" s="249"/>
      <c r="AC5" s="249"/>
      <c r="AD5" s="249"/>
      <c r="AE5" s="249"/>
      <c r="AF5" s="249"/>
      <c r="AG5" s="249"/>
      <c r="AH5" s="249"/>
      <c r="AI5" s="249"/>
    </row>
    <row r="6" spans="1:35" s="100" customFormat="1" ht="45" customHeight="1" x14ac:dyDescent="0.25">
      <c r="A6"/>
      <c r="B6"/>
      <c r="C6" s="114" t="s">
        <v>16</v>
      </c>
      <c r="D6" s="114" t="s">
        <v>509</v>
      </c>
      <c r="E6" s="114" t="s">
        <v>18</v>
      </c>
      <c r="F6" s="114" t="s">
        <v>19</v>
      </c>
      <c r="G6" s="114" t="s">
        <v>20</v>
      </c>
      <c r="H6" s="114" t="s">
        <v>21</v>
      </c>
      <c r="I6" s="114" t="s">
        <v>22</v>
      </c>
      <c r="J6" s="114" t="s">
        <v>23</v>
      </c>
      <c r="K6" s="114" t="s">
        <v>24</v>
      </c>
      <c r="L6" s="114" t="s">
        <v>25</v>
      </c>
      <c r="M6" s="166"/>
      <c r="V6" s="48" t="s">
        <v>26</v>
      </c>
      <c r="W6" s="49">
        <v>43252</v>
      </c>
      <c r="X6" s="49">
        <v>43465</v>
      </c>
      <c r="Y6" s="49" t="s">
        <v>27</v>
      </c>
      <c r="Z6" s="49" t="s">
        <v>27</v>
      </c>
      <c r="AA6" s="49" t="s">
        <v>27</v>
      </c>
      <c r="AB6" s="49" t="s">
        <v>27</v>
      </c>
      <c r="AC6" s="49" t="s">
        <v>27</v>
      </c>
      <c r="AD6" s="49" t="s">
        <v>27</v>
      </c>
      <c r="AE6" s="49" t="s">
        <v>27</v>
      </c>
      <c r="AF6" s="49" t="s">
        <v>27</v>
      </c>
      <c r="AG6" s="49" t="s">
        <v>27</v>
      </c>
      <c r="AH6" s="249"/>
      <c r="AI6" s="249"/>
    </row>
    <row r="7" spans="1:35" s="100" customFormat="1" x14ac:dyDescent="0.25">
      <c r="A7"/>
      <c r="B7"/>
      <c r="C7" s="115"/>
      <c r="D7" s="323" t="s">
        <v>1838</v>
      </c>
      <c r="E7" s="1050" t="s">
        <v>1727</v>
      </c>
      <c r="F7" s="1051">
        <f>F15*F16</f>
        <v>1027.47</v>
      </c>
      <c r="G7" s="1052" t="s">
        <v>1585</v>
      </c>
      <c r="H7" s="120">
        <f>VLOOKUP(G7,'CP FACTORS'!$A$3:$B$38, 2, FALSE)</f>
        <v>1.286107E-4</v>
      </c>
      <c r="I7" s="1101">
        <f>F7*H7</f>
        <v>0.132143635929</v>
      </c>
      <c r="J7" s="1051">
        <v>8</v>
      </c>
      <c r="K7" s="1054">
        <v>140</v>
      </c>
      <c r="L7" s="442" t="s">
        <v>31</v>
      </c>
      <c r="M7" s="166"/>
      <c r="V7" s="176" t="str">
        <f>F6</f>
        <v>kWh Annual Savings</v>
      </c>
      <c r="W7" s="1963">
        <f>W15*W16</f>
        <v>1027.47</v>
      </c>
      <c r="X7" s="1963">
        <f t="shared" ref="X7" si="0">X15*X16</f>
        <v>1027.47</v>
      </c>
      <c r="Y7" s="1051"/>
      <c r="Z7" s="1051"/>
      <c r="AA7" s="1051"/>
      <c r="AB7" s="1051"/>
      <c r="AC7" s="1051"/>
      <c r="AD7" s="1051"/>
      <c r="AE7" s="1051"/>
      <c r="AF7" s="1051"/>
      <c r="AG7" s="1051"/>
      <c r="AH7"/>
      <c r="AI7"/>
    </row>
    <row r="8" spans="1:35" s="100" customFormat="1" x14ac:dyDescent="0.25">
      <c r="A8"/>
      <c r="B8"/>
      <c r="C8" s="115"/>
      <c r="D8" s="323" t="s">
        <v>1838</v>
      </c>
      <c r="E8" s="1050" t="s">
        <v>1728</v>
      </c>
      <c r="F8" s="1051">
        <v>520</v>
      </c>
      <c r="G8" s="1052" t="s">
        <v>1585</v>
      </c>
      <c r="H8" s="120">
        <f>VLOOKUP(G8,'CP FACTORS'!$A$3:$B$38, 2, FALSE)</f>
        <v>1.286107E-4</v>
      </c>
      <c r="I8" s="1101">
        <f>F8*H8</f>
        <v>6.6877564E-2</v>
      </c>
      <c r="J8" s="1051">
        <v>8</v>
      </c>
      <c r="K8" s="1054">
        <v>141</v>
      </c>
      <c r="L8" s="442" t="s">
        <v>31</v>
      </c>
      <c r="M8" s="166"/>
      <c r="V8" s="1102" t="str">
        <f>V7</f>
        <v>kWh Annual Savings</v>
      </c>
      <c r="W8" s="1963">
        <v>520</v>
      </c>
      <c r="X8" s="1963">
        <v>520</v>
      </c>
      <c r="Y8" s="1051"/>
      <c r="Z8" s="1051"/>
      <c r="AA8" s="1051"/>
      <c r="AB8" s="1051"/>
      <c r="AC8" s="1051"/>
      <c r="AD8" s="1051"/>
      <c r="AE8" s="1051"/>
      <c r="AF8" s="1051"/>
      <c r="AG8" s="1051"/>
    </row>
    <row r="9" spans="1:35" outlineLevel="1" x14ac:dyDescent="0.25"/>
    <row r="10" spans="1:35" outlineLevel="1" x14ac:dyDescent="0.25">
      <c r="D10" s="1103" t="s">
        <v>463</v>
      </c>
    </row>
    <row r="11" spans="1:35" outlineLevel="1" x14ac:dyDescent="0.25"/>
    <row r="12" spans="1:35" outlineLevel="1" x14ac:dyDescent="0.25"/>
    <row r="13" spans="1:35" outlineLevel="1" x14ac:dyDescent="0.25"/>
    <row r="14" spans="1:35" outlineLevel="1" x14ac:dyDescent="0.25">
      <c r="D14" s="183" t="s">
        <v>465</v>
      </c>
      <c r="E14" s="183" t="s">
        <v>466</v>
      </c>
      <c r="F14" s="114" t="s">
        <v>467</v>
      </c>
      <c r="G14" s="114" t="s">
        <v>515</v>
      </c>
      <c r="V14" s="48" t="s">
        <v>26</v>
      </c>
      <c r="W14" s="49">
        <f>W$6</f>
        <v>43252</v>
      </c>
      <c r="X14" s="49">
        <f t="shared" ref="X14:AG14" si="1">X$6</f>
        <v>43465</v>
      </c>
      <c r="Y14" s="49" t="str">
        <f t="shared" si="1"/>
        <v>-</v>
      </c>
      <c r="Z14" s="49" t="str">
        <f t="shared" si="1"/>
        <v>-</v>
      </c>
      <c r="AA14" s="49" t="str">
        <f t="shared" si="1"/>
        <v>-</v>
      </c>
      <c r="AB14" s="49" t="str">
        <f t="shared" si="1"/>
        <v>-</v>
      </c>
      <c r="AC14" s="49" t="str">
        <f t="shared" si="1"/>
        <v>-</v>
      </c>
      <c r="AD14" s="49" t="str">
        <f t="shared" si="1"/>
        <v>-</v>
      </c>
      <c r="AE14" s="49" t="str">
        <f t="shared" si="1"/>
        <v>-</v>
      </c>
      <c r="AF14" s="49" t="str">
        <f t="shared" si="1"/>
        <v>-</v>
      </c>
      <c r="AG14" s="49" t="str">
        <f t="shared" si="1"/>
        <v>-</v>
      </c>
    </row>
    <row r="15" spans="1:35" outlineLevel="1" x14ac:dyDescent="0.25">
      <c r="D15" s="479" t="s">
        <v>1729</v>
      </c>
      <c r="E15" s="479" t="s">
        <v>1730</v>
      </c>
      <c r="F15" s="1055">
        <v>1181</v>
      </c>
      <c r="G15" s="1104" t="s">
        <v>1731</v>
      </c>
      <c r="V15" s="1105" t="str">
        <f>D15</f>
        <v>UEC</v>
      </c>
      <c r="W15" s="1957">
        <v>1181</v>
      </c>
      <c r="X15" s="1957">
        <v>1181</v>
      </c>
      <c r="Y15" s="1106"/>
      <c r="Z15" s="1106"/>
      <c r="AA15" s="1106"/>
      <c r="AB15" s="1106"/>
      <c r="AC15" s="1106"/>
      <c r="AD15" s="1106"/>
      <c r="AE15" s="1106"/>
      <c r="AF15" s="1106"/>
      <c r="AG15" s="1106"/>
    </row>
    <row r="16" spans="1:35" outlineLevel="1" x14ac:dyDescent="0.25">
      <c r="D16" s="479" t="s">
        <v>1732</v>
      </c>
      <c r="E16" s="479"/>
      <c r="F16" s="891">
        <v>0.87</v>
      </c>
      <c r="G16" s="1104" t="s">
        <v>1731</v>
      </c>
      <c r="V16" s="1105" t="str">
        <f t="shared" ref="V16" si="2">D16</f>
        <v>Part Use Factor</v>
      </c>
      <c r="W16" s="1957">
        <v>0.87</v>
      </c>
      <c r="X16" s="1957">
        <v>0.87</v>
      </c>
      <c r="Y16" s="1106"/>
      <c r="Z16" s="1106"/>
      <c r="AA16" s="1106"/>
      <c r="AB16" s="1106"/>
      <c r="AC16" s="1106"/>
      <c r="AD16" s="1106"/>
      <c r="AE16" s="1106"/>
      <c r="AF16" s="1106"/>
      <c r="AG16" s="1106"/>
    </row>
    <row r="17" spans="1:35" outlineLevel="1" x14ac:dyDescent="0.25"/>
    <row r="18" spans="1:35" outlineLevel="1" x14ac:dyDescent="0.25"/>
    <row r="21" spans="1:35" x14ac:dyDescent="0.25">
      <c r="B21" s="2022" t="s">
        <v>93</v>
      </c>
      <c r="C21" s="2023"/>
      <c r="D21" s="2023"/>
      <c r="E21" s="2023"/>
      <c r="F21" s="2023"/>
      <c r="G21" s="2023"/>
      <c r="H21" s="2023"/>
      <c r="I21" s="2023"/>
      <c r="J21" s="2023"/>
      <c r="K21" s="2023"/>
      <c r="L21" s="2196"/>
      <c r="V21" s="2022" t="str">
        <f>B21</f>
        <v>Freezer</v>
      </c>
      <c r="W21" s="2023"/>
      <c r="X21" s="2023"/>
      <c r="Y21" s="2023"/>
      <c r="Z21" s="2023"/>
      <c r="AA21" s="2023"/>
      <c r="AB21" s="2023"/>
      <c r="AC21" s="2024"/>
      <c r="AD21" s="2024"/>
      <c r="AE21" s="2024"/>
      <c r="AF21" s="2024"/>
      <c r="AG21" s="2024"/>
      <c r="AH21" s="2024"/>
      <c r="AI21" s="2025"/>
    </row>
    <row r="22" spans="1:35" x14ac:dyDescent="0.25">
      <c r="V22" s="249"/>
      <c r="W22" s="249"/>
      <c r="X22" s="249"/>
      <c r="Y22" s="249"/>
      <c r="Z22" s="249"/>
      <c r="AA22" s="249"/>
      <c r="AB22" s="249"/>
      <c r="AC22" s="249"/>
      <c r="AD22" s="249"/>
      <c r="AE22" s="249"/>
      <c r="AF22" s="249"/>
      <c r="AG22" s="249"/>
      <c r="AH22" s="249"/>
      <c r="AI22" s="249"/>
    </row>
    <row r="23" spans="1:35" s="100" customFormat="1" ht="45" customHeight="1" x14ac:dyDescent="0.25">
      <c r="A23"/>
      <c r="B23"/>
      <c r="C23" s="114" t="s">
        <v>16</v>
      </c>
      <c r="D23" s="114" t="s">
        <v>509</v>
      </c>
      <c r="E23" s="114" t="s">
        <v>18</v>
      </c>
      <c r="F23" s="114" t="s">
        <v>19</v>
      </c>
      <c r="G23" s="114" t="s">
        <v>20</v>
      </c>
      <c r="H23" s="114" t="s">
        <v>21</v>
      </c>
      <c r="I23" s="114" t="s">
        <v>22</v>
      </c>
      <c r="J23" s="114" t="s">
        <v>23</v>
      </c>
      <c r="K23" s="114" t="s">
        <v>24</v>
      </c>
      <c r="L23" s="114" t="s">
        <v>25</v>
      </c>
      <c r="M23" s="166"/>
      <c r="V23" s="48" t="s">
        <v>26</v>
      </c>
      <c r="W23" s="49">
        <f>W$6</f>
        <v>43252</v>
      </c>
      <c r="X23" s="49">
        <f t="shared" ref="X23:AG23" si="3">X$6</f>
        <v>43465</v>
      </c>
      <c r="Y23" s="49" t="str">
        <f t="shared" si="3"/>
        <v>-</v>
      </c>
      <c r="Z23" s="49" t="str">
        <f t="shared" si="3"/>
        <v>-</v>
      </c>
      <c r="AA23" s="49" t="str">
        <f t="shared" si="3"/>
        <v>-</v>
      </c>
      <c r="AB23" s="49" t="str">
        <f t="shared" si="3"/>
        <v>-</v>
      </c>
      <c r="AC23" s="49" t="str">
        <f t="shared" si="3"/>
        <v>-</v>
      </c>
      <c r="AD23" s="49" t="str">
        <f t="shared" si="3"/>
        <v>-</v>
      </c>
      <c r="AE23" s="49" t="str">
        <f t="shared" si="3"/>
        <v>-</v>
      </c>
      <c r="AF23" s="49" t="str">
        <f t="shared" si="3"/>
        <v>-</v>
      </c>
      <c r="AG23" s="49" t="str">
        <f t="shared" si="3"/>
        <v>-</v>
      </c>
      <c r="AH23" s="249"/>
      <c r="AI23" s="249"/>
    </row>
    <row r="24" spans="1:35" s="100" customFormat="1" x14ac:dyDescent="0.25">
      <c r="A24"/>
      <c r="B24"/>
      <c r="C24" s="115"/>
      <c r="D24" s="323" t="s">
        <v>1838</v>
      </c>
      <c r="E24" s="1050" t="s">
        <v>1733</v>
      </c>
      <c r="F24" s="1051">
        <f>F31*F32</f>
        <v>891.24</v>
      </c>
      <c r="G24" s="1052" t="s">
        <v>1734</v>
      </c>
      <c r="H24" s="120">
        <f>VLOOKUP(G24,'CP FACTORS'!$A$3:$B$38, 2, FALSE)</f>
        <v>1.6857220000000001E-4</v>
      </c>
      <c r="I24" s="1101">
        <f>F24*H24</f>
        <v>0.150238287528</v>
      </c>
      <c r="J24" s="1051">
        <v>8</v>
      </c>
      <c r="K24" s="1054">
        <v>140</v>
      </c>
      <c r="L24" s="442" t="s">
        <v>31</v>
      </c>
      <c r="M24" s="166"/>
      <c r="V24" s="176" t="str">
        <f>F23</f>
        <v>kWh Annual Savings</v>
      </c>
      <c r="W24" s="1963">
        <f>W31*W32</f>
        <v>891.24</v>
      </c>
      <c r="X24" s="1963">
        <f>X31*X32</f>
        <v>891.24</v>
      </c>
      <c r="Y24" s="442"/>
      <c r="Z24" s="442"/>
      <c r="AA24" s="442"/>
      <c r="AB24" s="442"/>
      <c r="AC24" s="442"/>
      <c r="AD24" s="442"/>
      <c r="AE24" s="442"/>
      <c r="AF24" s="442"/>
      <c r="AG24" s="442"/>
      <c r="AH24"/>
      <c r="AI24"/>
    </row>
    <row r="25" spans="1:35" outlineLevel="1" x14ac:dyDescent="0.25"/>
    <row r="26" spans="1:35" outlineLevel="1" x14ac:dyDescent="0.25">
      <c r="D26" s="180" t="s">
        <v>463</v>
      </c>
    </row>
    <row r="27" spans="1:35" outlineLevel="1" x14ac:dyDescent="0.25">
      <c r="D27" s="113"/>
      <c r="F27" s="127"/>
    </row>
    <row r="28" spans="1:35" outlineLevel="1" x14ac:dyDescent="0.25">
      <c r="D28" s="113"/>
      <c r="F28" s="127"/>
    </row>
    <row r="29" spans="1:35" outlineLevel="1" x14ac:dyDescent="0.25">
      <c r="D29" s="113"/>
      <c r="F29" s="127"/>
    </row>
    <row r="30" spans="1:35" outlineLevel="1" x14ac:dyDescent="0.25">
      <c r="D30" s="183" t="s">
        <v>465</v>
      </c>
      <c r="E30" s="183" t="s">
        <v>466</v>
      </c>
      <c r="F30" s="114" t="s">
        <v>467</v>
      </c>
      <c r="G30" s="114" t="s">
        <v>515</v>
      </c>
      <c r="V30" s="48" t="s">
        <v>26</v>
      </c>
      <c r="W30" s="49">
        <f>W$6</f>
        <v>43252</v>
      </c>
      <c r="X30" s="49">
        <f t="shared" ref="X30:AG30" si="4">X$6</f>
        <v>43465</v>
      </c>
      <c r="Y30" s="49" t="str">
        <f t="shared" si="4"/>
        <v>-</v>
      </c>
      <c r="Z30" s="49" t="str">
        <f t="shared" si="4"/>
        <v>-</v>
      </c>
      <c r="AA30" s="49" t="str">
        <f t="shared" si="4"/>
        <v>-</v>
      </c>
      <c r="AB30" s="49" t="str">
        <f t="shared" si="4"/>
        <v>-</v>
      </c>
      <c r="AC30" s="49" t="str">
        <f t="shared" si="4"/>
        <v>-</v>
      </c>
      <c r="AD30" s="49" t="str">
        <f t="shared" si="4"/>
        <v>-</v>
      </c>
      <c r="AE30" s="49" t="str">
        <f t="shared" si="4"/>
        <v>-</v>
      </c>
      <c r="AF30" s="49" t="str">
        <f t="shared" si="4"/>
        <v>-</v>
      </c>
      <c r="AG30" s="49" t="str">
        <f t="shared" si="4"/>
        <v>-</v>
      </c>
    </row>
    <row r="31" spans="1:35" outlineLevel="1" x14ac:dyDescent="0.25">
      <c r="D31" s="479" t="s">
        <v>1729</v>
      </c>
      <c r="E31" s="479" t="s">
        <v>1730</v>
      </c>
      <c r="F31" s="1055">
        <v>1061</v>
      </c>
      <c r="G31" s="1104" t="s">
        <v>1731</v>
      </c>
      <c r="V31" s="1105" t="str">
        <f>D31</f>
        <v>UEC</v>
      </c>
      <c r="W31" s="1957">
        <v>1061</v>
      </c>
      <c r="X31" s="1957">
        <v>1061</v>
      </c>
      <c r="Y31" s="1106"/>
      <c r="Z31" s="1106"/>
      <c r="AA31" s="1106"/>
      <c r="AB31" s="1106"/>
      <c r="AC31" s="1106"/>
      <c r="AD31" s="1106"/>
      <c r="AE31" s="1106"/>
      <c r="AF31" s="1106"/>
      <c r="AG31" s="1106"/>
    </row>
    <row r="32" spans="1:35" outlineLevel="1" x14ac:dyDescent="0.25">
      <c r="D32" s="479" t="s">
        <v>1732</v>
      </c>
      <c r="E32" s="479"/>
      <c r="F32" s="891">
        <v>0.84</v>
      </c>
      <c r="G32" s="1104" t="s">
        <v>1731</v>
      </c>
      <c r="V32" s="1105" t="str">
        <f>D32</f>
        <v>Part Use Factor</v>
      </c>
      <c r="W32" s="1973">
        <v>0.84</v>
      </c>
      <c r="X32" s="1973">
        <v>0.84</v>
      </c>
      <c r="Y32" s="1106"/>
      <c r="Z32" s="1106"/>
      <c r="AA32" s="1106"/>
      <c r="AB32" s="1106"/>
      <c r="AC32" s="1106"/>
      <c r="AD32" s="1106"/>
      <c r="AE32" s="1106"/>
      <c r="AF32" s="1106"/>
      <c r="AG32" s="1106"/>
    </row>
    <row r="33" spans="1:35" outlineLevel="1" x14ac:dyDescent="0.25">
      <c r="D33" s="113"/>
      <c r="F33" s="127"/>
    </row>
    <row r="36" spans="1:35" x14ac:dyDescent="0.25">
      <c r="B36" s="2022" t="s">
        <v>1735</v>
      </c>
      <c r="C36" s="2023"/>
      <c r="D36" s="2023"/>
      <c r="E36" s="2023"/>
      <c r="F36" s="2023"/>
      <c r="G36" s="2023"/>
      <c r="H36" s="2023"/>
      <c r="I36" s="2023"/>
      <c r="J36" s="2023"/>
      <c r="K36" s="2023"/>
      <c r="L36" s="2196"/>
      <c r="V36" s="2022" t="str">
        <f>B36</f>
        <v>Room AC</v>
      </c>
      <c r="W36" s="2023"/>
      <c r="X36" s="2023"/>
      <c r="Y36" s="2023"/>
      <c r="Z36" s="2023"/>
      <c r="AA36" s="2023"/>
      <c r="AB36" s="2023"/>
      <c r="AC36" s="2024"/>
      <c r="AD36" s="2024"/>
      <c r="AE36" s="2024"/>
      <c r="AF36" s="2024"/>
      <c r="AG36" s="2024"/>
      <c r="AH36" s="2024"/>
      <c r="AI36" s="2025"/>
    </row>
    <row r="37" spans="1:35" x14ac:dyDescent="0.25">
      <c r="V37" s="249"/>
      <c r="W37" s="249"/>
      <c r="X37" s="249"/>
      <c r="Y37" s="249"/>
      <c r="Z37" s="249"/>
      <c r="AA37" s="249"/>
      <c r="AB37" s="249"/>
      <c r="AC37" s="249"/>
      <c r="AD37" s="249"/>
      <c r="AE37" s="249"/>
      <c r="AF37" s="249"/>
      <c r="AG37" s="249"/>
      <c r="AH37" s="249"/>
      <c r="AI37" s="249"/>
    </row>
    <row r="38" spans="1:35" s="100" customFormat="1" ht="45" customHeight="1" x14ac:dyDescent="0.25">
      <c r="A38"/>
      <c r="B38"/>
      <c r="C38" s="114" t="s">
        <v>16</v>
      </c>
      <c r="D38" s="114" t="s">
        <v>509</v>
      </c>
      <c r="E38" s="114" t="s">
        <v>18</v>
      </c>
      <c r="F38" s="114" t="s">
        <v>19</v>
      </c>
      <c r="G38" s="114" t="s">
        <v>20</v>
      </c>
      <c r="H38" s="114" t="s">
        <v>21</v>
      </c>
      <c r="I38" s="114" t="s">
        <v>22</v>
      </c>
      <c r="J38" s="114" t="s">
        <v>23</v>
      </c>
      <c r="K38" s="114" t="s">
        <v>24</v>
      </c>
      <c r="L38" s="114" t="s">
        <v>25</v>
      </c>
      <c r="M38" s="166"/>
      <c r="V38" s="48" t="s">
        <v>26</v>
      </c>
      <c r="W38" s="49">
        <f>W$6</f>
        <v>43252</v>
      </c>
      <c r="X38" s="49">
        <f t="shared" ref="X38:AG38" si="5">X$6</f>
        <v>43465</v>
      </c>
      <c r="Y38" s="49" t="str">
        <f t="shared" si="5"/>
        <v>-</v>
      </c>
      <c r="Z38" s="49" t="str">
        <f t="shared" si="5"/>
        <v>-</v>
      </c>
      <c r="AA38" s="49" t="str">
        <f t="shared" si="5"/>
        <v>-</v>
      </c>
      <c r="AB38" s="49" t="str">
        <f t="shared" si="5"/>
        <v>-</v>
      </c>
      <c r="AC38" s="49" t="str">
        <f t="shared" si="5"/>
        <v>-</v>
      </c>
      <c r="AD38" s="49" t="str">
        <f t="shared" si="5"/>
        <v>-</v>
      </c>
      <c r="AE38" s="49" t="str">
        <f t="shared" si="5"/>
        <v>-</v>
      </c>
      <c r="AF38" s="49" t="str">
        <f t="shared" si="5"/>
        <v>-</v>
      </c>
      <c r="AG38" s="49" t="str">
        <f t="shared" si="5"/>
        <v>-</v>
      </c>
      <c r="AH38" s="249"/>
      <c r="AI38" s="249"/>
    </row>
    <row r="39" spans="1:35" x14ac:dyDescent="0.25">
      <c r="C39" s="115"/>
      <c r="D39" s="323" t="s">
        <v>1838</v>
      </c>
      <c r="E39" s="1050" t="s">
        <v>1736</v>
      </c>
      <c r="F39" s="1051">
        <f>((F52*$F$54)/($F$55*1000))-($F$56*((F52*$F$54)/($F$57*1000)))</f>
        <v>302.53414882772677</v>
      </c>
      <c r="G39" s="1052" t="s">
        <v>578</v>
      </c>
      <c r="H39" s="120">
        <f>VLOOKUP(G39,'CP FACTORS'!$A$3:$B$38, 2, FALSE)</f>
        <v>9.4741810000000004E-4</v>
      </c>
      <c r="I39" s="1053">
        <f>F39*H39</f>
        <v>0.28662632846748215</v>
      </c>
      <c r="J39" s="1051">
        <v>4</v>
      </c>
      <c r="K39" s="1054">
        <f>349*(140/(742+11))</f>
        <v>64.887118193891098</v>
      </c>
      <c r="L39" s="442" t="s">
        <v>31</v>
      </c>
      <c r="V39" s="176" t="str">
        <f>F38</f>
        <v>kWh Annual Savings</v>
      </c>
      <c r="W39" s="1962">
        <f>((W52*$F$54)/($F$55*1000))-($F$56*((W52*$F$54)/($F$57*1000)))</f>
        <v>302.53414882772677</v>
      </c>
      <c r="X39" s="1962">
        <f>((X52*$F$54)/($F$55*1000))-($F$56*((X52*$F$54)/($F$57*1000)))</f>
        <v>302.53414882772677</v>
      </c>
      <c r="Y39" s="1107"/>
      <c r="Z39" s="1107"/>
      <c r="AA39" s="1107"/>
      <c r="AB39" s="1107"/>
      <c r="AC39" s="1107"/>
      <c r="AD39" s="1107"/>
      <c r="AE39" s="1107"/>
      <c r="AF39" s="1107"/>
      <c r="AG39" s="1107"/>
    </row>
    <row r="40" spans="1:35" x14ac:dyDescent="0.25">
      <c r="C40" s="115"/>
      <c r="D40" s="323" t="s">
        <v>1838</v>
      </c>
      <c r="E40" s="1050" t="s">
        <v>1737</v>
      </c>
      <c r="F40" s="1051">
        <f>((F53*$F$54)/($F$55*1000))-($F$56*((F53*$F$54)/($F$57*1000)))</f>
        <v>195.59184505606521</v>
      </c>
      <c r="G40" s="1052" t="s">
        <v>578</v>
      </c>
      <c r="H40" s="120">
        <f>VLOOKUP(G40,'CP FACTORS'!$A$3:$B$38, 2, FALSE)</f>
        <v>9.4741810000000004E-4</v>
      </c>
      <c r="I40" s="1053">
        <f>F40*H40</f>
        <v>0.18530725421851171</v>
      </c>
      <c r="J40" s="1051">
        <v>4</v>
      </c>
      <c r="K40" s="1054">
        <f>349*(140/(742+11))</f>
        <v>64.887118193891098</v>
      </c>
      <c r="L40" s="442" t="s">
        <v>31</v>
      </c>
      <c r="V40" s="176" t="str">
        <f>V39</f>
        <v>kWh Annual Savings</v>
      </c>
      <c r="W40" s="1962">
        <f>((W53*$F$54)/($F$55*1000))-($F$56*((W53*$F$54)/($F$57*1000)))</f>
        <v>195.59184505606521</v>
      </c>
      <c r="X40" s="1962">
        <f>((X53*$F$54)/($F$55*1000))-($F$56*((X53*$F$54)/($F$57*1000)))</f>
        <v>195.59184505606521</v>
      </c>
      <c r="Y40" s="1107"/>
      <c r="Z40" s="1107"/>
      <c r="AA40" s="1107"/>
      <c r="AB40" s="1107"/>
      <c r="AC40" s="1107"/>
      <c r="AD40" s="1107"/>
      <c r="AE40" s="1107"/>
      <c r="AF40" s="1107"/>
      <c r="AG40" s="1107"/>
    </row>
    <row r="41" spans="1:35" outlineLevel="1" x14ac:dyDescent="0.25">
      <c r="C41" s="129" t="s">
        <v>1738</v>
      </c>
    </row>
    <row r="42" spans="1:35" outlineLevel="1" x14ac:dyDescent="0.25">
      <c r="D42" s="130"/>
    </row>
    <row r="43" spans="1:35" outlineLevel="1" x14ac:dyDescent="0.25">
      <c r="D43" s="180" t="s">
        <v>463</v>
      </c>
    </row>
    <row r="44" spans="1:35" outlineLevel="1" x14ac:dyDescent="0.25"/>
    <row r="45" spans="1:35" outlineLevel="1" x14ac:dyDescent="0.25">
      <c r="F45" s="447"/>
    </row>
    <row r="46" spans="1:35" outlineLevel="1" x14ac:dyDescent="0.25"/>
    <row r="47" spans="1:35" outlineLevel="1" x14ac:dyDescent="0.25"/>
    <row r="48" spans="1:35" outlineLevel="1" x14ac:dyDescent="0.25"/>
    <row r="49" spans="1:35" outlineLevel="1" x14ac:dyDescent="0.25"/>
    <row r="50" spans="1:35" outlineLevel="1" x14ac:dyDescent="0.25"/>
    <row r="51" spans="1:35" outlineLevel="1" x14ac:dyDescent="0.25">
      <c r="D51" s="991" t="s">
        <v>466</v>
      </c>
      <c r="E51" s="991" t="s">
        <v>53</v>
      </c>
      <c r="F51" s="45" t="s">
        <v>467</v>
      </c>
      <c r="G51" s="45" t="s">
        <v>468</v>
      </c>
      <c r="V51" s="48" t="s">
        <v>26</v>
      </c>
      <c r="W51" s="49">
        <f>W$6</f>
        <v>43252</v>
      </c>
      <c r="X51" s="49">
        <f t="shared" ref="X51:AG51" si="6">X$6</f>
        <v>43465</v>
      </c>
      <c r="Y51" s="49" t="str">
        <f t="shared" si="6"/>
        <v>-</v>
      </c>
      <c r="Z51" s="49" t="str">
        <f t="shared" si="6"/>
        <v>-</v>
      </c>
      <c r="AA51" s="49" t="str">
        <f t="shared" si="6"/>
        <v>-</v>
      </c>
      <c r="AB51" s="49" t="str">
        <f t="shared" si="6"/>
        <v>-</v>
      </c>
      <c r="AC51" s="49" t="str">
        <f t="shared" si="6"/>
        <v>-</v>
      </c>
      <c r="AD51" s="49" t="str">
        <f t="shared" si="6"/>
        <v>-</v>
      </c>
      <c r="AE51" s="49" t="str">
        <f t="shared" si="6"/>
        <v>-</v>
      </c>
      <c r="AF51" s="49" t="str">
        <f t="shared" si="6"/>
        <v>-</v>
      </c>
      <c r="AG51" s="49" t="str">
        <f t="shared" si="6"/>
        <v>-</v>
      </c>
    </row>
    <row r="52" spans="1:35" ht="30" outlineLevel="1" x14ac:dyDescent="0.25">
      <c r="D52" s="1105" t="s">
        <v>1739</v>
      </c>
      <c r="E52" s="1108" t="s">
        <v>1740</v>
      </c>
      <c r="F52" s="1106">
        <v>860</v>
      </c>
      <c r="G52" s="1082" t="s">
        <v>623</v>
      </c>
      <c r="V52" s="1105" t="str">
        <f>D52</f>
        <v>Hours Primary</v>
      </c>
      <c r="W52" s="1109">
        <v>860</v>
      </c>
      <c r="X52" s="1109">
        <v>860</v>
      </c>
      <c r="Y52" s="1109"/>
      <c r="Z52" s="1109"/>
      <c r="AA52" s="1109"/>
      <c r="AB52" s="1109"/>
      <c r="AC52" s="1109"/>
      <c r="AD52" s="1109"/>
      <c r="AE52" s="1109"/>
      <c r="AF52" s="1109"/>
      <c r="AG52" s="1109"/>
    </row>
    <row r="53" spans="1:35" ht="30" outlineLevel="1" x14ac:dyDescent="0.25">
      <c r="D53" s="1105" t="s">
        <v>1741</v>
      </c>
      <c r="E53" s="1108" t="s">
        <v>1742</v>
      </c>
      <c r="F53" s="1106">
        <v>556</v>
      </c>
      <c r="G53" s="1082" t="s">
        <v>623</v>
      </c>
      <c r="V53" s="1105" t="str">
        <f t="shared" ref="V53:V57" si="7">D53</f>
        <v>Hours Secondary</v>
      </c>
      <c r="W53" s="1109">
        <v>556</v>
      </c>
      <c r="X53" s="1109">
        <v>556</v>
      </c>
      <c r="Y53" s="1109"/>
      <c r="Z53" s="1109"/>
      <c r="AA53" s="1109"/>
      <c r="AB53" s="1109"/>
      <c r="AC53" s="1109"/>
      <c r="AD53" s="1109"/>
      <c r="AE53" s="1109"/>
      <c r="AF53" s="1109"/>
      <c r="AG53" s="1109"/>
    </row>
    <row r="54" spans="1:35" outlineLevel="1" x14ac:dyDescent="0.25">
      <c r="D54" s="1105" t="s">
        <v>1743</v>
      </c>
      <c r="E54" s="1108" t="s">
        <v>1744</v>
      </c>
      <c r="F54" s="1106">
        <v>8500</v>
      </c>
      <c r="G54" s="1082"/>
      <c r="V54" s="1105" t="str">
        <f t="shared" si="7"/>
        <v>BtuH</v>
      </c>
      <c r="W54" s="1109">
        <v>8500</v>
      </c>
      <c r="X54" s="1109">
        <v>8500</v>
      </c>
      <c r="Y54" s="1109"/>
      <c r="Z54" s="1109"/>
      <c r="AA54" s="1109"/>
      <c r="AB54" s="1109"/>
      <c r="AC54" s="1109"/>
      <c r="AD54" s="1109"/>
      <c r="AE54" s="1109"/>
      <c r="AF54" s="1109"/>
      <c r="AG54" s="1109"/>
    </row>
    <row r="55" spans="1:35" outlineLevel="1" x14ac:dyDescent="0.25">
      <c r="D55" s="1105" t="s">
        <v>386</v>
      </c>
      <c r="E55" s="1108" t="s">
        <v>1745</v>
      </c>
      <c r="F55" s="1106">
        <v>9</v>
      </c>
      <c r="G55" s="1082"/>
      <c r="V55" s="1105" t="str">
        <f t="shared" si="7"/>
        <v>EERexist</v>
      </c>
      <c r="W55" s="1109">
        <v>9</v>
      </c>
      <c r="X55" s="1109">
        <v>9</v>
      </c>
      <c r="Y55" s="1109"/>
      <c r="Z55" s="1109"/>
      <c r="AA55" s="1109"/>
      <c r="AB55" s="1109"/>
      <c r="AC55" s="1109"/>
      <c r="AD55" s="1109"/>
      <c r="AE55" s="1109"/>
      <c r="AF55" s="1109"/>
      <c r="AG55" s="1109"/>
    </row>
    <row r="56" spans="1:35" ht="30" outlineLevel="1" x14ac:dyDescent="0.25">
      <c r="D56" s="1105" t="s">
        <v>1746</v>
      </c>
      <c r="E56" s="1108" t="s">
        <v>1747</v>
      </c>
      <c r="F56" s="1110">
        <v>0.76</v>
      </c>
      <c r="G56" s="1082"/>
      <c r="V56" s="1105" t="str">
        <f t="shared" si="7"/>
        <v>% replaced</v>
      </c>
      <c r="W56" s="1111">
        <v>0.76</v>
      </c>
      <c r="X56" s="1111">
        <v>0.76</v>
      </c>
      <c r="Y56" s="1111"/>
      <c r="Z56" s="1111"/>
      <c r="AA56" s="1111"/>
      <c r="AB56" s="1111"/>
      <c r="AC56" s="1111"/>
      <c r="AD56" s="1111"/>
      <c r="AE56" s="1111"/>
      <c r="AF56" s="1111"/>
      <c r="AG56" s="1111"/>
    </row>
    <row r="57" spans="1:35" ht="15" customHeight="1" outlineLevel="1" x14ac:dyDescent="0.25">
      <c r="D57" s="1105" t="s">
        <v>411</v>
      </c>
      <c r="E57" s="1108" t="s">
        <v>1748</v>
      </c>
      <c r="F57" s="1112">
        <v>10.9</v>
      </c>
      <c r="G57" s="1082"/>
      <c r="V57" s="1105" t="str">
        <f t="shared" si="7"/>
        <v>EERbase</v>
      </c>
      <c r="W57" s="1109">
        <v>10.9</v>
      </c>
      <c r="X57" s="1109">
        <v>10.9</v>
      </c>
      <c r="Y57" s="1113"/>
      <c r="Z57" s="1113"/>
      <c r="AA57" s="1113"/>
      <c r="AB57" s="1113"/>
      <c r="AC57" s="1113"/>
      <c r="AD57" s="1113"/>
      <c r="AE57" s="1113"/>
      <c r="AF57" s="1113"/>
      <c r="AG57" s="1113"/>
    </row>
    <row r="58" spans="1:35" ht="15" customHeight="1" x14ac:dyDescent="0.25">
      <c r="D58" s="1114"/>
      <c r="E58" s="1115"/>
      <c r="F58" s="1116"/>
      <c r="G58" s="1117"/>
    </row>
    <row r="60" spans="1:35" x14ac:dyDescent="0.25">
      <c r="B60" s="2022" t="s">
        <v>1749</v>
      </c>
      <c r="C60" s="2023"/>
      <c r="D60" s="2023"/>
      <c r="E60" s="2023"/>
      <c r="F60" s="2023"/>
      <c r="G60" s="2023"/>
      <c r="H60" s="2023"/>
      <c r="I60" s="2023"/>
      <c r="J60" s="2023"/>
      <c r="K60" s="2023"/>
      <c r="L60" s="2196"/>
      <c r="O60" s="801"/>
      <c r="P60" s="801"/>
      <c r="Q60" s="801"/>
      <c r="R60" s="801"/>
      <c r="V60" s="2022" t="str">
        <f>B60</f>
        <v>Dehumidifier Recycling</v>
      </c>
      <c r="W60" s="2023"/>
      <c r="X60" s="2023"/>
      <c r="Y60" s="2023"/>
      <c r="Z60" s="2023"/>
      <c r="AA60" s="2023"/>
      <c r="AB60" s="2023"/>
      <c r="AC60" s="2024"/>
      <c r="AD60" s="2024"/>
      <c r="AE60" s="2024"/>
      <c r="AF60" s="2024"/>
      <c r="AG60" s="2024"/>
      <c r="AH60" s="2024"/>
      <c r="AI60" s="2025"/>
    </row>
    <row r="61" spans="1:35" x14ac:dyDescent="0.25">
      <c r="V61" s="249"/>
      <c r="W61" s="249"/>
      <c r="X61" s="249"/>
      <c r="Y61" s="249"/>
      <c r="Z61" s="249"/>
      <c r="AA61" s="249"/>
      <c r="AB61" s="249"/>
      <c r="AC61" s="249"/>
      <c r="AD61" s="249"/>
      <c r="AE61" s="249"/>
      <c r="AF61" s="249"/>
      <c r="AG61" s="249"/>
      <c r="AH61" s="249"/>
      <c r="AI61" s="249"/>
    </row>
    <row r="62" spans="1:35" s="100" customFormat="1" ht="45" customHeight="1" x14ac:dyDescent="0.25">
      <c r="A62"/>
      <c r="B62"/>
      <c r="C62" s="114" t="s">
        <v>16</v>
      </c>
      <c r="D62" s="114" t="s">
        <v>509</v>
      </c>
      <c r="E62" s="114" t="s">
        <v>18</v>
      </c>
      <c r="F62" s="114" t="s">
        <v>19</v>
      </c>
      <c r="G62" s="114" t="s">
        <v>20</v>
      </c>
      <c r="H62" s="114" t="s">
        <v>21</v>
      </c>
      <c r="I62" s="114" t="s">
        <v>22</v>
      </c>
      <c r="J62" s="114" t="s">
        <v>23</v>
      </c>
      <c r="K62" s="114" t="s">
        <v>24</v>
      </c>
      <c r="L62" s="114" t="s">
        <v>25</v>
      </c>
      <c r="M62" s="166"/>
      <c r="V62" s="48" t="s">
        <v>26</v>
      </c>
      <c r="W62" s="49">
        <v>43252</v>
      </c>
      <c r="X62" s="49">
        <v>43465</v>
      </c>
      <c r="Y62" s="49" t="s">
        <v>27</v>
      </c>
      <c r="Z62" s="49" t="s">
        <v>27</v>
      </c>
      <c r="AA62" s="49" t="s">
        <v>27</v>
      </c>
      <c r="AB62" s="49" t="s">
        <v>27</v>
      </c>
      <c r="AC62" s="49" t="s">
        <v>27</v>
      </c>
      <c r="AD62" s="49" t="s">
        <v>27</v>
      </c>
      <c r="AE62" s="49" t="s">
        <v>27</v>
      </c>
      <c r="AF62" s="49" t="s">
        <v>27</v>
      </c>
      <c r="AG62" s="49" t="s">
        <v>27</v>
      </c>
      <c r="AH62" s="249"/>
      <c r="AI62" s="249"/>
    </row>
    <row r="63" spans="1:35" x14ac:dyDescent="0.25">
      <c r="C63" s="442"/>
      <c r="D63" s="323" t="s">
        <v>1838</v>
      </c>
      <c r="E63" s="1050" t="s">
        <v>1749</v>
      </c>
      <c r="F63" s="1118">
        <f>F72</f>
        <v>139</v>
      </c>
      <c r="G63" s="1051" t="s">
        <v>728</v>
      </c>
      <c r="H63" s="120">
        <f>VLOOKUP(G63,'CP FACTORS'!$A$3:$B$38, 2, FALSE)</f>
        <v>4.6608050000000002E-4</v>
      </c>
      <c r="I63" s="1053">
        <f>F63*H63</f>
        <v>6.4785189500000007E-2</v>
      </c>
      <c r="J63" s="1051">
        <f>ROUND(J39*12/9,0)</f>
        <v>5</v>
      </c>
      <c r="K63" s="1054">
        <f>230*(140/(742+11))</f>
        <v>42.762284196547142</v>
      </c>
      <c r="L63" s="442" t="s">
        <v>31</v>
      </c>
      <c r="V63" s="176" t="str">
        <f>F62</f>
        <v>kWh Annual Savings</v>
      </c>
      <c r="W63" s="1119">
        <v>139</v>
      </c>
      <c r="X63" s="1119">
        <v>139</v>
      </c>
      <c r="Y63" s="1107"/>
      <c r="Z63" s="1107"/>
      <c r="AA63" s="1107"/>
      <c r="AB63" s="1107"/>
      <c r="AC63" s="1107"/>
      <c r="AD63" s="1107"/>
      <c r="AE63" s="1107"/>
      <c r="AF63" s="1107"/>
      <c r="AG63" s="1107"/>
    </row>
    <row r="64" spans="1:35" x14ac:dyDescent="0.25">
      <c r="C64" s="1120" t="s">
        <v>1750</v>
      </c>
      <c r="E64" s="1095"/>
      <c r="G64" s="395"/>
      <c r="H64" s="395"/>
      <c r="I64" s="395"/>
      <c r="J64" s="990"/>
      <c r="K64" s="1121"/>
      <c r="L64" s="488"/>
    </row>
    <row r="65" spans="3:12" x14ac:dyDescent="0.25">
      <c r="C65" s="1120" t="s">
        <v>1751</v>
      </c>
      <c r="E65" s="1095"/>
      <c r="G65" s="395"/>
      <c r="H65" s="395"/>
      <c r="I65" s="395"/>
      <c r="J65" s="990"/>
      <c r="K65" s="1121"/>
      <c r="L65" s="488"/>
    </row>
    <row r="66" spans="3:12" outlineLevel="1" x14ac:dyDescent="0.25"/>
    <row r="67" spans="3:12" outlineLevel="1" x14ac:dyDescent="0.25">
      <c r="D67" s="180" t="s">
        <v>463</v>
      </c>
    </row>
    <row r="68" spans="3:12" outlineLevel="1" x14ac:dyDescent="0.25"/>
    <row r="69" spans="3:12" outlineLevel="1" x14ac:dyDescent="0.25"/>
    <row r="70" spans="3:12" outlineLevel="1" x14ac:dyDescent="0.25"/>
    <row r="71" spans="3:12" outlineLevel="1" x14ac:dyDescent="0.25">
      <c r="D71" s="131" t="s">
        <v>466</v>
      </c>
      <c r="E71" s="131" t="s">
        <v>53</v>
      </c>
      <c r="F71" s="131" t="s">
        <v>467</v>
      </c>
      <c r="G71" s="2026" t="s">
        <v>468</v>
      </c>
      <c r="H71" s="2026"/>
      <c r="I71" s="2026"/>
      <c r="J71" s="2026"/>
    </row>
    <row r="72" spans="3:12" ht="47.25" customHeight="1" outlineLevel="1" x14ac:dyDescent="0.25">
      <c r="D72" s="1105" t="s">
        <v>19</v>
      </c>
      <c r="E72" s="1050" t="s">
        <v>1828</v>
      </c>
      <c r="F72" s="1149">
        <v>139</v>
      </c>
      <c r="G72" s="2421" t="s">
        <v>1829</v>
      </c>
      <c r="H72" s="2421"/>
      <c r="I72" s="2421"/>
      <c r="J72" s="2421"/>
    </row>
  </sheetData>
  <mergeCells count="12">
    <mergeCell ref="A1:Q1"/>
    <mergeCell ref="D2:J2"/>
    <mergeCell ref="B4:L4"/>
    <mergeCell ref="V4:AI4"/>
    <mergeCell ref="B21:L21"/>
    <mergeCell ref="V21:AI21"/>
    <mergeCell ref="G72:J72"/>
    <mergeCell ref="B36:L36"/>
    <mergeCell ref="V36:AI36"/>
    <mergeCell ref="B60:L60"/>
    <mergeCell ref="V60:AI60"/>
    <mergeCell ref="G71:J71"/>
  </mergeCells>
  <pageMargins left="0.7" right="0.7" top="0.75" bottom="0.75" header="0.3" footer="0.3"/>
  <pageSetup scale="30"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I13"/>
  <sheetViews>
    <sheetView zoomScale="85" zoomScaleNormal="85" zoomScaleSheetLayoutView="70" workbookViewId="0">
      <selection sqref="A1:O1"/>
    </sheetView>
  </sheetViews>
  <sheetFormatPr defaultRowHeight="15" outlineLevelRow="1" x14ac:dyDescent="0.25"/>
  <cols>
    <col min="3" max="3" width="11.85546875" style="113" customWidth="1"/>
    <col min="4" max="4" width="18.85546875" style="127" bestFit="1" customWidth="1"/>
    <col min="5" max="5" width="44.7109375" style="127" bestFit="1" customWidth="1"/>
    <col min="6" max="6" width="19.85546875" customWidth="1"/>
    <col min="7" max="7" width="18.7109375" bestFit="1" customWidth="1"/>
    <col min="8" max="8" width="16.85546875" customWidth="1"/>
    <col min="9" max="11" width="12.5703125" customWidth="1"/>
    <col min="12" max="12" width="16.85546875" customWidth="1"/>
    <col min="15" max="15" width="4.140625" customWidth="1"/>
    <col min="16" max="16" width="18.85546875" bestFit="1" customWidth="1"/>
    <col min="17" max="17" width="37" customWidth="1"/>
    <col min="18" max="18" width="2.42578125" customWidth="1"/>
    <col min="22" max="22" width="31" customWidth="1"/>
    <col min="24" max="24" width="13.28515625" customWidth="1"/>
  </cols>
  <sheetData>
    <row r="1" spans="1:35" s="22" customFormat="1" ht="18.75" x14ac:dyDescent="0.3">
      <c r="A1" s="2028" t="s">
        <v>1752</v>
      </c>
      <c r="B1" s="2097"/>
      <c r="C1" s="2097"/>
      <c r="D1" s="2097"/>
      <c r="E1" s="2097"/>
      <c r="F1" s="2097"/>
      <c r="G1" s="2097"/>
      <c r="H1" s="2097"/>
      <c r="I1" s="2097"/>
      <c r="J1" s="2097"/>
      <c r="K1" s="2097"/>
      <c r="L1" s="2097"/>
      <c r="M1" s="2097"/>
      <c r="N1" s="2097"/>
      <c r="O1" s="2097"/>
      <c r="P1" s="2028"/>
      <c r="Q1" s="2097"/>
      <c r="R1" s="164"/>
      <c r="V1" s="27"/>
      <c r="W1" s="28"/>
      <c r="X1" s="28"/>
      <c r="Y1" s="29"/>
      <c r="Z1" s="29"/>
      <c r="AA1" s="29"/>
      <c r="AB1" s="29"/>
      <c r="AC1" s="29"/>
      <c r="AD1" s="29"/>
      <c r="AE1" s="29"/>
      <c r="AF1" s="29"/>
      <c r="AG1" s="29"/>
      <c r="AH1" s="29"/>
    </row>
    <row r="2" spans="1:35" s="22" customFormat="1" ht="30" customHeight="1" outlineLevel="1" x14ac:dyDescent="0.35">
      <c r="B2" s="25"/>
      <c r="C2" s="30"/>
      <c r="D2" s="2389" t="s">
        <v>13</v>
      </c>
      <c r="E2" s="2390"/>
      <c r="F2" s="2391"/>
      <c r="G2" s="2391"/>
      <c r="H2" s="2391"/>
      <c r="I2" s="2391"/>
      <c r="J2" s="2391"/>
      <c r="K2" s="26"/>
      <c r="L2" s="26"/>
    </row>
    <row r="3" spans="1:35" s="22" customFormat="1" ht="24" customHeight="1" x14ac:dyDescent="0.35">
      <c r="B3" s="25"/>
      <c r="C3" s="30"/>
      <c r="D3" s="1047"/>
      <c r="E3" s="1048"/>
      <c r="F3" s="1049"/>
      <c r="G3" s="1049"/>
      <c r="H3" s="1049"/>
      <c r="I3" s="1049"/>
      <c r="J3" s="1049"/>
      <c r="K3" s="26"/>
      <c r="L3" s="26"/>
      <c r="V3" s="24"/>
      <c r="W3" s="24"/>
      <c r="X3" s="24"/>
      <c r="Y3" s="24"/>
      <c r="Z3" s="24"/>
      <c r="AA3" s="24"/>
      <c r="AB3" s="24"/>
      <c r="AC3" s="24"/>
      <c r="AD3" s="24"/>
      <c r="AE3" s="24"/>
      <c r="AF3" s="24"/>
      <c r="AG3" s="24"/>
      <c r="AH3" s="24"/>
      <c r="AI3" s="24"/>
    </row>
    <row r="4" spans="1:35" x14ac:dyDescent="0.25">
      <c r="B4" s="2022" t="s">
        <v>1753</v>
      </c>
      <c r="C4" s="2023"/>
      <c r="D4" s="2023"/>
      <c r="E4" s="2023"/>
      <c r="F4" s="2023"/>
      <c r="G4" s="2023"/>
      <c r="H4" s="2023"/>
      <c r="I4" s="2023"/>
      <c r="J4" s="2023"/>
      <c r="K4" s="2023"/>
      <c r="L4" s="2196"/>
      <c r="V4" s="2022" t="str">
        <f>B4</f>
        <v>Demand Response</v>
      </c>
      <c r="W4" s="2023"/>
      <c r="X4" s="2023"/>
      <c r="Y4" s="2023"/>
      <c r="Z4" s="2023"/>
      <c r="AA4" s="2023"/>
      <c r="AB4" s="2023"/>
      <c r="AC4" s="2024"/>
      <c r="AD4" s="2024"/>
      <c r="AE4" s="2024"/>
      <c r="AF4" s="2024"/>
      <c r="AG4" s="2024"/>
      <c r="AH4" s="2024"/>
      <c r="AI4" s="2025"/>
    </row>
    <row r="5" spans="1:35" x14ac:dyDescent="0.25">
      <c r="V5" s="249"/>
      <c r="W5" s="249"/>
      <c r="X5" s="249"/>
      <c r="Y5" s="249"/>
      <c r="Z5" s="249"/>
      <c r="AA5" s="249"/>
      <c r="AB5" s="249"/>
      <c r="AC5" s="249"/>
      <c r="AD5" s="249"/>
      <c r="AE5" s="249"/>
      <c r="AF5" s="249"/>
      <c r="AG5" s="249"/>
      <c r="AH5" s="249"/>
      <c r="AI5" s="249"/>
    </row>
    <row r="6" spans="1:35" ht="45" customHeight="1" x14ac:dyDescent="0.25">
      <c r="C6" s="114" t="s">
        <v>16</v>
      </c>
      <c r="D6" s="114" t="s">
        <v>509</v>
      </c>
      <c r="E6" s="114" t="s">
        <v>18</v>
      </c>
      <c r="F6" s="114" t="s">
        <v>1754</v>
      </c>
      <c r="G6" s="114" t="s">
        <v>20</v>
      </c>
      <c r="H6" s="114" t="s">
        <v>21</v>
      </c>
      <c r="I6" s="114" t="s">
        <v>1755</v>
      </c>
      <c r="J6" s="114" t="s">
        <v>23</v>
      </c>
      <c r="K6" s="114" t="s">
        <v>24</v>
      </c>
      <c r="L6" s="114" t="s">
        <v>25</v>
      </c>
      <c r="V6" s="48" t="s">
        <v>26</v>
      </c>
      <c r="W6" s="49">
        <v>43252</v>
      </c>
      <c r="X6" s="49">
        <v>43465</v>
      </c>
      <c r="Y6" s="49" t="s">
        <v>27</v>
      </c>
      <c r="Z6" s="49" t="s">
        <v>27</v>
      </c>
      <c r="AA6" s="49" t="s">
        <v>27</v>
      </c>
      <c r="AB6" s="49" t="s">
        <v>27</v>
      </c>
      <c r="AC6" s="49" t="s">
        <v>27</v>
      </c>
      <c r="AD6" s="49" t="s">
        <v>27</v>
      </c>
      <c r="AE6" s="49" t="s">
        <v>27</v>
      </c>
      <c r="AF6" s="49" t="s">
        <v>27</v>
      </c>
      <c r="AG6" s="49" t="s">
        <v>27</v>
      </c>
      <c r="AH6" s="249"/>
      <c r="AI6" s="249"/>
    </row>
    <row r="7" spans="1:35" x14ac:dyDescent="0.25">
      <c r="C7" s="115"/>
      <c r="D7" s="1122" t="s">
        <v>1756</v>
      </c>
      <c r="E7" s="1050" t="s">
        <v>1757</v>
      </c>
      <c r="F7" s="1051">
        <v>177</v>
      </c>
      <c r="G7" s="1052" t="s">
        <v>728</v>
      </c>
      <c r="H7" s="120" t="s">
        <v>27</v>
      </c>
      <c r="I7" s="1020" t="s">
        <v>27</v>
      </c>
      <c r="J7" s="1051">
        <v>11</v>
      </c>
      <c r="K7" s="1054">
        <v>0</v>
      </c>
      <c r="L7" s="442" t="s">
        <v>1758</v>
      </c>
      <c r="V7" s="176" t="str">
        <f>F6</f>
        <v>Gross kWh Annual Savings</v>
      </c>
      <c r="W7" s="1051">
        <v>177</v>
      </c>
      <c r="X7" s="1051">
        <v>177</v>
      </c>
      <c r="Y7" s="1051"/>
      <c r="Z7" s="1051"/>
      <c r="AA7" s="1051"/>
      <c r="AB7" s="1051"/>
      <c r="AC7" s="1051"/>
      <c r="AD7" s="1051"/>
      <c r="AE7" s="1051"/>
      <c r="AF7" s="1051"/>
      <c r="AG7" s="1051"/>
    </row>
    <row r="8" spans="1:35" x14ac:dyDescent="0.25">
      <c r="E8" t="s">
        <v>1759</v>
      </c>
      <c r="V8" s="48" t="s">
        <v>26</v>
      </c>
      <c r="W8" s="49">
        <f t="shared" ref="W8:AG8" si="0">W$6</f>
        <v>43252</v>
      </c>
      <c r="X8" s="49">
        <f t="shared" si="0"/>
        <v>43465</v>
      </c>
      <c r="Y8" s="49" t="str">
        <f t="shared" si="0"/>
        <v>-</v>
      </c>
      <c r="Z8" s="49" t="str">
        <f t="shared" si="0"/>
        <v>-</v>
      </c>
      <c r="AA8" s="49" t="str">
        <f t="shared" si="0"/>
        <v>-</v>
      </c>
      <c r="AB8" s="49" t="str">
        <f t="shared" si="0"/>
        <v>-</v>
      </c>
      <c r="AC8" s="49" t="str">
        <f t="shared" si="0"/>
        <v>-</v>
      </c>
      <c r="AD8" s="49" t="str">
        <f t="shared" si="0"/>
        <v>-</v>
      </c>
      <c r="AE8" s="49" t="str">
        <f t="shared" si="0"/>
        <v>-</v>
      </c>
      <c r="AF8" s="49" t="str">
        <f t="shared" si="0"/>
        <v>-</v>
      </c>
      <c r="AG8" s="49" t="str">
        <f t="shared" si="0"/>
        <v>-</v>
      </c>
    </row>
    <row r="9" spans="1:35" x14ac:dyDescent="0.25">
      <c r="V9" s="176" t="str">
        <f>I6</f>
        <v>kW (Annual)*</v>
      </c>
      <c r="W9" s="1051"/>
      <c r="X9" s="1051"/>
      <c r="Y9" s="1051"/>
      <c r="Z9" s="1051"/>
      <c r="AA9" s="1051"/>
      <c r="AB9" s="1051"/>
      <c r="AC9" s="1051"/>
      <c r="AD9" s="1051"/>
      <c r="AE9" s="1051"/>
      <c r="AF9" s="1051"/>
      <c r="AG9" s="1051"/>
    </row>
    <row r="11" spans="1:35" ht="99" customHeight="1" x14ac:dyDescent="0.25">
      <c r="E11" s="2422"/>
      <c r="F11" s="2423"/>
      <c r="G11" s="2423"/>
      <c r="H11" s="2423"/>
      <c r="I11" s="2423"/>
      <c r="J11" s="2423"/>
      <c r="K11" s="2423"/>
      <c r="L11" s="2423"/>
    </row>
    <row r="13" spans="1:35" ht="87" customHeight="1" x14ac:dyDescent="0.25">
      <c r="E13" s="2422"/>
      <c r="F13" s="2423"/>
      <c r="G13" s="2423"/>
      <c r="H13" s="2423"/>
      <c r="I13" s="2423"/>
      <c r="J13" s="2423"/>
      <c r="K13" s="2423"/>
      <c r="L13" s="2423"/>
    </row>
  </sheetData>
  <mergeCells count="7">
    <mergeCell ref="V4:AI4"/>
    <mergeCell ref="E11:L11"/>
    <mergeCell ref="E13:L13"/>
    <mergeCell ref="A1:O1"/>
    <mergeCell ref="P1:Q1"/>
    <mergeCell ref="D2:J2"/>
    <mergeCell ref="B4:L4"/>
  </mergeCells>
  <pageMargins left="0.7" right="0.7" top="0.75" bottom="0.75" header="0.3" footer="0.3"/>
  <pageSetup scale="43"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38"/>
  <sheetViews>
    <sheetView workbookViewId="0">
      <selection activeCell="D28" sqref="D28"/>
    </sheetView>
  </sheetViews>
  <sheetFormatPr defaultRowHeight="15" x14ac:dyDescent="0.25"/>
  <cols>
    <col min="1" max="1" width="20.140625" bestFit="1" customWidth="1"/>
    <col min="2" max="2" width="27.140625" style="1131" customWidth="1"/>
  </cols>
  <sheetData>
    <row r="1" spans="1:32" x14ac:dyDescent="0.25">
      <c r="A1" s="1976"/>
      <c r="B1" s="1976"/>
      <c r="C1" s="1976"/>
      <c r="D1" s="1976"/>
      <c r="E1" s="1976"/>
      <c r="F1" s="1976"/>
      <c r="G1" s="1976"/>
      <c r="H1" s="1976"/>
      <c r="J1" s="113"/>
      <c r="AF1" s="1123"/>
    </row>
    <row r="2" spans="1:32" x14ac:dyDescent="0.25">
      <c r="A2" s="1124" t="s">
        <v>1760</v>
      </c>
      <c r="B2" s="1125"/>
    </row>
    <row r="3" spans="1:32" x14ac:dyDescent="0.25">
      <c r="A3" s="1126" t="s">
        <v>1761</v>
      </c>
      <c r="B3" s="1127">
        <v>1.148238E-4</v>
      </c>
    </row>
    <row r="4" spans="1:32" x14ac:dyDescent="0.25">
      <c r="A4" s="1126" t="s">
        <v>1248</v>
      </c>
      <c r="B4" s="1127">
        <v>4.6608050000000002E-4</v>
      </c>
    </row>
    <row r="5" spans="1:32" x14ac:dyDescent="0.25">
      <c r="A5" s="1126" t="s">
        <v>1762</v>
      </c>
      <c r="B5" s="1127">
        <v>1.3539039999999999E-4</v>
      </c>
    </row>
    <row r="6" spans="1:32" x14ac:dyDescent="0.25">
      <c r="A6" s="1126" t="s">
        <v>1763</v>
      </c>
      <c r="B6" s="1127">
        <v>1.1954749999999999E-4</v>
      </c>
    </row>
    <row r="7" spans="1:32" x14ac:dyDescent="0.25">
      <c r="A7" s="1126" t="s">
        <v>1764</v>
      </c>
      <c r="B7" s="1127">
        <v>1.4008870000000001E-4</v>
      </c>
    </row>
    <row r="8" spans="1:32" x14ac:dyDescent="0.25">
      <c r="A8" s="1126" t="s">
        <v>1765</v>
      </c>
      <c r="B8" s="1127">
        <v>2.053256E-4</v>
      </c>
    </row>
    <row r="9" spans="1:32" x14ac:dyDescent="0.25">
      <c r="A9" s="1126" t="s">
        <v>578</v>
      </c>
      <c r="B9" s="1127">
        <v>9.4741810000000004E-4</v>
      </c>
    </row>
    <row r="10" spans="1:32" x14ac:dyDescent="0.25">
      <c r="A10" s="1126" t="s">
        <v>922</v>
      </c>
      <c r="B10" s="1127">
        <v>9.4741810000000004E-4</v>
      </c>
    </row>
    <row r="11" spans="1:32" x14ac:dyDescent="0.25">
      <c r="A11" s="1126" t="s">
        <v>1766</v>
      </c>
      <c r="B11" s="1127">
        <v>8.4921199999999996E-5</v>
      </c>
    </row>
    <row r="12" spans="1:32" x14ac:dyDescent="0.25">
      <c r="A12" s="1126" t="s">
        <v>1734</v>
      </c>
      <c r="B12" s="1127">
        <v>1.6857220000000001E-4</v>
      </c>
    </row>
    <row r="13" spans="1:32" x14ac:dyDescent="0.25">
      <c r="A13" s="1126" t="s">
        <v>1767</v>
      </c>
      <c r="B13" s="1127">
        <v>1.6857220000000001E-4</v>
      </c>
    </row>
    <row r="14" spans="1:32" x14ac:dyDescent="0.25">
      <c r="A14" s="1126" t="s">
        <v>579</v>
      </c>
      <c r="B14" s="1127">
        <v>0</v>
      </c>
    </row>
    <row r="15" spans="1:32" x14ac:dyDescent="0.25">
      <c r="A15" s="1126" t="s">
        <v>987</v>
      </c>
      <c r="B15" s="1127">
        <v>0</v>
      </c>
    </row>
    <row r="16" spans="1:32" x14ac:dyDescent="0.25">
      <c r="A16" s="1126" t="s">
        <v>728</v>
      </c>
      <c r="B16" s="1127">
        <v>4.6608050000000002E-4</v>
      </c>
    </row>
    <row r="17" spans="1:2" x14ac:dyDescent="0.25">
      <c r="A17" s="1126" t="s">
        <v>1673</v>
      </c>
      <c r="B17" s="1127">
        <v>4.6608050000000002E-4</v>
      </c>
    </row>
    <row r="18" spans="1:2" x14ac:dyDescent="0.25">
      <c r="A18" s="1126" t="s">
        <v>439</v>
      </c>
      <c r="B18" s="1127">
        <v>1.4925290000000001E-4</v>
      </c>
    </row>
    <row r="19" spans="1:2" x14ac:dyDescent="0.25">
      <c r="A19" s="1126" t="s">
        <v>641</v>
      </c>
      <c r="B19" s="1127">
        <v>1.148238E-4</v>
      </c>
    </row>
    <row r="20" spans="1:2" x14ac:dyDescent="0.25">
      <c r="A20" s="1126" t="s">
        <v>626</v>
      </c>
      <c r="B20" s="1127">
        <v>2.3544589999999999E-4</v>
      </c>
    </row>
    <row r="21" spans="1:2" x14ac:dyDescent="0.25">
      <c r="A21" s="1126" t="s">
        <v>1585</v>
      </c>
      <c r="B21" s="1127">
        <v>1.286107E-4</v>
      </c>
    </row>
    <row r="22" spans="1:2" x14ac:dyDescent="0.25">
      <c r="A22" s="1126" t="s">
        <v>1587</v>
      </c>
      <c r="B22" s="1127">
        <v>1.286107E-4</v>
      </c>
    </row>
    <row r="23" spans="1:2" x14ac:dyDescent="0.25">
      <c r="A23" s="1126" t="s">
        <v>513</v>
      </c>
      <c r="B23" s="1127">
        <v>8.8731800000000003E-5</v>
      </c>
    </row>
    <row r="25" spans="1:2" x14ac:dyDescent="0.25">
      <c r="A25" s="1128" t="s">
        <v>1768</v>
      </c>
      <c r="B25" s="1129"/>
    </row>
    <row r="26" spans="1:2" x14ac:dyDescent="0.25">
      <c r="A26" s="176" t="s">
        <v>297</v>
      </c>
      <c r="B26" s="1130">
        <v>1.379439E-4</v>
      </c>
    </row>
    <row r="27" spans="1:2" x14ac:dyDescent="0.25">
      <c r="A27" s="176" t="s">
        <v>1769</v>
      </c>
      <c r="B27" s="1130">
        <v>4.4398300000000001E-4</v>
      </c>
    </row>
    <row r="28" spans="1:2" x14ac:dyDescent="0.25">
      <c r="A28" s="176" t="s">
        <v>167</v>
      </c>
      <c r="B28" s="1130">
        <v>1.998949E-4</v>
      </c>
    </row>
    <row r="29" spans="1:2" x14ac:dyDescent="0.25">
      <c r="A29" s="176" t="s">
        <v>197</v>
      </c>
      <c r="B29" s="1130">
        <v>9.1068400000000004E-4</v>
      </c>
    </row>
    <row r="30" spans="1:2" x14ac:dyDescent="0.25">
      <c r="A30" s="176" t="s">
        <v>40</v>
      </c>
      <c r="B30" s="1130">
        <v>5.6160000000000001E-6</v>
      </c>
    </row>
    <row r="31" spans="1:2" x14ac:dyDescent="0.25">
      <c r="A31" s="176" t="s">
        <v>198</v>
      </c>
      <c r="B31" s="1130">
        <v>0</v>
      </c>
    </row>
    <row r="32" spans="1:2" x14ac:dyDescent="0.25">
      <c r="A32" s="176" t="s">
        <v>211</v>
      </c>
      <c r="B32" s="1130">
        <v>4.4398300000000001E-4</v>
      </c>
    </row>
    <row r="33" spans="1:2" x14ac:dyDescent="0.25">
      <c r="A33" s="176" t="s">
        <v>30</v>
      </c>
      <c r="B33" s="1130">
        <v>1.899635E-4</v>
      </c>
    </row>
    <row r="34" spans="1:2" x14ac:dyDescent="0.25">
      <c r="A34" s="176" t="s">
        <v>44</v>
      </c>
      <c r="B34" s="1130">
        <v>1.379439E-4</v>
      </c>
    </row>
    <row r="35" spans="1:2" x14ac:dyDescent="0.25">
      <c r="A35" s="176" t="s">
        <v>160</v>
      </c>
      <c r="B35" s="1130">
        <v>1.379439E-4</v>
      </c>
    </row>
    <row r="36" spans="1:2" x14ac:dyDescent="0.25">
      <c r="A36" s="176" t="s">
        <v>1770</v>
      </c>
      <c r="B36" s="1130">
        <v>1.379439E-4</v>
      </c>
    </row>
    <row r="37" spans="1:2" x14ac:dyDescent="0.25">
      <c r="A37" s="176" t="s">
        <v>70</v>
      </c>
      <c r="B37" s="1130">
        <v>1.3573829999999999E-4</v>
      </c>
    </row>
    <row r="38" spans="1:2" x14ac:dyDescent="0.25">
      <c r="A38" s="176" t="s">
        <v>128</v>
      </c>
      <c r="B38" s="1130">
        <v>1.811545E-4</v>
      </c>
    </row>
  </sheetData>
  <mergeCells count="1">
    <mergeCell ref="A1:H1"/>
  </mergeCells>
  <pageMargins left="0.7" right="0.7" top="0.75" bottom="0.75" header="0.3" footer="0.3"/>
  <pageSetup scale="88"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79998168889431442"/>
  </sheetPr>
  <dimension ref="A1:CO744"/>
  <sheetViews>
    <sheetView showGridLines="0" view="pageBreakPreview" topLeftCell="A286" zoomScale="55" zoomScaleNormal="55" zoomScaleSheetLayoutView="55" workbookViewId="0">
      <selection activeCell="B1" sqref="B1:U1048576"/>
    </sheetView>
  </sheetViews>
  <sheetFormatPr defaultRowHeight="15" outlineLevelRow="1" x14ac:dyDescent="0.25"/>
  <cols>
    <col min="1" max="1" width="2.7109375" style="22" customWidth="1"/>
    <col min="2" max="2" width="12.7109375" style="1222" customWidth="1"/>
    <col min="3" max="3" width="17.140625" style="1222" customWidth="1"/>
    <col min="4" max="4" width="15.85546875" style="1227" customWidth="1"/>
    <col min="5" max="5" width="72.28515625" style="1222" customWidth="1"/>
    <col min="6" max="6" width="18.7109375" style="1222" customWidth="1"/>
    <col min="7" max="7" width="29.140625" style="1283" customWidth="1"/>
    <col min="8" max="8" width="21.28515625" style="1310" customWidth="1"/>
    <col min="9" max="9" width="18.42578125" style="1222" customWidth="1"/>
    <col min="10" max="10" width="15.5703125" style="1222" customWidth="1"/>
    <col min="11" max="11" width="18.42578125" style="1222" customWidth="1"/>
    <col min="12" max="12" width="18.85546875" style="1222" customWidth="1"/>
    <col min="13" max="13" width="12.42578125" style="1222" customWidth="1"/>
    <col min="14" max="14" width="13.7109375" style="1222" customWidth="1"/>
    <col min="15" max="15" width="17.140625" style="1222" customWidth="1"/>
    <col min="16" max="16" width="9.7109375" style="1222" customWidth="1"/>
    <col min="17" max="18" width="18.42578125" style="1222" customWidth="1"/>
    <col min="19" max="19" width="16.42578125" style="1222" customWidth="1"/>
    <col min="20" max="20" width="14.28515625" style="1222" customWidth="1"/>
    <col min="21" max="21" width="17.28515625" style="1222" customWidth="1"/>
    <col min="22" max="22" width="104" style="22" customWidth="1"/>
    <col min="23" max="23" width="13.7109375" style="22" customWidth="1"/>
    <col min="24" max="24" width="18.140625" style="22" customWidth="1"/>
    <col min="25" max="33" width="13.7109375" style="22" customWidth="1"/>
    <col min="34" max="34" width="9.140625" style="22"/>
    <col min="35" max="35" width="41.42578125" style="22" customWidth="1"/>
    <col min="36" max="36" width="13.7109375" style="22" customWidth="1"/>
    <col min="37" max="37" width="16.5703125" style="22" customWidth="1"/>
    <col min="38" max="45" width="13.7109375" style="22" customWidth="1"/>
    <col min="46" max="46" width="9.140625" style="22"/>
    <col min="47" max="47" width="30.5703125" style="22" customWidth="1"/>
    <col min="48" max="48" width="13.7109375" style="22" customWidth="1"/>
    <col min="49" max="49" width="16.5703125" style="22" customWidth="1"/>
    <col min="50" max="57" width="13.7109375" style="22" customWidth="1"/>
    <col min="58" max="58" width="9.140625" style="22"/>
    <col min="59" max="69" width="13.7109375" style="22" customWidth="1"/>
    <col min="70" max="70" width="9.140625" style="22"/>
    <col min="71" max="71" width="20" style="22" customWidth="1"/>
    <col min="72" max="72" width="11" style="22" customWidth="1"/>
    <col min="73" max="73" width="18.140625" style="22" customWidth="1"/>
    <col min="74" max="81" width="11.7109375" style="22" customWidth="1"/>
    <col min="82" max="16384" width="9.140625" style="22"/>
  </cols>
  <sheetData>
    <row r="1" spans="1:57" x14ac:dyDescent="0.25">
      <c r="A1" s="21" t="s">
        <v>10</v>
      </c>
      <c r="B1" s="1220"/>
      <c r="C1" s="1221"/>
      <c r="D1" s="1221"/>
      <c r="E1" s="1997"/>
      <c r="F1" s="1998"/>
      <c r="G1" s="1998"/>
      <c r="H1" s="1998"/>
      <c r="I1" s="1998"/>
      <c r="J1" s="1998"/>
      <c r="K1" s="1998"/>
      <c r="L1" s="1998"/>
      <c r="M1" s="1998"/>
      <c r="N1" s="1998"/>
      <c r="O1" s="1998"/>
      <c r="P1" s="1998"/>
      <c r="Q1" s="1998"/>
    </row>
    <row r="2" spans="1:57" s="24" customFormat="1" ht="8.25" customHeight="1" x14ac:dyDescent="0.25">
      <c r="A2" s="23"/>
      <c r="B2" s="1223"/>
      <c r="C2" s="1224"/>
      <c r="D2" s="1224"/>
      <c r="E2" s="1224"/>
      <c r="F2" s="1225"/>
      <c r="G2" s="1225"/>
      <c r="H2" s="1225"/>
      <c r="I2" s="1225"/>
      <c r="J2" s="1225"/>
      <c r="K2" s="1225"/>
      <c r="L2" s="1225"/>
      <c r="M2" s="1225"/>
      <c r="N2" s="1225"/>
      <c r="O2" s="1225"/>
      <c r="P2" s="1225"/>
      <c r="Q2" s="1225"/>
      <c r="R2" s="1223"/>
      <c r="S2" s="1223"/>
      <c r="T2" s="1223"/>
      <c r="U2" s="1223"/>
    </row>
    <row r="3" spans="1:57" ht="77.25" customHeight="1" x14ac:dyDescent="0.35">
      <c r="B3" s="1226"/>
      <c r="C3" s="1226"/>
      <c r="E3" s="1999" t="s">
        <v>11</v>
      </c>
      <c r="F3" s="2000"/>
      <c r="G3" s="2000"/>
      <c r="H3" s="2001" t="s">
        <v>12</v>
      </c>
      <c r="I3" s="2001"/>
      <c r="J3" s="2001"/>
      <c r="K3" s="1228"/>
      <c r="L3" s="1228"/>
      <c r="V3" s="27"/>
      <c r="W3" s="28"/>
      <c r="X3" s="28"/>
      <c r="Y3" s="29"/>
      <c r="Z3" s="29"/>
      <c r="AA3" s="29"/>
      <c r="AB3" s="29"/>
      <c r="AC3" s="29"/>
      <c r="AD3" s="29"/>
      <c r="AE3" s="29"/>
      <c r="AF3" s="29"/>
      <c r="AG3" s="29"/>
      <c r="AH3" s="29"/>
    </row>
    <row r="4" spans="1:57" ht="21" outlineLevel="1" x14ac:dyDescent="0.35">
      <c r="B4" s="1226"/>
      <c r="C4" s="1229"/>
      <c r="D4" s="2002" t="s">
        <v>1858</v>
      </c>
      <c r="E4" s="2002"/>
      <c r="F4" s="2002"/>
      <c r="G4" s="2002"/>
      <c r="H4" s="2002"/>
      <c r="I4" s="2002"/>
      <c r="J4" s="2002"/>
      <c r="K4" s="1228"/>
      <c r="L4" s="1228"/>
      <c r="V4" s="31"/>
      <c r="W4" s="32"/>
      <c r="X4" s="33"/>
      <c r="Y4" s="34"/>
      <c r="AJ4" s="24"/>
      <c r="AK4" s="24"/>
      <c r="AL4" s="24"/>
      <c r="AM4" s="24"/>
      <c r="AN4" s="24"/>
      <c r="AO4" s="24"/>
      <c r="AP4" s="24"/>
      <c r="AQ4" s="24"/>
      <c r="AR4" s="24"/>
      <c r="AS4" s="24"/>
      <c r="AT4" s="24"/>
      <c r="AU4" s="24"/>
    </row>
    <row r="5" spans="1:57" s="38" customFormat="1" ht="23.25" customHeight="1" x14ac:dyDescent="0.35">
      <c r="A5" s="35"/>
      <c r="B5" s="1226" t="s">
        <v>14</v>
      </c>
      <c r="C5" s="1226"/>
      <c r="D5" s="1230"/>
      <c r="E5" s="1231"/>
      <c r="F5" s="1231"/>
      <c r="G5" s="1231"/>
      <c r="H5" s="1232"/>
      <c r="I5" s="1233"/>
      <c r="J5" s="1233"/>
      <c r="K5" s="1233"/>
      <c r="L5" s="175"/>
      <c r="M5" s="175"/>
      <c r="N5" s="175"/>
      <c r="O5" s="175"/>
      <c r="P5" s="175"/>
      <c r="Q5" s="175"/>
      <c r="R5" s="175"/>
      <c r="S5" s="175"/>
      <c r="T5" s="175"/>
      <c r="U5" s="175"/>
      <c r="V5" s="24"/>
      <c r="W5" s="24"/>
      <c r="X5" s="24"/>
      <c r="Y5" s="24"/>
      <c r="Z5" s="24"/>
      <c r="AA5" s="24"/>
      <c r="AB5" s="24"/>
      <c r="AC5" s="24"/>
      <c r="AD5" s="24"/>
      <c r="AE5" s="24"/>
      <c r="AF5" s="24"/>
      <c r="AG5" s="24"/>
      <c r="AH5" s="24"/>
      <c r="AI5" s="24"/>
      <c r="AJ5" s="22"/>
      <c r="AK5" s="22"/>
      <c r="AL5" s="22"/>
      <c r="AM5" s="22"/>
      <c r="AN5" s="22"/>
      <c r="AO5" s="22"/>
      <c r="AP5" s="22"/>
      <c r="AQ5" s="22"/>
      <c r="AR5" s="22"/>
      <c r="AS5" s="22"/>
      <c r="AT5" s="22"/>
      <c r="AU5" s="22"/>
    </row>
    <row r="6" spans="1:57" s="39" customFormat="1" x14ac:dyDescent="0.25">
      <c r="B6" s="1989" t="s">
        <v>15</v>
      </c>
      <c r="C6" s="1990"/>
      <c r="D6" s="1990"/>
      <c r="E6" s="1990"/>
      <c r="F6" s="1990"/>
      <c r="G6" s="1990"/>
      <c r="H6" s="1990"/>
      <c r="I6" s="1991"/>
      <c r="J6" s="1991"/>
      <c r="K6" s="1991"/>
      <c r="L6" s="1991"/>
      <c r="M6" s="1992"/>
      <c r="N6" s="1992"/>
      <c r="O6" s="1993"/>
      <c r="V6" s="40" t="str">
        <f>B6</f>
        <v>Lighting</v>
      </c>
      <c r="W6" s="41"/>
      <c r="X6" s="41"/>
      <c r="Y6" s="41"/>
      <c r="Z6" s="41"/>
      <c r="AA6" s="41"/>
      <c r="AB6" s="41"/>
      <c r="AC6" s="41"/>
      <c r="AD6" s="41"/>
      <c r="AE6" s="41"/>
      <c r="AF6" s="41"/>
      <c r="AG6" s="41"/>
      <c r="AH6" s="41"/>
      <c r="AI6" s="42"/>
      <c r="AJ6" s="22"/>
      <c r="AK6" s="22"/>
      <c r="AL6" s="22"/>
      <c r="AM6" s="22"/>
      <c r="AN6" s="22"/>
      <c r="AO6" s="22"/>
      <c r="AP6" s="22"/>
      <c r="AQ6" s="22"/>
      <c r="AR6" s="22"/>
      <c r="AS6" s="22"/>
      <c r="AT6" s="22"/>
      <c r="AU6" s="22"/>
    </row>
    <row r="7" spans="1:57" x14ac:dyDescent="0.25">
      <c r="D7" s="1234"/>
      <c r="E7" s="1227"/>
      <c r="F7" s="1227"/>
      <c r="G7" s="1227"/>
      <c r="H7" s="1235"/>
      <c r="I7" s="1227"/>
      <c r="J7" s="1227"/>
      <c r="K7" s="1227"/>
      <c r="L7" s="1227"/>
      <c r="P7" s="1227"/>
      <c r="Q7" s="1227"/>
      <c r="R7" s="1227"/>
      <c r="S7" s="1227"/>
      <c r="T7" s="1227"/>
      <c r="U7" s="1227"/>
      <c r="V7"/>
      <c r="W7"/>
      <c r="X7"/>
      <c r="Y7"/>
      <c r="Z7"/>
      <c r="AA7"/>
      <c r="AB7"/>
      <c r="AC7"/>
      <c r="AD7"/>
      <c r="AE7"/>
      <c r="AF7"/>
      <c r="AG7"/>
      <c r="AH7"/>
      <c r="AI7"/>
      <c r="AJ7" s="38"/>
      <c r="AK7" s="38"/>
      <c r="AL7" s="38"/>
      <c r="AM7" s="38"/>
      <c r="AN7" s="38"/>
      <c r="AO7" s="38"/>
      <c r="AP7" s="38"/>
      <c r="AQ7" s="38"/>
      <c r="AR7" s="38"/>
      <c r="AS7" s="38"/>
      <c r="AT7" s="38"/>
      <c r="AU7" s="38"/>
    </row>
    <row r="8" spans="1:57" s="43" customFormat="1" ht="30" x14ac:dyDescent="0.25">
      <c r="B8" s="1236"/>
      <c r="C8" s="44" t="s">
        <v>16</v>
      </c>
      <c r="D8" s="131" t="s">
        <v>17</v>
      </c>
      <c r="E8" s="131" t="s">
        <v>18</v>
      </c>
      <c r="F8" s="131" t="s">
        <v>19</v>
      </c>
      <c r="G8" s="131" t="s">
        <v>20</v>
      </c>
      <c r="H8" s="46" t="s">
        <v>21</v>
      </c>
      <c r="I8" s="131" t="s">
        <v>22</v>
      </c>
      <c r="J8" s="131" t="s">
        <v>23</v>
      </c>
      <c r="K8" s="47" t="s">
        <v>24</v>
      </c>
      <c r="L8" s="44" t="s">
        <v>25</v>
      </c>
      <c r="M8" s="1222"/>
      <c r="N8" s="1222"/>
      <c r="O8" s="1222"/>
      <c r="P8" s="1139"/>
      <c r="Q8" s="1139"/>
      <c r="R8" s="1139"/>
      <c r="S8" s="1139"/>
      <c r="T8" s="1139"/>
      <c r="U8" s="1139"/>
      <c r="V8" s="48" t="s">
        <v>26</v>
      </c>
      <c r="W8" s="49">
        <v>43252</v>
      </c>
      <c r="X8" s="49">
        <v>43465</v>
      </c>
      <c r="Y8" s="49" t="s">
        <v>27</v>
      </c>
      <c r="Z8" s="49" t="s">
        <v>27</v>
      </c>
      <c r="AA8" s="49" t="s">
        <v>27</v>
      </c>
      <c r="AB8" s="49" t="s">
        <v>27</v>
      </c>
      <c r="AC8" s="49" t="s">
        <v>27</v>
      </c>
      <c r="AD8" s="49" t="s">
        <v>27</v>
      </c>
      <c r="AE8" s="49" t="s">
        <v>27</v>
      </c>
      <c r="AF8" s="49" t="s">
        <v>27</v>
      </c>
      <c r="AG8" s="49" t="s">
        <v>27</v>
      </c>
      <c r="AH8"/>
      <c r="AI8" s="48" t="s">
        <v>26</v>
      </c>
      <c r="AJ8" s="49">
        <v>43252</v>
      </c>
      <c r="AK8" s="49">
        <v>43465</v>
      </c>
      <c r="AL8" s="49" t="s">
        <v>27</v>
      </c>
      <c r="AM8" s="49" t="s">
        <v>27</v>
      </c>
      <c r="AN8" s="49" t="s">
        <v>27</v>
      </c>
      <c r="AO8" s="49" t="s">
        <v>27</v>
      </c>
      <c r="AP8" s="49" t="s">
        <v>27</v>
      </c>
      <c r="AQ8" s="49" t="s">
        <v>27</v>
      </c>
      <c r="AR8" s="49" t="s">
        <v>27</v>
      </c>
      <c r="AS8" s="49" t="s">
        <v>27</v>
      </c>
      <c r="AT8" s="24"/>
      <c r="AU8" s="48" t="s">
        <v>26</v>
      </c>
      <c r="AV8" s="49">
        <v>43252</v>
      </c>
      <c r="AW8" s="49">
        <v>43465</v>
      </c>
      <c r="AX8" s="49" t="s">
        <v>27</v>
      </c>
      <c r="AY8" s="49" t="s">
        <v>27</v>
      </c>
      <c r="AZ8" s="49" t="s">
        <v>27</v>
      </c>
      <c r="BA8" s="49" t="s">
        <v>27</v>
      </c>
      <c r="BB8" s="49" t="s">
        <v>27</v>
      </c>
      <c r="BC8" s="49" t="s">
        <v>27</v>
      </c>
      <c r="BD8" s="49" t="s">
        <v>27</v>
      </c>
      <c r="BE8" s="49" t="s">
        <v>27</v>
      </c>
    </row>
    <row r="9" spans="1:57" x14ac:dyDescent="0.25">
      <c r="C9" s="1237"/>
      <c r="D9" s="1238" t="s">
        <v>28</v>
      </c>
      <c r="E9" s="1239" t="s">
        <v>29</v>
      </c>
      <c r="F9" s="72">
        <f>((F39-G39)/1000)*H39*I39*J39</f>
        <v>88.562211839999989</v>
      </c>
      <c r="G9" s="1240" t="s">
        <v>30</v>
      </c>
      <c r="H9" s="1241">
        <f>VLOOKUP(G9,'CP FACTORS'!$A$26:$B$38,2,FALSE)</f>
        <v>1.899635E-4</v>
      </c>
      <c r="I9" s="1242">
        <f t="shared" ref="I9:I27" si="0">H9*F9</f>
        <v>1.6823587728867839E-2</v>
      </c>
      <c r="J9" s="51">
        <f t="shared" ref="J9:J22" si="1">ROUND(50000/H39,0)</f>
        <v>21</v>
      </c>
      <c r="K9" s="1243">
        <v>15.64</v>
      </c>
      <c r="L9" s="1244" t="s">
        <v>31</v>
      </c>
      <c r="M9" s="1245"/>
      <c r="P9" s="1246"/>
      <c r="Q9" s="1247"/>
      <c r="R9" s="1248"/>
      <c r="S9" s="1248"/>
      <c r="T9" s="1249"/>
      <c r="V9" s="52" t="s">
        <v>19</v>
      </c>
      <c r="W9" s="53">
        <v>87.483200000000011</v>
      </c>
      <c r="X9" s="54">
        <v>88.562211839999989</v>
      </c>
      <c r="Y9" s="55"/>
      <c r="Z9" s="55"/>
      <c r="AA9" s="55"/>
      <c r="AB9" s="55"/>
      <c r="AC9" s="55"/>
      <c r="AD9" s="55"/>
      <c r="AE9" s="55"/>
      <c r="AF9" s="55"/>
      <c r="AG9" s="55"/>
      <c r="AH9" s="56"/>
      <c r="AI9" s="52" t="s">
        <v>23</v>
      </c>
      <c r="AJ9" s="57">
        <v>17</v>
      </c>
      <c r="AK9" s="1179">
        <v>21</v>
      </c>
      <c r="AL9" s="55"/>
      <c r="AM9" s="55"/>
      <c r="AN9" s="55"/>
      <c r="AO9" s="55"/>
      <c r="AP9" s="55"/>
      <c r="AQ9" s="55"/>
      <c r="AR9" s="55"/>
      <c r="AS9" s="55"/>
      <c r="AT9" s="24"/>
      <c r="AU9" s="52" t="s">
        <v>24</v>
      </c>
      <c r="AV9" s="58">
        <v>15.64</v>
      </c>
      <c r="AW9" s="58">
        <v>15.64</v>
      </c>
      <c r="AX9" s="55"/>
      <c r="AY9" s="55"/>
      <c r="AZ9" s="55"/>
      <c r="BA9" s="55"/>
      <c r="BB9" s="55"/>
      <c r="BC9" s="55"/>
      <c r="BD9" s="55"/>
      <c r="BE9" s="55"/>
    </row>
    <row r="10" spans="1:57" x14ac:dyDescent="0.25">
      <c r="C10" s="1237"/>
      <c r="D10" s="1238" t="s">
        <v>28</v>
      </c>
      <c r="E10" s="1239" t="s">
        <v>32</v>
      </c>
      <c r="F10" s="72">
        <f t="shared" ref="F10:F27" si="2">((F40-G40)/1000)*H40*I40*J40</f>
        <v>153.09560000000002</v>
      </c>
      <c r="G10" s="1240" t="s">
        <v>30</v>
      </c>
      <c r="H10" s="1241">
        <f>VLOOKUP(G10,'CP FACTORS'!$A$26:$B$38,2,FALSE)</f>
        <v>1.899635E-4</v>
      </c>
      <c r="I10" s="1242">
        <f t="shared" si="0"/>
        <v>2.9082576010600006E-2</v>
      </c>
      <c r="J10" s="51">
        <f t="shared" si="1"/>
        <v>17</v>
      </c>
      <c r="K10" s="1243">
        <v>19.64</v>
      </c>
      <c r="L10" s="1244" t="s">
        <v>31</v>
      </c>
      <c r="M10" s="1245"/>
      <c r="P10" s="1246"/>
      <c r="Q10" s="1247"/>
      <c r="R10" s="1248"/>
      <c r="S10" s="1248"/>
      <c r="T10" s="1249"/>
      <c r="V10" s="52" t="s">
        <v>19</v>
      </c>
      <c r="W10" s="53">
        <v>153.09560000000002</v>
      </c>
      <c r="X10" s="59">
        <v>153.09560000000002</v>
      </c>
      <c r="Y10" s="55"/>
      <c r="Z10" s="55"/>
      <c r="AA10" s="55"/>
      <c r="AB10" s="55"/>
      <c r="AC10" s="55"/>
      <c r="AD10" s="55"/>
      <c r="AE10" s="55"/>
      <c r="AF10" s="55"/>
      <c r="AG10" s="55"/>
      <c r="AH10" s="56"/>
      <c r="AI10" s="52" t="s">
        <v>23</v>
      </c>
      <c r="AJ10" s="57">
        <v>17</v>
      </c>
      <c r="AK10" s="57">
        <v>17</v>
      </c>
      <c r="AL10" s="55"/>
      <c r="AM10" s="55"/>
      <c r="AN10" s="55"/>
      <c r="AO10" s="55"/>
      <c r="AP10" s="55"/>
      <c r="AQ10" s="55"/>
      <c r="AR10" s="55"/>
      <c r="AS10" s="55"/>
      <c r="AT10" s="24"/>
      <c r="AU10" s="52" t="s">
        <v>24</v>
      </c>
      <c r="AV10" s="58">
        <v>19.64</v>
      </c>
      <c r="AW10" s="58">
        <v>19.64</v>
      </c>
      <c r="AX10" s="55"/>
      <c r="AY10" s="55"/>
      <c r="AZ10" s="55"/>
      <c r="BA10" s="55"/>
      <c r="BB10" s="55"/>
      <c r="BC10" s="55"/>
      <c r="BD10" s="55"/>
      <c r="BE10" s="55"/>
    </row>
    <row r="11" spans="1:57" ht="15.75" customHeight="1" x14ac:dyDescent="0.25">
      <c r="C11" s="1237"/>
      <c r="D11" s="1238" t="s">
        <v>28</v>
      </c>
      <c r="E11" s="1239" t="s">
        <v>33</v>
      </c>
      <c r="F11" s="72">
        <f t="shared" si="2"/>
        <v>203.76008631000005</v>
      </c>
      <c r="G11" s="1240" t="s">
        <v>30</v>
      </c>
      <c r="H11" s="1241">
        <f>VLOOKUP(G11,'CP FACTORS'!$A$26:$B$38,2,FALSE)</f>
        <v>1.899635E-4</v>
      </c>
      <c r="I11" s="1242">
        <f t="shared" si="0"/>
        <v>3.8706979155749693E-2</v>
      </c>
      <c r="J11" s="51">
        <f t="shared" si="1"/>
        <v>14</v>
      </c>
      <c r="K11" s="1243">
        <v>48.27</v>
      </c>
      <c r="L11" s="1244" t="s">
        <v>31</v>
      </c>
      <c r="M11" s="1245"/>
      <c r="P11" s="1246"/>
      <c r="Q11" s="1247"/>
      <c r="R11" s="1248"/>
      <c r="S11" s="1248"/>
      <c r="T11" s="1249"/>
      <c r="V11" s="52" t="s">
        <v>19</v>
      </c>
      <c r="W11" s="53">
        <v>201.52379999999999</v>
      </c>
      <c r="X11" s="54">
        <v>203.76008631000005</v>
      </c>
      <c r="Y11" s="55"/>
      <c r="Z11" s="55"/>
      <c r="AA11" s="55"/>
      <c r="AB11" s="55"/>
      <c r="AC11" s="55"/>
      <c r="AD11" s="55"/>
      <c r="AE11" s="55"/>
      <c r="AF11" s="55"/>
      <c r="AG11" s="55"/>
      <c r="AH11" s="56"/>
      <c r="AI11" s="52" t="s">
        <v>23</v>
      </c>
      <c r="AJ11" s="57">
        <v>11</v>
      </c>
      <c r="AK11" s="1179">
        <v>14</v>
      </c>
      <c r="AL11" s="55"/>
      <c r="AM11" s="55"/>
      <c r="AN11" s="55"/>
      <c r="AO11" s="55"/>
      <c r="AP11" s="55"/>
      <c r="AQ11" s="55"/>
      <c r="AR11" s="55"/>
      <c r="AS11" s="55"/>
      <c r="AT11" s="24"/>
      <c r="AU11" s="52" t="s">
        <v>24</v>
      </c>
      <c r="AV11" s="58">
        <v>48.27</v>
      </c>
      <c r="AW11" s="58">
        <v>48.27</v>
      </c>
      <c r="AX11" s="55"/>
      <c r="AY11" s="55"/>
      <c r="AZ11" s="55"/>
      <c r="BA11" s="55"/>
      <c r="BB11" s="55"/>
      <c r="BC11" s="55"/>
      <c r="BD11" s="55"/>
      <c r="BE11" s="55"/>
    </row>
    <row r="12" spans="1:57" x14ac:dyDescent="0.25">
      <c r="C12" s="1237"/>
      <c r="D12" s="1238" t="s">
        <v>28</v>
      </c>
      <c r="E12" s="1239" t="s">
        <v>34</v>
      </c>
      <c r="F12" s="72">
        <f t="shared" si="2"/>
        <v>164.59091000000001</v>
      </c>
      <c r="G12" s="1240" t="s">
        <v>30</v>
      </c>
      <c r="H12" s="1241">
        <f>VLOOKUP(G12,'CP FACTORS'!$A$26:$B$38,2,FALSE)</f>
        <v>1.899635E-4</v>
      </c>
      <c r="I12" s="1242">
        <f t="shared" si="0"/>
        <v>3.1266265331785004E-2</v>
      </c>
      <c r="J12" s="51">
        <f t="shared" si="1"/>
        <v>12</v>
      </c>
      <c r="K12" s="1243">
        <v>36.64</v>
      </c>
      <c r="L12" s="1244" t="s">
        <v>31</v>
      </c>
      <c r="M12" s="1245"/>
      <c r="P12" s="1246"/>
      <c r="Q12" s="1247"/>
      <c r="R12" s="1248"/>
      <c r="S12" s="1248"/>
      <c r="T12" s="1249"/>
      <c r="V12" s="52" t="s">
        <v>19</v>
      </c>
      <c r="W12" s="53">
        <v>178.0908</v>
      </c>
      <c r="X12" s="54">
        <v>164.59091000000001</v>
      </c>
      <c r="Y12" s="55"/>
      <c r="Z12" s="55"/>
      <c r="AA12" s="55"/>
      <c r="AB12" s="55"/>
      <c r="AC12" s="55"/>
      <c r="AD12" s="55"/>
      <c r="AE12" s="55"/>
      <c r="AF12" s="55"/>
      <c r="AG12" s="55"/>
      <c r="AH12" s="56"/>
      <c r="AI12" s="52" t="s">
        <v>23</v>
      </c>
      <c r="AJ12" s="57">
        <v>11</v>
      </c>
      <c r="AK12" s="1179">
        <v>12</v>
      </c>
      <c r="AL12" s="55"/>
      <c r="AM12" s="55"/>
      <c r="AN12" s="55"/>
      <c r="AO12" s="55"/>
      <c r="AP12" s="55"/>
      <c r="AQ12" s="55"/>
      <c r="AR12" s="55"/>
      <c r="AS12" s="55"/>
      <c r="AT12" s="24"/>
      <c r="AU12" s="52" t="s">
        <v>24</v>
      </c>
      <c r="AV12" s="58">
        <v>36.64</v>
      </c>
      <c r="AW12" s="58">
        <v>36.64</v>
      </c>
      <c r="AX12" s="55"/>
      <c r="AY12" s="55"/>
      <c r="AZ12" s="55"/>
      <c r="BA12" s="55"/>
      <c r="BB12" s="55"/>
      <c r="BC12" s="55"/>
      <c r="BD12" s="55"/>
      <c r="BE12" s="55"/>
    </row>
    <row r="13" spans="1:57" x14ac:dyDescent="0.25">
      <c r="C13" s="1237"/>
      <c r="D13" s="1238" t="s">
        <v>28</v>
      </c>
      <c r="E13" s="1239" t="s">
        <v>35</v>
      </c>
      <c r="F13" s="72">
        <f t="shared" si="2"/>
        <v>255.72252816000005</v>
      </c>
      <c r="G13" s="1240" t="s">
        <v>30</v>
      </c>
      <c r="H13" s="1241">
        <f>VLOOKUP(G13,'CP FACTORS'!$A$26:$B$38,2,FALSE)</f>
        <v>1.899635E-4</v>
      </c>
      <c r="I13" s="1242">
        <f t="shared" si="0"/>
        <v>4.8577946478122171E-2</v>
      </c>
      <c r="J13" s="51">
        <f t="shared" si="1"/>
        <v>12</v>
      </c>
      <c r="K13" s="1243">
        <v>74.64</v>
      </c>
      <c r="L13" s="1244" t="s">
        <v>31</v>
      </c>
      <c r="M13" s="1245"/>
      <c r="P13" s="1246"/>
      <c r="Q13" s="1247"/>
      <c r="R13" s="1248"/>
      <c r="S13" s="1248"/>
      <c r="T13" s="1249"/>
      <c r="V13" s="52" t="s">
        <v>19</v>
      </c>
      <c r="W13" s="53">
        <v>257.76300000000003</v>
      </c>
      <c r="X13" s="54">
        <v>255.72252816000005</v>
      </c>
      <c r="Y13" s="53"/>
      <c r="Z13" s="53"/>
      <c r="AA13" s="53"/>
      <c r="AB13" s="53"/>
      <c r="AC13" s="53"/>
      <c r="AD13" s="53"/>
      <c r="AE13" s="53"/>
      <c r="AF13" s="53"/>
      <c r="AG13" s="53"/>
      <c r="AH13" s="56"/>
      <c r="AI13" s="52" t="s">
        <v>23</v>
      </c>
      <c r="AJ13" s="57">
        <v>11</v>
      </c>
      <c r="AK13" s="1179">
        <v>12</v>
      </c>
      <c r="AL13" s="53"/>
      <c r="AM13" s="53"/>
      <c r="AN13" s="53"/>
      <c r="AO13" s="53"/>
      <c r="AP13" s="53"/>
      <c r="AQ13" s="53"/>
      <c r="AR13" s="53"/>
      <c r="AS13" s="53"/>
      <c r="AT13" s="24"/>
      <c r="AU13" s="52" t="s">
        <v>24</v>
      </c>
      <c r="AV13" s="58">
        <v>74.64</v>
      </c>
      <c r="AW13" s="58">
        <v>74.64</v>
      </c>
      <c r="AX13" s="53"/>
      <c r="AY13" s="53"/>
      <c r="AZ13" s="53"/>
      <c r="BA13" s="53"/>
      <c r="BB13" s="53"/>
      <c r="BC13" s="53"/>
      <c r="BD13" s="53"/>
      <c r="BE13" s="53"/>
    </row>
    <row r="14" spans="1:57" ht="30" x14ac:dyDescent="0.25">
      <c r="C14" s="1237"/>
      <c r="D14" s="1238" t="s">
        <v>28</v>
      </c>
      <c r="E14" s="1239" t="s">
        <v>36</v>
      </c>
      <c r="F14" s="72">
        <f t="shared" si="2"/>
        <v>369.51600000000002</v>
      </c>
      <c r="G14" s="1240" t="s">
        <v>30</v>
      </c>
      <c r="H14" s="1241">
        <f>VLOOKUP(G14,'CP FACTORS'!$A$26:$B$38,2,FALSE)</f>
        <v>1.899635E-4</v>
      </c>
      <c r="I14" s="1242">
        <f t="shared" si="0"/>
        <v>7.0194552666000012E-2</v>
      </c>
      <c r="J14" s="51">
        <f t="shared" si="1"/>
        <v>11</v>
      </c>
      <c r="K14" s="1243">
        <v>191.39</v>
      </c>
      <c r="L14" s="1244" t="s">
        <v>31</v>
      </c>
      <c r="M14" s="1245"/>
      <c r="V14" s="52" t="s">
        <v>19</v>
      </c>
      <c r="W14" s="53">
        <v>576.45180000000005</v>
      </c>
      <c r="X14" s="54">
        <v>369.51600000000002</v>
      </c>
      <c r="Y14" s="53"/>
      <c r="Z14" s="53"/>
      <c r="AA14" s="53"/>
      <c r="AB14" s="53"/>
      <c r="AC14" s="53"/>
      <c r="AD14" s="53"/>
      <c r="AE14" s="53"/>
      <c r="AF14" s="53"/>
      <c r="AG14" s="53"/>
      <c r="AI14" s="52" t="s">
        <v>23</v>
      </c>
      <c r="AJ14" s="57">
        <v>11</v>
      </c>
      <c r="AK14" s="57">
        <v>11</v>
      </c>
      <c r="AL14" s="53"/>
      <c r="AM14" s="53"/>
      <c r="AN14" s="53"/>
      <c r="AO14" s="53"/>
      <c r="AP14" s="53"/>
      <c r="AQ14" s="53"/>
      <c r="AR14" s="53"/>
      <c r="AS14" s="53"/>
      <c r="AT14" s="24"/>
      <c r="AU14" s="52" t="s">
        <v>24</v>
      </c>
      <c r="AV14" s="58">
        <v>191.39</v>
      </c>
      <c r="AW14" s="58">
        <v>191.39</v>
      </c>
      <c r="AX14" s="53"/>
      <c r="AY14" s="53"/>
      <c r="AZ14" s="53"/>
      <c r="BA14" s="53"/>
      <c r="BB14" s="53"/>
      <c r="BC14" s="53"/>
      <c r="BD14" s="53"/>
      <c r="BE14" s="53"/>
    </row>
    <row r="15" spans="1:57" ht="30" x14ac:dyDescent="0.25">
      <c r="C15" s="1237"/>
      <c r="D15" s="1238" t="s">
        <v>28</v>
      </c>
      <c r="E15" s="1239" t="s">
        <v>37</v>
      </c>
      <c r="F15" s="72">
        <f t="shared" si="2"/>
        <v>884.37428794386449</v>
      </c>
      <c r="G15" s="1240" t="s">
        <v>30</v>
      </c>
      <c r="H15" s="1241">
        <f>VLOOKUP(G15,'CP FACTORS'!$A$26:$B$38,2,FALSE)</f>
        <v>1.899635E-4</v>
      </c>
      <c r="I15" s="1242">
        <f t="shared" si="0"/>
        <v>0.16799883504782431</v>
      </c>
      <c r="J15" s="51">
        <f t="shared" si="1"/>
        <v>10</v>
      </c>
      <c r="K15" s="1243">
        <v>233.64</v>
      </c>
      <c r="L15" s="1244" t="s">
        <v>31</v>
      </c>
      <c r="M15" s="1245"/>
      <c r="V15" s="52" t="s">
        <v>19</v>
      </c>
      <c r="W15" s="53">
        <v>702.99</v>
      </c>
      <c r="X15" s="54">
        <v>884.37428794386449</v>
      </c>
      <c r="Y15" s="53"/>
      <c r="Z15" s="53"/>
      <c r="AA15" s="53"/>
      <c r="AB15" s="53"/>
      <c r="AC15" s="53"/>
      <c r="AD15" s="53"/>
      <c r="AE15" s="53"/>
      <c r="AF15" s="53"/>
      <c r="AG15" s="53"/>
      <c r="AI15" s="52" t="s">
        <v>23</v>
      </c>
      <c r="AJ15" s="57">
        <v>11</v>
      </c>
      <c r="AK15" s="57">
        <v>10</v>
      </c>
      <c r="AL15" s="53"/>
      <c r="AM15" s="53"/>
      <c r="AN15" s="53"/>
      <c r="AO15" s="53"/>
      <c r="AP15" s="53"/>
      <c r="AQ15" s="53"/>
      <c r="AR15" s="53"/>
      <c r="AS15" s="53"/>
      <c r="AT15" s="24"/>
      <c r="AU15" s="52" t="s">
        <v>24</v>
      </c>
      <c r="AV15" s="58">
        <v>233.64</v>
      </c>
      <c r="AW15" s="58">
        <v>233.64</v>
      </c>
      <c r="AX15" s="53"/>
      <c r="AY15" s="53"/>
      <c r="AZ15" s="53"/>
      <c r="BA15" s="53"/>
      <c r="BB15" s="53"/>
      <c r="BC15" s="53"/>
      <c r="BD15" s="53"/>
      <c r="BE15" s="53"/>
    </row>
    <row r="16" spans="1:57" ht="30" x14ac:dyDescent="0.25">
      <c r="C16" s="1237"/>
      <c r="D16" s="1238" t="s">
        <v>28</v>
      </c>
      <c r="E16" s="1239" t="s">
        <v>38</v>
      </c>
      <c r="F16" s="72">
        <f t="shared" si="2"/>
        <v>1471.9795478952801</v>
      </c>
      <c r="G16" s="1240" t="s">
        <v>30</v>
      </c>
      <c r="H16" s="1241">
        <f>VLOOKUP(G16,'CP FACTORS'!$A$26:$B$38,2,FALSE)</f>
        <v>1.899635E-4</v>
      </c>
      <c r="I16" s="1242">
        <f t="shared" si="0"/>
        <v>0.27962238684660506</v>
      </c>
      <c r="J16" s="51">
        <f t="shared" si="1"/>
        <v>11</v>
      </c>
      <c r="K16" s="1243">
        <v>361.64</v>
      </c>
      <c r="L16" s="1244" t="s">
        <v>31</v>
      </c>
      <c r="M16" s="1245"/>
      <c r="V16" s="52" t="s">
        <v>19</v>
      </c>
      <c r="W16" s="53">
        <v>1209.1428000000001</v>
      </c>
      <c r="X16" s="54">
        <v>1471.9795478952801</v>
      </c>
      <c r="Y16" s="53"/>
      <c r="Z16" s="53"/>
      <c r="AA16" s="53"/>
      <c r="AB16" s="53"/>
      <c r="AC16" s="53"/>
      <c r="AD16" s="53"/>
      <c r="AE16" s="53"/>
      <c r="AF16" s="53"/>
      <c r="AG16" s="53"/>
      <c r="AI16" s="52" t="s">
        <v>23</v>
      </c>
      <c r="AJ16" s="57">
        <v>11</v>
      </c>
      <c r="AK16" s="57">
        <v>11</v>
      </c>
      <c r="AL16" s="53"/>
      <c r="AM16" s="53"/>
      <c r="AN16" s="53"/>
      <c r="AO16" s="53"/>
      <c r="AP16" s="53"/>
      <c r="AQ16" s="53"/>
      <c r="AR16" s="53"/>
      <c r="AS16" s="53"/>
      <c r="AT16" s="24"/>
      <c r="AU16" s="52" t="s">
        <v>24</v>
      </c>
      <c r="AV16" s="58">
        <v>361.64</v>
      </c>
      <c r="AW16" s="58">
        <v>361.64</v>
      </c>
      <c r="AX16" s="53"/>
      <c r="AY16" s="53"/>
      <c r="AZ16" s="53"/>
      <c r="BA16" s="53"/>
      <c r="BB16" s="53"/>
      <c r="BC16" s="53"/>
      <c r="BD16" s="53"/>
      <c r="BE16" s="53"/>
    </row>
    <row r="17" spans="3:57" ht="30" x14ac:dyDescent="0.25">
      <c r="C17" s="1237"/>
      <c r="D17" s="1238" t="s">
        <v>28</v>
      </c>
      <c r="E17" s="1239" t="s">
        <v>39</v>
      </c>
      <c r="F17" s="72">
        <f t="shared" si="2"/>
        <v>455.12400000000002</v>
      </c>
      <c r="G17" s="1240" t="s">
        <v>40</v>
      </c>
      <c r="H17" s="1241">
        <f>VLOOKUP(G17,'CP FACTORS'!$A$26:$B$38,2,FALSE)</f>
        <v>5.6160000000000001E-6</v>
      </c>
      <c r="I17" s="1242">
        <f t="shared" si="0"/>
        <v>2.5559763840000004E-3</v>
      </c>
      <c r="J17" s="51">
        <f t="shared" si="1"/>
        <v>11</v>
      </c>
      <c r="K17" s="1243">
        <v>191.39</v>
      </c>
      <c r="L17" s="1244" t="s">
        <v>31</v>
      </c>
      <c r="M17" s="1245"/>
      <c r="V17" s="52" t="s">
        <v>19</v>
      </c>
      <c r="W17" s="53">
        <v>439.45</v>
      </c>
      <c r="X17" s="54">
        <v>455.12400000000002</v>
      </c>
      <c r="Y17" s="53"/>
      <c r="Z17" s="53"/>
      <c r="AA17" s="53"/>
      <c r="AB17" s="53"/>
      <c r="AC17" s="53"/>
      <c r="AD17" s="53"/>
      <c r="AE17" s="53"/>
      <c r="AF17" s="53"/>
      <c r="AG17" s="53"/>
      <c r="AI17" s="52" t="s">
        <v>23</v>
      </c>
      <c r="AJ17" s="57">
        <v>14</v>
      </c>
      <c r="AK17" s="57">
        <v>11</v>
      </c>
      <c r="AL17" s="53"/>
      <c r="AM17" s="53"/>
      <c r="AN17" s="53"/>
      <c r="AO17" s="53"/>
      <c r="AP17" s="53"/>
      <c r="AQ17" s="53"/>
      <c r="AR17" s="53"/>
      <c r="AS17" s="53"/>
      <c r="AT17" s="24"/>
      <c r="AU17" s="52" t="s">
        <v>24</v>
      </c>
      <c r="AV17" s="58">
        <v>191.39</v>
      </c>
      <c r="AW17" s="58">
        <v>191.39</v>
      </c>
      <c r="AX17" s="53"/>
      <c r="AY17" s="53"/>
      <c r="AZ17" s="53"/>
      <c r="BA17" s="53"/>
      <c r="BB17" s="53"/>
      <c r="BC17" s="53"/>
      <c r="BD17" s="53"/>
      <c r="BE17" s="53"/>
    </row>
    <row r="18" spans="3:57" ht="30" x14ac:dyDescent="0.25">
      <c r="C18" s="1237"/>
      <c r="D18" s="1238" t="s">
        <v>28</v>
      </c>
      <c r="E18" s="1239" t="s">
        <v>41</v>
      </c>
      <c r="F18" s="72">
        <f t="shared" si="2"/>
        <v>763.45076985983769</v>
      </c>
      <c r="G18" s="1240" t="s">
        <v>40</v>
      </c>
      <c r="H18" s="1241">
        <f>VLOOKUP(G18,'CP FACTORS'!$A$26:$B$38,2,FALSE)</f>
        <v>5.6160000000000001E-6</v>
      </c>
      <c r="I18" s="1242">
        <f t="shared" si="0"/>
        <v>4.287539523532849E-3</v>
      </c>
      <c r="J18" s="51">
        <f t="shared" si="1"/>
        <v>12</v>
      </c>
      <c r="K18" s="1243">
        <v>233.64</v>
      </c>
      <c r="L18" s="1244" t="s">
        <v>31</v>
      </c>
      <c r="M18" s="1245"/>
      <c r="V18" s="52" t="s">
        <v>19</v>
      </c>
      <c r="W18" s="53">
        <v>1047.5333333333335</v>
      </c>
      <c r="X18" s="54">
        <v>763.45076985983769</v>
      </c>
      <c r="Y18" s="53"/>
      <c r="Z18" s="53"/>
      <c r="AA18" s="53"/>
      <c r="AB18" s="53"/>
      <c r="AC18" s="53"/>
      <c r="AD18" s="53"/>
      <c r="AE18" s="53"/>
      <c r="AF18" s="53"/>
      <c r="AG18" s="53"/>
      <c r="AI18" s="52" t="s">
        <v>23</v>
      </c>
      <c r="AJ18" s="57">
        <v>9</v>
      </c>
      <c r="AK18" s="1179">
        <v>12</v>
      </c>
      <c r="AL18" s="53"/>
      <c r="AM18" s="53"/>
      <c r="AN18" s="53"/>
      <c r="AO18" s="53"/>
      <c r="AP18" s="53"/>
      <c r="AQ18" s="53"/>
      <c r="AR18" s="53"/>
      <c r="AS18" s="53"/>
      <c r="AT18" s="24"/>
      <c r="AU18" s="52" t="s">
        <v>24</v>
      </c>
      <c r="AV18" s="58">
        <v>233.64</v>
      </c>
      <c r="AW18" s="58">
        <v>233.64</v>
      </c>
      <c r="AX18" s="53"/>
      <c r="AY18" s="53"/>
      <c r="AZ18" s="53"/>
      <c r="BA18" s="53"/>
      <c r="BB18" s="53"/>
      <c r="BC18" s="53"/>
      <c r="BD18" s="53"/>
      <c r="BE18" s="53"/>
    </row>
    <row r="19" spans="3:57" ht="30" x14ac:dyDescent="0.25">
      <c r="C19" s="1237"/>
      <c r="D19" s="1238" t="s">
        <v>28</v>
      </c>
      <c r="E19" s="1239" t="s">
        <v>42</v>
      </c>
      <c r="F19" s="72">
        <f t="shared" si="2"/>
        <v>1074.2028039281829</v>
      </c>
      <c r="G19" s="1240" t="s">
        <v>40</v>
      </c>
      <c r="H19" s="1241">
        <f>VLOOKUP(G19,'CP FACTORS'!$A$26:$B$38,2,FALSE)</f>
        <v>5.6160000000000001E-6</v>
      </c>
      <c r="I19" s="1242">
        <f t="shared" si="0"/>
        <v>6.0327229468606757E-3</v>
      </c>
      <c r="J19" s="51">
        <f t="shared" si="1"/>
        <v>12</v>
      </c>
      <c r="K19" s="1243">
        <v>361.64</v>
      </c>
      <c r="L19" s="1244" t="s">
        <v>31</v>
      </c>
      <c r="M19" s="1245"/>
      <c r="V19" s="52" t="s">
        <v>19</v>
      </c>
      <c r="W19" s="53">
        <v>956.14999999999975</v>
      </c>
      <c r="X19" s="54">
        <v>1074.2028039281829</v>
      </c>
      <c r="Y19" s="53"/>
      <c r="Z19" s="53"/>
      <c r="AA19" s="53"/>
      <c r="AB19" s="53"/>
      <c r="AC19" s="53"/>
      <c r="AD19" s="53"/>
      <c r="AE19" s="53"/>
      <c r="AF19" s="53"/>
      <c r="AG19" s="53"/>
      <c r="AI19" s="52" t="s">
        <v>23</v>
      </c>
      <c r="AJ19" s="57">
        <v>15</v>
      </c>
      <c r="AK19" s="1179">
        <v>12</v>
      </c>
      <c r="AL19" s="53"/>
      <c r="AM19" s="53"/>
      <c r="AN19" s="53"/>
      <c r="AO19" s="53"/>
      <c r="AP19" s="53"/>
      <c r="AQ19" s="53"/>
      <c r="AR19" s="53"/>
      <c r="AS19" s="53"/>
      <c r="AT19" s="24"/>
      <c r="AU19" s="52" t="s">
        <v>24</v>
      </c>
      <c r="AV19" s="58">
        <v>361.64</v>
      </c>
      <c r="AW19" s="58">
        <v>361.64</v>
      </c>
      <c r="AX19" s="53"/>
      <c r="AY19" s="53"/>
      <c r="AZ19" s="53"/>
      <c r="BA19" s="53"/>
      <c r="BB19" s="53"/>
      <c r="BC19" s="53"/>
      <c r="BD19" s="53"/>
      <c r="BE19" s="53"/>
    </row>
    <row r="20" spans="3:57" ht="30" x14ac:dyDescent="0.25">
      <c r="C20" s="1237"/>
      <c r="D20" s="1238" t="s">
        <v>28</v>
      </c>
      <c r="E20" s="1239" t="s">
        <v>43</v>
      </c>
      <c r="F20" s="72">
        <f t="shared" si="2"/>
        <v>700.72</v>
      </c>
      <c r="G20" s="1240" t="s">
        <v>44</v>
      </c>
      <c r="H20" s="1241">
        <f>VLOOKUP(G20,'CP FACTORS'!$A$26:$B$38,2,FALSE)</f>
        <v>1.379439E-4</v>
      </c>
      <c r="I20" s="1242">
        <f t="shared" si="0"/>
        <v>9.6660049608000009E-2</v>
      </c>
      <c r="J20" s="51">
        <f t="shared" si="1"/>
        <v>6</v>
      </c>
      <c r="K20" s="1243">
        <v>191.39</v>
      </c>
      <c r="L20" s="1244" t="s">
        <v>31</v>
      </c>
      <c r="M20" s="1245"/>
      <c r="V20" s="52" t="s">
        <v>19</v>
      </c>
      <c r="W20" s="53">
        <v>1077.48</v>
      </c>
      <c r="X20" s="54">
        <v>700.72</v>
      </c>
      <c r="Y20" s="53"/>
      <c r="Z20" s="53"/>
      <c r="AA20" s="53"/>
      <c r="AB20" s="53"/>
      <c r="AC20" s="53"/>
      <c r="AD20" s="53"/>
      <c r="AE20" s="53"/>
      <c r="AF20" s="53"/>
      <c r="AG20" s="53"/>
      <c r="AI20" s="52" t="s">
        <v>23</v>
      </c>
      <c r="AJ20" s="57">
        <v>6</v>
      </c>
      <c r="AK20" s="57">
        <v>6</v>
      </c>
      <c r="AL20" s="53"/>
      <c r="AM20" s="53"/>
      <c r="AN20" s="53"/>
      <c r="AO20" s="53"/>
      <c r="AP20" s="53"/>
      <c r="AQ20" s="53"/>
      <c r="AR20" s="53"/>
      <c r="AS20" s="53"/>
      <c r="AT20" s="24"/>
      <c r="AU20" s="52" t="s">
        <v>24</v>
      </c>
      <c r="AV20" s="58">
        <v>191.39</v>
      </c>
      <c r="AW20" s="58">
        <v>191.39</v>
      </c>
      <c r="AX20" s="53"/>
      <c r="AY20" s="53"/>
      <c r="AZ20" s="53"/>
      <c r="BA20" s="53"/>
      <c r="BB20" s="53"/>
      <c r="BC20" s="53"/>
      <c r="BD20" s="53"/>
      <c r="BE20" s="53"/>
    </row>
    <row r="21" spans="3:57" ht="30" x14ac:dyDescent="0.25">
      <c r="C21" s="1237"/>
      <c r="D21" s="1238" t="s">
        <v>28</v>
      </c>
      <c r="E21" s="1239" t="s">
        <v>45</v>
      </c>
      <c r="F21" s="72">
        <f t="shared" si="2"/>
        <v>1556.3830153584765</v>
      </c>
      <c r="G21" s="1240" t="s">
        <v>44</v>
      </c>
      <c r="H21" s="1241">
        <f>VLOOKUP(G21,'CP FACTORS'!$A$26:$B$38,2,FALSE)</f>
        <v>1.379439E-4</v>
      </c>
      <c r="I21" s="1242">
        <f t="shared" si="0"/>
        <v>0.21469354303230814</v>
      </c>
      <c r="J21" s="51">
        <f t="shared" si="1"/>
        <v>6</v>
      </c>
      <c r="K21" s="1243">
        <v>233.64</v>
      </c>
      <c r="L21" s="1244" t="s">
        <v>31</v>
      </c>
      <c r="M21" s="1245"/>
      <c r="V21" s="52" t="s">
        <v>19</v>
      </c>
      <c r="W21" s="53">
        <v>1314</v>
      </c>
      <c r="X21" s="54">
        <v>1556.3830153584765</v>
      </c>
      <c r="Y21" s="53"/>
      <c r="Z21" s="53"/>
      <c r="AA21" s="53"/>
      <c r="AB21" s="53"/>
      <c r="AC21" s="53"/>
      <c r="AD21" s="53"/>
      <c r="AE21" s="53"/>
      <c r="AF21" s="53"/>
      <c r="AG21" s="53"/>
      <c r="AI21" s="52" t="s">
        <v>23</v>
      </c>
      <c r="AJ21" s="57">
        <v>6</v>
      </c>
      <c r="AK21" s="57">
        <v>6</v>
      </c>
      <c r="AL21" s="53"/>
      <c r="AM21" s="53"/>
      <c r="AN21" s="53"/>
      <c r="AO21" s="53"/>
      <c r="AP21" s="53"/>
      <c r="AQ21" s="53"/>
      <c r="AR21" s="53"/>
      <c r="AS21" s="53"/>
      <c r="AT21" s="24"/>
      <c r="AU21" s="52" t="s">
        <v>24</v>
      </c>
      <c r="AV21" s="58">
        <v>233.64</v>
      </c>
      <c r="AW21" s="58">
        <v>233.64</v>
      </c>
      <c r="AX21" s="53"/>
      <c r="AY21" s="53"/>
      <c r="AZ21" s="53"/>
      <c r="BA21" s="53"/>
      <c r="BB21" s="53"/>
      <c r="BC21" s="53"/>
      <c r="BD21" s="53"/>
      <c r="BE21" s="53"/>
    </row>
    <row r="22" spans="3:57" ht="30" x14ac:dyDescent="0.25">
      <c r="C22" s="1237"/>
      <c r="D22" s="1238" t="s">
        <v>28</v>
      </c>
      <c r="E22" s="1239" t="s">
        <v>46</v>
      </c>
      <c r="F22" s="72">
        <f t="shared" si="2"/>
        <v>2870.1497349058618</v>
      </c>
      <c r="G22" s="1240" t="s">
        <v>44</v>
      </c>
      <c r="H22" s="1241">
        <f>VLOOKUP(G22,'CP FACTORS'!$A$26:$B$38,2,FALSE)</f>
        <v>1.379439E-4</v>
      </c>
      <c r="I22" s="1242">
        <f t="shared" si="0"/>
        <v>0.39591964801688073</v>
      </c>
      <c r="J22" s="51">
        <f t="shared" si="1"/>
        <v>6</v>
      </c>
      <c r="K22" s="1243">
        <v>361.64</v>
      </c>
      <c r="L22" s="1244" t="s">
        <v>31</v>
      </c>
      <c r="M22" s="1245"/>
      <c r="V22" s="52" t="s">
        <v>19</v>
      </c>
      <c r="W22" s="53">
        <v>2452.8000000000002</v>
      </c>
      <c r="X22" s="54">
        <v>2870.1497349058618</v>
      </c>
      <c r="Y22" s="53"/>
      <c r="Z22" s="53"/>
      <c r="AA22" s="53"/>
      <c r="AB22" s="53"/>
      <c r="AC22" s="53"/>
      <c r="AD22" s="53"/>
      <c r="AE22" s="53"/>
      <c r="AF22" s="53"/>
      <c r="AG22" s="53"/>
      <c r="AI22" s="52" t="s">
        <v>23</v>
      </c>
      <c r="AJ22" s="57">
        <v>6</v>
      </c>
      <c r="AK22" s="57">
        <v>6</v>
      </c>
      <c r="AL22" s="53"/>
      <c r="AM22" s="53"/>
      <c r="AN22" s="53"/>
      <c r="AO22" s="53"/>
      <c r="AP22" s="53"/>
      <c r="AQ22" s="53"/>
      <c r="AR22" s="53"/>
      <c r="AS22" s="53"/>
      <c r="AT22" s="24"/>
      <c r="AU22" s="52" t="s">
        <v>24</v>
      </c>
      <c r="AV22" s="58">
        <v>361.64</v>
      </c>
      <c r="AW22" s="58">
        <v>361.64</v>
      </c>
      <c r="AX22" s="53"/>
      <c r="AY22" s="53"/>
      <c r="AZ22" s="53"/>
      <c r="BA22" s="53"/>
      <c r="BB22" s="53"/>
      <c r="BC22" s="53"/>
      <c r="BD22" s="53"/>
      <c r="BE22" s="53"/>
    </row>
    <row r="23" spans="3:57" x14ac:dyDescent="0.25">
      <c r="C23" s="1237"/>
      <c r="D23" s="1238" t="s">
        <v>28</v>
      </c>
      <c r="E23" s="141" t="s">
        <v>47</v>
      </c>
      <c r="F23" s="72">
        <f t="shared" si="2"/>
        <v>253.07640000000004</v>
      </c>
      <c r="G23" s="1240" t="s">
        <v>30</v>
      </c>
      <c r="H23" s="1241">
        <f>VLOOKUP(G23,'CP FACTORS'!$A$26:$B$38,2,FALSE)</f>
        <v>1.899635E-4</v>
      </c>
      <c r="I23" s="1242">
        <f t="shared" si="0"/>
        <v>4.8075278711400007E-2</v>
      </c>
      <c r="J23" s="51">
        <v>16</v>
      </c>
      <c r="K23" s="1243">
        <v>45.25</v>
      </c>
      <c r="L23" s="1244" t="s">
        <v>31</v>
      </c>
      <c r="M23" s="1245"/>
      <c r="V23" s="52" t="s">
        <v>19</v>
      </c>
      <c r="W23" s="53">
        <v>253.07640000000004</v>
      </c>
      <c r="X23" s="59">
        <v>253.07640000000004</v>
      </c>
      <c r="Y23" s="53"/>
      <c r="Z23" s="53"/>
      <c r="AA23" s="53"/>
      <c r="AB23" s="53"/>
      <c r="AC23" s="53"/>
      <c r="AD23" s="53"/>
      <c r="AE23" s="53"/>
      <c r="AF23" s="53"/>
      <c r="AG23" s="53"/>
      <c r="AI23" s="52" t="s">
        <v>23</v>
      </c>
      <c r="AJ23" s="57">
        <v>16</v>
      </c>
      <c r="AK23" s="57">
        <v>16</v>
      </c>
      <c r="AL23" s="53"/>
      <c r="AM23" s="53"/>
      <c r="AN23" s="53"/>
      <c r="AO23" s="53"/>
      <c r="AP23" s="53"/>
      <c r="AQ23" s="53"/>
      <c r="AR23" s="53"/>
      <c r="AS23" s="53"/>
      <c r="AT23" s="24"/>
      <c r="AU23" s="52" t="s">
        <v>24</v>
      </c>
      <c r="AV23" s="58">
        <v>45.25</v>
      </c>
      <c r="AW23" s="58">
        <v>45.25</v>
      </c>
      <c r="AX23" s="53"/>
      <c r="AY23" s="53"/>
      <c r="AZ23" s="53"/>
      <c r="BA23" s="53"/>
      <c r="BB23" s="53"/>
      <c r="BC23" s="53"/>
      <c r="BD23" s="53"/>
      <c r="BE23" s="53"/>
    </row>
    <row r="24" spans="3:57" x14ac:dyDescent="0.25">
      <c r="C24" s="1237"/>
      <c r="D24" s="1238" t="s">
        <v>28</v>
      </c>
      <c r="E24" s="1239" t="s">
        <v>48</v>
      </c>
      <c r="F24" s="72">
        <f t="shared" si="2"/>
        <v>222.56</v>
      </c>
      <c r="G24" s="1240" t="s">
        <v>30</v>
      </c>
      <c r="H24" s="1241">
        <f>VLOOKUP(G24,'CP FACTORS'!$A$26:$B$38,2,FALSE)</f>
        <v>1.899635E-4</v>
      </c>
      <c r="I24" s="1242">
        <f t="shared" si="0"/>
        <v>4.2278276560000001E-2</v>
      </c>
      <c r="J24" s="51">
        <f>ROUND(50000/H54,0)</f>
        <v>8</v>
      </c>
      <c r="K24" s="1243">
        <v>29.64</v>
      </c>
      <c r="L24" s="1244" t="s">
        <v>31</v>
      </c>
      <c r="M24" s="1245"/>
      <c r="V24" s="52" t="s">
        <v>19</v>
      </c>
      <c r="W24" s="53">
        <v>222.56</v>
      </c>
      <c r="X24" s="59">
        <v>222.56</v>
      </c>
      <c r="Y24" s="53"/>
      <c r="Z24" s="53"/>
      <c r="AA24" s="53"/>
      <c r="AB24" s="53"/>
      <c r="AC24" s="53"/>
      <c r="AD24" s="53"/>
      <c r="AE24" s="53"/>
      <c r="AF24" s="53"/>
      <c r="AG24" s="53"/>
      <c r="AI24" s="52" t="s">
        <v>23</v>
      </c>
      <c r="AJ24" s="57">
        <v>8</v>
      </c>
      <c r="AK24" s="57">
        <v>8</v>
      </c>
      <c r="AL24" s="53"/>
      <c r="AM24" s="53"/>
      <c r="AN24" s="53"/>
      <c r="AO24" s="53"/>
      <c r="AP24" s="53"/>
      <c r="AQ24" s="53"/>
      <c r="AR24" s="53"/>
      <c r="AS24" s="53"/>
      <c r="AT24" s="24"/>
      <c r="AU24" s="52" t="s">
        <v>24</v>
      </c>
      <c r="AV24" s="58">
        <v>29.64</v>
      </c>
      <c r="AW24" s="58">
        <v>29.64</v>
      </c>
      <c r="AX24" s="53"/>
      <c r="AY24" s="53"/>
      <c r="AZ24" s="53"/>
      <c r="BA24" s="53"/>
      <c r="BB24" s="53"/>
      <c r="BC24" s="53"/>
      <c r="BD24" s="53"/>
      <c r="BE24" s="53"/>
    </row>
    <row r="25" spans="3:57" x14ac:dyDescent="0.25">
      <c r="C25" s="1237"/>
      <c r="D25" s="1238" t="s">
        <v>28</v>
      </c>
      <c r="E25" s="1239" t="s">
        <v>49</v>
      </c>
      <c r="F25" s="72">
        <f t="shared" si="2"/>
        <v>84.819074273197472</v>
      </c>
      <c r="G25" s="1240" t="s">
        <v>30</v>
      </c>
      <c r="H25" s="1241">
        <f>VLOOKUP(G25,'CP FACTORS'!$A$26:$B$38,2,FALSE)</f>
        <v>1.899635E-4</v>
      </c>
      <c r="I25" s="1242">
        <f t="shared" si="0"/>
        <v>1.6112528215696548E-2</v>
      </c>
      <c r="J25" s="51">
        <f>ROUND(50000/H55,0)</f>
        <v>9</v>
      </c>
      <c r="K25" s="1243">
        <v>29.64</v>
      </c>
      <c r="L25" s="1244" t="s">
        <v>31</v>
      </c>
      <c r="M25" s="1245"/>
      <c r="V25" s="52" t="s">
        <v>19</v>
      </c>
      <c r="W25" s="53">
        <v>82.39</v>
      </c>
      <c r="X25" s="54">
        <v>84.819074273197472</v>
      </c>
      <c r="Y25" s="53"/>
      <c r="Z25" s="53"/>
      <c r="AA25" s="53"/>
      <c r="AB25" s="53"/>
      <c r="AC25" s="53"/>
      <c r="AD25" s="53"/>
      <c r="AE25" s="53"/>
      <c r="AF25" s="53"/>
      <c r="AG25" s="53"/>
      <c r="AI25" s="52" t="s">
        <v>23</v>
      </c>
      <c r="AJ25" s="57">
        <v>9</v>
      </c>
      <c r="AK25" s="57">
        <v>9</v>
      </c>
      <c r="AL25" s="53"/>
      <c r="AM25" s="53"/>
      <c r="AN25" s="53"/>
      <c r="AO25" s="53"/>
      <c r="AP25" s="53"/>
      <c r="AQ25" s="53"/>
      <c r="AR25" s="53"/>
      <c r="AS25" s="53"/>
      <c r="AT25" s="24"/>
      <c r="AU25" s="52" t="s">
        <v>24</v>
      </c>
      <c r="AV25" s="58">
        <v>29.64</v>
      </c>
      <c r="AW25" s="58">
        <v>29.64</v>
      </c>
      <c r="AX25" s="53"/>
      <c r="AY25" s="53"/>
      <c r="AZ25" s="53"/>
      <c r="BA25" s="53"/>
      <c r="BB25" s="53"/>
      <c r="BC25" s="53"/>
      <c r="BD25" s="53"/>
      <c r="BE25" s="53"/>
    </row>
    <row r="26" spans="3:57" x14ac:dyDescent="0.25">
      <c r="C26" s="1237"/>
      <c r="D26" s="1238" t="s">
        <v>28</v>
      </c>
      <c r="E26" s="1250" t="s">
        <v>50</v>
      </c>
      <c r="F26" s="72">
        <f t="shared" si="2"/>
        <v>92.556746382707516</v>
      </c>
      <c r="G26" s="1240" t="s">
        <v>30</v>
      </c>
      <c r="H26" s="1241">
        <f>VLOOKUP(G26,'CP FACTORS'!$A$26:$B$38,2,FALSE)</f>
        <v>1.899635E-4</v>
      </c>
      <c r="I26" s="1242">
        <f t="shared" si="0"/>
        <v>1.7582403491471461E-2</v>
      </c>
      <c r="J26" s="51">
        <f>ROUND(50000/H56,0)</f>
        <v>14</v>
      </c>
      <c r="K26" s="1243">
        <v>29.64</v>
      </c>
      <c r="L26" s="1244" t="s">
        <v>31</v>
      </c>
      <c r="M26" s="1245"/>
      <c r="V26" s="52" t="s">
        <v>19</v>
      </c>
      <c r="W26" s="53">
        <v>124.6336</v>
      </c>
      <c r="X26" s="54">
        <v>92.556746382707516</v>
      </c>
      <c r="Y26" s="53"/>
      <c r="Z26" s="53"/>
      <c r="AA26" s="53"/>
      <c r="AB26" s="53"/>
      <c r="AC26" s="53"/>
      <c r="AD26" s="53"/>
      <c r="AE26" s="53"/>
      <c r="AF26" s="53"/>
      <c r="AG26" s="53"/>
      <c r="AI26" s="52" t="s">
        <v>23</v>
      </c>
      <c r="AJ26" s="57">
        <v>11</v>
      </c>
      <c r="AK26" s="1179">
        <v>14</v>
      </c>
      <c r="AL26" s="53"/>
      <c r="AM26" s="53"/>
      <c r="AN26" s="53"/>
      <c r="AO26" s="53"/>
      <c r="AP26" s="53"/>
      <c r="AQ26" s="53"/>
      <c r="AR26" s="53"/>
      <c r="AS26" s="53"/>
      <c r="AT26" s="24"/>
      <c r="AU26" s="52" t="s">
        <v>24</v>
      </c>
      <c r="AV26" s="58">
        <v>29.64</v>
      </c>
      <c r="AW26" s="58">
        <v>29.64</v>
      </c>
      <c r="AX26" s="53"/>
      <c r="AY26" s="53"/>
      <c r="AZ26" s="53"/>
      <c r="BA26" s="53"/>
      <c r="BB26" s="53"/>
      <c r="BC26" s="53"/>
      <c r="BD26" s="53"/>
      <c r="BE26" s="53"/>
    </row>
    <row r="27" spans="3:57" x14ac:dyDescent="0.25">
      <c r="C27" s="1237"/>
      <c r="D27" s="1238" t="s">
        <v>28</v>
      </c>
      <c r="E27" s="1250" t="s">
        <v>51</v>
      </c>
      <c r="F27" s="72">
        <f t="shared" si="2"/>
        <v>102.16788</v>
      </c>
      <c r="G27" s="1240" t="s">
        <v>30</v>
      </c>
      <c r="H27" s="1241">
        <f>VLOOKUP(G27,'CP FACTORS'!$A$26:$B$38,2,FALSE)</f>
        <v>1.899635E-4</v>
      </c>
      <c r="I27" s="1242">
        <f t="shared" si="0"/>
        <v>1.9408168072380001E-2</v>
      </c>
      <c r="J27" s="51">
        <f>ROUND(50000/H57,0)</f>
        <v>11</v>
      </c>
      <c r="K27" s="1243">
        <v>11.94</v>
      </c>
      <c r="L27" s="1244" t="s">
        <v>31</v>
      </c>
      <c r="M27" s="1245"/>
      <c r="V27" s="52" t="s">
        <v>19</v>
      </c>
      <c r="W27" s="53">
        <v>102.16788</v>
      </c>
      <c r="X27" s="59">
        <v>102.16788</v>
      </c>
      <c r="Y27" s="53"/>
      <c r="Z27" s="53"/>
      <c r="AA27" s="53"/>
      <c r="AB27" s="53"/>
      <c r="AC27" s="53"/>
      <c r="AD27" s="53"/>
      <c r="AE27" s="53"/>
      <c r="AF27" s="53"/>
      <c r="AG27" s="53"/>
      <c r="AI27" s="52" t="s">
        <v>23</v>
      </c>
      <c r="AJ27" s="57">
        <v>11</v>
      </c>
      <c r="AK27" s="57">
        <v>11</v>
      </c>
      <c r="AL27" s="53"/>
      <c r="AM27" s="53"/>
      <c r="AN27" s="53"/>
      <c r="AO27" s="53"/>
      <c r="AP27" s="53"/>
      <c r="AQ27" s="53"/>
      <c r="AR27" s="53"/>
      <c r="AS27" s="53"/>
      <c r="AT27" s="24"/>
      <c r="AU27" s="52" t="s">
        <v>24</v>
      </c>
      <c r="AV27" s="58">
        <v>11.94</v>
      </c>
      <c r="AW27" s="58">
        <v>11.94</v>
      </c>
      <c r="AX27" s="53"/>
      <c r="AY27" s="53"/>
      <c r="AZ27" s="53"/>
      <c r="BA27" s="53"/>
      <c r="BB27" s="53"/>
      <c r="BC27" s="53"/>
      <c r="BD27" s="53"/>
      <c r="BE27" s="53"/>
    </row>
    <row r="28" spans="3:57" outlineLevel="1" x14ac:dyDescent="0.25">
      <c r="E28" s="1227"/>
      <c r="F28" s="1227"/>
      <c r="G28" s="1227"/>
      <c r="H28" s="1251"/>
      <c r="I28" s="1227"/>
      <c r="J28" s="1227"/>
      <c r="K28" s="1227"/>
    </row>
    <row r="29" spans="3:57" outlineLevel="1" x14ac:dyDescent="0.25">
      <c r="D29" s="1227" t="s">
        <v>52</v>
      </c>
      <c r="E29" s="1227"/>
      <c r="F29" s="1227"/>
      <c r="G29" s="1227"/>
      <c r="H29" s="1251"/>
      <c r="I29" s="1227"/>
      <c r="J29" s="1227"/>
      <c r="K29" s="1227"/>
    </row>
    <row r="30" spans="3:57" outlineLevel="1" x14ac:dyDescent="0.25">
      <c r="D30" s="1252"/>
      <c r="G30" s="1222"/>
      <c r="H30" s="1253"/>
      <c r="M30" s="1227"/>
    </row>
    <row r="31" spans="3:57" outlineLevel="1" x14ac:dyDescent="0.25">
      <c r="D31" s="1252"/>
      <c r="G31" s="1222"/>
      <c r="H31" s="1253"/>
      <c r="L31" s="1254"/>
      <c r="M31" s="1255"/>
      <c r="N31" s="1256"/>
      <c r="O31" s="1256"/>
    </row>
    <row r="32" spans="3:57" outlineLevel="1" x14ac:dyDescent="0.25">
      <c r="D32" s="1252"/>
      <c r="G32" s="1222"/>
      <c r="H32" s="1253"/>
      <c r="L32" s="1254"/>
      <c r="M32" s="1255"/>
      <c r="N32" s="1256"/>
      <c r="O32" s="1256"/>
    </row>
    <row r="33" spans="2:93" outlineLevel="1" x14ac:dyDescent="0.25">
      <c r="D33" s="1252"/>
      <c r="G33" s="1222"/>
      <c r="H33" s="1253"/>
      <c r="L33" s="1254"/>
      <c r="M33" s="1255"/>
      <c r="N33" s="1256"/>
      <c r="O33" s="1257"/>
    </row>
    <row r="34" spans="2:93" outlineLevel="1" x14ac:dyDescent="0.25">
      <c r="D34" s="1252"/>
      <c r="G34" s="1222"/>
      <c r="H34" s="1253"/>
      <c r="L34" s="1254"/>
      <c r="M34" s="1255"/>
      <c r="N34" s="1256"/>
      <c r="O34" s="1257"/>
    </row>
    <row r="35" spans="2:93" outlineLevel="1" x14ac:dyDescent="0.25">
      <c r="D35" s="1252"/>
      <c r="G35" s="1222"/>
      <c r="H35" s="1253"/>
      <c r="L35" s="1256"/>
      <c r="M35" s="1255"/>
      <c r="N35" s="1256"/>
      <c r="O35" s="1256"/>
    </row>
    <row r="36" spans="2:93" outlineLevel="1" x14ac:dyDescent="0.25">
      <c r="D36" s="1252"/>
      <c r="G36" s="1222"/>
      <c r="H36" s="1253"/>
      <c r="M36" s="1227"/>
    </row>
    <row r="37" spans="2:93" outlineLevel="1" x14ac:dyDescent="0.25">
      <c r="D37" s="1252"/>
      <c r="G37" s="1222"/>
      <c r="H37" s="1253"/>
      <c r="V37" s="48" t="s">
        <v>26</v>
      </c>
      <c r="W37" s="49">
        <f>$W$8</f>
        <v>43252</v>
      </c>
      <c r="X37" s="49">
        <f>$X$8</f>
        <v>43465</v>
      </c>
      <c r="Y37" s="49" t="str">
        <f>$Y$8</f>
        <v>-</v>
      </c>
      <c r="Z37" s="49" t="str">
        <f>$Z$8</f>
        <v>-</v>
      </c>
      <c r="AA37" s="49" t="str">
        <f>$AA$8</f>
        <v>-</v>
      </c>
      <c r="AB37" s="49" t="str">
        <f>$AB$8</f>
        <v>-</v>
      </c>
      <c r="AC37" s="49" t="str">
        <f>$AC$8</f>
        <v>-</v>
      </c>
      <c r="AD37" s="49" t="str">
        <f>$AD$8</f>
        <v>-</v>
      </c>
      <c r="AE37" s="49" t="str">
        <f>$AE$8</f>
        <v>-</v>
      </c>
      <c r="AF37" s="49" t="str">
        <f>$AF$8</f>
        <v>-</v>
      </c>
      <c r="AG37" s="49" t="str">
        <f>$AG$8</f>
        <v>-</v>
      </c>
      <c r="AI37" s="49">
        <f>$W$8</f>
        <v>43252</v>
      </c>
      <c r="AJ37" s="49">
        <f>$X$8</f>
        <v>43465</v>
      </c>
      <c r="AK37" s="49" t="str">
        <f>$Y$8</f>
        <v>-</v>
      </c>
      <c r="AL37" s="49" t="str">
        <f>$Z$8</f>
        <v>-</v>
      </c>
      <c r="AM37" s="49" t="str">
        <f>$AA$8</f>
        <v>-</v>
      </c>
      <c r="AN37" s="49" t="str">
        <f>$AB$8</f>
        <v>-</v>
      </c>
      <c r="AO37" s="49" t="str">
        <f>$AC$8</f>
        <v>-</v>
      </c>
      <c r="AP37" s="49" t="str">
        <f>$AD$8</f>
        <v>-</v>
      </c>
      <c r="AQ37" s="49" t="str">
        <f>$AE$8</f>
        <v>-</v>
      </c>
      <c r="AR37" s="49" t="str">
        <f>$AF$8</f>
        <v>-</v>
      </c>
      <c r="AS37" s="49" t="str">
        <f>$AG$8</f>
        <v>-</v>
      </c>
      <c r="AU37" s="49">
        <f>$W$8</f>
        <v>43252</v>
      </c>
      <c r="AV37" s="49">
        <f>$X$8</f>
        <v>43465</v>
      </c>
      <c r="AW37" s="49" t="str">
        <f>$Y$8</f>
        <v>-</v>
      </c>
      <c r="AX37" s="49" t="str">
        <f>$Z$8</f>
        <v>-</v>
      </c>
      <c r="AY37" s="49" t="str">
        <f>$AA$8</f>
        <v>-</v>
      </c>
      <c r="AZ37" s="49" t="str">
        <f>$AB$8</f>
        <v>-</v>
      </c>
      <c r="BA37" s="49" t="str">
        <f>$AC$8</f>
        <v>-</v>
      </c>
      <c r="BB37" s="49" t="str">
        <f>$AD$8</f>
        <v>-</v>
      </c>
      <c r="BC37" s="49" t="str">
        <f>$AE$8</f>
        <v>-</v>
      </c>
      <c r="BD37" s="49" t="str">
        <f>$AF$8</f>
        <v>-</v>
      </c>
      <c r="BE37" s="49" t="str">
        <f>$AG$8</f>
        <v>-</v>
      </c>
      <c r="BG37" s="49">
        <f>$W$8</f>
        <v>43252</v>
      </c>
      <c r="BH37" s="49">
        <f>$X$8</f>
        <v>43465</v>
      </c>
      <c r="BI37" s="49" t="str">
        <f>$Y$8</f>
        <v>-</v>
      </c>
      <c r="BJ37" s="49" t="str">
        <f>$Z$8</f>
        <v>-</v>
      </c>
      <c r="BK37" s="49" t="str">
        <f>$AA$8</f>
        <v>-</v>
      </c>
      <c r="BL37" s="49" t="str">
        <f>$AB$8</f>
        <v>-</v>
      </c>
      <c r="BM37" s="49" t="str">
        <f>$AC$8</f>
        <v>-</v>
      </c>
      <c r="BN37" s="49" t="str">
        <f>$AD$8</f>
        <v>-</v>
      </c>
      <c r="BO37" s="49" t="str">
        <f>$AE$8</f>
        <v>-</v>
      </c>
      <c r="BP37" s="49" t="str">
        <f>$AF$8</f>
        <v>-</v>
      </c>
      <c r="BQ37" s="49" t="str">
        <f>$AG$8</f>
        <v>-</v>
      </c>
      <c r="BS37" s="49">
        <f>$W$8</f>
        <v>43252</v>
      </c>
      <c r="BT37" s="49">
        <f>$X$8</f>
        <v>43465</v>
      </c>
      <c r="BU37" s="49" t="str">
        <f>$Y$8</f>
        <v>-</v>
      </c>
      <c r="BV37" s="49" t="str">
        <f>$Z$8</f>
        <v>-</v>
      </c>
      <c r="BW37" s="49" t="str">
        <f>$AA$8</f>
        <v>-</v>
      </c>
      <c r="BX37" s="49" t="str">
        <f>$AB$8</f>
        <v>-</v>
      </c>
      <c r="BY37" s="49" t="str">
        <f>$AC$8</f>
        <v>-</v>
      </c>
      <c r="BZ37" s="49" t="str">
        <f>$AD$8</f>
        <v>-</v>
      </c>
      <c r="CA37" s="49" t="str">
        <f>$AE$8</f>
        <v>-</v>
      </c>
      <c r="CB37" s="49" t="str">
        <f>$AF$8</f>
        <v>-</v>
      </c>
      <c r="CC37" s="49" t="str">
        <f>$AG$8</f>
        <v>-</v>
      </c>
      <c r="CE37" s="49">
        <f>$W$8</f>
        <v>43252</v>
      </c>
      <c r="CF37" s="49">
        <f>$X$8</f>
        <v>43465</v>
      </c>
      <c r="CG37" s="49" t="str">
        <f>$Y$8</f>
        <v>-</v>
      </c>
      <c r="CH37" s="49" t="str">
        <f>$Z$8</f>
        <v>-</v>
      </c>
      <c r="CI37" s="49" t="str">
        <f>$AA$8</f>
        <v>-</v>
      </c>
      <c r="CJ37" s="49" t="str">
        <f>$AB$8</f>
        <v>-</v>
      </c>
      <c r="CK37" s="49" t="str">
        <f>$AC$8</f>
        <v>-</v>
      </c>
      <c r="CL37" s="49" t="str">
        <f>$AD$8</f>
        <v>-</v>
      </c>
      <c r="CM37" s="49" t="str">
        <f>$AE$8</f>
        <v>-</v>
      </c>
      <c r="CN37" s="49" t="str">
        <f>$AF$8</f>
        <v>-</v>
      </c>
      <c r="CO37" s="49" t="str">
        <f>$AG$8</f>
        <v>-</v>
      </c>
    </row>
    <row r="38" spans="2:93" s="61" customFormat="1" ht="30" outlineLevel="1" x14ac:dyDescent="0.25">
      <c r="B38" s="1258"/>
      <c r="C38" s="1258"/>
      <c r="D38" s="44" t="s">
        <v>16</v>
      </c>
      <c r="E38" s="131" t="s">
        <v>53</v>
      </c>
      <c r="F38" s="131" t="s">
        <v>54</v>
      </c>
      <c r="G38" s="131" t="s">
        <v>55</v>
      </c>
      <c r="H38" s="46" t="s">
        <v>56</v>
      </c>
      <c r="I38" s="131" t="s">
        <v>57</v>
      </c>
      <c r="J38" s="131" t="s">
        <v>58</v>
      </c>
      <c r="K38" s="131" t="s">
        <v>23</v>
      </c>
      <c r="L38" s="175"/>
      <c r="M38" s="1258"/>
      <c r="N38" s="1258"/>
      <c r="O38" s="1258"/>
      <c r="P38" s="1258"/>
      <c r="Q38" s="1258"/>
      <c r="R38" s="1258"/>
      <c r="S38" s="1258"/>
      <c r="T38" s="1258"/>
      <c r="U38" s="1258"/>
      <c r="V38" s="62"/>
      <c r="W38" s="63" t="str">
        <f>$F$38</f>
        <v>Watts Base</v>
      </c>
      <c r="X38" s="63" t="str">
        <f t="shared" ref="X38:AG38" si="3">$F$38</f>
        <v>Watts Base</v>
      </c>
      <c r="Y38" s="63" t="str">
        <f t="shared" si="3"/>
        <v>Watts Base</v>
      </c>
      <c r="Z38" s="63" t="str">
        <f t="shared" si="3"/>
        <v>Watts Base</v>
      </c>
      <c r="AA38" s="63" t="str">
        <f t="shared" si="3"/>
        <v>Watts Base</v>
      </c>
      <c r="AB38" s="63" t="str">
        <f t="shared" si="3"/>
        <v>Watts Base</v>
      </c>
      <c r="AC38" s="63" t="str">
        <f t="shared" si="3"/>
        <v>Watts Base</v>
      </c>
      <c r="AD38" s="63" t="str">
        <f t="shared" si="3"/>
        <v>Watts Base</v>
      </c>
      <c r="AE38" s="63" t="str">
        <f t="shared" si="3"/>
        <v>Watts Base</v>
      </c>
      <c r="AF38" s="63" t="str">
        <f t="shared" si="3"/>
        <v>Watts Base</v>
      </c>
      <c r="AG38" s="63" t="str">
        <f t="shared" si="3"/>
        <v>Watts Base</v>
      </c>
      <c r="AI38" s="63" t="str">
        <f>$G$38</f>
        <v>Watts EE</v>
      </c>
      <c r="AJ38" s="63" t="str">
        <f t="shared" ref="AJ38:AS38" si="4">$G$38</f>
        <v>Watts EE</v>
      </c>
      <c r="AK38" s="63" t="str">
        <f t="shared" si="4"/>
        <v>Watts EE</v>
      </c>
      <c r="AL38" s="63" t="str">
        <f t="shared" si="4"/>
        <v>Watts EE</v>
      </c>
      <c r="AM38" s="63" t="str">
        <f t="shared" si="4"/>
        <v>Watts EE</v>
      </c>
      <c r="AN38" s="63" t="str">
        <f t="shared" si="4"/>
        <v>Watts EE</v>
      </c>
      <c r="AO38" s="63" t="str">
        <f t="shared" si="4"/>
        <v>Watts EE</v>
      </c>
      <c r="AP38" s="63" t="str">
        <f t="shared" si="4"/>
        <v>Watts EE</v>
      </c>
      <c r="AQ38" s="63" t="str">
        <f t="shared" si="4"/>
        <v>Watts EE</v>
      </c>
      <c r="AR38" s="63" t="str">
        <f t="shared" si="4"/>
        <v>Watts EE</v>
      </c>
      <c r="AS38" s="63" t="str">
        <f t="shared" si="4"/>
        <v>Watts EE</v>
      </c>
      <c r="AU38" s="64" t="str">
        <f>$H$38</f>
        <v>HOU</v>
      </c>
      <c r="AV38" s="64" t="str">
        <f t="shared" ref="AV38:BE38" si="5">$H$38</f>
        <v>HOU</v>
      </c>
      <c r="AW38" s="64" t="str">
        <f t="shared" si="5"/>
        <v>HOU</v>
      </c>
      <c r="AX38" s="64" t="str">
        <f t="shared" si="5"/>
        <v>HOU</v>
      </c>
      <c r="AY38" s="64" t="str">
        <f t="shared" si="5"/>
        <v>HOU</v>
      </c>
      <c r="AZ38" s="64" t="str">
        <f t="shared" si="5"/>
        <v>HOU</v>
      </c>
      <c r="BA38" s="64" t="str">
        <f t="shared" si="5"/>
        <v>HOU</v>
      </c>
      <c r="BB38" s="64" t="str">
        <f t="shared" si="5"/>
        <v>HOU</v>
      </c>
      <c r="BC38" s="64" t="str">
        <f t="shared" si="5"/>
        <v>HOU</v>
      </c>
      <c r="BD38" s="64" t="str">
        <f t="shared" si="5"/>
        <v>HOU</v>
      </c>
      <c r="BE38" s="64" t="str">
        <f t="shared" si="5"/>
        <v>HOU</v>
      </c>
      <c r="BG38" s="64" t="str">
        <f>$I$38</f>
        <v>WHFe</v>
      </c>
      <c r="BH38" s="64" t="str">
        <f t="shared" ref="BH38:BQ38" si="6">$I$38</f>
        <v>WHFe</v>
      </c>
      <c r="BI38" s="64" t="str">
        <f t="shared" si="6"/>
        <v>WHFe</v>
      </c>
      <c r="BJ38" s="64" t="str">
        <f t="shared" si="6"/>
        <v>WHFe</v>
      </c>
      <c r="BK38" s="64" t="str">
        <f t="shared" si="6"/>
        <v>WHFe</v>
      </c>
      <c r="BL38" s="64" t="str">
        <f t="shared" si="6"/>
        <v>WHFe</v>
      </c>
      <c r="BM38" s="64" t="str">
        <f t="shared" si="6"/>
        <v>WHFe</v>
      </c>
      <c r="BN38" s="64" t="str">
        <f t="shared" si="6"/>
        <v>WHFe</v>
      </c>
      <c r="BO38" s="64" t="str">
        <f t="shared" si="6"/>
        <v>WHFe</v>
      </c>
      <c r="BP38" s="64" t="str">
        <f t="shared" si="6"/>
        <v>WHFe</v>
      </c>
      <c r="BQ38" s="64" t="str">
        <f t="shared" si="6"/>
        <v>WHFe</v>
      </c>
      <c r="BS38" s="64" t="str">
        <f>$J$38</f>
        <v>ISR</v>
      </c>
      <c r="BT38" s="64" t="str">
        <f t="shared" ref="BT38:CC38" si="7">$J$38</f>
        <v>ISR</v>
      </c>
      <c r="BU38" s="64" t="str">
        <f t="shared" si="7"/>
        <v>ISR</v>
      </c>
      <c r="BV38" s="64" t="str">
        <f t="shared" si="7"/>
        <v>ISR</v>
      </c>
      <c r="BW38" s="64" t="str">
        <f t="shared" si="7"/>
        <v>ISR</v>
      </c>
      <c r="BX38" s="64" t="str">
        <f t="shared" si="7"/>
        <v>ISR</v>
      </c>
      <c r="BY38" s="64" t="str">
        <f t="shared" si="7"/>
        <v>ISR</v>
      </c>
      <c r="BZ38" s="64" t="str">
        <f t="shared" si="7"/>
        <v>ISR</v>
      </c>
      <c r="CA38" s="64" t="str">
        <f t="shared" si="7"/>
        <v>ISR</v>
      </c>
      <c r="CB38" s="64" t="str">
        <f t="shared" si="7"/>
        <v>ISR</v>
      </c>
      <c r="CC38" s="64" t="str">
        <f t="shared" si="7"/>
        <v>ISR</v>
      </c>
      <c r="CE38" s="64" t="str">
        <f>$K$38</f>
        <v>EUL</v>
      </c>
      <c r="CF38" s="64" t="str">
        <f t="shared" ref="CF38:CO38" si="8">$K$38</f>
        <v>EUL</v>
      </c>
      <c r="CG38" s="64" t="str">
        <f t="shared" si="8"/>
        <v>EUL</v>
      </c>
      <c r="CH38" s="64" t="str">
        <f t="shared" si="8"/>
        <v>EUL</v>
      </c>
      <c r="CI38" s="64" t="str">
        <f t="shared" si="8"/>
        <v>EUL</v>
      </c>
      <c r="CJ38" s="64" t="str">
        <f t="shared" si="8"/>
        <v>EUL</v>
      </c>
      <c r="CK38" s="64" t="str">
        <f t="shared" si="8"/>
        <v>EUL</v>
      </c>
      <c r="CL38" s="64" t="str">
        <f t="shared" si="8"/>
        <v>EUL</v>
      </c>
      <c r="CM38" s="64" t="str">
        <f t="shared" si="8"/>
        <v>EUL</v>
      </c>
      <c r="CN38" s="64" t="str">
        <f t="shared" si="8"/>
        <v>EUL</v>
      </c>
      <c r="CO38" s="64" t="str">
        <f t="shared" si="8"/>
        <v>EUL</v>
      </c>
    </row>
    <row r="39" spans="2:93" s="61" customFormat="1" outlineLevel="1" x14ac:dyDescent="0.25">
      <c r="B39" s="1258"/>
      <c r="C39" s="1258"/>
      <c r="D39" s="1259"/>
      <c r="E39" s="1260" t="str">
        <f t="shared" ref="E39:E57" si="9">E9</f>
        <v>LED &lt;=11 Watt Lamp Replacing Interior Halogen A 28-52 Watt Lamp</v>
      </c>
      <c r="F39" s="74">
        <v>45</v>
      </c>
      <c r="G39" s="74">
        <v>9.1999999999999993</v>
      </c>
      <c r="H39" s="75">
        <v>2386</v>
      </c>
      <c r="I39" s="74">
        <v>1.08</v>
      </c>
      <c r="J39" s="74">
        <v>0.96</v>
      </c>
      <c r="K39" s="51">
        <v>21</v>
      </c>
      <c r="L39" s="175"/>
      <c r="M39" s="1258"/>
      <c r="N39" s="1258"/>
      <c r="O39" s="1258"/>
      <c r="P39" s="1258"/>
      <c r="Q39" s="1258"/>
      <c r="R39" s="1258"/>
      <c r="S39" s="1258"/>
      <c r="T39" s="1258"/>
      <c r="U39" s="1261"/>
      <c r="V39" s="65" t="str">
        <f>E39</f>
        <v>LED &lt;=11 Watt Lamp Replacing Interior Halogen A 28-52 Watt Lamp</v>
      </c>
      <c r="W39" s="66">
        <v>36</v>
      </c>
      <c r="X39" s="67">
        <v>45</v>
      </c>
      <c r="Y39" s="68"/>
      <c r="Z39" s="68"/>
      <c r="AA39" s="68"/>
      <c r="AB39" s="68"/>
      <c r="AC39" s="68"/>
      <c r="AD39" s="68"/>
      <c r="AE39" s="68"/>
      <c r="AF39" s="68"/>
      <c r="AG39" s="68"/>
      <c r="AH39" s="69"/>
      <c r="AI39" s="66">
        <v>8</v>
      </c>
      <c r="AJ39" s="67">
        <v>9.1999999999999993</v>
      </c>
      <c r="AK39" s="68"/>
      <c r="AL39" s="68"/>
      <c r="AM39" s="68"/>
      <c r="AN39" s="68"/>
      <c r="AO39" s="68"/>
      <c r="AP39" s="68"/>
      <c r="AQ39" s="68"/>
      <c r="AR39" s="68"/>
      <c r="AS39" s="68"/>
      <c r="AT39" s="69"/>
      <c r="AU39" s="70">
        <v>2920</v>
      </c>
      <c r="AV39" s="71">
        <v>2386</v>
      </c>
      <c r="AW39" s="68"/>
      <c r="AX39" s="68"/>
      <c r="AY39" s="68"/>
      <c r="AZ39" s="68"/>
      <c r="BA39" s="68"/>
      <c r="BB39" s="68"/>
      <c r="BC39" s="68"/>
      <c r="BD39" s="68"/>
      <c r="BE39" s="68"/>
      <c r="BF39" s="69"/>
      <c r="BG39" s="66">
        <v>1.07</v>
      </c>
      <c r="BH39" s="67">
        <v>1.08</v>
      </c>
      <c r="BI39" s="68"/>
      <c r="BJ39" s="68"/>
      <c r="BK39" s="68"/>
      <c r="BL39" s="68"/>
      <c r="BM39" s="68"/>
      <c r="BN39" s="68"/>
      <c r="BO39" s="68"/>
      <c r="BP39" s="68"/>
      <c r="BQ39" s="68"/>
      <c r="BR39" s="69"/>
      <c r="BS39" s="66">
        <v>1</v>
      </c>
      <c r="BT39" s="67">
        <v>0.96</v>
      </c>
      <c r="BU39" s="68"/>
      <c r="BV39" s="68"/>
      <c r="BW39" s="68"/>
      <c r="BX39" s="68"/>
      <c r="BY39" s="68"/>
      <c r="BZ39" s="68"/>
      <c r="CA39" s="68"/>
      <c r="CB39" s="68"/>
      <c r="CC39" s="68"/>
      <c r="CD39" s="69"/>
      <c r="CE39" s="72">
        <v>17</v>
      </c>
      <c r="CF39" s="73">
        <v>21</v>
      </c>
      <c r="CG39" s="68"/>
      <c r="CH39" s="68"/>
      <c r="CI39" s="68"/>
      <c r="CJ39" s="68"/>
      <c r="CK39" s="68"/>
      <c r="CL39" s="68"/>
      <c r="CM39" s="68"/>
      <c r="CN39" s="68"/>
      <c r="CO39" s="68"/>
    </row>
    <row r="40" spans="2:93" s="61" customFormat="1" outlineLevel="1" x14ac:dyDescent="0.25">
      <c r="B40" s="1258"/>
      <c r="C40" s="1258"/>
      <c r="D40" s="1259"/>
      <c r="E40" s="1260" t="str">
        <f t="shared" si="9"/>
        <v>LED 7-20 Watt Lamp Replacing Interior Halogen 53-70 Watt Lamp</v>
      </c>
      <c r="F40" s="74">
        <v>63</v>
      </c>
      <c r="G40" s="74">
        <v>14</v>
      </c>
      <c r="H40" s="75">
        <v>2920</v>
      </c>
      <c r="I40" s="74">
        <v>1.07</v>
      </c>
      <c r="J40" s="74">
        <v>1</v>
      </c>
      <c r="K40" s="51">
        <v>17</v>
      </c>
      <c r="L40" s="175"/>
      <c r="M40" s="1258"/>
      <c r="N40" s="1258"/>
      <c r="O40" s="1258"/>
      <c r="P40" s="1258"/>
      <c r="Q40" s="1258"/>
      <c r="R40" s="1258"/>
      <c r="S40" s="1258"/>
      <c r="T40" s="1258"/>
      <c r="U40" s="1261"/>
      <c r="V40" s="65" t="str">
        <f t="shared" ref="V40:V57" si="10">E40</f>
        <v>LED 7-20 Watt Lamp Replacing Interior Halogen 53-70 Watt Lamp</v>
      </c>
      <c r="W40" s="66">
        <v>63</v>
      </c>
      <c r="X40" s="76">
        <v>63</v>
      </c>
      <c r="Y40" s="68"/>
      <c r="Z40" s="68"/>
      <c r="AA40" s="68"/>
      <c r="AB40" s="68"/>
      <c r="AC40" s="68"/>
      <c r="AD40" s="68"/>
      <c r="AE40" s="68"/>
      <c r="AF40" s="68"/>
      <c r="AG40" s="68"/>
      <c r="AH40" s="69"/>
      <c r="AI40" s="66">
        <v>14</v>
      </c>
      <c r="AJ40" s="76">
        <v>14</v>
      </c>
      <c r="AK40" s="68"/>
      <c r="AL40" s="68"/>
      <c r="AM40" s="68"/>
      <c r="AN40" s="68"/>
      <c r="AO40" s="68"/>
      <c r="AP40" s="68"/>
      <c r="AQ40" s="68"/>
      <c r="AR40" s="68"/>
      <c r="AS40" s="68"/>
      <c r="AT40" s="69"/>
      <c r="AU40" s="70">
        <v>2920</v>
      </c>
      <c r="AV40" s="77">
        <v>2920</v>
      </c>
      <c r="AW40" s="68"/>
      <c r="AX40" s="68"/>
      <c r="AY40" s="68"/>
      <c r="AZ40" s="68"/>
      <c r="BA40" s="68"/>
      <c r="BB40" s="68"/>
      <c r="BC40" s="68"/>
      <c r="BD40" s="68"/>
      <c r="BE40" s="68"/>
      <c r="BF40" s="69"/>
      <c r="BG40" s="66">
        <v>1.07</v>
      </c>
      <c r="BH40" s="66">
        <v>1.07</v>
      </c>
      <c r="BI40" s="68"/>
      <c r="BJ40" s="68"/>
      <c r="BK40" s="68"/>
      <c r="BL40" s="68"/>
      <c r="BM40" s="68"/>
      <c r="BN40" s="68"/>
      <c r="BO40" s="68"/>
      <c r="BP40" s="68"/>
      <c r="BQ40" s="68"/>
      <c r="BR40" s="69"/>
      <c r="BS40" s="66">
        <v>1</v>
      </c>
      <c r="BT40" s="76">
        <v>1</v>
      </c>
      <c r="BU40" s="68"/>
      <c r="BV40" s="68"/>
      <c r="BW40" s="68"/>
      <c r="BX40" s="68"/>
      <c r="BY40" s="68"/>
      <c r="BZ40" s="68"/>
      <c r="CA40" s="68"/>
      <c r="CB40" s="68"/>
      <c r="CC40" s="68"/>
      <c r="CD40" s="69"/>
      <c r="CE40" s="72">
        <v>17</v>
      </c>
      <c r="CF40" s="78">
        <v>17</v>
      </c>
      <c r="CG40" s="68"/>
      <c r="CH40" s="68"/>
      <c r="CI40" s="68"/>
      <c r="CJ40" s="68"/>
      <c r="CK40" s="68"/>
      <c r="CL40" s="68"/>
      <c r="CM40" s="68"/>
      <c r="CN40" s="68"/>
      <c r="CO40" s="68"/>
    </row>
    <row r="41" spans="2:93" s="61" customFormat="1" outlineLevel="1" x14ac:dyDescent="0.25">
      <c r="B41" s="1258"/>
      <c r="C41" s="1258"/>
      <c r="D41" s="1259"/>
      <c r="E41" s="1260" t="str">
        <f t="shared" si="9"/>
        <v>LED &lt;=14 Watt Lamp Replacing Interior Halogen BR/R 45-65 Watt Lamp</v>
      </c>
      <c r="F41" s="74">
        <v>62</v>
      </c>
      <c r="G41" s="74">
        <v>9.3000000000000007</v>
      </c>
      <c r="H41" s="1262">
        <v>3583</v>
      </c>
      <c r="I41" s="74">
        <v>1.0900000000000001</v>
      </c>
      <c r="J41" s="74">
        <v>0.99</v>
      </c>
      <c r="K41" s="51">
        <v>14</v>
      </c>
      <c r="L41" s="175"/>
      <c r="M41" s="1258"/>
      <c r="N41" s="1258"/>
      <c r="O41" s="1258"/>
      <c r="P41" s="1258"/>
      <c r="Q41" s="1258"/>
      <c r="R41" s="1258"/>
      <c r="S41" s="1258"/>
      <c r="T41" s="1258"/>
      <c r="U41" s="1261"/>
      <c r="V41" s="65" t="str">
        <f t="shared" si="10"/>
        <v>LED &lt;=14 Watt Lamp Replacing Interior Halogen BR/R 45-65 Watt Lamp</v>
      </c>
      <c r="W41" s="66">
        <v>55</v>
      </c>
      <c r="X41" s="67">
        <v>62</v>
      </c>
      <c r="Y41" s="68"/>
      <c r="Z41" s="68"/>
      <c r="AA41" s="68"/>
      <c r="AB41" s="68"/>
      <c r="AC41" s="68"/>
      <c r="AD41" s="68"/>
      <c r="AE41" s="68"/>
      <c r="AF41" s="68"/>
      <c r="AG41" s="68"/>
      <c r="AH41" s="69"/>
      <c r="AI41" s="66">
        <v>12</v>
      </c>
      <c r="AJ41" s="67">
        <v>9.3000000000000007</v>
      </c>
      <c r="AK41" s="68"/>
      <c r="AL41" s="68"/>
      <c r="AM41" s="68"/>
      <c r="AN41" s="68"/>
      <c r="AO41" s="68"/>
      <c r="AP41" s="68"/>
      <c r="AQ41" s="68"/>
      <c r="AR41" s="68"/>
      <c r="AS41" s="68"/>
      <c r="AT41" s="69"/>
      <c r="AU41" s="70">
        <v>4380</v>
      </c>
      <c r="AV41" s="79">
        <v>3583</v>
      </c>
      <c r="AW41" s="68"/>
      <c r="AX41" s="68"/>
      <c r="AY41" s="68"/>
      <c r="AZ41" s="68"/>
      <c r="BA41" s="68"/>
      <c r="BB41" s="68"/>
      <c r="BC41" s="68"/>
      <c r="BD41" s="68"/>
      <c r="BE41" s="68"/>
      <c r="BF41" s="69"/>
      <c r="BG41" s="66">
        <v>1.07</v>
      </c>
      <c r="BH41" s="67">
        <v>1.0900000000000001</v>
      </c>
      <c r="BI41" s="68"/>
      <c r="BJ41" s="68"/>
      <c r="BK41" s="68"/>
      <c r="BL41" s="68"/>
      <c r="BM41" s="68"/>
      <c r="BN41" s="68"/>
      <c r="BO41" s="68"/>
      <c r="BP41" s="68"/>
      <c r="BQ41" s="68"/>
      <c r="BR41" s="69"/>
      <c r="BS41" s="66">
        <v>1</v>
      </c>
      <c r="BT41" s="67">
        <v>0.99</v>
      </c>
      <c r="BU41" s="68"/>
      <c r="BV41" s="68"/>
      <c r="BW41" s="68"/>
      <c r="BX41" s="68"/>
      <c r="BY41" s="68"/>
      <c r="BZ41" s="68"/>
      <c r="CA41" s="68"/>
      <c r="CB41" s="68"/>
      <c r="CC41" s="68"/>
      <c r="CD41" s="69"/>
      <c r="CE41" s="72">
        <v>11</v>
      </c>
      <c r="CF41" s="73">
        <v>14</v>
      </c>
      <c r="CG41" s="68"/>
      <c r="CH41" s="68"/>
      <c r="CI41" s="68"/>
      <c r="CJ41" s="68"/>
      <c r="CK41" s="68"/>
      <c r="CL41" s="68"/>
      <c r="CM41" s="68"/>
      <c r="CN41" s="68"/>
      <c r="CO41" s="68"/>
    </row>
    <row r="42" spans="2:93" s="61" customFormat="1" outlineLevel="1" x14ac:dyDescent="0.25">
      <c r="B42" s="1258"/>
      <c r="C42" s="1258"/>
      <c r="D42" s="1259"/>
      <c r="E42" s="1260" t="str">
        <f t="shared" si="9"/>
        <v>LED &lt;=13 Watt Lamp Replacing Interior Halogen MR-16 35-50 Watt Lamp</v>
      </c>
      <c r="F42" s="74">
        <v>45</v>
      </c>
      <c r="G42" s="74">
        <v>8.5</v>
      </c>
      <c r="H42" s="75">
        <v>4120</v>
      </c>
      <c r="I42" s="74">
        <v>1.1000000000000001</v>
      </c>
      <c r="J42" s="74">
        <v>0.995</v>
      </c>
      <c r="K42" s="51">
        <v>12</v>
      </c>
      <c r="L42" s="175"/>
      <c r="M42" s="1258"/>
      <c r="N42" s="1258"/>
      <c r="O42" s="1258"/>
      <c r="P42" s="1258"/>
      <c r="Q42" s="1258"/>
      <c r="R42" s="1258"/>
      <c r="S42" s="1258"/>
      <c r="T42" s="1258"/>
      <c r="U42" s="1263"/>
      <c r="V42" s="65" t="str">
        <f t="shared" si="10"/>
        <v>LED &lt;=13 Watt Lamp Replacing Interior Halogen MR-16 35-50 Watt Lamp</v>
      </c>
      <c r="W42" s="66">
        <v>50</v>
      </c>
      <c r="X42" s="67">
        <v>45</v>
      </c>
      <c r="Y42" s="68"/>
      <c r="Z42" s="68"/>
      <c r="AA42" s="68"/>
      <c r="AB42" s="68"/>
      <c r="AC42" s="68"/>
      <c r="AD42" s="68"/>
      <c r="AE42" s="68"/>
      <c r="AF42" s="68"/>
      <c r="AG42" s="68"/>
      <c r="AH42" s="69"/>
      <c r="AI42" s="66">
        <v>12</v>
      </c>
      <c r="AJ42" s="67">
        <v>8.5</v>
      </c>
      <c r="AK42" s="68"/>
      <c r="AL42" s="68"/>
      <c r="AM42" s="68"/>
      <c r="AN42" s="68"/>
      <c r="AO42" s="68"/>
      <c r="AP42" s="68"/>
      <c r="AQ42" s="68"/>
      <c r="AR42" s="68"/>
      <c r="AS42" s="68"/>
      <c r="AT42" s="69"/>
      <c r="AU42" s="70">
        <v>4380</v>
      </c>
      <c r="AV42" s="71">
        <v>4120</v>
      </c>
      <c r="AW42" s="68"/>
      <c r="AX42" s="68"/>
      <c r="AY42" s="68"/>
      <c r="AZ42" s="68"/>
      <c r="BA42" s="68"/>
      <c r="BB42" s="68"/>
      <c r="BC42" s="68"/>
      <c r="BD42" s="68"/>
      <c r="BE42" s="68"/>
      <c r="BF42" s="69"/>
      <c r="BG42" s="66">
        <v>1.07</v>
      </c>
      <c r="BH42" s="67">
        <v>1.1000000000000001</v>
      </c>
      <c r="BI42" s="68"/>
      <c r="BJ42" s="68"/>
      <c r="BK42" s="68"/>
      <c r="BL42" s="68"/>
      <c r="BM42" s="68"/>
      <c r="BN42" s="68"/>
      <c r="BO42" s="68"/>
      <c r="BP42" s="68"/>
      <c r="BQ42" s="68"/>
      <c r="BR42" s="69"/>
      <c r="BS42" s="66">
        <v>1</v>
      </c>
      <c r="BT42" s="67">
        <v>0.995</v>
      </c>
      <c r="BU42" s="68"/>
      <c r="BV42" s="68"/>
      <c r="BW42" s="68"/>
      <c r="BX42" s="68"/>
      <c r="BY42" s="68"/>
      <c r="BZ42" s="68"/>
      <c r="CA42" s="68"/>
      <c r="CB42" s="68"/>
      <c r="CC42" s="68"/>
      <c r="CD42" s="69"/>
      <c r="CE42" s="72">
        <v>11</v>
      </c>
      <c r="CF42" s="73">
        <v>12</v>
      </c>
      <c r="CG42" s="68"/>
      <c r="CH42" s="68"/>
      <c r="CI42" s="68"/>
      <c r="CJ42" s="68"/>
      <c r="CK42" s="68"/>
      <c r="CL42" s="68"/>
      <c r="CM42" s="68"/>
      <c r="CN42" s="68"/>
      <c r="CO42" s="68"/>
    </row>
    <row r="43" spans="2:93" outlineLevel="1" x14ac:dyDescent="0.25">
      <c r="D43" s="1259"/>
      <c r="E43" s="1260" t="str">
        <f t="shared" si="9"/>
        <v>LED &lt;=20 Watt Lamp Replacing Interior Halogen PAR 48-90 Watt Lamp</v>
      </c>
      <c r="F43" s="74">
        <v>72</v>
      </c>
      <c r="G43" s="74">
        <v>12.8</v>
      </c>
      <c r="H43" s="75">
        <v>4003</v>
      </c>
      <c r="I43" s="74">
        <v>1.0900000000000001</v>
      </c>
      <c r="J43" s="74">
        <v>0.99</v>
      </c>
      <c r="K43" s="51">
        <v>12</v>
      </c>
      <c r="U43" s="1264"/>
      <c r="V43" s="65" t="str">
        <f t="shared" si="10"/>
        <v>LED &lt;=20 Watt Lamp Replacing Interior Halogen PAR 48-90 Watt Lamp</v>
      </c>
      <c r="W43" s="66">
        <v>70</v>
      </c>
      <c r="X43" s="67">
        <v>72</v>
      </c>
      <c r="Y43" s="68"/>
      <c r="Z43" s="68"/>
      <c r="AA43" s="68"/>
      <c r="AB43" s="68"/>
      <c r="AC43" s="68"/>
      <c r="AD43" s="68"/>
      <c r="AE43" s="68"/>
      <c r="AF43" s="68"/>
      <c r="AG43" s="68"/>
      <c r="AH43" s="80"/>
      <c r="AI43" s="66">
        <v>15</v>
      </c>
      <c r="AJ43" s="67">
        <v>12.8</v>
      </c>
      <c r="AK43" s="68"/>
      <c r="AL43" s="68"/>
      <c r="AM43" s="68"/>
      <c r="AN43" s="68"/>
      <c r="AO43" s="68"/>
      <c r="AP43" s="68"/>
      <c r="AQ43" s="68"/>
      <c r="AR43" s="68"/>
      <c r="AS43" s="68"/>
      <c r="AT43" s="80"/>
      <c r="AU43" s="70">
        <v>4380</v>
      </c>
      <c r="AV43" s="71">
        <v>4003</v>
      </c>
      <c r="AW43" s="68"/>
      <c r="AX43" s="68"/>
      <c r="AY43" s="68"/>
      <c r="AZ43" s="68"/>
      <c r="BA43" s="68"/>
      <c r="BB43" s="68"/>
      <c r="BC43" s="68"/>
      <c r="BD43" s="68"/>
      <c r="BE43" s="68"/>
      <c r="BF43" s="80"/>
      <c r="BG43" s="66">
        <v>1.07</v>
      </c>
      <c r="BH43" s="67">
        <v>1.0900000000000001</v>
      </c>
      <c r="BI43" s="68"/>
      <c r="BJ43" s="68"/>
      <c r="BK43" s="68"/>
      <c r="BL43" s="68"/>
      <c r="BM43" s="68"/>
      <c r="BN43" s="68"/>
      <c r="BO43" s="68"/>
      <c r="BP43" s="68"/>
      <c r="BQ43" s="68"/>
      <c r="BR43" s="80"/>
      <c r="BS43" s="66">
        <v>1</v>
      </c>
      <c r="BT43" s="67">
        <v>0.99</v>
      </c>
      <c r="BU43" s="68"/>
      <c r="BV43" s="68"/>
      <c r="BW43" s="68"/>
      <c r="BX43" s="68"/>
      <c r="BY43" s="68"/>
      <c r="BZ43" s="68"/>
      <c r="CA43" s="68"/>
      <c r="CB43" s="68"/>
      <c r="CC43" s="68"/>
      <c r="CD43" s="80"/>
      <c r="CE43" s="72">
        <v>11</v>
      </c>
      <c r="CF43" s="73">
        <v>12</v>
      </c>
      <c r="CG43" s="68"/>
      <c r="CH43" s="68"/>
      <c r="CI43" s="68"/>
      <c r="CJ43" s="68"/>
      <c r="CK43" s="68"/>
      <c r="CL43" s="68"/>
      <c r="CM43" s="68"/>
      <c r="CN43" s="68"/>
      <c r="CO43" s="68"/>
    </row>
    <row r="44" spans="2:93" outlineLevel="1" x14ac:dyDescent="0.25">
      <c r="D44" s="1259"/>
      <c r="E44" s="992" t="str">
        <f t="shared" si="9"/>
        <v>LED &lt;=80 Watt Lamp or Fixture Replacing Interior HID 100-175 Watt Lamp or Fixture</v>
      </c>
      <c r="F44" s="74">
        <v>132</v>
      </c>
      <c r="G44" s="74">
        <v>48</v>
      </c>
      <c r="H44" s="75">
        <v>4399</v>
      </c>
      <c r="I44" s="74">
        <v>1</v>
      </c>
      <c r="J44" s="74">
        <v>1</v>
      </c>
      <c r="K44" s="51">
        <v>11</v>
      </c>
      <c r="U44" s="1264"/>
      <c r="V44" s="65" t="str">
        <f t="shared" si="10"/>
        <v>LED &lt;=80 Watt Lamp or Fixture Replacing Interior HID 100-175 Watt Lamp or Fixture</v>
      </c>
      <c r="W44" s="66">
        <v>175</v>
      </c>
      <c r="X44" s="67">
        <v>132</v>
      </c>
      <c r="Y44" s="68"/>
      <c r="Z44" s="68"/>
      <c r="AA44" s="68"/>
      <c r="AB44" s="68"/>
      <c r="AC44" s="68"/>
      <c r="AD44" s="68"/>
      <c r="AE44" s="68"/>
      <c r="AF44" s="68"/>
      <c r="AG44" s="68"/>
      <c r="AH44" s="80"/>
      <c r="AI44" s="66">
        <v>52</v>
      </c>
      <c r="AJ44" s="67">
        <v>48</v>
      </c>
      <c r="AK44" s="68"/>
      <c r="AL44" s="68"/>
      <c r="AM44" s="68"/>
      <c r="AN44" s="68"/>
      <c r="AO44" s="68"/>
      <c r="AP44" s="68"/>
      <c r="AQ44" s="68"/>
      <c r="AR44" s="68"/>
      <c r="AS44" s="68"/>
      <c r="AT44" s="80"/>
      <c r="AU44" s="70">
        <v>4380</v>
      </c>
      <c r="AV44" s="71">
        <v>4399</v>
      </c>
      <c r="AW44" s="68"/>
      <c r="AX44" s="68"/>
      <c r="AY44" s="68"/>
      <c r="AZ44" s="68"/>
      <c r="BA44" s="68"/>
      <c r="BB44" s="68"/>
      <c r="BC44" s="68"/>
      <c r="BD44" s="68"/>
      <c r="BE44" s="68"/>
      <c r="BF44" s="80"/>
      <c r="BG44" s="66">
        <v>1.07</v>
      </c>
      <c r="BH44" s="67">
        <v>1</v>
      </c>
      <c r="BI44" s="68"/>
      <c r="BJ44" s="68"/>
      <c r="BK44" s="68"/>
      <c r="BL44" s="68"/>
      <c r="BM44" s="68"/>
      <c r="BN44" s="68"/>
      <c r="BO44" s="68"/>
      <c r="BP44" s="68"/>
      <c r="BQ44" s="68"/>
      <c r="BR44" s="80"/>
      <c r="BS44" s="66">
        <v>1</v>
      </c>
      <c r="BT44" s="81">
        <v>1</v>
      </c>
      <c r="BU44" s="68"/>
      <c r="BV44" s="68"/>
      <c r="BW44" s="68"/>
      <c r="BX44" s="68"/>
      <c r="BY44" s="68"/>
      <c r="BZ44" s="68"/>
      <c r="CA44" s="68"/>
      <c r="CB44" s="68"/>
      <c r="CC44" s="68"/>
      <c r="CD44" s="80"/>
      <c r="CE44" s="72">
        <v>11</v>
      </c>
      <c r="CF44" s="82">
        <v>11</v>
      </c>
      <c r="CG44" s="68"/>
      <c r="CH44" s="68"/>
      <c r="CI44" s="68"/>
      <c r="CJ44" s="68"/>
      <c r="CK44" s="68"/>
      <c r="CL44" s="68"/>
      <c r="CM44" s="68"/>
      <c r="CN44" s="68"/>
      <c r="CO44" s="68"/>
    </row>
    <row r="45" spans="2:93" outlineLevel="1" x14ac:dyDescent="0.25">
      <c r="D45" s="1259"/>
      <c r="E45" s="992" t="str">
        <f t="shared" si="9"/>
        <v>LED 62 - 130 Watt Lamp or Fixture Replacing Interior HID 176-300 Watt Lamp or Fixture</v>
      </c>
      <c r="F45" s="74">
        <v>262</v>
      </c>
      <c r="G45" s="74">
        <v>92</v>
      </c>
      <c r="H45" s="75">
        <v>4954.4778036070838</v>
      </c>
      <c r="I45" s="74">
        <v>1.05</v>
      </c>
      <c r="J45" s="74">
        <v>1</v>
      </c>
      <c r="K45" s="51">
        <v>10</v>
      </c>
      <c r="U45" s="1264"/>
      <c r="V45" s="65" t="str">
        <f t="shared" si="10"/>
        <v>LED 62 - 130 Watt Lamp or Fixture Replacing Interior HID 176-300 Watt Lamp or Fixture</v>
      </c>
      <c r="W45" s="66">
        <v>250</v>
      </c>
      <c r="X45" s="67">
        <v>262</v>
      </c>
      <c r="Y45" s="68"/>
      <c r="Z45" s="68"/>
      <c r="AA45" s="68"/>
      <c r="AB45" s="68"/>
      <c r="AC45" s="68"/>
      <c r="AD45" s="68"/>
      <c r="AE45" s="68"/>
      <c r="AF45" s="68"/>
      <c r="AG45" s="68"/>
      <c r="AH45" s="80"/>
      <c r="AI45" s="66">
        <v>100</v>
      </c>
      <c r="AJ45" s="67">
        <v>92</v>
      </c>
      <c r="AK45" s="68"/>
      <c r="AL45" s="68"/>
      <c r="AM45" s="68"/>
      <c r="AN45" s="68"/>
      <c r="AO45" s="68"/>
      <c r="AP45" s="68"/>
      <c r="AQ45" s="68"/>
      <c r="AR45" s="68"/>
      <c r="AS45" s="68"/>
      <c r="AT45" s="80"/>
      <c r="AU45" s="70">
        <v>4380</v>
      </c>
      <c r="AV45" s="71">
        <v>4954.4778036070838</v>
      </c>
      <c r="AW45" s="68"/>
      <c r="AX45" s="68"/>
      <c r="AY45" s="68"/>
      <c r="AZ45" s="68"/>
      <c r="BA45" s="68"/>
      <c r="BB45" s="68"/>
      <c r="BC45" s="68"/>
      <c r="BD45" s="68"/>
      <c r="BE45" s="68"/>
      <c r="BF45" s="80"/>
      <c r="BG45" s="66">
        <v>1.07</v>
      </c>
      <c r="BH45" s="67">
        <v>1.05</v>
      </c>
      <c r="BI45" s="68"/>
      <c r="BJ45" s="68"/>
      <c r="BK45" s="68"/>
      <c r="BL45" s="68"/>
      <c r="BM45" s="68"/>
      <c r="BN45" s="68"/>
      <c r="BO45" s="68"/>
      <c r="BP45" s="68"/>
      <c r="BQ45" s="68"/>
      <c r="BR45" s="80"/>
      <c r="BS45" s="66">
        <v>1</v>
      </c>
      <c r="BT45" s="81">
        <v>1</v>
      </c>
      <c r="BU45" s="68"/>
      <c r="BV45" s="68"/>
      <c r="BW45" s="68"/>
      <c r="BX45" s="68"/>
      <c r="BY45" s="68"/>
      <c r="BZ45" s="68"/>
      <c r="CA45" s="68"/>
      <c r="CB45" s="68"/>
      <c r="CC45" s="68"/>
      <c r="CD45" s="80"/>
      <c r="CE45" s="72">
        <v>11</v>
      </c>
      <c r="CF45" s="73">
        <v>10</v>
      </c>
      <c r="CG45" s="68"/>
      <c r="CH45" s="68"/>
      <c r="CI45" s="68"/>
      <c r="CJ45" s="68"/>
      <c r="CK45" s="68"/>
      <c r="CL45" s="68"/>
      <c r="CM45" s="68"/>
      <c r="CN45" s="68"/>
      <c r="CO45" s="68"/>
    </row>
    <row r="46" spans="2:93" outlineLevel="1" x14ac:dyDescent="0.25">
      <c r="D46" s="1259"/>
      <c r="E46" s="1260" t="str">
        <f t="shared" si="9"/>
        <v>LED 85 - 225 Watt Lamp or Fixture Replacing Interior HID 301-500 Watt Lamp or Fixture</v>
      </c>
      <c r="F46" s="74">
        <v>444</v>
      </c>
      <c r="G46" s="74">
        <v>136</v>
      </c>
      <c r="H46" s="75">
        <v>4425.1429410031269</v>
      </c>
      <c r="I46" s="74">
        <v>1.08</v>
      </c>
      <c r="J46" s="74">
        <v>1</v>
      </c>
      <c r="K46" s="51">
        <v>11</v>
      </c>
      <c r="U46" s="1264"/>
      <c r="V46" s="65" t="str">
        <f t="shared" si="10"/>
        <v>LED 85 - 225 Watt Lamp or Fixture Replacing Interior HID 301-500 Watt Lamp or Fixture</v>
      </c>
      <c r="W46" s="66">
        <v>400</v>
      </c>
      <c r="X46" s="67">
        <v>444</v>
      </c>
      <c r="Y46" s="68"/>
      <c r="Z46" s="68"/>
      <c r="AA46" s="68"/>
      <c r="AB46" s="68"/>
      <c r="AC46" s="68"/>
      <c r="AD46" s="68"/>
      <c r="AE46" s="68"/>
      <c r="AF46" s="68"/>
      <c r="AG46" s="68"/>
      <c r="AH46" s="80"/>
      <c r="AI46" s="66">
        <v>142</v>
      </c>
      <c r="AJ46" s="67">
        <v>136</v>
      </c>
      <c r="AK46" s="68"/>
      <c r="AL46" s="68"/>
      <c r="AM46" s="68"/>
      <c r="AN46" s="68"/>
      <c r="AO46" s="68"/>
      <c r="AP46" s="68"/>
      <c r="AQ46" s="68"/>
      <c r="AR46" s="68"/>
      <c r="AS46" s="68"/>
      <c r="AT46" s="80"/>
      <c r="AU46" s="70">
        <v>4380</v>
      </c>
      <c r="AV46" s="71">
        <v>4425.1429410031269</v>
      </c>
      <c r="AW46" s="68"/>
      <c r="AX46" s="68"/>
      <c r="AY46" s="68"/>
      <c r="AZ46" s="68"/>
      <c r="BA46" s="68"/>
      <c r="BB46" s="68"/>
      <c r="BC46" s="68"/>
      <c r="BD46" s="68"/>
      <c r="BE46" s="68"/>
      <c r="BF46" s="80"/>
      <c r="BG46" s="66">
        <v>1.07</v>
      </c>
      <c r="BH46" s="67">
        <v>1.08</v>
      </c>
      <c r="BI46" s="68"/>
      <c r="BJ46" s="68"/>
      <c r="BK46" s="68"/>
      <c r="BL46" s="68"/>
      <c r="BM46" s="68"/>
      <c r="BN46" s="68"/>
      <c r="BO46" s="68"/>
      <c r="BP46" s="68"/>
      <c r="BQ46" s="68"/>
      <c r="BR46" s="80"/>
      <c r="BS46" s="66">
        <v>1</v>
      </c>
      <c r="BT46" s="81">
        <v>1</v>
      </c>
      <c r="BU46" s="68"/>
      <c r="BV46" s="68"/>
      <c r="BW46" s="68"/>
      <c r="BX46" s="68"/>
      <c r="BY46" s="68"/>
      <c r="BZ46" s="68"/>
      <c r="CA46" s="68"/>
      <c r="CB46" s="68"/>
      <c r="CC46" s="68"/>
      <c r="CD46" s="80"/>
      <c r="CE46" s="72">
        <v>11</v>
      </c>
      <c r="CF46" s="82">
        <v>11</v>
      </c>
      <c r="CG46" s="68"/>
      <c r="CH46" s="68"/>
      <c r="CI46" s="68"/>
      <c r="CJ46" s="68"/>
      <c r="CK46" s="68"/>
      <c r="CL46" s="68"/>
      <c r="CM46" s="68"/>
      <c r="CN46" s="68"/>
      <c r="CO46" s="68"/>
    </row>
    <row r="47" spans="2:93" outlineLevel="1" x14ac:dyDescent="0.25">
      <c r="D47" s="1259"/>
      <c r="E47" s="1260" t="str">
        <f t="shared" si="9"/>
        <v>LED &lt;=80 Watt Lamp or Fixture Replacing Garage or Exterior &lt;24/7 HID 100-175 Watt Lamp or Fixture</v>
      </c>
      <c r="F47" s="74">
        <v>147</v>
      </c>
      <c r="G47" s="74">
        <v>50</v>
      </c>
      <c r="H47" s="75">
        <v>4600</v>
      </c>
      <c r="I47" s="74">
        <v>1.02</v>
      </c>
      <c r="J47" s="74">
        <v>1</v>
      </c>
      <c r="K47" s="51">
        <v>11</v>
      </c>
      <c r="U47" s="1264"/>
      <c r="V47" s="65" t="str">
        <f t="shared" si="10"/>
        <v>LED &lt;=80 Watt Lamp or Fixture Replacing Garage or Exterior &lt;24/7 HID 100-175 Watt Lamp or Fixture</v>
      </c>
      <c r="W47" s="66">
        <v>175</v>
      </c>
      <c r="X47" s="67">
        <v>147</v>
      </c>
      <c r="Y47" s="68"/>
      <c r="Z47" s="68"/>
      <c r="AA47" s="68"/>
      <c r="AB47" s="68"/>
      <c r="AC47" s="68"/>
      <c r="AD47" s="68"/>
      <c r="AE47" s="68"/>
      <c r="AF47" s="68"/>
      <c r="AG47" s="68"/>
      <c r="AH47" s="80"/>
      <c r="AI47" s="66">
        <v>52</v>
      </c>
      <c r="AJ47" s="67">
        <v>50</v>
      </c>
      <c r="AK47" s="68"/>
      <c r="AL47" s="68"/>
      <c r="AM47" s="68"/>
      <c r="AN47" s="68"/>
      <c r="AO47" s="68"/>
      <c r="AP47" s="68"/>
      <c r="AQ47" s="68"/>
      <c r="AR47" s="68"/>
      <c r="AS47" s="68"/>
      <c r="AT47" s="80"/>
      <c r="AU47" s="70">
        <v>3572.7642276422762</v>
      </c>
      <c r="AV47" s="71">
        <v>4600</v>
      </c>
      <c r="AW47" s="68"/>
      <c r="AX47" s="68"/>
      <c r="AY47" s="68"/>
      <c r="AZ47" s="68"/>
      <c r="BA47" s="68"/>
      <c r="BB47" s="68"/>
      <c r="BC47" s="68"/>
      <c r="BD47" s="68"/>
      <c r="BE47" s="68"/>
      <c r="BF47" s="80"/>
      <c r="BG47" s="66">
        <v>1</v>
      </c>
      <c r="BH47" s="67">
        <v>1.02</v>
      </c>
      <c r="BI47" s="68"/>
      <c r="BJ47" s="68"/>
      <c r="BK47" s="68"/>
      <c r="BL47" s="68"/>
      <c r="BM47" s="68"/>
      <c r="BN47" s="68"/>
      <c r="BO47" s="68"/>
      <c r="BP47" s="68"/>
      <c r="BQ47" s="68"/>
      <c r="BR47" s="80"/>
      <c r="BS47" s="66">
        <v>1</v>
      </c>
      <c r="BT47" s="81">
        <v>1</v>
      </c>
      <c r="BU47" s="68"/>
      <c r="BV47" s="68"/>
      <c r="BW47" s="68"/>
      <c r="BX47" s="68"/>
      <c r="BY47" s="68"/>
      <c r="BZ47" s="68"/>
      <c r="CA47" s="68"/>
      <c r="CB47" s="68"/>
      <c r="CC47" s="68"/>
      <c r="CD47" s="80"/>
      <c r="CE47" s="72">
        <v>14</v>
      </c>
      <c r="CF47" s="73">
        <v>11</v>
      </c>
      <c r="CG47" s="68"/>
      <c r="CH47" s="68"/>
      <c r="CI47" s="68"/>
      <c r="CJ47" s="68"/>
      <c r="CK47" s="68"/>
      <c r="CL47" s="68"/>
      <c r="CM47" s="68"/>
      <c r="CN47" s="68"/>
      <c r="CO47" s="68"/>
    </row>
    <row r="48" spans="2:93" outlineLevel="1" x14ac:dyDescent="0.25">
      <c r="D48" s="1259"/>
      <c r="E48" s="1260" t="str">
        <f t="shared" si="9"/>
        <v>LED 62 - 130 Watt Lamp or Fixture Replacing Garage or Exterior &lt;24/7 HID 176-300 Watt Lamp or Fixture</v>
      </c>
      <c r="F48" s="74">
        <v>262</v>
      </c>
      <c r="G48" s="74">
        <v>95</v>
      </c>
      <c r="H48" s="75">
        <v>4315.6438177727669</v>
      </c>
      <c r="I48" s="74">
        <v>1.07</v>
      </c>
      <c r="J48" s="74">
        <v>0.99</v>
      </c>
      <c r="K48" s="51">
        <v>12</v>
      </c>
      <c r="U48" s="1264"/>
      <c r="V48" s="65" t="str">
        <f t="shared" si="10"/>
        <v>LED 62 - 130 Watt Lamp or Fixture Replacing Garage or Exterior &lt;24/7 HID 176-300 Watt Lamp or Fixture</v>
      </c>
      <c r="W48" s="66">
        <v>280</v>
      </c>
      <c r="X48" s="67">
        <v>262</v>
      </c>
      <c r="Y48" s="68"/>
      <c r="Z48" s="68"/>
      <c r="AA48" s="68"/>
      <c r="AB48" s="68"/>
      <c r="AC48" s="68"/>
      <c r="AD48" s="68"/>
      <c r="AE48" s="68"/>
      <c r="AF48" s="68"/>
      <c r="AG48" s="68"/>
      <c r="AH48" s="80"/>
      <c r="AI48" s="66">
        <v>90</v>
      </c>
      <c r="AJ48" s="67">
        <v>95</v>
      </c>
      <c r="AK48" s="68"/>
      <c r="AL48" s="68"/>
      <c r="AM48" s="68"/>
      <c r="AN48" s="68"/>
      <c r="AO48" s="68"/>
      <c r="AP48" s="68"/>
      <c r="AQ48" s="68"/>
      <c r="AR48" s="68"/>
      <c r="AS48" s="68"/>
      <c r="AT48" s="80"/>
      <c r="AU48" s="70">
        <v>5513.3333333333339</v>
      </c>
      <c r="AV48" s="71">
        <v>4315.6438177727669</v>
      </c>
      <c r="AW48" s="68"/>
      <c r="AX48" s="68"/>
      <c r="AY48" s="68"/>
      <c r="AZ48" s="68"/>
      <c r="BA48" s="68"/>
      <c r="BB48" s="68"/>
      <c r="BC48" s="68"/>
      <c r="BD48" s="68"/>
      <c r="BE48" s="68"/>
      <c r="BF48" s="80"/>
      <c r="BG48" s="66">
        <v>1</v>
      </c>
      <c r="BH48" s="67">
        <v>1.07</v>
      </c>
      <c r="BI48" s="68"/>
      <c r="BJ48" s="68"/>
      <c r="BK48" s="68"/>
      <c r="BL48" s="68"/>
      <c r="BM48" s="68"/>
      <c r="BN48" s="68"/>
      <c r="BO48" s="68"/>
      <c r="BP48" s="68"/>
      <c r="BQ48" s="68"/>
      <c r="BR48" s="80"/>
      <c r="BS48" s="66">
        <v>1</v>
      </c>
      <c r="BT48" s="67">
        <v>0.99</v>
      </c>
      <c r="BU48" s="68"/>
      <c r="BV48" s="68"/>
      <c r="BW48" s="68"/>
      <c r="BX48" s="68"/>
      <c r="BY48" s="68"/>
      <c r="BZ48" s="68"/>
      <c r="CA48" s="68"/>
      <c r="CB48" s="68"/>
      <c r="CC48" s="68"/>
      <c r="CD48" s="80"/>
      <c r="CE48" s="72">
        <v>9</v>
      </c>
      <c r="CF48" s="73">
        <v>12</v>
      </c>
      <c r="CG48" s="68"/>
      <c r="CH48" s="68"/>
      <c r="CI48" s="68"/>
      <c r="CJ48" s="68"/>
      <c r="CK48" s="68"/>
      <c r="CL48" s="68"/>
      <c r="CM48" s="68"/>
      <c r="CN48" s="68"/>
      <c r="CO48" s="68"/>
    </row>
    <row r="49" spans="2:93" outlineLevel="1" x14ac:dyDescent="0.25">
      <c r="D49" s="1259"/>
      <c r="E49" s="1260" t="str">
        <f t="shared" si="9"/>
        <v>LED 85 - 225 Watt Lamp or Fixture Replacing Garage or Exterior &lt;24/7 HID 301-500 Watt Lamp or Fixture</v>
      </c>
      <c r="F49" s="74">
        <v>410</v>
      </c>
      <c r="G49" s="74">
        <v>178</v>
      </c>
      <c r="H49" s="75">
        <v>4327.2752333555545</v>
      </c>
      <c r="I49" s="74">
        <v>1.07</v>
      </c>
      <c r="J49" s="74">
        <v>1</v>
      </c>
      <c r="K49" s="51">
        <v>12</v>
      </c>
      <c r="U49" s="1264"/>
      <c r="V49" s="65" t="str">
        <f t="shared" si="10"/>
        <v>LED 85 - 225 Watt Lamp or Fixture Replacing Garage or Exterior &lt;24/7 HID 301-500 Watt Lamp or Fixture</v>
      </c>
      <c r="W49" s="66">
        <v>400</v>
      </c>
      <c r="X49" s="67">
        <v>410</v>
      </c>
      <c r="Y49" s="68"/>
      <c r="Z49" s="68"/>
      <c r="AA49" s="68"/>
      <c r="AB49" s="68"/>
      <c r="AC49" s="68"/>
      <c r="AD49" s="68"/>
      <c r="AE49" s="68"/>
      <c r="AF49" s="68"/>
      <c r="AG49" s="68"/>
      <c r="AH49" s="80"/>
      <c r="AI49" s="66">
        <v>120</v>
      </c>
      <c r="AJ49" s="67">
        <v>178</v>
      </c>
      <c r="AK49" s="68"/>
      <c r="AL49" s="68"/>
      <c r="AM49" s="68"/>
      <c r="AN49" s="68"/>
      <c r="AO49" s="68"/>
      <c r="AP49" s="68"/>
      <c r="AQ49" s="68"/>
      <c r="AR49" s="68"/>
      <c r="AS49" s="68"/>
      <c r="AT49" s="80"/>
      <c r="AU49" s="70">
        <v>3414.8214285714275</v>
      </c>
      <c r="AV49" s="71">
        <v>4327.2752333555545</v>
      </c>
      <c r="AW49" s="68"/>
      <c r="AX49" s="68"/>
      <c r="AY49" s="68"/>
      <c r="AZ49" s="68"/>
      <c r="BA49" s="68"/>
      <c r="BB49" s="68"/>
      <c r="BC49" s="68"/>
      <c r="BD49" s="68"/>
      <c r="BE49" s="68"/>
      <c r="BF49" s="80"/>
      <c r="BG49" s="66">
        <v>1</v>
      </c>
      <c r="BH49" s="67">
        <v>1.07</v>
      </c>
      <c r="BI49" s="68"/>
      <c r="BJ49" s="68"/>
      <c r="BK49" s="68"/>
      <c r="BL49" s="68"/>
      <c r="BM49" s="68"/>
      <c r="BN49" s="68"/>
      <c r="BO49" s="68"/>
      <c r="BP49" s="68"/>
      <c r="BQ49" s="68"/>
      <c r="BR49" s="80"/>
      <c r="BS49" s="66">
        <v>1</v>
      </c>
      <c r="BT49" s="81">
        <v>1</v>
      </c>
      <c r="BU49" s="68"/>
      <c r="BV49" s="68"/>
      <c r="BW49" s="68"/>
      <c r="BX49" s="68"/>
      <c r="BY49" s="68"/>
      <c r="BZ49" s="68"/>
      <c r="CA49" s="68"/>
      <c r="CB49" s="68"/>
      <c r="CC49" s="68"/>
      <c r="CD49" s="80"/>
      <c r="CE49" s="72">
        <v>15</v>
      </c>
      <c r="CF49" s="73">
        <v>12</v>
      </c>
      <c r="CG49" s="68"/>
      <c r="CH49" s="68"/>
      <c r="CI49" s="68"/>
      <c r="CJ49" s="68"/>
      <c r="CK49" s="68"/>
      <c r="CL49" s="68"/>
      <c r="CM49" s="68"/>
      <c r="CN49" s="68"/>
      <c r="CO49" s="68"/>
    </row>
    <row r="50" spans="2:93" outlineLevel="1" x14ac:dyDescent="0.25">
      <c r="D50" s="1259"/>
      <c r="E50" s="1260" t="str">
        <f t="shared" si="9"/>
        <v>LED &lt;=80 Watt Lamp or Fixture Replacing Garage or Exterior 24/7 HID 100-175 Watt Lamp or Fixture Misc.</v>
      </c>
      <c r="F50" s="74">
        <v>125</v>
      </c>
      <c r="G50" s="74">
        <v>45</v>
      </c>
      <c r="H50" s="75">
        <v>8759</v>
      </c>
      <c r="I50" s="74">
        <v>1</v>
      </c>
      <c r="J50" s="74">
        <v>1</v>
      </c>
      <c r="K50" s="51">
        <v>6</v>
      </c>
      <c r="U50" s="1264"/>
      <c r="V50" s="65" t="str">
        <f t="shared" si="10"/>
        <v>LED &lt;=80 Watt Lamp or Fixture Replacing Garage or Exterior 24/7 HID 100-175 Watt Lamp or Fixture Misc.</v>
      </c>
      <c r="W50" s="66">
        <v>175</v>
      </c>
      <c r="X50" s="67">
        <v>125</v>
      </c>
      <c r="Y50" s="68"/>
      <c r="Z50" s="68"/>
      <c r="AA50" s="68"/>
      <c r="AB50" s="68"/>
      <c r="AC50" s="68"/>
      <c r="AD50" s="68"/>
      <c r="AE50" s="68"/>
      <c r="AF50" s="68"/>
      <c r="AG50" s="68"/>
      <c r="AH50" s="80"/>
      <c r="AI50" s="66">
        <v>52</v>
      </c>
      <c r="AJ50" s="67">
        <v>45</v>
      </c>
      <c r="AK50" s="68"/>
      <c r="AL50" s="68"/>
      <c r="AM50" s="68"/>
      <c r="AN50" s="68"/>
      <c r="AO50" s="68"/>
      <c r="AP50" s="68"/>
      <c r="AQ50" s="68"/>
      <c r="AR50" s="68"/>
      <c r="AS50" s="68"/>
      <c r="AT50" s="80"/>
      <c r="AU50" s="70">
        <v>8760</v>
      </c>
      <c r="AV50" s="71">
        <v>8759</v>
      </c>
      <c r="AW50" s="68"/>
      <c r="AX50" s="68"/>
      <c r="AY50" s="68"/>
      <c r="AZ50" s="68"/>
      <c r="BA50" s="68"/>
      <c r="BB50" s="68"/>
      <c r="BC50" s="68"/>
      <c r="BD50" s="68"/>
      <c r="BE50" s="68"/>
      <c r="BF50" s="80"/>
      <c r="BG50" s="66">
        <v>1</v>
      </c>
      <c r="BH50" s="81">
        <v>1</v>
      </c>
      <c r="BI50" s="68"/>
      <c r="BJ50" s="68"/>
      <c r="BK50" s="68"/>
      <c r="BL50" s="68"/>
      <c r="BM50" s="68"/>
      <c r="BN50" s="68"/>
      <c r="BO50" s="68"/>
      <c r="BP50" s="68"/>
      <c r="BQ50" s="68"/>
      <c r="BR50" s="80"/>
      <c r="BS50" s="66">
        <v>1</v>
      </c>
      <c r="BT50" s="81">
        <v>1</v>
      </c>
      <c r="BU50" s="68"/>
      <c r="BV50" s="68"/>
      <c r="BW50" s="68"/>
      <c r="BX50" s="68"/>
      <c r="BY50" s="68"/>
      <c r="BZ50" s="68"/>
      <c r="CA50" s="68"/>
      <c r="CB50" s="68"/>
      <c r="CC50" s="68"/>
      <c r="CD50" s="80"/>
      <c r="CE50" s="72">
        <v>6</v>
      </c>
      <c r="CF50" s="82">
        <v>6</v>
      </c>
      <c r="CG50" s="68"/>
      <c r="CH50" s="68"/>
      <c r="CI50" s="68"/>
      <c r="CJ50" s="68"/>
      <c r="CK50" s="68"/>
      <c r="CL50" s="68"/>
      <c r="CM50" s="68"/>
      <c r="CN50" s="68"/>
      <c r="CO50" s="68"/>
    </row>
    <row r="51" spans="2:93" outlineLevel="1" x14ac:dyDescent="0.25">
      <c r="D51" s="1259"/>
      <c r="E51" s="1260" t="str">
        <f t="shared" si="9"/>
        <v>LED 62 - 130 Watt Lamp or Fixture Replacing Garage or Exterior 24/7 HID 176-300 Watt Lamp or Fixture Misc.</v>
      </c>
      <c r="F51" s="74">
        <v>262</v>
      </c>
      <c r="G51" s="74">
        <v>92</v>
      </c>
      <c r="H51" s="75">
        <v>8719.2325790390842</v>
      </c>
      <c r="I51" s="74">
        <v>1.05</v>
      </c>
      <c r="J51" s="74">
        <v>1</v>
      </c>
      <c r="K51" s="51">
        <v>6</v>
      </c>
      <c r="U51" s="1264"/>
      <c r="V51" s="65" t="str">
        <f t="shared" si="10"/>
        <v>LED 62 - 130 Watt Lamp or Fixture Replacing Garage or Exterior 24/7 HID 176-300 Watt Lamp or Fixture Misc.</v>
      </c>
      <c r="W51" s="66">
        <v>250</v>
      </c>
      <c r="X51" s="67">
        <v>262</v>
      </c>
      <c r="Y51" s="68"/>
      <c r="Z51" s="68"/>
      <c r="AA51" s="68"/>
      <c r="AB51" s="68"/>
      <c r="AC51" s="68"/>
      <c r="AD51" s="68"/>
      <c r="AE51" s="68"/>
      <c r="AF51" s="68"/>
      <c r="AG51" s="68"/>
      <c r="AH51" s="80"/>
      <c r="AI51" s="66">
        <v>100</v>
      </c>
      <c r="AJ51" s="67">
        <v>92</v>
      </c>
      <c r="AK51" s="68"/>
      <c r="AL51" s="68"/>
      <c r="AM51" s="68"/>
      <c r="AN51" s="68"/>
      <c r="AO51" s="68"/>
      <c r="AP51" s="68"/>
      <c r="AQ51" s="68"/>
      <c r="AR51" s="68"/>
      <c r="AS51" s="68"/>
      <c r="AT51" s="80"/>
      <c r="AU51" s="70">
        <v>8760</v>
      </c>
      <c r="AV51" s="71">
        <v>8719.2325790390842</v>
      </c>
      <c r="AW51" s="68"/>
      <c r="AX51" s="68"/>
      <c r="AY51" s="68"/>
      <c r="AZ51" s="68"/>
      <c r="BA51" s="68"/>
      <c r="BB51" s="68"/>
      <c r="BC51" s="68"/>
      <c r="BD51" s="68"/>
      <c r="BE51" s="68"/>
      <c r="BF51" s="80"/>
      <c r="BG51" s="66">
        <v>1</v>
      </c>
      <c r="BH51" s="67">
        <v>1.05</v>
      </c>
      <c r="BI51" s="68"/>
      <c r="BJ51" s="68"/>
      <c r="BK51" s="68"/>
      <c r="BL51" s="68"/>
      <c r="BM51" s="68"/>
      <c r="BN51" s="68"/>
      <c r="BO51" s="68"/>
      <c r="BP51" s="68"/>
      <c r="BQ51" s="68"/>
      <c r="BR51" s="80"/>
      <c r="BS51" s="66">
        <v>1</v>
      </c>
      <c r="BT51" s="81">
        <v>1</v>
      </c>
      <c r="BU51" s="68"/>
      <c r="BV51" s="68"/>
      <c r="BW51" s="68"/>
      <c r="BX51" s="68"/>
      <c r="BY51" s="68"/>
      <c r="BZ51" s="68"/>
      <c r="CA51" s="68"/>
      <c r="CB51" s="68"/>
      <c r="CC51" s="68"/>
      <c r="CD51" s="80"/>
      <c r="CE51" s="72">
        <v>6</v>
      </c>
      <c r="CF51" s="82">
        <v>6</v>
      </c>
      <c r="CG51" s="68"/>
      <c r="CH51" s="68"/>
      <c r="CI51" s="68"/>
      <c r="CJ51" s="68"/>
      <c r="CK51" s="68"/>
      <c r="CL51" s="68"/>
      <c r="CM51" s="68"/>
      <c r="CN51" s="68"/>
      <c r="CO51" s="68"/>
    </row>
    <row r="52" spans="2:93" outlineLevel="1" x14ac:dyDescent="0.25">
      <c r="D52" s="1259"/>
      <c r="E52" s="1260" t="str">
        <f t="shared" si="9"/>
        <v xml:space="preserve">LED 85 - 225 Watt Lamp or Fixture Replacing Garage or Exterior 24/7 HID 301-500 Watt Lamp or Fixture Misc. </v>
      </c>
      <c r="F52" s="74">
        <v>444</v>
      </c>
      <c r="G52" s="74">
        <v>136</v>
      </c>
      <c r="H52" s="75">
        <v>8628.3962689570162</v>
      </c>
      <c r="I52" s="74">
        <v>1.08</v>
      </c>
      <c r="J52" s="74">
        <v>1</v>
      </c>
      <c r="K52" s="51">
        <v>6</v>
      </c>
      <c r="U52" s="1264"/>
      <c r="V52" s="65" t="str">
        <f t="shared" si="10"/>
        <v xml:space="preserve">LED 85 - 225 Watt Lamp or Fixture Replacing Garage or Exterior 24/7 HID 301-500 Watt Lamp or Fixture Misc. </v>
      </c>
      <c r="W52" s="66">
        <v>400</v>
      </c>
      <c r="X52" s="67">
        <v>444</v>
      </c>
      <c r="Y52" s="68"/>
      <c r="Z52" s="68"/>
      <c r="AA52" s="68"/>
      <c r="AB52" s="68"/>
      <c r="AC52" s="68"/>
      <c r="AD52" s="68"/>
      <c r="AE52" s="68"/>
      <c r="AF52" s="68"/>
      <c r="AG52" s="68"/>
      <c r="AH52" s="80"/>
      <c r="AI52" s="66">
        <v>120</v>
      </c>
      <c r="AJ52" s="67">
        <v>136</v>
      </c>
      <c r="AK52" s="68"/>
      <c r="AL52" s="68"/>
      <c r="AM52" s="68"/>
      <c r="AN52" s="68"/>
      <c r="AO52" s="68"/>
      <c r="AP52" s="68"/>
      <c r="AQ52" s="68"/>
      <c r="AR52" s="68"/>
      <c r="AS52" s="68"/>
      <c r="AT52" s="80"/>
      <c r="AU52" s="70">
        <v>8760</v>
      </c>
      <c r="AV52" s="71">
        <v>8628.3962689570162</v>
      </c>
      <c r="AW52" s="68"/>
      <c r="AX52" s="68"/>
      <c r="AY52" s="68"/>
      <c r="AZ52" s="68"/>
      <c r="BA52" s="68"/>
      <c r="BB52" s="68"/>
      <c r="BC52" s="68"/>
      <c r="BD52" s="68"/>
      <c r="BE52" s="68"/>
      <c r="BF52" s="80"/>
      <c r="BG52" s="66">
        <v>1</v>
      </c>
      <c r="BH52" s="67">
        <v>1.08</v>
      </c>
      <c r="BI52" s="68"/>
      <c r="BJ52" s="68"/>
      <c r="BK52" s="68"/>
      <c r="BL52" s="68"/>
      <c r="BM52" s="68"/>
      <c r="BN52" s="68"/>
      <c r="BO52" s="68"/>
      <c r="BP52" s="68"/>
      <c r="BQ52" s="68"/>
      <c r="BR52" s="80"/>
      <c r="BS52" s="66">
        <v>1</v>
      </c>
      <c r="BT52" s="81">
        <v>1</v>
      </c>
      <c r="BU52" s="68"/>
      <c r="BV52" s="68"/>
      <c r="BW52" s="68"/>
      <c r="BX52" s="68"/>
      <c r="BY52" s="68"/>
      <c r="BZ52" s="68"/>
      <c r="CA52" s="68"/>
      <c r="CB52" s="68"/>
      <c r="CC52" s="68"/>
      <c r="CD52" s="80"/>
      <c r="CE52" s="72">
        <v>6</v>
      </c>
      <c r="CF52" s="82">
        <v>6</v>
      </c>
      <c r="CG52" s="68"/>
      <c r="CH52" s="68"/>
      <c r="CI52" s="68"/>
      <c r="CJ52" s="68"/>
      <c r="CK52" s="68"/>
      <c r="CL52" s="68"/>
      <c r="CM52" s="68"/>
      <c r="CN52" s="68"/>
      <c r="CO52" s="68"/>
    </row>
    <row r="53" spans="2:93" outlineLevel="1" x14ac:dyDescent="0.25">
      <c r="D53" s="1259"/>
      <c r="E53" s="1260" t="str">
        <f t="shared" si="9"/>
        <v>LED or Electroluminescent Replacing Interior Incandescent/CFL Exit Sign</v>
      </c>
      <c r="F53" s="74">
        <v>30</v>
      </c>
      <c r="G53" s="74">
        <v>3</v>
      </c>
      <c r="H53" s="75">
        <v>8760</v>
      </c>
      <c r="I53" s="74">
        <v>1.07</v>
      </c>
      <c r="J53" s="74">
        <v>1</v>
      </c>
      <c r="K53" s="51">
        <v>16</v>
      </c>
      <c r="U53" s="1264"/>
      <c r="V53" s="65" t="str">
        <f t="shared" si="10"/>
        <v>LED or Electroluminescent Replacing Interior Incandescent/CFL Exit Sign</v>
      </c>
      <c r="W53" s="66">
        <v>30</v>
      </c>
      <c r="X53" s="66">
        <v>30</v>
      </c>
      <c r="Y53" s="68"/>
      <c r="Z53" s="68"/>
      <c r="AA53" s="68"/>
      <c r="AB53" s="68"/>
      <c r="AC53" s="68"/>
      <c r="AD53" s="68"/>
      <c r="AE53" s="68"/>
      <c r="AF53" s="68"/>
      <c r="AG53" s="68"/>
      <c r="AH53" s="80"/>
      <c r="AI53" s="66">
        <v>3</v>
      </c>
      <c r="AJ53" s="81">
        <v>3</v>
      </c>
      <c r="AK53" s="68"/>
      <c r="AL53" s="68"/>
      <c r="AM53" s="68"/>
      <c r="AN53" s="68"/>
      <c r="AO53" s="68"/>
      <c r="AP53" s="68"/>
      <c r="AQ53" s="68"/>
      <c r="AR53" s="68"/>
      <c r="AS53" s="68"/>
      <c r="AT53" s="80"/>
      <c r="AU53" s="70">
        <v>8760</v>
      </c>
      <c r="AV53" s="83">
        <v>8760</v>
      </c>
      <c r="AW53" s="68"/>
      <c r="AX53" s="68"/>
      <c r="AY53" s="68"/>
      <c r="AZ53" s="68"/>
      <c r="BA53" s="68"/>
      <c r="BB53" s="68"/>
      <c r="BC53" s="68"/>
      <c r="BD53" s="68"/>
      <c r="BE53" s="68"/>
      <c r="BF53" s="80"/>
      <c r="BG53" s="66">
        <v>1.07</v>
      </c>
      <c r="BH53" s="66">
        <v>1.07</v>
      </c>
      <c r="BI53" s="68"/>
      <c r="BJ53" s="68"/>
      <c r="BK53" s="68"/>
      <c r="BL53" s="68"/>
      <c r="BM53" s="68"/>
      <c r="BN53" s="68"/>
      <c r="BO53" s="68"/>
      <c r="BP53" s="68"/>
      <c r="BQ53" s="68"/>
      <c r="BR53" s="80"/>
      <c r="BS53" s="66">
        <v>1</v>
      </c>
      <c r="BT53" s="76">
        <v>1</v>
      </c>
      <c r="BU53" s="68"/>
      <c r="BV53" s="68"/>
      <c r="BW53" s="68"/>
      <c r="BX53" s="68"/>
      <c r="BY53" s="68"/>
      <c r="BZ53" s="68"/>
      <c r="CA53" s="68"/>
      <c r="CB53" s="68"/>
      <c r="CC53" s="68"/>
      <c r="CD53" s="80"/>
      <c r="CE53" s="72">
        <v>16</v>
      </c>
      <c r="CF53" s="78">
        <v>16</v>
      </c>
      <c r="CG53" s="68"/>
      <c r="CH53" s="68"/>
      <c r="CI53" s="68"/>
      <c r="CJ53" s="68"/>
      <c r="CK53" s="68"/>
      <c r="CL53" s="68"/>
      <c r="CM53" s="68"/>
      <c r="CN53" s="68"/>
      <c r="CO53" s="68"/>
    </row>
    <row r="54" spans="2:93" outlineLevel="1" x14ac:dyDescent="0.25">
      <c r="D54" s="1259"/>
      <c r="E54" s="1260" t="str">
        <f t="shared" si="9"/>
        <v>LED Replacing Interior T5 Fluorescent</v>
      </c>
      <c r="F54" s="74">
        <v>60</v>
      </c>
      <c r="G54" s="74">
        <v>28</v>
      </c>
      <c r="H54" s="75">
        <v>6500</v>
      </c>
      <c r="I54" s="74">
        <v>1.07</v>
      </c>
      <c r="J54" s="74">
        <v>1</v>
      </c>
      <c r="K54" s="51">
        <v>8</v>
      </c>
      <c r="U54" s="1264"/>
      <c r="V54" s="65" t="str">
        <f t="shared" si="10"/>
        <v>LED Replacing Interior T5 Fluorescent</v>
      </c>
      <c r="W54" s="66">
        <v>60</v>
      </c>
      <c r="X54" s="66">
        <v>60</v>
      </c>
      <c r="Y54" s="68"/>
      <c r="Z54" s="68"/>
      <c r="AA54" s="68"/>
      <c r="AB54" s="68"/>
      <c r="AC54" s="68"/>
      <c r="AD54" s="68"/>
      <c r="AE54" s="68"/>
      <c r="AF54" s="68"/>
      <c r="AG54" s="68"/>
      <c r="AH54" s="80"/>
      <c r="AI54" s="66">
        <v>28</v>
      </c>
      <c r="AJ54" s="81">
        <v>28</v>
      </c>
      <c r="AK54" s="68"/>
      <c r="AL54" s="68"/>
      <c r="AM54" s="68"/>
      <c r="AN54" s="68"/>
      <c r="AO54" s="68"/>
      <c r="AP54" s="68"/>
      <c r="AQ54" s="68"/>
      <c r="AR54" s="68"/>
      <c r="AS54" s="68"/>
      <c r="AT54" s="80"/>
      <c r="AU54" s="70">
        <v>6500</v>
      </c>
      <c r="AV54" s="83">
        <v>6500</v>
      </c>
      <c r="AW54" s="68"/>
      <c r="AX54" s="68"/>
      <c r="AY54" s="68"/>
      <c r="AZ54" s="68"/>
      <c r="BA54" s="68"/>
      <c r="BB54" s="68"/>
      <c r="BC54" s="68"/>
      <c r="BD54" s="68"/>
      <c r="BE54" s="68"/>
      <c r="BF54" s="80"/>
      <c r="BG54" s="66">
        <v>1.07</v>
      </c>
      <c r="BH54" s="66">
        <v>1.07</v>
      </c>
      <c r="BI54" s="68"/>
      <c r="BJ54" s="68"/>
      <c r="BK54" s="68"/>
      <c r="BL54" s="68"/>
      <c r="BM54" s="68"/>
      <c r="BN54" s="68"/>
      <c r="BO54" s="68"/>
      <c r="BP54" s="68"/>
      <c r="BQ54" s="68"/>
      <c r="BR54" s="80"/>
      <c r="BS54" s="66">
        <v>1</v>
      </c>
      <c r="BT54" s="76">
        <v>1</v>
      </c>
      <c r="BU54" s="68"/>
      <c r="BV54" s="68"/>
      <c r="BW54" s="68"/>
      <c r="BX54" s="68"/>
      <c r="BY54" s="68"/>
      <c r="BZ54" s="68"/>
      <c r="CA54" s="68"/>
      <c r="CB54" s="68"/>
      <c r="CC54" s="68"/>
      <c r="CD54" s="80"/>
      <c r="CE54" s="72">
        <v>8</v>
      </c>
      <c r="CF54" s="78">
        <v>8</v>
      </c>
      <c r="CG54" s="68"/>
      <c r="CH54" s="68"/>
      <c r="CI54" s="68"/>
      <c r="CJ54" s="68"/>
      <c r="CK54" s="68"/>
      <c r="CL54" s="68"/>
      <c r="CM54" s="68"/>
      <c r="CN54" s="68"/>
      <c r="CO54" s="68"/>
    </row>
    <row r="55" spans="2:93" outlineLevel="1" x14ac:dyDescent="0.25">
      <c r="D55" s="1259"/>
      <c r="E55" s="1260" t="str">
        <f t="shared" si="9"/>
        <v>LED Replacting Interior T8 Fluorescent</v>
      </c>
      <c r="F55" s="74">
        <v>28.3</v>
      </c>
      <c r="G55" s="74">
        <v>13.7</v>
      </c>
      <c r="H55" s="75">
        <v>5400</v>
      </c>
      <c r="I55" s="74">
        <v>1.08</v>
      </c>
      <c r="J55" s="74">
        <v>0.99614637091058145</v>
      </c>
      <c r="K55" s="51">
        <v>9</v>
      </c>
      <c r="U55" s="1265"/>
      <c r="V55" s="65" t="str">
        <f t="shared" si="10"/>
        <v>LED Replacting Interior T8 Fluorescent</v>
      </c>
      <c r="W55" s="66">
        <v>28</v>
      </c>
      <c r="X55" s="67">
        <v>28.3</v>
      </c>
      <c r="Y55" s="68"/>
      <c r="Z55" s="68"/>
      <c r="AA55" s="68"/>
      <c r="AB55" s="68"/>
      <c r="AC55" s="68"/>
      <c r="AD55" s="68"/>
      <c r="AE55" s="68"/>
      <c r="AF55" s="68"/>
      <c r="AG55" s="68"/>
      <c r="AH55" s="80"/>
      <c r="AI55" s="66">
        <v>14</v>
      </c>
      <c r="AJ55" s="67">
        <v>13.7</v>
      </c>
      <c r="AK55" s="68"/>
      <c r="AL55" s="68"/>
      <c r="AM55" s="68"/>
      <c r="AN55" s="68"/>
      <c r="AO55" s="68"/>
      <c r="AP55" s="68"/>
      <c r="AQ55" s="68"/>
      <c r="AR55" s="68"/>
      <c r="AS55" s="68"/>
      <c r="AT55" s="80"/>
      <c r="AU55" s="70">
        <v>5500</v>
      </c>
      <c r="AV55" s="71">
        <v>5400</v>
      </c>
      <c r="AW55" s="68"/>
      <c r="AX55" s="68"/>
      <c r="AY55" s="68"/>
      <c r="AZ55" s="68"/>
      <c r="BA55" s="68"/>
      <c r="BB55" s="68"/>
      <c r="BC55" s="68"/>
      <c r="BD55" s="68"/>
      <c r="BE55" s="68"/>
      <c r="BF55" s="80"/>
      <c r="BG55" s="66">
        <v>1.07</v>
      </c>
      <c r="BH55" s="67">
        <v>1.08</v>
      </c>
      <c r="BI55" s="68"/>
      <c r="BJ55" s="68"/>
      <c r="BK55" s="68"/>
      <c r="BL55" s="68"/>
      <c r="BM55" s="68"/>
      <c r="BN55" s="68"/>
      <c r="BO55" s="68"/>
      <c r="BP55" s="68"/>
      <c r="BQ55" s="68"/>
      <c r="BR55" s="80"/>
      <c r="BS55" s="66">
        <v>1</v>
      </c>
      <c r="BT55" s="67">
        <v>0.99614637091058145</v>
      </c>
      <c r="BU55" s="68"/>
      <c r="BV55" s="68"/>
      <c r="BW55" s="68"/>
      <c r="BX55" s="68"/>
      <c r="BY55" s="68"/>
      <c r="BZ55" s="68"/>
      <c r="CA55" s="68"/>
      <c r="CB55" s="68"/>
      <c r="CC55" s="68"/>
      <c r="CD55" s="80"/>
      <c r="CE55" s="72">
        <v>9</v>
      </c>
      <c r="CF55" s="82">
        <v>9</v>
      </c>
      <c r="CG55" s="68"/>
      <c r="CH55" s="68"/>
      <c r="CI55" s="68"/>
      <c r="CJ55" s="68"/>
      <c r="CK55" s="68"/>
      <c r="CL55" s="68"/>
      <c r="CM55" s="68"/>
      <c r="CN55" s="68"/>
      <c r="CO55" s="68"/>
    </row>
    <row r="56" spans="2:93" outlineLevel="1" x14ac:dyDescent="0.25">
      <c r="D56" s="1266"/>
      <c r="E56" s="992" t="str">
        <f t="shared" si="9"/>
        <v>LED Replacing Interior T12 Fluorescent</v>
      </c>
      <c r="F56" s="74">
        <v>39.659124009019756</v>
      </c>
      <c r="G56" s="74">
        <v>16.024798289519346</v>
      </c>
      <c r="H56" s="75">
        <v>3660</v>
      </c>
      <c r="I56" s="74">
        <v>1.07</v>
      </c>
      <c r="J56" s="74">
        <v>1</v>
      </c>
      <c r="K56" s="51">
        <v>14</v>
      </c>
      <c r="U56" s="1264"/>
      <c r="V56" s="65" t="str">
        <f t="shared" si="10"/>
        <v>LED Replacing Interior T12 Fluorescent</v>
      </c>
      <c r="W56" s="66">
        <v>40</v>
      </c>
      <c r="X56" s="67">
        <v>39.659124009019756</v>
      </c>
      <c r="Y56" s="68"/>
      <c r="Z56" s="68"/>
      <c r="AA56" s="68"/>
      <c r="AB56" s="68"/>
      <c r="AC56" s="68"/>
      <c r="AD56" s="68"/>
      <c r="AE56" s="68"/>
      <c r="AF56" s="68"/>
      <c r="AG56" s="68"/>
      <c r="AH56" s="80"/>
      <c r="AI56" s="66">
        <v>14</v>
      </c>
      <c r="AJ56" s="67">
        <v>16.024798289519346</v>
      </c>
      <c r="AK56" s="68"/>
      <c r="AL56" s="68"/>
      <c r="AM56" s="68"/>
      <c r="AN56" s="68"/>
      <c r="AO56" s="68"/>
      <c r="AP56" s="68"/>
      <c r="AQ56" s="68"/>
      <c r="AR56" s="68"/>
      <c r="AS56" s="68"/>
      <c r="AT56" s="80"/>
      <c r="AU56" s="70">
        <v>4480</v>
      </c>
      <c r="AV56" s="71">
        <v>3660</v>
      </c>
      <c r="AW56" s="68"/>
      <c r="AX56" s="68"/>
      <c r="AY56" s="68"/>
      <c r="AZ56" s="68"/>
      <c r="BA56" s="68"/>
      <c r="BB56" s="68"/>
      <c r="BC56" s="68"/>
      <c r="BD56" s="68"/>
      <c r="BE56" s="68"/>
      <c r="BF56" s="80"/>
      <c r="BG56" s="66">
        <v>1.07</v>
      </c>
      <c r="BH56" s="81">
        <v>1.07</v>
      </c>
      <c r="BI56" s="68"/>
      <c r="BJ56" s="68"/>
      <c r="BK56" s="68"/>
      <c r="BL56" s="68"/>
      <c r="BM56" s="68"/>
      <c r="BN56" s="68"/>
      <c r="BO56" s="68"/>
      <c r="BP56" s="68"/>
      <c r="BQ56" s="68"/>
      <c r="BR56" s="80"/>
      <c r="BS56" s="66">
        <v>1</v>
      </c>
      <c r="BT56" s="81">
        <v>1</v>
      </c>
      <c r="BU56" s="68"/>
      <c r="BV56" s="68"/>
      <c r="BW56" s="68"/>
      <c r="BX56" s="68"/>
      <c r="BY56" s="68"/>
      <c r="BZ56" s="68"/>
      <c r="CA56" s="68"/>
      <c r="CB56" s="68"/>
      <c r="CC56" s="68"/>
      <c r="CD56" s="80"/>
      <c r="CE56" s="72">
        <v>11</v>
      </c>
      <c r="CF56" s="73">
        <v>14</v>
      </c>
      <c r="CG56" s="68"/>
      <c r="CH56" s="68"/>
      <c r="CI56" s="68"/>
      <c r="CJ56" s="68"/>
      <c r="CK56" s="68"/>
      <c r="CL56" s="68"/>
      <c r="CM56" s="68"/>
      <c r="CN56" s="68"/>
      <c r="CO56" s="68"/>
    </row>
    <row r="57" spans="2:93" outlineLevel="1" x14ac:dyDescent="0.25">
      <c r="D57" s="1266"/>
      <c r="E57" s="992" t="str">
        <f t="shared" si="9"/>
        <v>LED Specialty Lamp</v>
      </c>
      <c r="F57" s="74">
        <v>25</v>
      </c>
      <c r="G57" s="74">
        <v>3.2</v>
      </c>
      <c r="H57" s="75">
        <v>4380</v>
      </c>
      <c r="I57" s="74">
        <v>1.07</v>
      </c>
      <c r="J57" s="74">
        <v>1</v>
      </c>
      <c r="K57" s="51">
        <v>11</v>
      </c>
      <c r="U57" s="1264"/>
      <c r="V57" s="65" t="str">
        <f t="shared" si="10"/>
        <v>LED Specialty Lamp</v>
      </c>
      <c r="W57" s="66">
        <v>25</v>
      </c>
      <c r="X57" s="66">
        <v>25</v>
      </c>
      <c r="Y57" s="68"/>
      <c r="Z57" s="68"/>
      <c r="AA57" s="68"/>
      <c r="AB57" s="68"/>
      <c r="AC57" s="68"/>
      <c r="AD57" s="68"/>
      <c r="AE57" s="68"/>
      <c r="AF57" s="68"/>
      <c r="AG57" s="68"/>
      <c r="AH57" s="80"/>
      <c r="AI57" s="66">
        <v>3.2</v>
      </c>
      <c r="AJ57" s="66">
        <v>3.2</v>
      </c>
      <c r="AK57" s="68"/>
      <c r="AL57" s="68"/>
      <c r="AM57" s="68"/>
      <c r="AN57" s="68"/>
      <c r="AO57" s="68"/>
      <c r="AP57" s="68"/>
      <c r="AQ57" s="68"/>
      <c r="AR57" s="68"/>
      <c r="AS57" s="68"/>
      <c r="AT57" s="80"/>
      <c r="AU57" s="70">
        <v>4380</v>
      </c>
      <c r="AV57" s="83">
        <v>4380</v>
      </c>
      <c r="AW57" s="68"/>
      <c r="AX57" s="68"/>
      <c r="AY57" s="68"/>
      <c r="AZ57" s="68"/>
      <c r="BA57" s="68"/>
      <c r="BB57" s="68"/>
      <c r="BC57" s="68"/>
      <c r="BD57" s="68"/>
      <c r="BE57" s="68"/>
      <c r="BF57" s="80"/>
      <c r="BG57" s="66">
        <v>1.07</v>
      </c>
      <c r="BH57" s="66">
        <v>1.07</v>
      </c>
      <c r="BI57" s="68"/>
      <c r="BJ57" s="68"/>
      <c r="BK57" s="68"/>
      <c r="BL57" s="68"/>
      <c r="BM57" s="68"/>
      <c r="BN57" s="68"/>
      <c r="BO57" s="68"/>
      <c r="BP57" s="68"/>
      <c r="BQ57" s="68"/>
      <c r="BR57" s="80"/>
      <c r="BS57" s="66">
        <v>1</v>
      </c>
      <c r="BT57" s="76">
        <v>1</v>
      </c>
      <c r="BU57" s="68"/>
      <c r="BV57" s="68"/>
      <c r="BW57" s="68"/>
      <c r="BX57" s="68"/>
      <c r="BY57" s="68"/>
      <c r="BZ57" s="68"/>
      <c r="CA57" s="68"/>
      <c r="CB57" s="68"/>
      <c r="CC57" s="68"/>
      <c r="CD57" s="80"/>
      <c r="CE57" s="72">
        <v>11</v>
      </c>
      <c r="CF57" s="78">
        <v>11</v>
      </c>
      <c r="CG57" s="68"/>
      <c r="CH57" s="68"/>
      <c r="CI57" s="68"/>
      <c r="CJ57" s="68"/>
      <c r="CK57" s="68"/>
      <c r="CL57" s="68"/>
      <c r="CM57" s="68"/>
      <c r="CN57" s="68"/>
      <c r="CO57" s="68"/>
    </row>
    <row r="58" spans="2:93" ht="18.75" customHeight="1" x14ac:dyDescent="0.25">
      <c r="D58" s="1267"/>
      <c r="G58" s="1222"/>
      <c r="H58" s="1253"/>
      <c r="V58" s="43"/>
    </row>
    <row r="59" spans="2:93" ht="18.75" customHeight="1" x14ac:dyDescent="0.25">
      <c r="D59" s="1267"/>
      <c r="G59" s="1222"/>
      <c r="H59" s="1253"/>
      <c r="V59" s="43"/>
    </row>
    <row r="60" spans="2:93" s="43" customFormat="1" ht="30" x14ac:dyDescent="0.25">
      <c r="B60" s="1236"/>
      <c r="C60" s="44" t="s">
        <v>16</v>
      </c>
      <c r="D60" s="131" t="s">
        <v>17</v>
      </c>
      <c r="E60" s="131" t="s">
        <v>18</v>
      </c>
      <c r="F60" s="131" t="s">
        <v>19</v>
      </c>
      <c r="G60" s="131" t="s">
        <v>20</v>
      </c>
      <c r="H60" s="46" t="s">
        <v>21</v>
      </c>
      <c r="I60" s="131" t="s">
        <v>22</v>
      </c>
      <c r="J60" s="131" t="s">
        <v>23</v>
      </c>
      <c r="K60" s="44" t="s">
        <v>24</v>
      </c>
      <c r="L60" s="44" t="s">
        <v>25</v>
      </c>
      <c r="M60" s="1222"/>
      <c r="N60" s="1222"/>
      <c r="O60" s="1222"/>
      <c r="P60" s="1139"/>
      <c r="Q60" s="1139"/>
      <c r="R60" s="1139"/>
      <c r="S60" s="1139"/>
      <c r="T60" s="1139"/>
      <c r="U60" s="1139"/>
      <c r="V60" s="48" t="s">
        <v>26</v>
      </c>
      <c r="W60" s="49">
        <v>43252</v>
      </c>
      <c r="X60" s="49">
        <f>X37</f>
        <v>43465</v>
      </c>
      <c r="Y60" s="49" t="s">
        <v>27</v>
      </c>
      <c r="Z60" s="49" t="s">
        <v>27</v>
      </c>
      <c r="AA60" s="49" t="s">
        <v>27</v>
      </c>
      <c r="AB60" s="49" t="s">
        <v>27</v>
      </c>
      <c r="AC60" s="49" t="s">
        <v>27</v>
      </c>
      <c r="AD60" s="49" t="s">
        <v>27</v>
      </c>
      <c r="AE60" s="49" t="s">
        <v>27</v>
      </c>
      <c r="AF60" s="49" t="s">
        <v>27</v>
      </c>
      <c r="AG60" s="49" t="s">
        <v>27</v>
      </c>
      <c r="AI60" s="48" t="s">
        <v>26</v>
      </c>
      <c r="AJ60" s="49">
        <v>43252</v>
      </c>
      <c r="AK60" s="49">
        <v>43465</v>
      </c>
      <c r="AL60" s="49" t="s">
        <v>27</v>
      </c>
      <c r="AM60" s="49" t="s">
        <v>27</v>
      </c>
      <c r="AN60" s="49" t="s">
        <v>27</v>
      </c>
      <c r="AO60" s="49" t="s">
        <v>27</v>
      </c>
      <c r="AP60" s="49" t="s">
        <v>27</v>
      </c>
      <c r="AQ60" s="49" t="s">
        <v>27</v>
      </c>
      <c r="AR60" s="49" t="s">
        <v>27</v>
      </c>
      <c r="AS60" s="49" t="s">
        <v>27</v>
      </c>
      <c r="AT60" s="24"/>
      <c r="AU60" s="48" t="s">
        <v>26</v>
      </c>
      <c r="AV60" s="49">
        <v>43252</v>
      </c>
      <c r="AW60" s="49">
        <v>43465</v>
      </c>
      <c r="AX60" s="49" t="s">
        <v>27</v>
      </c>
      <c r="AY60" s="49" t="s">
        <v>27</v>
      </c>
      <c r="AZ60" s="49" t="s">
        <v>27</v>
      </c>
      <c r="BA60" s="49" t="s">
        <v>27</v>
      </c>
      <c r="BB60" s="49" t="s">
        <v>27</v>
      </c>
      <c r="BC60" s="49" t="s">
        <v>27</v>
      </c>
      <c r="BD60" s="49" t="s">
        <v>27</v>
      </c>
      <c r="BE60" s="49" t="s">
        <v>27</v>
      </c>
    </row>
    <row r="61" spans="2:93" x14ac:dyDescent="0.25">
      <c r="C61" s="1237"/>
      <c r="D61" s="1238" t="s">
        <v>28</v>
      </c>
      <c r="E61" s="1268" t="s">
        <v>59</v>
      </c>
      <c r="F61" s="72">
        <f>F77*G77*H77*I77</f>
        <v>107.56710000000001</v>
      </c>
      <c r="G61" s="1240" t="s">
        <v>30</v>
      </c>
      <c r="H61" s="1241">
        <f>VLOOKUP(G61,'CP FACTORS'!$A$26:$B$38,2,FALSE)</f>
        <v>1.899635E-4</v>
      </c>
      <c r="I61" s="1269">
        <f>H61*F61</f>
        <v>2.0433822800850002E-2</v>
      </c>
      <c r="J61" s="72">
        <v>10</v>
      </c>
      <c r="K61" s="1270">
        <v>116.33</v>
      </c>
      <c r="L61" s="1244" t="s">
        <v>31</v>
      </c>
      <c r="P61" s="1246"/>
      <c r="Q61" s="1247"/>
      <c r="R61" s="1248"/>
      <c r="S61" s="1248"/>
      <c r="T61" s="1249"/>
      <c r="V61" s="52" t="s">
        <v>19</v>
      </c>
      <c r="W61" s="53">
        <v>107.56710000000001</v>
      </c>
      <c r="X61" s="85"/>
      <c r="Y61" s="55"/>
      <c r="Z61" s="55"/>
      <c r="AA61" s="55"/>
      <c r="AB61" s="55"/>
      <c r="AC61" s="55"/>
      <c r="AD61" s="55"/>
      <c r="AE61" s="55"/>
      <c r="AF61" s="55"/>
      <c r="AG61" s="55"/>
      <c r="AI61" s="52" t="s">
        <v>23</v>
      </c>
      <c r="AJ61" s="57">
        <v>10</v>
      </c>
      <c r="AK61" s="57">
        <v>10</v>
      </c>
      <c r="AL61" s="55"/>
      <c r="AM61" s="55"/>
      <c r="AN61" s="55"/>
      <c r="AO61" s="55"/>
      <c r="AP61" s="55"/>
      <c r="AQ61" s="55"/>
      <c r="AR61" s="55"/>
      <c r="AS61" s="55"/>
      <c r="AT61" s="24"/>
      <c r="AU61" s="52" t="s">
        <v>24</v>
      </c>
      <c r="AV61" s="58">
        <v>116.33</v>
      </c>
      <c r="AW61" s="58">
        <v>116.33</v>
      </c>
      <c r="AX61" s="55"/>
      <c r="AY61" s="55"/>
      <c r="AZ61" s="55"/>
      <c r="BA61" s="55"/>
      <c r="BB61" s="55"/>
      <c r="BC61" s="55"/>
      <c r="BD61" s="55"/>
      <c r="BE61" s="55"/>
    </row>
    <row r="62" spans="2:93" x14ac:dyDescent="0.25">
      <c r="C62" s="1237"/>
      <c r="D62" s="1238" t="s">
        <v>28</v>
      </c>
      <c r="E62" s="1268" t="s">
        <v>60</v>
      </c>
      <c r="F62" s="72">
        <f>F78*G78*H78*I78</f>
        <v>309.79324800000001</v>
      </c>
      <c r="G62" s="1240" t="s">
        <v>30</v>
      </c>
      <c r="H62" s="1241">
        <f>VLOOKUP(G62,'CP FACTORS'!$A$26:$B$38,2,FALSE)</f>
        <v>1.899635E-4</v>
      </c>
      <c r="I62" s="1269">
        <f>H62*F62</f>
        <v>5.8849409666447999E-2</v>
      </c>
      <c r="J62" s="72">
        <v>10</v>
      </c>
      <c r="K62" s="1270">
        <v>116.33</v>
      </c>
      <c r="L62" s="1244" t="s">
        <v>31</v>
      </c>
      <c r="P62" s="1246"/>
      <c r="Q62" s="1247"/>
      <c r="R62" s="1248"/>
      <c r="S62" s="1248"/>
      <c r="T62" s="1249"/>
      <c r="V62" s="52" t="s">
        <v>19</v>
      </c>
      <c r="W62" s="53">
        <v>309.79324800000001</v>
      </c>
      <c r="X62" s="85"/>
      <c r="Y62" s="55"/>
      <c r="Z62" s="55"/>
      <c r="AA62" s="55"/>
      <c r="AB62" s="55"/>
      <c r="AC62" s="55"/>
      <c r="AD62" s="55"/>
      <c r="AE62" s="55"/>
      <c r="AF62" s="55"/>
      <c r="AG62" s="55"/>
      <c r="AI62" s="52" t="s">
        <v>23</v>
      </c>
      <c r="AJ62" s="57">
        <v>10</v>
      </c>
      <c r="AK62" s="57">
        <v>10</v>
      </c>
      <c r="AL62" s="55"/>
      <c r="AM62" s="55"/>
      <c r="AN62" s="55"/>
      <c r="AO62" s="55"/>
      <c r="AP62" s="55"/>
      <c r="AQ62" s="55"/>
      <c r="AR62" s="55"/>
      <c r="AS62" s="55"/>
      <c r="AT62" s="24"/>
      <c r="AU62" s="52" t="s">
        <v>24</v>
      </c>
      <c r="AV62" s="58">
        <v>116.33</v>
      </c>
      <c r="AW62" s="58">
        <v>116.33</v>
      </c>
      <c r="AX62" s="55"/>
      <c r="AY62" s="55"/>
      <c r="AZ62" s="55"/>
      <c r="BA62" s="55"/>
      <c r="BB62" s="55"/>
      <c r="BC62" s="55"/>
      <c r="BD62" s="55"/>
      <c r="BE62" s="55"/>
    </row>
    <row r="63" spans="2:93" x14ac:dyDescent="0.25">
      <c r="C63" s="1237"/>
      <c r="D63" s="1238" t="s">
        <v>28</v>
      </c>
      <c r="E63" s="1268" t="s">
        <v>61</v>
      </c>
      <c r="F63" s="72">
        <f>F79*G79*H79*I79</f>
        <v>86.053680000000014</v>
      </c>
      <c r="G63" s="1240" t="s">
        <v>30</v>
      </c>
      <c r="H63" s="1241">
        <f>VLOOKUP(G63,'CP FACTORS'!$A$26:$B$38,2,FALSE)</f>
        <v>1.899635E-4</v>
      </c>
      <c r="I63" s="1269">
        <f>H63*F63</f>
        <v>1.6347058240680005E-2</v>
      </c>
      <c r="J63" s="72">
        <v>11</v>
      </c>
      <c r="K63" s="1270">
        <v>42.35</v>
      </c>
      <c r="L63" s="1244" t="s">
        <v>31</v>
      </c>
      <c r="P63" s="1246"/>
      <c r="Q63" s="1247"/>
      <c r="R63" s="1248"/>
      <c r="S63" s="1248"/>
      <c r="T63" s="1249"/>
      <c r="V63" s="52" t="s">
        <v>19</v>
      </c>
      <c r="W63" s="53">
        <v>86.053680000000014</v>
      </c>
      <c r="X63" s="85"/>
      <c r="Y63" s="55"/>
      <c r="Z63" s="55"/>
      <c r="AA63" s="55"/>
      <c r="AB63" s="55"/>
      <c r="AC63" s="55"/>
      <c r="AD63" s="55"/>
      <c r="AE63" s="55"/>
      <c r="AF63" s="55"/>
      <c r="AG63" s="55"/>
      <c r="AI63" s="52" t="s">
        <v>23</v>
      </c>
      <c r="AJ63" s="57">
        <v>11</v>
      </c>
      <c r="AK63" s="57">
        <v>11</v>
      </c>
      <c r="AL63" s="55"/>
      <c r="AM63" s="55"/>
      <c r="AN63" s="55"/>
      <c r="AO63" s="55"/>
      <c r="AP63" s="55"/>
      <c r="AQ63" s="55"/>
      <c r="AR63" s="55"/>
      <c r="AS63" s="55"/>
      <c r="AT63" s="24"/>
      <c r="AU63" s="52" t="s">
        <v>24</v>
      </c>
      <c r="AV63" s="58">
        <v>42.35</v>
      </c>
      <c r="AW63" s="58">
        <v>42.35</v>
      </c>
      <c r="AX63" s="55"/>
      <c r="AY63" s="55"/>
      <c r="AZ63" s="55"/>
      <c r="BA63" s="55"/>
      <c r="BB63" s="55"/>
      <c r="BC63" s="55"/>
      <c r="BD63" s="55"/>
      <c r="BE63" s="55"/>
    </row>
    <row r="64" spans="2:93" ht="15.75" customHeight="1" x14ac:dyDescent="0.25">
      <c r="C64" s="1237"/>
      <c r="D64" s="1238" t="s">
        <v>28</v>
      </c>
      <c r="E64" s="1268" t="s">
        <v>62</v>
      </c>
      <c r="F64" s="72">
        <f>F80*G80*H80*I80</f>
        <v>444.89752560000005</v>
      </c>
      <c r="G64" s="1240" t="s">
        <v>30</v>
      </c>
      <c r="H64" s="1241">
        <f>VLOOKUP(G64,'CP FACTORS'!$A$26:$B$38,2,FALSE)</f>
        <v>1.899635E-4</v>
      </c>
      <c r="I64" s="1269">
        <f>H64*F64</f>
        <v>8.4514291104315617E-2</v>
      </c>
      <c r="J64" s="72">
        <v>11</v>
      </c>
      <c r="K64" s="1270">
        <v>119.56</v>
      </c>
      <c r="L64" s="1244" t="s">
        <v>31</v>
      </c>
      <c r="P64" s="1246"/>
      <c r="Q64" s="1247"/>
      <c r="R64" s="1248"/>
      <c r="S64" s="1248"/>
      <c r="T64" s="1249"/>
      <c r="V64" s="52" t="s">
        <v>19</v>
      </c>
      <c r="W64" s="53">
        <v>444.89752560000005</v>
      </c>
      <c r="X64" s="85"/>
      <c r="Y64" s="55"/>
      <c r="Z64" s="55"/>
      <c r="AA64" s="55"/>
      <c r="AB64" s="55"/>
      <c r="AC64" s="55"/>
      <c r="AD64" s="55"/>
      <c r="AE64" s="55"/>
      <c r="AF64" s="55"/>
      <c r="AG64" s="55"/>
      <c r="AI64" s="52" t="s">
        <v>23</v>
      </c>
      <c r="AJ64" s="57">
        <v>11</v>
      </c>
      <c r="AK64" s="57">
        <v>11</v>
      </c>
      <c r="AL64" s="55"/>
      <c r="AM64" s="55"/>
      <c r="AN64" s="55"/>
      <c r="AO64" s="55"/>
      <c r="AP64" s="55"/>
      <c r="AQ64" s="55"/>
      <c r="AR64" s="55"/>
      <c r="AS64" s="55"/>
      <c r="AT64" s="24"/>
      <c r="AU64" s="52" t="s">
        <v>24</v>
      </c>
      <c r="AV64" s="58">
        <v>119.56</v>
      </c>
      <c r="AW64" s="58">
        <v>119.56</v>
      </c>
      <c r="AX64" s="55"/>
      <c r="AY64" s="55"/>
      <c r="AZ64" s="55"/>
      <c r="BA64" s="55"/>
      <c r="BB64" s="55"/>
      <c r="BC64" s="55"/>
      <c r="BD64" s="55"/>
      <c r="BE64" s="55"/>
    </row>
    <row r="65" spans="2:69" x14ac:dyDescent="0.25">
      <c r="C65" s="1237"/>
      <c r="D65" s="1238" t="s">
        <v>28</v>
      </c>
      <c r="E65" s="1268" t="s">
        <v>63</v>
      </c>
      <c r="F65" s="72">
        <f>F81*G81*H81*I81</f>
        <v>444.89752560000005</v>
      </c>
      <c r="G65" s="1240" t="s">
        <v>30</v>
      </c>
      <c r="H65" s="1241">
        <f>VLOOKUP(G65,'CP FACTORS'!$A$26:$B$38,2,FALSE)</f>
        <v>1.899635E-4</v>
      </c>
      <c r="I65" s="1269">
        <f>H65*F65</f>
        <v>8.4514291104315617E-2</v>
      </c>
      <c r="J65" s="72">
        <v>8</v>
      </c>
      <c r="K65" s="1270">
        <v>128</v>
      </c>
      <c r="L65" s="1244" t="s">
        <v>31</v>
      </c>
      <c r="P65" s="1246"/>
      <c r="Q65" s="1247"/>
      <c r="R65" s="1248"/>
      <c r="S65" s="1248"/>
      <c r="T65" s="1249"/>
      <c r="V65" s="52" t="s">
        <v>19</v>
      </c>
      <c r="W65" s="53">
        <v>444.89752560000005</v>
      </c>
      <c r="X65" s="85"/>
      <c r="Y65" s="53"/>
      <c r="Z65" s="53"/>
      <c r="AA65" s="53"/>
      <c r="AB65" s="53"/>
      <c r="AC65" s="53"/>
      <c r="AD65" s="53"/>
      <c r="AE65" s="53"/>
      <c r="AF65" s="53"/>
      <c r="AG65" s="53"/>
      <c r="AI65" s="52" t="s">
        <v>23</v>
      </c>
      <c r="AJ65" s="57">
        <v>8</v>
      </c>
      <c r="AK65" s="57">
        <v>8</v>
      </c>
      <c r="AL65" s="53"/>
      <c r="AM65" s="53"/>
      <c r="AN65" s="53"/>
      <c r="AO65" s="53"/>
      <c r="AP65" s="53"/>
      <c r="AQ65" s="53"/>
      <c r="AR65" s="53"/>
      <c r="AS65" s="53"/>
      <c r="AT65" s="24"/>
      <c r="AU65" s="52" t="s">
        <v>24</v>
      </c>
      <c r="AV65" s="58">
        <v>128</v>
      </c>
      <c r="AW65" s="58">
        <v>128</v>
      </c>
      <c r="AX65" s="53"/>
      <c r="AY65" s="53"/>
      <c r="AZ65" s="53"/>
      <c r="BA65" s="53"/>
      <c r="BB65" s="53"/>
      <c r="BC65" s="53"/>
      <c r="BD65" s="53"/>
      <c r="BE65" s="53"/>
    </row>
    <row r="66" spans="2:69" outlineLevel="1" x14ac:dyDescent="0.25">
      <c r="E66" s="1227"/>
      <c r="F66" s="1227"/>
      <c r="G66" s="1227"/>
      <c r="H66" s="1251"/>
      <c r="I66" s="1227"/>
      <c r="J66" s="1227"/>
      <c r="K66" s="1227"/>
    </row>
    <row r="67" spans="2:69" outlineLevel="1" x14ac:dyDescent="0.25">
      <c r="D67" s="1227" t="s">
        <v>52</v>
      </c>
      <c r="E67" s="1227"/>
      <c r="F67" s="1227"/>
      <c r="G67" s="1227"/>
      <c r="H67" s="1251"/>
      <c r="I67" s="1227"/>
      <c r="J67" s="1227"/>
      <c r="K67" s="1227"/>
    </row>
    <row r="68" spans="2:69" outlineLevel="1" x14ac:dyDescent="0.25">
      <c r="D68" s="1252"/>
      <c r="G68" s="1222"/>
      <c r="H68" s="1253"/>
      <c r="M68" s="1227"/>
    </row>
    <row r="69" spans="2:69" outlineLevel="1" x14ac:dyDescent="0.25">
      <c r="D69" s="1252"/>
      <c r="G69" s="1222"/>
      <c r="H69" s="1253"/>
      <c r="M69" s="1227"/>
    </row>
    <row r="70" spans="2:69" outlineLevel="1" x14ac:dyDescent="0.25">
      <c r="D70" s="1252"/>
      <c r="G70" s="1222"/>
      <c r="H70" s="1253"/>
      <c r="M70" s="1227"/>
    </row>
    <row r="71" spans="2:69" outlineLevel="1" x14ac:dyDescent="0.25">
      <c r="D71" s="1252"/>
      <c r="G71" s="1222"/>
      <c r="H71" s="1253"/>
      <c r="M71" s="1227"/>
    </row>
    <row r="72" spans="2:69" outlineLevel="1" x14ac:dyDescent="0.25">
      <c r="D72" s="1252"/>
      <c r="G72" s="1222"/>
      <c r="H72" s="1253"/>
      <c r="M72" s="1227"/>
    </row>
    <row r="73" spans="2:69" outlineLevel="1" x14ac:dyDescent="0.25">
      <c r="D73" s="1252"/>
      <c r="G73" s="1222"/>
      <c r="H73" s="1253"/>
      <c r="M73" s="1227"/>
    </row>
    <row r="74" spans="2:69" outlineLevel="1" x14ac:dyDescent="0.25">
      <c r="D74" s="1252"/>
      <c r="G74" s="1222"/>
      <c r="H74" s="1253"/>
      <c r="M74" s="1227"/>
    </row>
    <row r="75" spans="2:69" outlineLevel="1" x14ac:dyDescent="0.25">
      <c r="D75" s="1252"/>
      <c r="G75" s="1222"/>
      <c r="H75" s="1253"/>
      <c r="V75" s="48" t="s">
        <v>26</v>
      </c>
      <c r="W75" s="49">
        <f>$W$8</f>
        <v>43252</v>
      </c>
      <c r="X75" s="49">
        <f>$X$8</f>
        <v>43465</v>
      </c>
      <c r="Y75" s="49" t="str">
        <f>$Y$8</f>
        <v>-</v>
      </c>
      <c r="Z75" s="49" t="str">
        <f>$Z$8</f>
        <v>-</v>
      </c>
      <c r="AA75" s="49" t="str">
        <f>$AA$8</f>
        <v>-</v>
      </c>
      <c r="AB75" s="49" t="str">
        <f>$AB$8</f>
        <v>-</v>
      </c>
      <c r="AC75" s="49" t="str">
        <f>$AC$8</f>
        <v>-</v>
      </c>
      <c r="AD75" s="49" t="str">
        <f>$AD$8</f>
        <v>-</v>
      </c>
      <c r="AE75" s="49" t="str">
        <f>$AE$8</f>
        <v>-</v>
      </c>
      <c r="AF75" s="49" t="str">
        <f>$AF$8</f>
        <v>-</v>
      </c>
      <c r="AG75" s="49" t="str">
        <f>$AG$8</f>
        <v>-</v>
      </c>
      <c r="AI75" s="49">
        <f>$W$8</f>
        <v>43252</v>
      </c>
      <c r="AJ75" s="49">
        <f>$X$8</f>
        <v>43465</v>
      </c>
      <c r="AK75" s="49" t="str">
        <f>$Y$8</f>
        <v>-</v>
      </c>
      <c r="AL75" s="49" t="str">
        <f>$Z$8</f>
        <v>-</v>
      </c>
      <c r="AM75" s="49" t="str">
        <f>$AA$8</f>
        <v>-</v>
      </c>
      <c r="AN75" s="49" t="str">
        <f>$AB$8</f>
        <v>-</v>
      </c>
      <c r="AO75" s="49" t="str">
        <f>$AC$8</f>
        <v>-</v>
      </c>
      <c r="AP75" s="49" t="str">
        <f>$AD$8</f>
        <v>-</v>
      </c>
      <c r="AQ75" s="49" t="str">
        <f>$AE$8</f>
        <v>-</v>
      </c>
      <c r="AR75" s="49" t="str">
        <f>$AF$8</f>
        <v>-</v>
      </c>
      <c r="AS75" s="49" t="str">
        <f>$AG$8</f>
        <v>-</v>
      </c>
      <c r="AU75" s="49">
        <f>$W$8</f>
        <v>43252</v>
      </c>
      <c r="AV75" s="49">
        <f>$X$8</f>
        <v>43465</v>
      </c>
      <c r="AW75" s="49" t="str">
        <f>$Y$8</f>
        <v>-</v>
      </c>
      <c r="AX75" s="49" t="str">
        <f>$Z$8</f>
        <v>-</v>
      </c>
      <c r="AY75" s="49" t="str">
        <f>$AA$8</f>
        <v>-</v>
      </c>
      <c r="AZ75" s="49" t="str">
        <f>$AB$8</f>
        <v>-</v>
      </c>
      <c r="BA75" s="49" t="str">
        <f>$AC$8</f>
        <v>-</v>
      </c>
      <c r="BB75" s="49" t="str">
        <f>$AD$8</f>
        <v>-</v>
      </c>
      <c r="BC75" s="49" t="str">
        <f>$AE$8</f>
        <v>-</v>
      </c>
      <c r="BD75" s="49" t="str">
        <f>$AF$8</f>
        <v>-</v>
      </c>
      <c r="BE75" s="49" t="str">
        <f>$AG$8</f>
        <v>-</v>
      </c>
      <c r="BG75" s="49">
        <f>$W$8</f>
        <v>43252</v>
      </c>
      <c r="BH75" s="49">
        <f>$X$8</f>
        <v>43465</v>
      </c>
      <c r="BI75" s="49" t="str">
        <f>$Y$8</f>
        <v>-</v>
      </c>
      <c r="BJ75" s="49" t="str">
        <f>$Z$8</f>
        <v>-</v>
      </c>
      <c r="BK75" s="49" t="str">
        <f>$AA$8</f>
        <v>-</v>
      </c>
      <c r="BL75" s="49" t="str">
        <f>$AB$8</f>
        <v>-</v>
      </c>
      <c r="BM75" s="49" t="str">
        <f>$AC$8</f>
        <v>-</v>
      </c>
      <c r="BN75" s="49" t="str">
        <f>$AD$8</f>
        <v>-</v>
      </c>
      <c r="BO75" s="49" t="str">
        <f>$AE$8</f>
        <v>-</v>
      </c>
      <c r="BP75" s="49" t="str">
        <f>$AF$8</f>
        <v>-</v>
      </c>
      <c r="BQ75" s="49" t="str">
        <f>$AG$8</f>
        <v>-</v>
      </c>
    </row>
    <row r="76" spans="2:69" s="61" customFormat="1" ht="30" outlineLevel="1" x14ac:dyDescent="0.25">
      <c r="B76" s="1258"/>
      <c r="C76" s="1258"/>
      <c r="D76" s="44" t="s">
        <v>16</v>
      </c>
      <c r="E76" s="131" t="s">
        <v>53</v>
      </c>
      <c r="F76" s="131" t="s">
        <v>64</v>
      </c>
      <c r="G76" s="131" t="s">
        <v>65</v>
      </c>
      <c r="H76" s="46" t="s">
        <v>66</v>
      </c>
      <c r="I76" s="131" t="s">
        <v>57</v>
      </c>
      <c r="J76" s="130"/>
      <c r="K76" s="130"/>
      <c r="L76" s="175"/>
      <c r="M76" s="1258"/>
      <c r="N76" s="1258"/>
      <c r="O76" s="1258"/>
      <c r="P76" s="1258"/>
      <c r="Q76" s="1258"/>
      <c r="R76" s="1258"/>
      <c r="S76" s="1258"/>
      <c r="T76" s="1258"/>
      <c r="U76" s="1258"/>
      <c r="V76" s="62"/>
      <c r="W76" s="63" t="str">
        <f>$F$76</f>
        <v>kWControlled</v>
      </c>
      <c r="X76" s="63" t="str">
        <f t="shared" ref="X76:AG76" si="11">$F$76</f>
        <v>kWControlled</v>
      </c>
      <c r="Y76" s="63" t="str">
        <f t="shared" si="11"/>
        <v>kWControlled</v>
      </c>
      <c r="Z76" s="63" t="str">
        <f t="shared" si="11"/>
        <v>kWControlled</v>
      </c>
      <c r="AA76" s="63" t="str">
        <f t="shared" si="11"/>
        <v>kWControlled</v>
      </c>
      <c r="AB76" s="63" t="str">
        <f t="shared" si="11"/>
        <v>kWControlled</v>
      </c>
      <c r="AC76" s="63" t="str">
        <f t="shared" si="11"/>
        <v>kWControlled</v>
      </c>
      <c r="AD76" s="63" t="str">
        <f t="shared" si="11"/>
        <v>kWControlled</v>
      </c>
      <c r="AE76" s="63" t="str">
        <f t="shared" si="11"/>
        <v>kWControlled</v>
      </c>
      <c r="AF76" s="63" t="str">
        <f t="shared" si="11"/>
        <v>kWControlled</v>
      </c>
      <c r="AG76" s="63" t="str">
        <f t="shared" si="11"/>
        <v>kWControlled</v>
      </c>
      <c r="AI76" s="63" t="str">
        <f>$G$76</f>
        <v>Hours</v>
      </c>
      <c r="AJ76" s="63" t="str">
        <f t="shared" ref="AJ76:AS76" si="12">$G$76</f>
        <v>Hours</v>
      </c>
      <c r="AK76" s="63" t="str">
        <f t="shared" si="12"/>
        <v>Hours</v>
      </c>
      <c r="AL76" s="63" t="str">
        <f t="shared" si="12"/>
        <v>Hours</v>
      </c>
      <c r="AM76" s="63" t="str">
        <f t="shared" si="12"/>
        <v>Hours</v>
      </c>
      <c r="AN76" s="63" t="str">
        <f t="shared" si="12"/>
        <v>Hours</v>
      </c>
      <c r="AO76" s="63" t="str">
        <f t="shared" si="12"/>
        <v>Hours</v>
      </c>
      <c r="AP76" s="63" t="str">
        <f t="shared" si="12"/>
        <v>Hours</v>
      </c>
      <c r="AQ76" s="63" t="str">
        <f t="shared" si="12"/>
        <v>Hours</v>
      </c>
      <c r="AR76" s="63" t="str">
        <f t="shared" si="12"/>
        <v>Hours</v>
      </c>
      <c r="AS76" s="63" t="str">
        <f t="shared" si="12"/>
        <v>Hours</v>
      </c>
      <c r="AU76" s="64" t="str">
        <f>$H$76</f>
        <v>ESF</v>
      </c>
      <c r="AV76" s="64" t="str">
        <f t="shared" ref="AV76:BE76" si="13">$H$76</f>
        <v>ESF</v>
      </c>
      <c r="AW76" s="64" t="str">
        <f t="shared" si="13"/>
        <v>ESF</v>
      </c>
      <c r="AX76" s="64" t="str">
        <f t="shared" si="13"/>
        <v>ESF</v>
      </c>
      <c r="AY76" s="64" t="str">
        <f t="shared" si="13"/>
        <v>ESF</v>
      </c>
      <c r="AZ76" s="64" t="str">
        <f t="shared" si="13"/>
        <v>ESF</v>
      </c>
      <c r="BA76" s="64" t="str">
        <f t="shared" si="13"/>
        <v>ESF</v>
      </c>
      <c r="BB76" s="64" t="str">
        <f t="shared" si="13"/>
        <v>ESF</v>
      </c>
      <c r="BC76" s="64" t="str">
        <f t="shared" si="13"/>
        <v>ESF</v>
      </c>
      <c r="BD76" s="64" t="str">
        <f t="shared" si="13"/>
        <v>ESF</v>
      </c>
      <c r="BE76" s="64" t="str">
        <f t="shared" si="13"/>
        <v>ESF</v>
      </c>
      <c r="BG76" s="64" t="str">
        <f>$I$76</f>
        <v>WHFe</v>
      </c>
      <c r="BH76" s="64" t="str">
        <f t="shared" ref="BH76:BQ76" si="14">$I$76</f>
        <v>WHFe</v>
      </c>
      <c r="BI76" s="64" t="str">
        <f t="shared" si="14"/>
        <v>WHFe</v>
      </c>
      <c r="BJ76" s="64" t="str">
        <f t="shared" si="14"/>
        <v>WHFe</v>
      </c>
      <c r="BK76" s="64" t="str">
        <f t="shared" si="14"/>
        <v>WHFe</v>
      </c>
      <c r="BL76" s="64" t="str">
        <f t="shared" si="14"/>
        <v>WHFe</v>
      </c>
      <c r="BM76" s="64" t="str">
        <f t="shared" si="14"/>
        <v>WHFe</v>
      </c>
      <c r="BN76" s="64" t="str">
        <f t="shared" si="14"/>
        <v>WHFe</v>
      </c>
      <c r="BO76" s="64" t="str">
        <f t="shared" si="14"/>
        <v>WHFe</v>
      </c>
      <c r="BP76" s="64" t="str">
        <f t="shared" si="14"/>
        <v>WHFe</v>
      </c>
      <c r="BQ76" s="64" t="str">
        <f t="shared" si="14"/>
        <v>WHFe</v>
      </c>
    </row>
    <row r="77" spans="2:69" s="61" customFormat="1" outlineLevel="1" x14ac:dyDescent="0.25">
      <c r="B77" s="1258"/>
      <c r="C77" s="1258"/>
      <c r="D77" s="1259"/>
      <c r="E77" s="1260" t="str">
        <f>E61</f>
        <v>Fixture Mounted Occupancy Sensor Controlling &gt;50 and &lt;=200 Watts</v>
      </c>
      <c r="F77" s="1271">
        <v>0.125</v>
      </c>
      <c r="G77" s="1272">
        <v>3351</v>
      </c>
      <c r="H77" s="1273">
        <v>0.24</v>
      </c>
      <c r="I77" s="1271">
        <v>1.07</v>
      </c>
      <c r="J77" s="130"/>
      <c r="K77" s="130"/>
      <c r="L77" s="175"/>
      <c r="M77" s="1258"/>
      <c r="N77" s="1258"/>
      <c r="O77" s="1258"/>
      <c r="P77" s="1258"/>
      <c r="Q77" s="1258"/>
      <c r="R77" s="1258"/>
      <c r="S77" s="1258"/>
      <c r="T77" s="1258"/>
      <c r="U77" s="1258">
        <v>3077</v>
      </c>
      <c r="V77" s="65" t="str">
        <f>E77</f>
        <v>Fixture Mounted Occupancy Sensor Controlling &gt;50 and &lt;=200 Watts</v>
      </c>
      <c r="W77" s="53">
        <v>0.125</v>
      </c>
      <c r="X77" s="85"/>
      <c r="Y77" s="55"/>
      <c r="Z77" s="55"/>
      <c r="AA77" s="55"/>
      <c r="AB77" s="55"/>
      <c r="AC77" s="55"/>
      <c r="AD77" s="55"/>
      <c r="AE77" s="55"/>
      <c r="AF77" s="55"/>
      <c r="AG77" s="55"/>
      <c r="AI77" s="53">
        <v>3351</v>
      </c>
      <c r="AJ77" s="54"/>
      <c r="AK77" s="55"/>
      <c r="AL77" s="55"/>
      <c r="AM77" s="55"/>
      <c r="AN77" s="55"/>
      <c r="AO77" s="55"/>
      <c r="AP77" s="55"/>
      <c r="AQ77" s="55"/>
      <c r="AR77" s="55"/>
      <c r="AS77" s="55"/>
      <c r="AU77" s="53">
        <v>0.24</v>
      </c>
      <c r="AV77" s="59"/>
      <c r="AW77" s="55"/>
      <c r="AX77" s="55"/>
      <c r="AY77" s="55"/>
      <c r="AZ77" s="55"/>
      <c r="BA77" s="55"/>
      <c r="BB77" s="55"/>
      <c r="BC77" s="55"/>
      <c r="BD77" s="55"/>
      <c r="BE77" s="55"/>
      <c r="BG77" s="53">
        <v>1.07</v>
      </c>
      <c r="BH77" s="53"/>
      <c r="BI77" s="55"/>
      <c r="BJ77" s="55"/>
      <c r="BK77" s="55"/>
      <c r="BL77" s="55"/>
      <c r="BM77" s="55"/>
      <c r="BN77" s="55"/>
      <c r="BO77" s="55"/>
      <c r="BP77" s="55"/>
      <c r="BQ77" s="55"/>
    </row>
    <row r="78" spans="2:69" s="61" customFormat="1" outlineLevel="1" x14ac:dyDescent="0.25">
      <c r="B78" s="1258"/>
      <c r="C78" s="1258"/>
      <c r="D78" s="1259"/>
      <c r="E78" s="1260" t="str">
        <f>E62</f>
        <v>Fixture Mounted Occupancy Sensor Controlling &gt;=201 and &lt;=500 Watts</v>
      </c>
      <c r="F78" s="1271">
        <v>0.36</v>
      </c>
      <c r="G78" s="1272">
        <v>3351</v>
      </c>
      <c r="H78" s="1273">
        <v>0.24</v>
      </c>
      <c r="I78" s="1271">
        <v>1.07</v>
      </c>
      <c r="J78" s="130"/>
      <c r="K78" s="130"/>
      <c r="L78" s="175"/>
      <c r="M78" s="1258"/>
      <c r="N78" s="1258"/>
      <c r="O78" s="1258"/>
      <c r="P78" s="1258"/>
      <c r="Q78" s="1258"/>
      <c r="R78" s="1258"/>
      <c r="S78" s="1258"/>
      <c r="T78" s="1258"/>
      <c r="U78" s="1258">
        <v>3077</v>
      </c>
      <c r="V78" s="65" t="str">
        <f>E78</f>
        <v>Fixture Mounted Occupancy Sensor Controlling &gt;=201 and &lt;=500 Watts</v>
      </c>
      <c r="W78" s="53">
        <v>0.36</v>
      </c>
      <c r="X78" s="85"/>
      <c r="Y78" s="55"/>
      <c r="Z78" s="55"/>
      <c r="AA78" s="55"/>
      <c r="AB78" s="55"/>
      <c r="AC78" s="55"/>
      <c r="AD78" s="55"/>
      <c r="AE78" s="55"/>
      <c r="AF78" s="55"/>
      <c r="AG78" s="55"/>
      <c r="AI78" s="53">
        <v>3351</v>
      </c>
      <c r="AJ78" s="86"/>
      <c r="AK78" s="55"/>
      <c r="AL78" s="55"/>
      <c r="AM78" s="55"/>
      <c r="AN78" s="55"/>
      <c r="AO78" s="55"/>
      <c r="AP78" s="55"/>
      <c r="AQ78" s="55"/>
      <c r="AR78" s="55"/>
      <c r="AS78" s="55"/>
      <c r="AU78" s="53">
        <v>0.24</v>
      </c>
      <c r="AV78" s="87"/>
      <c r="AW78" s="55"/>
      <c r="AX78" s="55"/>
      <c r="AY78" s="55"/>
      <c r="AZ78" s="55"/>
      <c r="BA78" s="55"/>
      <c r="BB78" s="55"/>
      <c r="BC78" s="55"/>
      <c r="BD78" s="55"/>
      <c r="BE78" s="55"/>
      <c r="BG78" s="53">
        <v>1.07</v>
      </c>
      <c r="BH78" s="53"/>
      <c r="BI78" s="55"/>
      <c r="BJ78" s="55"/>
      <c r="BK78" s="55"/>
      <c r="BL78" s="55"/>
      <c r="BM78" s="55"/>
      <c r="BN78" s="55"/>
      <c r="BO78" s="55"/>
      <c r="BP78" s="55"/>
      <c r="BQ78" s="55"/>
    </row>
    <row r="79" spans="2:69" s="61" customFormat="1" outlineLevel="1" x14ac:dyDescent="0.25">
      <c r="B79" s="1258"/>
      <c r="C79" s="1258"/>
      <c r="D79" s="1259"/>
      <c r="E79" s="1260" t="str">
        <f>E63</f>
        <v>Single Technology Occupancy Sensor Controlling Lighting Circuit &gt;50 and &lt;=120 Watts</v>
      </c>
      <c r="F79" s="1271">
        <v>0.1</v>
      </c>
      <c r="G79" s="1272">
        <v>3351</v>
      </c>
      <c r="H79" s="1273">
        <v>0.24</v>
      </c>
      <c r="I79" s="1271">
        <v>1.07</v>
      </c>
      <c r="J79" s="130"/>
      <c r="K79" s="130"/>
      <c r="L79" s="175"/>
      <c r="M79" s="1258"/>
      <c r="N79" s="1258"/>
      <c r="O79" s="1258"/>
      <c r="P79" s="1258"/>
      <c r="Q79" s="1258"/>
      <c r="R79" s="1258"/>
      <c r="S79" s="1258"/>
      <c r="T79" s="1258"/>
      <c r="U79" s="1258">
        <v>3080</v>
      </c>
      <c r="V79" s="65" t="str">
        <f>E79</f>
        <v>Single Technology Occupancy Sensor Controlling Lighting Circuit &gt;50 and &lt;=120 Watts</v>
      </c>
      <c r="W79" s="53">
        <v>0.1</v>
      </c>
      <c r="X79" s="85"/>
      <c r="Y79" s="55"/>
      <c r="Z79" s="55"/>
      <c r="AA79" s="55"/>
      <c r="AB79" s="55"/>
      <c r="AC79" s="55"/>
      <c r="AD79" s="55"/>
      <c r="AE79" s="55"/>
      <c r="AF79" s="55"/>
      <c r="AG79" s="55"/>
      <c r="AI79" s="53">
        <v>3351</v>
      </c>
      <c r="AJ79" s="54"/>
      <c r="AK79" s="55"/>
      <c r="AL79" s="55"/>
      <c r="AM79" s="55"/>
      <c r="AN79" s="55"/>
      <c r="AO79" s="55"/>
      <c r="AP79" s="55"/>
      <c r="AQ79" s="55"/>
      <c r="AR79" s="55"/>
      <c r="AS79" s="55"/>
      <c r="AU79" s="53">
        <v>0.24</v>
      </c>
      <c r="AV79" s="59"/>
      <c r="AW79" s="55"/>
      <c r="AX79" s="55"/>
      <c r="AY79" s="55"/>
      <c r="AZ79" s="55"/>
      <c r="BA79" s="55"/>
      <c r="BB79" s="55"/>
      <c r="BC79" s="55"/>
      <c r="BD79" s="55"/>
      <c r="BE79" s="55"/>
      <c r="BG79" s="53">
        <v>1.07</v>
      </c>
      <c r="BH79" s="53"/>
      <c r="BI79" s="55"/>
      <c r="BJ79" s="55"/>
      <c r="BK79" s="55"/>
      <c r="BL79" s="55"/>
      <c r="BM79" s="55"/>
      <c r="BN79" s="55"/>
      <c r="BO79" s="55"/>
      <c r="BP79" s="55"/>
      <c r="BQ79" s="55"/>
    </row>
    <row r="80" spans="2:69" s="61" customFormat="1" outlineLevel="1" x14ac:dyDescent="0.25">
      <c r="B80" s="1258"/>
      <c r="C80" s="1258"/>
      <c r="D80" s="1259"/>
      <c r="E80" s="1260" t="str">
        <f>E64</f>
        <v>Single Technology Occupancy Sensor Controlling Lighting Circuit &gt;120 Watts</v>
      </c>
      <c r="F80" s="1271">
        <v>0.51700000000000002</v>
      </c>
      <c r="G80" s="1272">
        <v>3351</v>
      </c>
      <c r="H80" s="1273">
        <v>0.24</v>
      </c>
      <c r="I80" s="1271">
        <v>1.07</v>
      </c>
      <c r="J80" s="130"/>
      <c r="K80" s="130"/>
      <c r="L80" s="175"/>
      <c r="M80" s="1258"/>
      <c r="N80" s="1258"/>
      <c r="O80" s="1258"/>
      <c r="P80" s="1258"/>
      <c r="Q80" s="1258"/>
      <c r="R80" s="1258"/>
      <c r="S80" s="1258"/>
      <c r="T80" s="1258"/>
      <c r="U80" s="1258">
        <v>3079</v>
      </c>
      <c r="V80" s="65" t="str">
        <f>E80</f>
        <v>Single Technology Occupancy Sensor Controlling Lighting Circuit &gt;120 Watts</v>
      </c>
      <c r="W80" s="53">
        <v>0.51700000000000002</v>
      </c>
      <c r="X80" s="54"/>
      <c r="Y80" s="55"/>
      <c r="Z80" s="55"/>
      <c r="AA80" s="55"/>
      <c r="AB80" s="55"/>
      <c r="AC80" s="55"/>
      <c r="AD80" s="55"/>
      <c r="AE80" s="55"/>
      <c r="AF80" s="55"/>
      <c r="AG80" s="55"/>
      <c r="AI80" s="53">
        <v>3351</v>
      </c>
      <c r="AJ80" s="54"/>
      <c r="AK80" s="55"/>
      <c r="AL80" s="55"/>
      <c r="AM80" s="55"/>
      <c r="AN80" s="55"/>
      <c r="AO80" s="55"/>
      <c r="AP80" s="55"/>
      <c r="AQ80" s="55"/>
      <c r="AR80" s="55"/>
      <c r="AS80" s="55"/>
      <c r="AU80" s="53">
        <v>0.24</v>
      </c>
      <c r="AV80" s="59"/>
      <c r="AW80" s="55"/>
      <c r="AX80" s="55"/>
      <c r="AY80" s="55"/>
      <c r="AZ80" s="55"/>
      <c r="BA80" s="55"/>
      <c r="BB80" s="55"/>
      <c r="BC80" s="55"/>
      <c r="BD80" s="55"/>
      <c r="BE80" s="55"/>
      <c r="BG80" s="53">
        <v>1.07</v>
      </c>
      <c r="BH80" s="85"/>
      <c r="BI80" s="55"/>
      <c r="BJ80" s="55"/>
      <c r="BK80" s="55"/>
      <c r="BL80" s="55"/>
      <c r="BM80" s="55"/>
      <c r="BN80" s="55"/>
      <c r="BO80" s="55"/>
      <c r="BP80" s="55"/>
      <c r="BQ80" s="55"/>
    </row>
    <row r="81" spans="2:69" s="61" customFormat="1" outlineLevel="1" x14ac:dyDescent="0.25">
      <c r="B81" s="1258"/>
      <c r="C81" s="1258"/>
      <c r="D81" s="1259"/>
      <c r="E81" s="1260" t="str">
        <f>E65</f>
        <v>Dual Technology Occupancy Sensor Controlling Lighting Circuit &gt;150 Watts</v>
      </c>
      <c r="F81" s="1271">
        <v>0.51700000000000002</v>
      </c>
      <c r="G81" s="1272">
        <v>3351</v>
      </c>
      <c r="H81" s="1273">
        <v>0.24</v>
      </c>
      <c r="I81" s="1271">
        <v>1.07</v>
      </c>
      <c r="J81" s="130"/>
      <c r="K81" s="130"/>
      <c r="L81" s="175"/>
      <c r="M81" s="1258"/>
      <c r="N81" s="1258"/>
      <c r="O81" s="1258"/>
      <c r="P81" s="1258"/>
      <c r="Q81" s="1258"/>
      <c r="R81" s="1258"/>
      <c r="S81" s="1258"/>
      <c r="T81" s="1258"/>
      <c r="U81" s="1258">
        <v>3016</v>
      </c>
      <c r="V81" s="65" t="str">
        <f>E81</f>
        <v>Dual Technology Occupancy Sensor Controlling Lighting Circuit &gt;150 Watts</v>
      </c>
      <c r="W81" s="53">
        <v>0.51700000000000002</v>
      </c>
      <c r="X81" s="54"/>
      <c r="Y81" s="55"/>
      <c r="Z81" s="55"/>
      <c r="AA81" s="55"/>
      <c r="AB81" s="55"/>
      <c r="AC81" s="55"/>
      <c r="AD81" s="55"/>
      <c r="AE81" s="55"/>
      <c r="AF81" s="55"/>
      <c r="AG81" s="55"/>
      <c r="AH81" s="22"/>
      <c r="AI81" s="53">
        <v>3351</v>
      </c>
      <c r="AJ81" s="88"/>
      <c r="AK81" s="55"/>
      <c r="AL81" s="55"/>
      <c r="AM81" s="55"/>
      <c r="AN81" s="55"/>
      <c r="AO81" s="55"/>
      <c r="AP81" s="55"/>
      <c r="AQ81" s="55"/>
      <c r="AR81" s="55"/>
      <c r="AS81" s="55"/>
      <c r="AT81" s="22"/>
      <c r="AU81" s="53">
        <v>0.24</v>
      </c>
      <c r="AV81" s="59"/>
      <c r="AW81" s="55"/>
      <c r="AX81" s="55"/>
      <c r="AY81" s="55"/>
      <c r="AZ81" s="55"/>
      <c r="BA81" s="55"/>
      <c r="BB81" s="55"/>
      <c r="BC81" s="55"/>
      <c r="BD81" s="55"/>
      <c r="BE81" s="55"/>
      <c r="BF81" s="22"/>
      <c r="BG81" s="53">
        <v>1.07</v>
      </c>
      <c r="BH81" s="53"/>
      <c r="BI81" s="55"/>
      <c r="BJ81" s="55"/>
      <c r="BK81" s="55"/>
      <c r="BL81" s="55"/>
      <c r="BM81" s="55"/>
      <c r="BN81" s="55"/>
      <c r="BO81" s="55"/>
      <c r="BP81" s="55"/>
      <c r="BQ81" s="55"/>
    </row>
    <row r="82" spans="2:69" s="61" customFormat="1" x14ac:dyDescent="0.25">
      <c r="B82" s="1258"/>
      <c r="C82" s="1258"/>
      <c r="D82" s="1274" t="s">
        <v>67</v>
      </c>
      <c r="E82" s="1274"/>
      <c r="F82" s="1275"/>
      <c r="G82" s="1275"/>
      <c r="H82" s="1276"/>
      <c r="I82" s="1275"/>
      <c r="J82" s="1275"/>
      <c r="K82" s="1258"/>
      <c r="L82" s="175"/>
      <c r="M82" s="1258"/>
      <c r="N82" s="1258"/>
      <c r="O82" s="1258"/>
      <c r="P82" s="1258"/>
      <c r="Q82" s="1258"/>
      <c r="R82" s="1258"/>
      <c r="S82" s="1258"/>
      <c r="T82" s="1258"/>
      <c r="U82" s="1258"/>
    </row>
    <row r="83" spans="2:69" ht="18.75" customHeight="1" x14ac:dyDescent="0.25">
      <c r="D83" s="1267"/>
      <c r="G83" s="1222"/>
      <c r="H83" s="1253"/>
    </row>
    <row r="84" spans="2:69" s="39" customFormat="1" x14ac:dyDescent="0.25">
      <c r="B84" s="1989" t="s">
        <v>68</v>
      </c>
      <c r="C84" s="1990"/>
      <c r="D84" s="1990"/>
      <c r="E84" s="1990"/>
      <c r="F84" s="1990"/>
      <c r="G84" s="1990"/>
      <c r="H84" s="1990"/>
      <c r="I84" s="1991"/>
      <c r="J84" s="1991"/>
      <c r="K84" s="1991"/>
      <c r="L84" s="1991"/>
      <c r="M84" s="1992"/>
      <c r="N84" s="1992"/>
      <c r="O84" s="1993"/>
      <c r="V84" s="40" t="str">
        <f>B84</f>
        <v>Commercial Solid and Glass Door Refrigerators &amp; Freezers</v>
      </c>
      <c r="W84" s="41"/>
      <c r="X84" s="41"/>
      <c r="Y84" s="41"/>
      <c r="Z84" s="41"/>
      <c r="AA84" s="41"/>
      <c r="AB84" s="41"/>
      <c r="AC84" s="41"/>
      <c r="AD84" s="41"/>
      <c r="AE84" s="41"/>
      <c r="AF84" s="41"/>
      <c r="AG84" s="41"/>
      <c r="AH84" s="41"/>
      <c r="AI84" s="42"/>
      <c r="AJ84" s="22"/>
      <c r="AK84" s="22"/>
      <c r="AL84" s="22"/>
      <c r="AM84" s="22"/>
      <c r="AN84" s="22"/>
      <c r="AO84" s="22"/>
      <c r="AP84" s="22"/>
      <c r="AQ84" s="22"/>
      <c r="AR84" s="22"/>
      <c r="AS84" s="22"/>
      <c r="AT84" s="22"/>
      <c r="AU84" s="22"/>
    </row>
    <row r="85" spans="2:69" x14ac:dyDescent="0.25">
      <c r="D85" s="1234"/>
      <c r="E85" s="1227"/>
      <c r="F85" s="1227"/>
      <c r="G85" s="1227"/>
      <c r="H85" s="1235"/>
      <c r="I85" s="1227"/>
      <c r="J85" s="1227"/>
      <c r="K85" s="1227"/>
      <c r="L85" s="1227"/>
      <c r="P85" s="1227"/>
      <c r="Q85" s="1227"/>
      <c r="R85" s="1227"/>
      <c r="S85" s="1227"/>
      <c r="T85" s="1227"/>
      <c r="U85" s="1227"/>
      <c r="V85"/>
      <c r="W85"/>
      <c r="X85"/>
      <c r="Y85"/>
      <c r="Z85"/>
      <c r="AA85"/>
      <c r="AB85"/>
      <c r="AC85"/>
      <c r="AD85"/>
      <c r="AE85"/>
      <c r="AF85"/>
      <c r="AG85"/>
      <c r="AH85"/>
      <c r="AI85"/>
      <c r="AJ85" s="38"/>
      <c r="AK85" s="38"/>
      <c r="AL85" s="38"/>
      <c r="AM85" s="38"/>
      <c r="AN85" s="38"/>
      <c r="AO85" s="38"/>
      <c r="AP85" s="38"/>
      <c r="AQ85" s="38"/>
      <c r="AR85" s="38"/>
      <c r="AS85" s="38"/>
      <c r="AT85" s="38"/>
      <c r="AU85" s="38"/>
    </row>
    <row r="86" spans="2:69" s="43" customFormat="1" ht="30" x14ac:dyDescent="0.25">
      <c r="B86" s="1236"/>
      <c r="C86" s="44" t="s">
        <v>16</v>
      </c>
      <c r="D86" s="131" t="s">
        <v>17</v>
      </c>
      <c r="E86" s="131" t="s">
        <v>18</v>
      </c>
      <c r="F86" s="131" t="s">
        <v>19</v>
      </c>
      <c r="G86" s="131" t="s">
        <v>20</v>
      </c>
      <c r="H86" s="46" t="s">
        <v>21</v>
      </c>
      <c r="I86" s="131" t="s">
        <v>22</v>
      </c>
      <c r="J86" s="131" t="s">
        <v>23</v>
      </c>
      <c r="K86" s="44" t="s">
        <v>24</v>
      </c>
      <c r="L86" s="44" t="s">
        <v>25</v>
      </c>
      <c r="M86" s="1222"/>
      <c r="N86" s="1222"/>
      <c r="O86" s="1222"/>
      <c r="P86" s="1139"/>
      <c r="Q86" s="1139"/>
      <c r="R86" s="1139"/>
      <c r="S86" s="1139"/>
      <c r="T86" s="1139"/>
      <c r="U86" s="1139"/>
      <c r="V86" s="48" t="s">
        <v>26</v>
      </c>
      <c r="W86" s="49">
        <v>43252</v>
      </c>
      <c r="X86" s="49">
        <v>43465</v>
      </c>
      <c r="Y86" s="49" t="s">
        <v>27</v>
      </c>
      <c r="Z86" s="49" t="s">
        <v>27</v>
      </c>
      <c r="AA86" s="49" t="s">
        <v>27</v>
      </c>
      <c r="AB86" s="49" t="s">
        <v>27</v>
      </c>
      <c r="AC86" s="49" t="s">
        <v>27</v>
      </c>
      <c r="AD86" s="49" t="s">
        <v>27</v>
      </c>
      <c r="AE86" s="49" t="s">
        <v>27</v>
      </c>
      <c r="AF86" s="49" t="s">
        <v>27</v>
      </c>
      <c r="AG86" s="49" t="s">
        <v>27</v>
      </c>
      <c r="AH86"/>
      <c r="AI86" s="48" t="s">
        <v>26</v>
      </c>
      <c r="AJ86" s="49">
        <v>43252</v>
      </c>
      <c r="AK86" s="49">
        <v>43465</v>
      </c>
      <c r="AL86" s="49" t="s">
        <v>27</v>
      </c>
      <c r="AM86" s="49" t="s">
        <v>27</v>
      </c>
      <c r="AN86" s="49" t="s">
        <v>27</v>
      </c>
      <c r="AO86" s="49" t="s">
        <v>27</v>
      </c>
      <c r="AP86" s="49" t="s">
        <v>27</v>
      </c>
      <c r="AQ86" s="49" t="s">
        <v>27</v>
      </c>
      <c r="AR86" s="49" t="s">
        <v>27</v>
      </c>
      <c r="AS86" s="49" t="s">
        <v>27</v>
      </c>
      <c r="AT86" s="24"/>
      <c r="AU86" s="48" t="s">
        <v>26</v>
      </c>
      <c r="AV86" s="49">
        <v>43252</v>
      </c>
      <c r="AW86" s="49">
        <v>43465</v>
      </c>
      <c r="AX86" s="49" t="s">
        <v>27</v>
      </c>
      <c r="AY86" s="49" t="s">
        <v>27</v>
      </c>
      <c r="AZ86" s="49" t="s">
        <v>27</v>
      </c>
      <c r="BA86" s="49" t="s">
        <v>27</v>
      </c>
      <c r="BB86" s="49" t="s">
        <v>27</v>
      </c>
      <c r="BC86" s="49" t="s">
        <v>27</v>
      </c>
      <c r="BD86" s="49" t="s">
        <v>27</v>
      </c>
      <c r="BE86" s="49" t="s">
        <v>27</v>
      </c>
    </row>
    <row r="87" spans="2:69" x14ac:dyDescent="0.25">
      <c r="C87" s="1277"/>
      <c r="D87" s="1238" t="s">
        <v>28</v>
      </c>
      <c r="E87" s="1268" t="s">
        <v>69</v>
      </c>
      <c r="F87" s="72">
        <f>((G125*H$122+I$122)-(G125*H125+I125))*365.25</f>
        <v>379.86</v>
      </c>
      <c r="G87" s="1240" t="s">
        <v>70</v>
      </c>
      <c r="H87" s="1241">
        <f>VLOOKUP(G87,'CP FACTORS'!$A$26:$B$38,2,FALSE)</f>
        <v>1.3573829999999999E-4</v>
      </c>
      <c r="I87" s="1242">
        <f>H87*F87</f>
        <v>5.1561550637999998E-2</v>
      </c>
      <c r="J87" s="1278">
        <v>12</v>
      </c>
      <c r="K87" s="1270">
        <v>150</v>
      </c>
      <c r="L87" s="1244" t="s">
        <v>31</v>
      </c>
      <c r="V87" s="52" t="s">
        <v>19</v>
      </c>
      <c r="W87" s="59">
        <v>379.86</v>
      </c>
      <c r="X87" s="59">
        <v>379.86</v>
      </c>
      <c r="Y87" s="55"/>
      <c r="Z87" s="55"/>
      <c r="AA87" s="55"/>
      <c r="AB87" s="55"/>
      <c r="AC87" s="55"/>
      <c r="AD87" s="55"/>
      <c r="AE87" s="55"/>
      <c r="AF87" s="55"/>
      <c r="AG87" s="55"/>
      <c r="AH87" s="56"/>
      <c r="AI87" s="52" t="s">
        <v>23</v>
      </c>
      <c r="AJ87" s="57">
        <v>12</v>
      </c>
      <c r="AK87" s="57">
        <v>12</v>
      </c>
      <c r="AL87" s="55"/>
      <c r="AM87" s="55"/>
      <c r="AN87" s="55"/>
      <c r="AO87" s="55"/>
      <c r="AP87" s="55"/>
      <c r="AQ87" s="55"/>
      <c r="AR87" s="55"/>
      <c r="AS87" s="55"/>
      <c r="AT87" s="24"/>
      <c r="AU87" s="52" t="s">
        <v>24</v>
      </c>
      <c r="AV87" s="58">
        <v>150</v>
      </c>
      <c r="AW87" s="58">
        <v>150</v>
      </c>
      <c r="AX87" s="55"/>
      <c r="AY87" s="55"/>
      <c r="AZ87" s="55"/>
      <c r="BA87" s="55"/>
      <c r="BB87" s="55"/>
      <c r="BC87" s="55"/>
      <c r="BD87" s="55"/>
      <c r="BE87" s="55"/>
    </row>
    <row r="88" spans="2:69" x14ac:dyDescent="0.25">
      <c r="C88" s="1277"/>
      <c r="D88" s="1238" t="s">
        <v>28</v>
      </c>
      <c r="E88" s="1268" t="s">
        <v>71</v>
      </c>
      <c r="F88" s="72">
        <f>((G126*H$122+I$122)-(G126*H126+I126))*365.25</f>
        <v>626.40374999999995</v>
      </c>
      <c r="G88" s="1240" t="s">
        <v>70</v>
      </c>
      <c r="H88" s="1241">
        <f>VLOOKUP(G88,'CP FACTORS'!$A$26:$B$38,2,FALSE)</f>
        <v>1.3573829999999999E-4</v>
      </c>
      <c r="I88" s="1242">
        <f>H88*F88</f>
        <v>8.5026980138624988E-2</v>
      </c>
      <c r="J88" s="1279">
        <f>$J$87</f>
        <v>12</v>
      </c>
      <c r="K88" s="1270">
        <v>400</v>
      </c>
      <c r="L88" s="1244" t="s">
        <v>31</v>
      </c>
      <c r="V88" s="52" t="s">
        <v>19</v>
      </c>
      <c r="W88" s="59">
        <v>626.40374999999995</v>
      </c>
      <c r="X88" s="59">
        <v>626.40374999999995</v>
      </c>
      <c r="Y88" s="55"/>
      <c r="Z88" s="55"/>
      <c r="AA88" s="55"/>
      <c r="AB88" s="55"/>
      <c r="AC88" s="55"/>
      <c r="AD88" s="55"/>
      <c r="AE88" s="55"/>
      <c r="AF88" s="55"/>
      <c r="AG88" s="55"/>
      <c r="AH88" s="56"/>
      <c r="AI88" s="52" t="s">
        <v>23</v>
      </c>
      <c r="AJ88" s="57">
        <v>12</v>
      </c>
      <c r="AK88" s="57">
        <v>12</v>
      </c>
      <c r="AL88" s="55"/>
      <c r="AM88" s="55"/>
      <c r="AN88" s="55"/>
      <c r="AO88" s="55"/>
      <c r="AP88" s="55"/>
      <c r="AQ88" s="55"/>
      <c r="AR88" s="55"/>
      <c r="AS88" s="55"/>
      <c r="AT88" s="24"/>
      <c r="AU88" s="52" t="s">
        <v>24</v>
      </c>
      <c r="AV88" s="58">
        <v>400</v>
      </c>
      <c r="AW88" s="58">
        <v>400</v>
      </c>
      <c r="AX88" s="55"/>
      <c r="AY88" s="55"/>
      <c r="AZ88" s="55"/>
      <c r="BA88" s="55"/>
      <c r="BB88" s="55"/>
      <c r="BC88" s="55"/>
      <c r="BD88" s="55"/>
      <c r="BE88" s="55"/>
    </row>
    <row r="89" spans="2:69" x14ac:dyDescent="0.25">
      <c r="C89" s="1277"/>
      <c r="D89" s="1238" t="s">
        <v>28</v>
      </c>
      <c r="E89" s="1268" t="s">
        <v>72</v>
      </c>
      <c r="F89" s="72">
        <f>((G127*H$122+I$122)-(G127*H127+I127))*365.25</f>
        <v>982.52250000000004</v>
      </c>
      <c r="G89" s="1240" t="s">
        <v>70</v>
      </c>
      <c r="H89" s="1241">
        <f>VLOOKUP(G89,'CP FACTORS'!$A$26:$B$38,2,FALSE)</f>
        <v>1.3573829999999999E-4</v>
      </c>
      <c r="I89" s="1242">
        <f>H89*F89</f>
        <v>0.13336593386175</v>
      </c>
      <c r="J89" s="1279">
        <f>$J$87</f>
        <v>12</v>
      </c>
      <c r="K89" s="1270">
        <v>550</v>
      </c>
      <c r="L89" s="1244" t="s">
        <v>31</v>
      </c>
      <c r="V89" s="52" t="s">
        <v>19</v>
      </c>
      <c r="W89" s="59">
        <v>982.52250000000004</v>
      </c>
      <c r="X89" s="59">
        <v>982.52250000000004</v>
      </c>
      <c r="Y89" s="55"/>
      <c r="Z89" s="55"/>
      <c r="AA89" s="55"/>
      <c r="AB89" s="55"/>
      <c r="AC89" s="55"/>
      <c r="AD89" s="55"/>
      <c r="AE89" s="55"/>
      <c r="AF89" s="55"/>
      <c r="AG89" s="55"/>
      <c r="AH89" s="56"/>
      <c r="AI89" s="52" t="s">
        <v>23</v>
      </c>
      <c r="AJ89" s="57">
        <v>12</v>
      </c>
      <c r="AK89" s="57">
        <v>12</v>
      </c>
      <c r="AL89" s="55"/>
      <c r="AM89" s="55"/>
      <c r="AN89" s="55"/>
      <c r="AO89" s="55"/>
      <c r="AP89" s="55"/>
      <c r="AQ89" s="55"/>
      <c r="AR89" s="55"/>
      <c r="AS89" s="55"/>
      <c r="AT89" s="24"/>
      <c r="AU89" s="52" t="s">
        <v>24</v>
      </c>
      <c r="AV89" s="58">
        <v>550</v>
      </c>
      <c r="AW89" s="58">
        <v>550</v>
      </c>
      <c r="AX89" s="55"/>
      <c r="AY89" s="55"/>
      <c r="AZ89" s="55"/>
      <c r="BA89" s="55"/>
      <c r="BB89" s="55"/>
      <c r="BC89" s="55"/>
      <c r="BD89" s="55"/>
      <c r="BE89" s="55"/>
    </row>
    <row r="90" spans="2:69" x14ac:dyDescent="0.25">
      <c r="C90" s="1277"/>
      <c r="D90" s="1238" t="s">
        <v>28</v>
      </c>
      <c r="E90" s="1268" t="s">
        <v>73</v>
      </c>
      <c r="F90" s="72">
        <f>((G128*H$122+I$122)-(G128*H128+I128))*365.25</f>
        <v>1311.2474999999999</v>
      </c>
      <c r="G90" s="1240" t="s">
        <v>70</v>
      </c>
      <c r="H90" s="1241">
        <f>VLOOKUP(G90,'CP FACTORS'!$A$26:$B$38,2,FALSE)</f>
        <v>1.3573829999999999E-4</v>
      </c>
      <c r="I90" s="1242">
        <f>H90*F90</f>
        <v>0.17798650652924997</v>
      </c>
      <c r="J90" s="1279">
        <f>$J$87</f>
        <v>12</v>
      </c>
      <c r="K90" s="1270">
        <v>700</v>
      </c>
      <c r="L90" s="1244" t="s">
        <v>31</v>
      </c>
      <c r="P90" s="1246"/>
      <c r="Q90" s="1247"/>
      <c r="R90" s="1248"/>
      <c r="S90" s="1248"/>
      <c r="T90" s="1249"/>
      <c r="V90" s="52" t="s">
        <v>19</v>
      </c>
      <c r="W90" s="59">
        <v>1311.2474999999999</v>
      </c>
      <c r="X90" s="59">
        <v>1311.2474999999999</v>
      </c>
      <c r="Y90" s="55"/>
      <c r="Z90" s="55"/>
      <c r="AA90" s="55"/>
      <c r="AB90" s="55"/>
      <c r="AC90" s="55"/>
      <c r="AD90" s="55"/>
      <c r="AE90" s="55"/>
      <c r="AF90" s="55"/>
      <c r="AG90" s="55"/>
      <c r="AH90" s="56"/>
      <c r="AI90" s="52" t="s">
        <v>23</v>
      </c>
      <c r="AJ90" s="57">
        <v>12</v>
      </c>
      <c r="AK90" s="57">
        <v>12</v>
      </c>
      <c r="AL90" s="55"/>
      <c r="AM90" s="55"/>
      <c r="AN90" s="55"/>
      <c r="AO90" s="55"/>
      <c r="AP90" s="55"/>
      <c r="AQ90" s="55"/>
      <c r="AR90" s="55"/>
      <c r="AS90" s="55"/>
      <c r="AT90" s="24"/>
      <c r="AU90" s="52" t="s">
        <v>24</v>
      </c>
      <c r="AV90" s="58">
        <v>700</v>
      </c>
      <c r="AW90" s="58">
        <v>700</v>
      </c>
      <c r="AX90" s="55"/>
      <c r="AY90" s="55"/>
      <c r="AZ90" s="55"/>
      <c r="BA90" s="55"/>
      <c r="BB90" s="55"/>
      <c r="BC90" s="55"/>
      <c r="BD90" s="55"/>
      <c r="BE90" s="55"/>
    </row>
    <row r="91" spans="2:69" x14ac:dyDescent="0.25">
      <c r="C91" s="1277"/>
      <c r="D91" s="1259"/>
      <c r="E91" s="1268"/>
      <c r="F91" s="72"/>
      <c r="G91" s="1240"/>
      <c r="H91" s="1241"/>
      <c r="I91" s="1242"/>
      <c r="J91" s="1279"/>
      <c r="K91" s="1270"/>
      <c r="L91" s="1244" t="s">
        <v>31</v>
      </c>
      <c r="P91" s="1246"/>
      <c r="Q91" s="1247"/>
      <c r="R91" s="1248"/>
      <c r="S91" s="1248"/>
      <c r="T91" s="1249"/>
      <c r="V91" s="52" t="s">
        <v>19</v>
      </c>
      <c r="W91" s="59"/>
      <c r="X91" s="59"/>
      <c r="Y91" s="53"/>
      <c r="Z91" s="53"/>
      <c r="AA91" s="53"/>
      <c r="AB91" s="53"/>
      <c r="AC91" s="53"/>
      <c r="AD91" s="53"/>
      <c r="AE91" s="53"/>
      <c r="AF91" s="53"/>
      <c r="AG91" s="53"/>
      <c r="AH91" s="56"/>
      <c r="AI91" s="52" t="s">
        <v>23</v>
      </c>
      <c r="AJ91" s="57"/>
      <c r="AK91" s="57"/>
      <c r="AL91" s="53"/>
      <c r="AM91" s="53"/>
      <c r="AN91" s="53"/>
      <c r="AO91" s="53"/>
      <c r="AP91" s="53"/>
      <c r="AQ91" s="53"/>
      <c r="AR91" s="53"/>
      <c r="AS91" s="53"/>
      <c r="AT91" s="24"/>
      <c r="AU91" s="52" t="s">
        <v>24</v>
      </c>
      <c r="AV91" s="58"/>
      <c r="AW91" s="58"/>
      <c r="AX91" s="53"/>
      <c r="AY91" s="53"/>
      <c r="AZ91" s="53"/>
      <c r="BA91" s="53"/>
      <c r="BB91" s="53"/>
      <c r="BC91" s="53"/>
      <c r="BD91" s="53"/>
      <c r="BE91" s="53"/>
    </row>
    <row r="92" spans="2:69" x14ac:dyDescent="0.25">
      <c r="C92" s="1277"/>
      <c r="D92" s="1238" t="s">
        <v>28</v>
      </c>
      <c r="E92" s="1268" t="s">
        <v>74</v>
      </c>
      <c r="F92" s="72">
        <f>((G129*H$122+I$122)-(G129*H129+I129))*365.25</f>
        <v>354.29250000000002</v>
      </c>
      <c r="G92" s="1240" t="s">
        <v>70</v>
      </c>
      <c r="H92" s="1241">
        <f>VLOOKUP(G92,'CP FACTORS'!$A$26:$B$38,2,FALSE)</f>
        <v>1.3573829999999999E-4</v>
      </c>
      <c r="I92" s="1242">
        <f>H92*F92</f>
        <v>4.8091061652749997E-2</v>
      </c>
      <c r="J92" s="1279">
        <f>$J$87</f>
        <v>12</v>
      </c>
      <c r="K92" s="1270">
        <v>250</v>
      </c>
      <c r="L92" s="1244" t="s">
        <v>31</v>
      </c>
      <c r="M92" s="1280"/>
      <c r="P92" s="1246"/>
      <c r="Q92" s="1247"/>
      <c r="R92" s="1248"/>
      <c r="S92" s="1248"/>
      <c r="T92" s="1249"/>
      <c r="V92" s="52" t="s">
        <v>19</v>
      </c>
      <c r="W92" s="59">
        <v>354.29250000000002</v>
      </c>
      <c r="X92" s="59">
        <v>354.29250000000002</v>
      </c>
      <c r="Y92" s="53"/>
      <c r="Z92" s="53"/>
      <c r="AA92" s="53"/>
      <c r="AB92" s="53"/>
      <c r="AC92" s="53"/>
      <c r="AD92" s="53"/>
      <c r="AE92" s="53"/>
      <c r="AF92" s="53"/>
      <c r="AG92" s="53"/>
      <c r="AI92" s="52" t="s">
        <v>23</v>
      </c>
      <c r="AJ92" s="57">
        <v>12</v>
      </c>
      <c r="AK92" s="57">
        <v>12</v>
      </c>
      <c r="AL92" s="53"/>
      <c r="AM92" s="53"/>
      <c r="AN92" s="53"/>
      <c r="AO92" s="53"/>
      <c r="AP92" s="53"/>
      <c r="AQ92" s="53"/>
      <c r="AR92" s="53"/>
      <c r="AS92" s="53"/>
      <c r="AT92" s="24"/>
      <c r="AU92" s="52" t="s">
        <v>24</v>
      </c>
      <c r="AV92" s="58">
        <v>250</v>
      </c>
      <c r="AW92" s="58">
        <v>250</v>
      </c>
      <c r="AX92" s="53"/>
      <c r="AY92" s="53"/>
      <c r="AZ92" s="53"/>
      <c r="BA92" s="53"/>
      <c r="BB92" s="53"/>
      <c r="BC92" s="53"/>
      <c r="BD92" s="53"/>
      <c r="BE92" s="53"/>
    </row>
    <row r="93" spans="2:69" ht="15.75" customHeight="1" x14ac:dyDescent="0.25">
      <c r="C93" s="1277"/>
      <c r="D93" s="1238" t="s">
        <v>28</v>
      </c>
      <c r="E93" s="1268" t="s">
        <v>75</v>
      </c>
      <c r="F93" s="72">
        <f>((G130*H$122+I$122)-(G130*H130+I130))*365.25</f>
        <v>217.32375000000008</v>
      </c>
      <c r="G93" s="1240" t="s">
        <v>70</v>
      </c>
      <c r="H93" s="1241">
        <f>VLOOKUP(G93,'CP FACTORS'!$A$26:$B$38,2,FALSE)</f>
        <v>1.3573829999999999E-4</v>
      </c>
      <c r="I93" s="1242">
        <f>H93*F93</f>
        <v>2.9499156374625007E-2</v>
      </c>
      <c r="J93" s="1279">
        <f>$J$87</f>
        <v>12</v>
      </c>
      <c r="K93" s="1270">
        <v>500</v>
      </c>
      <c r="L93" s="1244" t="s">
        <v>31</v>
      </c>
      <c r="M93" s="1280"/>
      <c r="P93" s="1246"/>
      <c r="Q93" s="1247"/>
      <c r="R93" s="1248"/>
      <c r="S93" s="1248"/>
      <c r="T93" s="1249"/>
      <c r="V93" s="52" t="s">
        <v>19</v>
      </c>
      <c r="W93" s="59">
        <v>217.32375000000008</v>
      </c>
      <c r="X93" s="59">
        <v>217.32375000000008</v>
      </c>
      <c r="Y93" s="53"/>
      <c r="Z93" s="53"/>
      <c r="AA93" s="53"/>
      <c r="AB93" s="53"/>
      <c r="AC93" s="53"/>
      <c r="AD93" s="53"/>
      <c r="AE93" s="53"/>
      <c r="AF93" s="53"/>
      <c r="AG93" s="53"/>
      <c r="AI93" s="52" t="s">
        <v>23</v>
      </c>
      <c r="AJ93" s="57">
        <v>12</v>
      </c>
      <c r="AK93" s="57">
        <v>12</v>
      </c>
      <c r="AL93" s="53"/>
      <c r="AM93" s="53"/>
      <c r="AN93" s="53"/>
      <c r="AO93" s="53"/>
      <c r="AP93" s="53"/>
      <c r="AQ93" s="53"/>
      <c r="AR93" s="53"/>
      <c r="AS93" s="53"/>
      <c r="AT93" s="24"/>
      <c r="AU93" s="52" t="s">
        <v>24</v>
      </c>
      <c r="AV93" s="58">
        <v>500</v>
      </c>
      <c r="AW93" s="58">
        <v>500</v>
      </c>
      <c r="AX93" s="53"/>
      <c r="AY93" s="53"/>
      <c r="AZ93" s="53"/>
      <c r="BA93" s="53"/>
      <c r="BB93" s="53"/>
      <c r="BC93" s="53"/>
      <c r="BD93" s="53"/>
      <c r="BE93" s="53"/>
    </row>
    <row r="94" spans="2:69" x14ac:dyDescent="0.25">
      <c r="C94" s="1277"/>
      <c r="D94" s="1238" t="s">
        <v>28</v>
      </c>
      <c r="E94" s="1268" t="s">
        <v>76</v>
      </c>
      <c r="F94" s="72">
        <f>((G131*H$122+I$122)-(G131*H131+I131))*365.25</f>
        <v>226.45500000000004</v>
      </c>
      <c r="G94" s="1240" t="s">
        <v>70</v>
      </c>
      <c r="H94" s="1241">
        <f>VLOOKUP(G94,'CP FACTORS'!$A$26:$B$38,2,FALSE)</f>
        <v>1.3573829999999999E-4</v>
      </c>
      <c r="I94" s="1242">
        <f>H94*F94</f>
        <v>3.0738616726500002E-2</v>
      </c>
      <c r="J94" s="1279">
        <f>$J$87</f>
        <v>12</v>
      </c>
      <c r="K94" s="1270">
        <v>1307</v>
      </c>
      <c r="L94" s="1244" t="s">
        <v>31</v>
      </c>
      <c r="M94" s="1280"/>
      <c r="P94" s="1246"/>
      <c r="Q94" s="1247"/>
      <c r="R94" s="1248"/>
      <c r="S94" s="1248"/>
      <c r="T94" s="1249"/>
      <c r="V94" s="52" t="s">
        <v>19</v>
      </c>
      <c r="W94" s="59">
        <v>226.45500000000004</v>
      </c>
      <c r="X94" s="59">
        <v>226.45500000000004</v>
      </c>
      <c r="Y94" s="53"/>
      <c r="Z94" s="53"/>
      <c r="AA94" s="53"/>
      <c r="AB94" s="53"/>
      <c r="AC94" s="53"/>
      <c r="AD94" s="53"/>
      <c r="AE94" s="53"/>
      <c r="AF94" s="53"/>
      <c r="AG94" s="53"/>
      <c r="AI94" s="52" t="s">
        <v>23</v>
      </c>
      <c r="AJ94" s="57">
        <v>12</v>
      </c>
      <c r="AK94" s="57">
        <v>12</v>
      </c>
      <c r="AL94" s="53"/>
      <c r="AM94" s="53"/>
      <c r="AN94" s="53"/>
      <c r="AO94" s="53"/>
      <c r="AP94" s="53"/>
      <c r="AQ94" s="53"/>
      <c r="AR94" s="53"/>
      <c r="AS94" s="53"/>
      <c r="AT94" s="24"/>
      <c r="AU94" s="52" t="s">
        <v>24</v>
      </c>
      <c r="AV94" s="58">
        <v>1307</v>
      </c>
      <c r="AW94" s="58">
        <v>1307</v>
      </c>
      <c r="AX94" s="53"/>
      <c r="AY94" s="53"/>
      <c r="AZ94" s="53"/>
      <c r="BA94" s="53"/>
      <c r="BB94" s="53"/>
      <c r="BC94" s="53"/>
      <c r="BD94" s="53"/>
      <c r="BE94" s="53"/>
    </row>
    <row r="95" spans="2:69" x14ac:dyDescent="0.25">
      <c r="C95" s="1277"/>
      <c r="D95" s="1238" t="s">
        <v>28</v>
      </c>
      <c r="E95" s="1268" t="s">
        <v>77</v>
      </c>
      <c r="F95" s="72">
        <f>((G132*H$122+I$122)-(G132*H132+I132))*365.25</f>
        <v>372.55500000000018</v>
      </c>
      <c r="G95" s="1240" t="s">
        <v>70</v>
      </c>
      <c r="H95" s="1241">
        <f>VLOOKUP(G95,'CP FACTORS'!$A$26:$B$38,2,FALSE)</f>
        <v>1.3573829999999999E-4</v>
      </c>
      <c r="I95" s="1242">
        <f>H95*F95</f>
        <v>5.0569982356500016E-2</v>
      </c>
      <c r="J95" s="1279">
        <f>$J$87</f>
        <v>12</v>
      </c>
      <c r="K95" s="1270">
        <v>2300</v>
      </c>
      <c r="L95" s="1244" t="s">
        <v>31</v>
      </c>
      <c r="M95" s="1280"/>
      <c r="P95" s="1246"/>
      <c r="Q95" s="1247"/>
      <c r="R95" s="1248"/>
      <c r="S95" s="1248"/>
      <c r="T95" s="1249"/>
      <c r="V95" s="52" t="s">
        <v>19</v>
      </c>
      <c r="W95" s="59">
        <v>372.55500000000018</v>
      </c>
      <c r="X95" s="59">
        <v>372.55500000000018</v>
      </c>
      <c r="Y95" s="53"/>
      <c r="Z95" s="53"/>
      <c r="AA95" s="53"/>
      <c r="AB95" s="53"/>
      <c r="AC95" s="53"/>
      <c r="AD95" s="53"/>
      <c r="AE95" s="53"/>
      <c r="AF95" s="53"/>
      <c r="AG95" s="53"/>
      <c r="AI95" s="52" t="s">
        <v>23</v>
      </c>
      <c r="AJ95" s="57">
        <v>12</v>
      </c>
      <c r="AK95" s="57">
        <v>12</v>
      </c>
      <c r="AL95" s="53"/>
      <c r="AM95" s="53"/>
      <c r="AN95" s="53"/>
      <c r="AO95" s="53"/>
      <c r="AP95" s="53"/>
      <c r="AQ95" s="53"/>
      <c r="AR95" s="53"/>
      <c r="AS95" s="53"/>
      <c r="AT95" s="24"/>
      <c r="AU95" s="52" t="s">
        <v>24</v>
      </c>
      <c r="AV95" s="58">
        <v>2300</v>
      </c>
      <c r="AW95" s="58">
        <v>2300</v>
      </c>
      <c r="AX95" s="53"/>
      <c r="AY95" s="53"/>
      <c r="AZ95" s="53"/>
      <c r="BA95" s="53"/>
      <c r="BB95" s="53"/>
      <c r="BC95" s="53"/>
      <c r="BD95" s="53"/>
      <c r="BE95" s="53"/>
    </row>
    <row r="96" spans="2:69" x14ac:dyDescent="0.25">
      <c r="C96" s="1277"/>
      <c r="D96" s="1259"/>
      <c r="E96" s="1268"/>
      <c r="F96" s="72"/>
      <c r="G96" s="1240"/>
      <c r="H96" s="1241"/>
      <c r="I96" s="1242"/>
      <c r="J96" s="1279"/>
      <c r="K96" s="1270"/>
      <c r="L96" s="1244" t="s">
        <v>31</v>
      </c>
      <c r="M96" s="1280"/>
      <c r="P96" s="1246"/>
      <c r="Q96" s="1247"/>
      <c r="R96" s="1248"/>
      <c r="S96" s="1248"/>
      <c r="T96" s="1249"/>
      <c r="V96" s="52" t="s">
        <v>19</v>
      </c>
      <c r="W96" s="59"/>
      <c r="X96" s="59"/>
      <c r="Y96" s="53"/>
      <c r="Z96" s="53"/>
      <c r="AA96" s="53"/>
      <c r="AB96" s="53"/>
      <c r="AC96" s="53"/>
      <c r="AD96" s="53"/>
      <c r="AE96" s="53"/>
      <c r="AF96" s="53"/>
      <c r="AG96" s="53"/>
      <c r="AI96" s="52" t="s">
        <v>23</v>
      </c>
      <c r="AJ96" s="57"/>
      <c r="AK96" s="57"/>
      <c r="AL96" s="53"/>
      <c r="AM96" s="53"/>
      <c r="AN96" s="53"/>
      <c r="AO96" s="53"/>
      <c r="AP96" s="53"/>
      <c r="AQ96" s="53"/>
      <c r="AR96" s="53"/>
      <c r="AS96" s="53"/>
      <c r="AT96" s="24"/>
      <c r="AU96" s="52" t="s">
        <v>24</v>
      </c>
      <c r="AV96" s="58"/>
      <c r="AW96" s="58"/>
      <c r="AX96" s="53"/>
      <c r="AY96" s="53"/>
      <c r="AZ96" s="53"/>
      <c r="BA96" s="53"/>
      <c r="BB96" s="53"/>
      <c r="BC96" s="53"/>
      <c r="BD96" s="53"/>
      <c r="BE96" s="53"/>
    </row>
    <row r="97" spans="3:57" x14ac:dyDescent="0.25">
      <c r="C97" s="1277"/>
      <c r="D97" s="1238" t="s">
        <v>28</v>
      </c>
      <c r="E97" s="1281" t="s">
        <v>78</v>
      </c>
      <c r="F97" s="72">
        <f>((G133*AVERAGE(H$122,H$123)+AVERAGE(I$122,I$123))-(G133*H133+I133))*365.25</f>
        <v>1219.9349999999997</v>
      </c>
      <c r="G97" s="1240" t="s">
        <v>70</v>
      </c>
      <c r="H97" s="1241">
        <f>VLOOKUP(G97,'CP FACTORS'!$A$26:$B$38,2,FALSE)</f>
        <v>1.3573829999999999E-4</v>
      </c>
      <c r="I97" s="1242">
        <f>H97*F97</f>
        <v>0.16559190301049995</v>
      </c>
      <c r="J97" s="1279">
        <v>12</v>
      </c>
      <c r="K97" s="1270">
        <v>525</v>
      </c>
      <c r="L97" s="1244" t="s">
        <v>31</v>
      </c>
      <c r="M97" s="1280"/>
      <c r="P97" s="1246"/>
      <c r="Q97" s="1247"/>
      <c r="R97" s="1248"/>
      <c r="S97" s="1248"/>
      <c r="T97" s="1249"/>
      <c r="V97" s="52" t="s">
        <v>19</v>
      </c>
      <c r="W97" s="59">
        <v>1219.9349999999997</v>
      </c>
      <c r="X97" s="59">
        <v>1219.9349999999997</v>
      </c>
      <c r="Y97" s="53"/>
      <c r="Z97" s="53"/>
      <c r="AA97" s="53"/>
      <c r="AB97" s="53"/>
      <c r="AC97" s="53"/>
      <c r="AD97" s="53"/>
      <c r="AE97" s="53"/>
      <c r="AF97" s="53"/>
      <c r="AG97" s="53"/>
      <c r="AI97" s="52" t="s">
        <v>23</v>
      </c>
      <c r="AJ97" s="57">
        <v>12</v>
      </c>
      <c r="AK97" s="57">
        <v>12</v>
      </c>
      <c r="AL97" s="53"/>
      <c r="AM97" s="53"/>
      <c r="AN97" s="53"/>
      <c r="AO97" s="53"/>
      <c r="AP97" s="53"/>
      <c r="AQ97" s="53"/>
      <c r="AR97" s="53"/>
      <c r="AS97" s="53"/>
      <c r="AT97" s="24"/>
      <c r="AU97" s="52" t="s">
        <v>24</v>
      </c>
      <c r="AV97" s="58">
        <v>525</v>
      </c>
      <c r="AW97" s="58">
        <v>525</v>
      </c>
      <c r="AX97" s="53"/>
      <c r="AY97" s="53"/>
      <c r="AZ97" s="53"/>
      <c r="BA97" s="53"/>
      <c r="BB97" s="53"/>
      <c r="BC97" s="53"/>
      <c r="BD97" s="53"/>
      <c r="BE97" s="53"/>
    </row>
    <row r="98" spans="3:57" x14ac:dyDescent="0.25">
      <c r="C98" s="1277"/>
      <c r="D98" s="1259"/>
      <c r="E98" s="1268"/>
      <c r="F98" s="72"/>
      <c r="G98" s="1240"/>
      <c r="H98" s="1241"/>
      <c r="I98" s="1242"/>
      <c r="J98" s="1279"/>
      <c r="K98" s="1270"/>
      <c r="L98" s="1244" t="s">
        <v>31</v>
      </c>
      <c r="M98" s="1280"/>
      <c r="V98" s="52" t="s">
        <v>19</v>
      </c>
      <c r="W98" s="59"/>
      <c r="X98" s="59"/>
      <c r="Y98" s="53"/>
      <c r="Z98" s="53"/>
      <c r="AA98" s="53"/>
      <c r="AB98" s="53"/>
      <c r="AC98" s="53"/>
      <c r="AD98" s="53"/>
      <c r="AE98" s="53"/>
      <c r="AF98" s="53"/>
      <c r="AG98" s="53"/>
      <c r="AI98" s="52" t="s">
        <v>23</v>
      </c>
      <c r="AJ98" s="57"/>
      <c r="AK98" s="57"/>
      <c r="AL98" s="53"/>
      <c r="AM98" s="53"/>
      <c r="AN98" s="53"/>
      <c r="AO98" s="53"/>
      <c r="AP98" s="53"/>
      <c r="AQ98" s="53"/>
      <c r="AR98" s="53"/>
      <c r="AS98" s="53"/>
      <c r="AT98" s="24"/>
      <c r="AU98" s="52" t="s">
        <v>24</v>
      </c>
      <c r="AV98" s="58"/>
      <c r="AW98" s="58"/>
      <c r="AX98" s="53"/>
      <c r="AY98" s="53"/>
      <c r="AZ98" s="53"/>
      <c r="BA98" s="53"/>
      <c r="BB98" s="53"/>
      <c r="BC98" s="53"/>
      <c r="BD98" s="53"/>
      <c r="BE98" s="53"/>
    </row>
    <row r="99" spans="3:57" x14ac:dyDescent="0.25">
      <c r="C99" s="1277"/>
      <c r="D99" s="1282"/>
      <c r="E99" s="1268"/>
      <c r="F99" s="72"/>
      <c r="G99" s="1240"/>
      <c r="H99" s="1241"/>
      <c r="I99" s="1242"/>
      <c r="J99" s="1279"/>
      <c r="K99" s="1270"/>
      <c r="L99" s="1244" t="s">
        <v>31</v>
      </c>
      <c r="M99" s="1280"/>
      <c r="V99" s="52" t="s">
        <v>19</v>
      </c>
      <c r="W99" s="59"/>
      <c r="X99" s="59"/>
      <c r="Y99" s="53"/>
      <c r="Z99" s="53"/>
      <c r="AA99" s="53"/>
      <c r="AB99" s="53"/>
      <c r="AC99" s="53"/>
      <c r="AD99" s="53"/>
      <c r="AE99" s="53"/>
      <c r="AF99" s="53"/>
      <c r="AG99" s="53"/>
      <c r="AI99" s="52" t="s">
        <v>23</v>
      </c>
      <c r="AJ99" s="57"/>
      <c r="AK99" s="57"/>
      <c r="AL99" s="53"/>
      <c r="AM99" s="53"/>
      <c r="AN99" s="53"/>
      <c r="AO99" s="53"/>
      <c r="AP99" s="53"/>
      <c r="AQ99" s="53"/>
      <c r="AR99" s="53"/>
      <c r="AS99" s="53"/>
      <c r="AT99" s="24"/>
      <c r="AU99" s="52" t="s">
        <v>24</v>
      </c>
      <c r="AV99" s="58"/>
      <c r="AW99" s="58"/>
      <c r="AX99" s="53"/>
      <c r="AY99" s="53"/>
      <c r="AZ99" s="53"/>
      <c r="BA99" s="53"/>
      <c r="BB99" s="53"/>
      <c r="BC99" s="53"/>
      <c r="BD99" s="53"/>
      <c r="BE99" s="53"/>
    </row>
    <row r="100" spans="3:57" x14ac:dyDescent="0.25">
      <c r="C100" s="1277"/>
      <c r="D100" s="1238" t="s">
        <v>28</v>
      </c>
      <c r="E100" s="1268" t="s">
        <v>79</v>
      </c>
      <c r="F100" s="72">
        <f>((G125*J$122+K$122)-(G125*J125+K125))*365.25</f>
        <v>348.81375000000003</v>
      </c>
      <c r="G100" s="1240" t="s">
        <v>70</v>
      </c>
      <c r="H100" s="1241">
        <f>VLOOKUP(G100,'CP FACTORS'!$A$26:$B$38,2,FALSE)</f>
        <v>1.3573829999999999E-4</v>
      </c>
      <c r="I100" s="1242">
        <f>H100*F100</f>
        <v>4.7347385441624999E-2</v>
      </c>
      <c r="J100" s="1279">
        <v>12</v>
      </c>
      <c r="K100" s="1270">
        <v>150</v>
      </c>
      <c r="L100" s="1244" t="s">
        <v>31</v>
      </c>
      <c r="M100" s="1280"/>
      <c r="N100" s="1283"/>
      <c r="O100" s="1283"/>
      <c r="P100" s="1246"/>
      <c r="Q100" s="1247"/>
      <c r="R100" s="1248"/>
      <c r="S100" s="1248"/>
      <c r="T100" s="1249"/>
      <c r="V100" s="52" t="s">
        <v>19</v>
      </c>
      <c r="W100" s="59">
        <v>348.81375000000003</v>
      </c>
      <c r="X100" s="59">
        <v>348.81375000000003</v>
      </c>
      <c r="Y100" s="53"/>
      <c r="Z100" s="53"/>
      <c r="AA100" s="53"/>
      <c r="AB100" s="53"/>
      <c r="AC100" s="53"/>
      <c r="AD100" s="53"/>
      <c r="AE100" s="53"/>
      <c r="AF100" s="53"/>
      <c r="AG100" s="53"/>
      <c r="AI100" s="52" t="s">
        <v>23</v>
      </c>
      <c r="AJ100" s="57">
        <v>12</v>
      </c>
      <c r="AK100" s="57">
        <v>12</v>
      </c>
      <c r="AL100" s="53"/>
      <c r="AM100" s="53"/>
      <c r="AN100" s="53"/>
      <c r="AO100" s="53"/>
      <c r="AP100" s="53"/>
      <c r="AQ100" s="53"/>
      <c r="AR100" s="53"/>
      <c r="AS100" s="53"/>
      <c r="AT100" s="24"/>
      <c r="AU100" s="52" t="s">
        <v>24</v>
      </c>
      <c r="AV100" s="58">
        <v>150</v>
      </c>
      <c r="AW100" s="58">
        <v>150</v>
      </c>
      <c r="AX100" s="53"/>
      <c r="AY100" s="53"/>
      <c r="AZ100" s="53"/>
      <c r="BA100" s="53"/>
      <c r="BB100" s="53"/>
      <c r="BC100" s="53"/>
      <c r="BD100" s="53"/>
      <c r="BE100" s="53"/>
    </row>
    <row r="101" spans="3:57" x14ac:dyDescent="0.25">
      <c r="C101" s="1277"/>
      <c r="D101" s="1238" t="s">
        <v>28</v>
      </c>
      <c r="E101" s="1268" t="s">
        <v>80</v>
      </c>
      <c r="F101" s="72">
        <f>((G126*J$122+K$122)-(G126*J126+K126))*365.25</f>
        <v>1307.5949999999998</v>
      </c>
      <c r="G101" s="1240" t="s">
        <v>70</v>
      </c>
      <c r="H101" s="1241">
        <f>VLOOKUP(G101,'CP FACTORS'!$A$26:$B$38,2,FALSE)</f>
        <v>1.3573829999999999E-4</v>
      </c>
      <c r="I101" s="1242">
        <f>H101*F101</f>
        <v>0.17749072238849994</v>
      </c>
      <c r="J101" s="1279">
        <v>12</v>
      </c>
      <c r="K101" s="1270">
        <v>400</v>
      </c>
      <c r="L101" s="1244" t="s">
        <v>31</v>
      </c>
      <c r="M101" s="1280"/>
      <c r="N101" s="1283"/>
      <c r="O101" s="1283"/>
      <c r="P101" s="1246"/>
      <c r="Q101" s="1247"/>
      <c r="R101" s="1248"/>
      <c r="S101" s="1248"/>
      <c r="T101" s="1249"/>
      <c r="V101" s="52" t="s">
        <v>19</v>
      </c>
      <c r="W101" s="59">
        <v>1307.5949999999998</v>
      </c>
      <c r="X101" s="59">
        <v>1307.5949999999998</v>
      </c>
      <c r="Y101" s="53"/>
      <c r="Z101" s="53"/>
      <c r="AA101" s="53"/>
      <c r="AB101" s="53"/>
      <c r="AC101" s="53"/>
      <c r="AD101" s="53"/>
      <c r="AE101" s="53"/>
      <c r="AF101" s="53"/>
      <c r="AG101" s="53"/>
      <c r="AI101" s="52" t="s">
        <v>23</v>
      </c>
      <c r="AJ101" s="57">
        <v>12</v>
      </c>
      <c r="AK101" s="57">
        <v>12</v>
      </c>
      <c r="AL101" s="53"/>
      <c r="AM101" s="53"/>
      <c r="AN101" s="53"/>
      <c r="AO101" s="53"/>
      <c r="AP101" s="53"/>
      <c r="AQ101" s="53"/>
      <c r="AR101" s="53"/>
      <c r="AS101" s="53"/>
      <c r="AT101" s="24"/>
      <c r="AU101" s="52" t="s">
        <v>24</v>
      </c>
      <c r="AV101" s="58">
        <v>400</v>
      </c>
      <c r="AW101" s="58">
        <v>400</v>
      </c>
      <c r="AX101" s="53"/>
      <c r="AY101" s="53"/>
      <c r="AZ101" s="53"/>
      <c r="BA101" s="53"/>
      <c r="BB101" s="53"/>
      <c r="BC101" s="53"/>
      <c r="BD101" s="53"/>
      <c r="BE101" s="53"/>
    </row>
    <row r="102" spans="3:57" x14ac:dyDescent="0.25">
      <c r="C102" s="1277"/>
      <c r="D102" s="1238" t="s">
        <v>28</v>
      </c>
      <c r="E102" s="1268" t="s">
        <v>81</v>
      </c>
      <c r="F102" s="72">
        <f>((G127*J$122+K$122)-(G127*J127+K127))*365.25</f>
        <v>2403.3449999999993</v>
      </c>
      <c r="G102" s="1240" t="s">
        <v>70</v>
      </c>
      <c r="H102" s="1241">
        <f>VLOOKUP(G102,'CP FACTORS'!$A$26:$B$38,2,FALSE)</f>
        <v>1.3573829999999999E-4</v>
      </c>
      <c r="I102" s="1242">
        <f>H102*F102</f>
        <v>0.3262259646134999</v>
      </c>
      <c r="J102" s="1279">
        <v>12</v>
      </c>
      <c r="K102" s="1270">
        <v>550</v>
      </c>
      <c r="L102" s="1244" t="s">
        <v>31</v>
      </c>
      <c r="M102" s="1280"/>
      <c r="N102" s="1283"/>
      <c r="O102" s="1283"/>
      <c r="P102" s="1246"/>
      <c r="Q102" s="1247"/>
      <c r="R102" s="1248"/>
      <c r="S102" s="1248"/>
      <c r="T102" s="1249"/>
      <c r="V102" s="52" t="s">
        <v>19</v>
      </c>
      <c r="W102" s="59">
        <v>2403.3449999999993</v>
      </c>
      <c r="X102" s="59">
        <v>2403.3449999999993</v>
      </c>
      <c r="Y102" s="53"/>
      <c r="Z102" s="53"/>
      <c r="AA102" s="53"/>
      <c r="AB102" s="53"/>
      <c r="AC102" s="53"/>
      <c r="AD102" s="53"/>
      <c r="AE102" s="53"/>
      <c r="AF102" s="53"/>
      <c r="AG102" s="53"/>
      <c r="AI102" s="52" t="s">
        <v>23</v>
      </c>
      <c r="AJ102" s="57">
        <v>12</v>
      </c>
      <c r="AK102" s="57">
        <v>12</v>
      </c>
      <c r="AL102" s="53"/>
      <c r="AM102" s="53"/>
      <c r="AN102" s="53"/>
      <c r="AO102" s="53"/>
      <c r="AP102" s="53"/>
      <c r="AQ102" s="53"/>
      <c r="AR102" s="53"/>
      <c r="AS102" s="53"/>
      <c r="AT102" s="24"/>
      <c r="AU102" s="52" t="s">
        <v>24</v>
      </c>
      <c r="AV102" s="58">
        <v>550</v>
      </c>
      <c r="AW102" s="58">
        <v>550</v>
      </c>
      <c r="AX102" s="53"/>
      <c r="AY102" s="53"/>
      <c r="AZ102" s="53"/>
      <c r="BA102" s="53"/>
      <c r="BB102" s="53"/>
      <c r="BC102" s="53"/>
      <c r="BD102" s="53"/>
      <c r="BE102" s="53"/>
    </row>
    <row r="103" spans="3:57" ht="15.75" customHeight="1" x14ac:dyDescent="0.25">
      <c r="C103" s="1277"/>
      <c r="D103" s="1238" t="s">
        <v>28</v>
      </c>
      <c r="E103" s="1268" t="s">
        <v>82</v>
      </c>
      <c r="F103" s="72">
        <f>((G128*J$122+K$122)-(G128*J128+K128))*365.25</f>
        <v>2951.2199999999993</v>
      </c>
      <c r="G103" s="1240" t="s">
        <v>70</v>
      </c>
      <c r="H103" s="1241">
        <f>VLOOKUP(G103,'CP FACTORS'!$A$26:$B$38,2,FALSE)</f>
        <v>1.3573829999999999E-4</v>
      </c>
      <c r="I103" s="1242">
        <f>H103*F103</f>
        <v>0.4005935857259999</v>
      </c>
      <c r="J103" s="1279">
        <v>12</v>
      </c>
      <c r="K103" s="1270">
        <v>700</v>
      </c>
      <c r="L103" s="1244" t="s">
        <v>31</v>
      </c>
      <c r="M103" s="1280"/>
      <c r="P103" s="1246"/>
      <c r="Q103" s="1247"/>
      <c r="R103" s="1248"/>
      <c r="S103" s="1248"/>
      <c r="T103" s="1249"/>
      <c r="V103" s="52" t="s">
        <v>19</v>
      </c>
      <c r="W103" s="59">
        <v>2951.2199999999993</v>
      </c>
      <c r="X103" s="59">
        <v>2951.2199999999993</v>
      </c>
      <c r="Y103" s="53"/>
      <c r="Z103" s="53"/>
      <c r="AA103" s="53"/>
      <c r="AB103" s="53"/>
      <c r="AC103" s="53"/>
      <c r="AD103" s="53"/>
      <c r="AE103" s="53"/>
      <c r="AF103" s="53"/>
      <c r="AG103" s="53"/>
      <c r="AI103" s="52" t="s">
        <v>23</v>
      </c>
      <c r="AJ103" s="57">
        <v>12</v>
      </c>
      <c r="AK103" s="57">
        <v>12</v>
      </c>
      <c r="AL103" s="53"/>
      <c r="AM103" s="53"/>
      <c r="AN103" s="53"/>
      <c r="AO103" s="53"/>
      <c r="AP103" s="53"/>
      <c r="AQ103" s="53"/>
      <c r="AR103" s="53"/>
      <c r="AS103" s="53"/>
      <c r="AT103" s="24"/>
      <c r="AU103" s="52" t="s">
        <v>24</v>
      </c>
      <c r="AV103" s="58">
        <v>700</v>
      </c>
      <c r="AW103" s="58">
        <v>700</v>
      </c>
      <c r="AX103" s="53"/>
      <c r="AY103" s="53"/>
      <c r="AZ103" s="53"/>
      <c r="BA103" s="53"/>
      <c r="BB103" s="53"/>
      <c r="BC103" s="53"/>
      <c r="BD103" s="53"/>
      <c r="BE103" s="53"/>
    </row>
    <row r="104" spans="3:57" ht="15.75" customHeight="1" x14ac:dyDescent="0.25">
      <c r="C104" s="1277"/>
      <c r="D104" s="1259"/>
      <c r="E104" s="1268"/>
      <c r="F104" s="72"/>
      <c r="G104" s="1240"/>
      <c r="H104" s="1241"/>
      <c r="I104" s="1242"/>
      <c r="J104" s="1279"/>
      <c r="K104" s="1270"/>
      <c r="L104" s="1244" t="s">
        <v>31</v>
      </c>
      <c r="M104" s="1280"/>
      <c r="P104" s="1246"/>
      <c r="Q104" s="1247"/>
      <c r="R104" s="1248"/>
      <c r="S104" s="1248"/>
      <c r="T104" s="1249"/>
      <c r="V104" s="52" t="s">
        <v>19</v>
      </c>
      <c r="W104" s="59"/>
      <c r="X104" s="59"/>
      <c r="Y104" s="53"/>
      <c r="Z104" s="53"/>
      <c r="AA104" s="53"/>
      <c r="AB104" s="53"/>
      <c r="AC104" s="53"/>
      <c r="AD104" s="53"/>
      <c r="AE104" s="53"/>
      <c r="AF104" s="53"/>
      <c r="AG104" s="53"/>
      <c r="AI104" s="52" t="s">
        <v>23</v>
      </c>
      <c r="AJ104" s="57"/>
      <c r="AK104" s="57"/>
      <c r="AL104" s="53"/>
      <c r="AM104" s="53"/>
      <c r="AN104" s="53"/>
      <c r="AO104" s="53"/>
      <c r="AP104" s="53"/>
      <c r="AQ104" s="53"/>
      <c r="AR104" s="53"/>
      <c r="AS104" s="53"/>
      <c r="AT104" s="24"/>
      <c r="AU104" s="52" t="s">
        <v>24</v>
      </c>
      <c r="AV104" s="58"/>
      <c r="AW104" s="58"/>
      <c r="AX104" s="53"/>
      <c r="AY104" s="53"/>
      <c r="AZ104" s="53"/>
      <c r="BA104" s="53"/>
      <c r="BB104" s="53"/>
      <c r="BC104" s="53"/>
      <c r="BD104" s="53"/>
      <c r="BE104" s="53"/>
    </row>
    <row r="105" spans="3:57" x14ac:dyDescent="0.25">
      <c r="C105" s="1277"/>
      <c r="D105" s="1238" t="s">
        <v>28</v>
      </c>
      <c r="E105" s="1268" t="s">
        <v>83</v>
      </c>
      <c r="F105" s="72">
        <f>((G129*J$123+K$123)-(G129*J129+K129))*365.25</f>
        <v>1429.9537499999997</v>
      </c>
      <c r="G105" s="1240" t="s">
        <v>70</v>
      </c>
      <c r="H105" s="1241">
        <f>VLOOKUP(G105,'CP FACTORS'!$A$26:$B$38,2,FALSE)</f>
        <v>1.3573829999999999E-4</v>
      </c>
      <c r="I105" s="1242">
        <f>H105*F105</f>
        <v>0.19409949110362493</v>
      </c>
      <c r="J105" s="1279">
        <v>12</v>
      </c>
      <c r="K105" s="1270">
        <v>220</v>
      </c>
      <c r="L105" s="1244" t="s">
        <v>31</v>
      </c>
      <c r="M105" s="1280"/>
      <c r="P105" s="1246"/>
      <c r="Q105" s="1247"/>
      <c r="R105" s="1248"/>
      <c r="S105" s="1248"/>
      <c r="T105" s="1249"/>
      <c r="V105" s="52" t="s">
        <v>19</v>
      </c>
      <c r="W105" s="59">
        <v>1429.9537499999997</v>
      </c>
      <c r="X105" s="59">
        <v>1429.9537499999997</v>
      </c>
      <c r="Y105" s="53"/>
      <c r="Z105" s="53"/>
      <c r="AA105" s="53"/>
      <c r="AB105" s="53"/>
      <c r="AC105" s="53"/>
      <c r="AD105" s="53"/>
      <c r="AE105" s="53"/>
      <c r="AF105" s="53"/>
      <c r="AG105" s="53"/>
      <c r="AI105" s="52" t="s">
        <v>23</v>
      </c>
      <c r="AJ105" s="57">
        <v>12</v>
      </c>
      <c r="AK105" s="57">
        <v>12</v>
      </c>
      <c r="AL105" s="53"/>
      <c r="AM105" s="53"/>
      <c r="AN105" s="53"/>
      <c r="AO105" s="53"/>
      <c r="AP105" s="53"/>
      <c r="AQ105" s="53"/>
      <c r="AR105" s="53"/>
      <c r="AS105" s="53"/>
      <c r="AT105" s="24"/>
      <c r="AU105" s="52" t="s">
        <v>24</v>
      </c>
      <c r="AV105" s="58">
        <v>220</v>
      </c>
      <c r="AW105" s="58">
        <v>220</v>
      </c>
      <c r="AX105" s="53"/>
      <c r="AY105" s="53"/>
      <c r="AZ105" s="53"/>
      <c r="BA105" s="53"/>
      <c r="BB105" s="53"/>
      <c r="BC105" s="53"/>
      <c r="BD105" s="53"/>
      <c r="BE105" s="53"/>
    </row>
    <row r="106" spans="3:57" x14ac:dyDescent="0.25">
      <c r="C106" s="1277"/>
      <c r="D106" s="1238" t="s">
        <v>28</v>
      </c>
      <c r="E106" s="1268" t="s">
        <v>84</v>
      </c>
      <c r="F106" s="72">
        <f>((G130*J$123+K$123)-(G130*J130+K130))*365.25</f>
        <v>3186.8062500000005</v>
      </c>
      <c r="G106" s="1240" t="s">
        <v>70</v>
      </c>
      <c r="H106" s="1241">
        <f>VLOOKUP(G106,'CP FACTORS'!$A$26:$B$38,2,FALSE)</f>
        <v>1.3573829999999999E-4</v>
      </c>
      <c r="I106" s="1242">
        <f>H106*F106</f>
        <v>0.43257166280437503</v>
      </c>
      <c r="J106" s="1279">
        <v>12</v>
      </c>
      <c r="K106" s="1270">
        <v>950</v>
      </c>
      <c r="L106" s="1244" t="s">
        <v>31</v>
      </c>
      <c r="M106" s="1280"/>
      <c r="P106" s="1246"/>
      <c r="Q106" s="1247"/>
      <c r="R106" s="1248"/>
      <c r="S106" s="1248"/>
      <c r="T106" s="1249"/>
      <c r="V106" s="52" t="s">
        <v>19</v>
      </c>
      <c r="W106" s="59">
        <v>3186.8062500000005</v>
      </c>
      <c r="X106" s="59">
        <v>3186.8062500000005</v>
      </c>
      <c r="Y106" s="53"/>
      <c r="Z106" s="53"/>
      <c r="AA106" s="53"/>
      <c r="AB106" s="53"/>
      <c r="AC106" s="53"/>
      <c r="AD106" s="53"/>
      <c r="AE106" s="53"/>
      <c r="AF106" s="53"/>
      <c r="AG106" s="53"/>
      <c r="AI106" s="52" t="s">
        <v>23</v>
      </c>
      <c r="AJ106" s="57">
        <v>12</v>
      </c>
      <c r="AK106" s="57">
        <v>12</v>
      </c>
      <c r="AL106" s="53"/>
      <c r="AM106" s="53"/>
      <c r="AN106" s="53"/>
      <c r="AO106" s="53"/>
      <c r="AP106" s="53"/>
      <c r="AQ106" s="53"/>
      <c r="AR106" s="53"/>
      <c r="AS106" s="53"/>
      <c r="AT106" s="24"/>
      <c r="AU106" s="52" t="s">
        <v>24</v>
      </c>
      <c r="AV106" s="58">
        <v>950</v>
      </c>
      <c r="AW106" s="58">
        <v>950</v>
      </c>
      <c r="AX106" s="53"/>
      <c r="AY106" s="53"/>
      <c r="AZ106" s="53"/>
      <c r="BA106" s="53"/>
      <c r="BB106" s="53"/>
      <c r="BC106" s="53"/>
      <c r="BD106" s="53"/>
      <c r="BE106" s="53"/>
    </row>
    <row r="107" spans="3:57" x14ac:dyDescent="0.25">
      <c r="C107" s="1277"/>
      <c r="D107" s="1238" t="s">
        <v>28</v>
      </c>
      <c r="E107" s="1268" t="s">
        <v>85</v>
      </c>
      <c r="F107" s="72">
        <f>((G131*J$123+K$123)-(G131*J131+K131))*365.25</f>
        <v>5150.0250000000005</v>
      </c>
      <c r="G107" s="1240" t="s">
        <v>70</v>
      </c>
      <c r="H107" s="1241">
        <f>VLOOKUP(G107,'CP FACTORS'!$A$26:$B$38,2,FALSE)</f>
        <v>1.3573829999999999E-4</v>
      </c>
      <c r="I107" s="1242">
        <f>H107*F107</f>
        <v>0.69905563845749996</v>
      </c>
      <c r="J107" s="1279">
        <v>12</v>
      </c>
      <c r="K107" s="1270">
        <v>1307</v>
      </c>
      <c r="L107" s="1244" t="s">
        <v>31</v>
      </c>
      <c r="M107" s="1280"/>
      <c r="P107" s="1246"/>
      <c r="Q107" s="1247"/>
      <c r="R107" s="1248"/>
      <c r="S107" s="1248"/>
      <c r="T107" s="1249"/>
      <c r="V107" s="52" t="s">
        <v>19</v>
      </c>
      <c r="W107" s="59">
        <v>5150.0250000000005</v>
      </c>
      <c r="X107" s="59">
        <v>5150.0250000000005</v>
      </c>
      <c r="Y107" s="53"/>
      <c r="Z107" s="53"/>
      <c r="AA107" s="53"/>
      <c r="AB107" s="53"/>
      <c r="AC107" s="53"/>
      <c r="AD107" s="53"/>
      <c r="AE107" s="53"/>
      <c r="AF107" s="53"/>
      <c r="AG107" s="53"/>
      <c r="AI107" s="52" t="s">
        <v>23</v>
      </c>
      <c r="AJ107" s="57">
        <v>12</v>
      </c>
      <c r="AK107" s="57">
        <v>12</v>
      </c>
      <c r="AL107" s="53"/>
      <c r="AM107" s="53"/>
      <c r="AN107" s="53"/>
      <c r="AO107" s="53"/>
      <c r="AP107" s="53"/>
      <c r="AQ107" s="53"/>
      <c r="AR107" s="53"/>
      <c r="AS107" s="53"/>
      <c r="AT107" s="24"/>
      <c r="AU107" s="52" t="s">
        <v>24</v>
      </c>
      <c r="AV107" s="58">
        <v>1307</v>
      </c>
      <c r="AW107" s="58">
        <v>1307</v>
      </c>
      <c r="AX107" s="53"/>
      <c r="AY107" s="53"/>
      <c r="AZ107" s="53"/>
      <c r="BA107" s="53"/>
      <c r="BB107" s="53"/>
      <c r="BC107" s="53"/>
      <c r="BD107" s="53"/>
      <c r="BE107" s="53"/>
    </row>
    <row r="108" spans="3:57" x14ac:dyDescent="0.25">
      <c r="C108" s="1277"/>
      <c r="D108" s="1238" t="s">
        <v>28</v>
      </c>
      <c r="E108" s="1268" t="s">
        <v>86</v>
      </c>
      <c r="F108" s="72">
        <f>((G132*J$123+K$123)-(G132*J132+K132))*365.25</f>
        <v>5884.1774999999998</v>
      </c>
      <c r="G108" s="1240" t="s">
        <v>70</v>
      </c>
      <c r="H108" s="1241">
        <f>VLOOKUP(G108,'CP FACTORS'!$A$26:$B$38,2,FALSE)</f>
        <v>1.3573829999999999E-4</v>
      </c>
      <c r="I108" s="1242">
        <f>H108*F108</f>
        <v>0.79870825074824991</v>
      </c>
      <c r="J108" s="1279">
        <v>12</v>
      </c>
      <c r="K108" s="1270">
        <v>2300</v>
      </c>
      <c r="L108" s="1244" t="s">
        <v>31</v>
      </c>
      <c r="M108" s="1280"/>
      <c r="V108" s="52" t="s">
        <v>19</v>
      </c>
      <c r="W108" s="59">
        <v>5884.1774999999998</v>
      </c>
      <c r="X108" s="59">
        <v>5884.1774999999998</v>
      </c>
      <c r="Y108" s="53"/>
      <c r="Z108" s="53"/>
      <c r="AA108" s="53"/>
      <c r="AB108" s="53"/>
      <c r="AC108" s="53"/>
      <c r="AD108" s="53"/>
      <c r="AE108" s="53"/>
      <c r="AF108" s="53"/>
      <c r="AG108" s="53"/>
      <c r="AI108" s="52" t="s">
        <v>23</v>
      </c>
      <c r="AJ108" s="57">
        <v>12</v>
      </c>
      <c r="AK108" s="57">
        <v>12</v>
      </c>
      <c r="AL108" s="53"/>
      <c r="AM108" s="53"/>
      <c r="AN108" s="53"/>
      <c r="AO108" s="53"/>
      <c r="AP108" s="53"/>
      <c r="AQ108" s="53"/>
      <c r="AR108" s="53"/>
      <c r="AS108" s="53"/>
      <c r="AT108" s="24"/>
      <c r="AU108" s="52" t="s">
        <v>24</v>
      </c>
      <c r="AV108" s="58">
        <v>2300</v>
      </c>
      <c r="AW108" s="58">
        <v>2300</v>
      </c>
      <c r="AX108" s="53"/>
      <c r="AY108" s="53"/>
      <c r="AZ108" s="53"/>
      <c r="BA108" s="53"/>
      <c r="BB108" s="53"/>
      <c r="BC108" s="53"/>
      <c r="BD108" s="53"/>
      <c r="BE108" s="53"/>
    </row>
    <row r="109" spans="3:57" x14ac:dyDescent="0.25">
      <c r="C109" s="1284"/>
      <c r="D109" s="1259"/>
      <c r="E109" s="1268"/>
      <c r="F109" s="72"/>
      <c r="G109" s="1240"/>
      <c r="H109" s="1241"/>
      <c r="I109" s="1242"/>
      <c r="J109" s="1279"/>
      <c r="K109" s="1270"/>
      <c r="L109" s="1244" t="s">
        <v>31</v>
      </c>
      <c r="V109" s="52" t="s">
        <v>19</v>
      </c>
      <c r="W109" s="59"/>
      <c r="X109" s="59"/>
      <c r="Y109" s="53"/>
      <c r="Z109" s="53"/>
      <c r="AA109" s="53"/>
      <c r="AB109" s="53"/>
      <c r="AC109" s="53"/>
      <c r="AD109" s="53"/>
      <c r="AE109" s="53"/>
      <c r="AF109" s="53"/>
      <c r="AG109" s="53"/>
      <c r="AI109" s="52" t="s">
        <v>23</v>
      </c>
      <c r="AJ109" s="57"/>
      <c r="AK109" s="57"/>
      <c r="AL109" s="53"/>
      <c r="AM109" s="53"/>
      <c r="AN109" s="53"/>
      <c r="AO109" s="53"/>
      <c r="AP109" s="53"/>
      <c r="AQ109" s="53"/>
      <c r="AR109" s="53"/>
      <c r="AS109" s="53"/>
      <c r="AT109" s="24"/>
      <c r="AU109" s="52" t="s">
        <v>24</v>
      </c>
      <c r="AV109" s="58"/>
      <c r="AW109" s="58"/>
      <c r="AX109" s="53"/>
      <c r="AY109" s="53"/>
      <c r="AZ109" s="53"/>
      <c r="BA109" s="53"/>
      <c r="BB109" s="53"/>
      <c r="BC109" s="53"/>
      <c r="BD109" s="53"/>
      <c r="BE109" s="53"/>
    </row>
    <row r="110" spans="3:57" x14ac:dyDescent="0.25">
      <c r="C110" s="1284"/>
      <c r="D110" s="1238" t="s">
        <v>28</v>
      </c>
      <c r="E110" s="1268" t="s">
        <v>87</v>
      </c>
      <c r="F110" s="72">
        <f>((G133*AVERAGE(J$122,J$123)+AVERAGE(K$122,K$123))-(G133*J133+K133))*365.25</f>
        <v>5265.0787499999997</v>
      </c>
      <c r="G110" s="1240" t="s">
        <v>70</v>
      </c>
      <c r="H110" s="1241">
        <f>VLOOKUP(G110,'CP FACTORS'!$A$26:$B$38,2,FALSE)</f>
        <v>1.3573829999999999E-4</v>
      </c>
      <c r="I110" s="1242">
        <f>H110*F110</f>
        <v>0.71467283889112487</v>
      </c>
      <c r="J110" s="1279">
        <v>12</v>
      </c>
      <c r="K110" s="1270">
        <v>595</v>
      </c>
      <c r="L110" s="1244" t="s">
        <v>31</v>
      </c>
      <c r="V110" s="52" t="s">
        <v>19</v>
      </c>
      <c r="W110" s="59">
        <v>5265.0787499999997</v>
      </c>
      <c r="X110" s="59">
        <v>5265.0787499999997</v>
      </c>
      <c r="Y110" s="53"/>
      <c r="Z110" s="53"/>
      <c r="AA110" s="53"/>
      <c r="AB110" s="53"/>
      <c r="AC110" s="53"/>
      <c r="AD110" s="53"/>
      <c r="AE110" s="53"/>
      <c r="AF110" s="53"/>
      <c r="AG110" s="53"/>
      <c r="AI110" s="52" t="s">
        <v>23</v>
      </c>
      <c r="AJ110" s="57">
        <v>12</v>
      </c>
      <c r="AK110" s="57">
        <v>12</v>
      </c>
      <c r="AL110" s="53"/>
      <c r="AM110" s="53"/>
      <c r="AN110" s="53"/>
      <c r="AO110" s="53"/>
      <c r="AP110" s="53"/>
      <c r="AQ110" s="53"/>
      <c r="AR110" s="53"/>
      <c r="AS110" s="53"/>
      <c r="AT110" s="24"/>
      <c r="AU110" s="52" t="s">
        <v>24</v>
      </c>
      <c r="AV110" s="58">
        <v>595</v>
      </c>
      <c r="AW110" s="58">
        <v>595</v>
      </c>
      <c r="AX110" s="53"/>
      <c r="AY110" s="53"/>
      <c r="AZ110" s="53"/>
      <c r="BA110" s="53"/>
      <c r="BB110" s="53"/>
      <c r="BC110" s="53"/>
      <c r="BD110" s="53"/>
      <c r="BE110" s="53"/>
    </row>
    <row r="111" spans="3:57" outlineLevel="1" x14ac:dyDescent="0.25">
      <c r="E111" s="1227"/>
      <c r="F111" s="1227"/>
      <c r="G111" s="1227"/>
      <c r="H111" s="1251"/>
      <c r="I111" s="1227"/>
      <c r="J111" s="1227"/>
      <c r="K111" s="1227"/>
    </row>
    <row r="112" spans="3:57" outlineLevel="1" x14ac:dyDescent="0.25">
      <c r="D112" s="1227" t="s">
        <v>52</v>
      </c>
      <c r="E112" s="1227"/>
      <c r="F112" s="1227"/>
      <c r="G112" s="1227"/>
      <c r="H112" s="1251"/>
      <c r="I112" s="1227"/>
      <c r="J112" s="1227"/>
      <c r="K112" s="1227"/>
    </row>
    <row r="113" spans="2:21" outlineLevel="1" x14ac:dyDescent="0.25">
      <c r="D113" s="1252"/>
      <c r="G113" s="1285"/>
      <c r="H113" s="1286"/>
    </row>
    <row r="114" spans="2:21" outlineLevel="1" x14ac:dyDescent="0.25">
      <c r="D114" s="1252"/>
      <c r="G114" s="1285"/>
      <c r="H114" s="1286"/>
    </row>
    <row r="115" spans="2:21" outlineLevel="1" x14ac:dyDescent="0.25">
      <c r="D115" s="1252"/>
      <c r="G115" s="1222"/>
      <c r="H115" s="1253"/>
      <c r="M115" s="1227"/>
    </row>
    <row r="116" spans="2:21" outlineLevel="1" x14ac:dyDescent="0.25">
      <c r="D116" s="1252"/>
      <c r="G116" s="1222"/>
      <c r="H116" s="1253"/>
      <c r="M116" s="1227"/>
    </row>
    <row r="117" spans="2:21" outlineLevel="1" x14ac:dyDescent="0.25">
      <c r="D117" s="1252"/>
      <c r="G117" s="1222"/>
      <c r="H117" s="1253"/>
      <c r="M117" s="1227"/>
    </row>
    <row r="118" spans="2:21" outlineLevel="1" x14ac:dyDescent="0.25">
      <c r="D118" s="1252"/>
      <c r="G118" s="1222"/>
      <c r="H118" s="1253"/>
    </row>
    <row r="119" spans="2:21" s="61" customFormat="1" ht="17.25" outlineLevel="1" x14ac:dyDescent="0.25">
      <c r="B119" s="1258"/>
      <c r="C119" s="1258"/>
      <c r="D119" s="91" t="s">
        <v>88</v>
      </c>
      <c r="E119" s="91" t="s">
        <v>89</v>
      </c>
      <c r="F119" s="91" t="s">
        <v>90</v>
      </c>
      <c r="G119" s="91" t="s">
        <v>91</v>
      </c>
      <c r="H119" s="2003" t="s">
        <v>92</v>
      </c>
      <c r="I119" s="2004"/>
      <c r="J119" s="2003" t="s">
        <v>93</v>
      </c>
      <c r="K119" s="2004"/>
      <c r="L119" s="1258"/>
      <c r="M119" s="1258"/>
      <c r="N119" s="1258"/>
      <c r="O119" s="175"/>
      <c r="P119" s="1258"/>
      <c r="Q119" s="1258"/>
      <c r="R119" s="1258"/>
      <c r="S119" s="1258"/>
      <c r="T119" s="1258"/>
      <c r="U119" s="1258"/>
    </row>
    <row r="120" spans="2:21" s="61" customFormat="1" outlineLevel="1" x14ac:dyDescent="0.25">
      <c r="B120" s="1258"/>
      <c r="C120" s="1258"/>
      <c r="D120" s="92"/>
      <c r="E120" s="92"/>
      <c r="F120" s="92"/>
      <c r="G120" s="92"/>
      <c r="H120" s="2005" t="s">
        <v>94</v>
      </c>
      <c r="I120" s="2006"/>
      <c r="J120" s="2005" t="s">
        <v>95</v>
      </c>
      <c r="K120" s="2006"/>
      <c r="L120" s="1258"/>
      <c r="M120" s="1258"/>
      <c r="N120" s="1258"/>
      <c r="O120" s="175"/>
      <c r="P120" s="1258"/>
      <c r="Q120" s="1258"/>
      <c r="R120" s="1258"/>
      <c r="S120" s="1258"/>
      <c r="T120" s="1258"/>
      <c r="U120" s="1258"/>
    </row>
    <row r="121" spans="2:21" s="61" customFormat="1" outlineLevel="1" x14ac:dyDescent="0.25">
      <c r="B121" s="1258"/>
      <c r="C121" s="1258"/>
      <c r="D121" s="93"/>
      <c r="E121" s="93"/>
      <c r="F121" s="93"/>
      <c r="G121" s="131" t="s">
        <v>96</v>
      </c>
      <c r="H121" s="131" t="s">
        <v>97</v>
      </c>
      <c r="I121" s="131" t="s">
        <v>98</v>
      </c>
      <c r="J121" s="131" t="s">
        <v>99</v>
      </c>
      <c r="K121" s="131" t="s">
        <v>100</v>
      </c>
      <c r="L121" s="1258"/>
      <c r="M121" s="1258"/>
      <c r="N121" s="1258"/>
      <c r="O121" s="175"/>
      <c r="P121" s="1258"/>
      <c r="Q121" s="1258"/>
      <c r="R121" s="1258"/>
      <c r="S121" s="1258"/>
      <c r="T121" s="1258"/>
      <c r="U121" s="1258"/>
    </row>
    <row r="122" spans="2:21" outlineLevel="1" x14ac:dyDescent="0.25">
      <c r="D122" s="1259" t="s">
        <v>101</v>
      </c>
      <c r="E122" s="1259" t="s">
        <v>102</v>
      </c>
      <c r="F122" s="1259" t="s">
        <v>103</v>
      </c>
      <c r="G122" s="1287" t="s">
        <v>104</v>
      </c>
      <c r="H122" s="1288">
        <v>0.1</v>
      </c>
      <c r="I122" s="1288">
        <v>2.04</v>
      </c>
      <c r="J122" s="1289">
        <v>0.4</v>
      </c>
      <c r="K122" s="1290">
        <v>1.38</v>
      </c>
      <c r="L122" s="1283"/>
      <c r="M122" s="1283"/>
    </row>
    <row r="123" spans="2:21" outlineLevel="1" x14ac:dyDescent="0.25">
      <c r="D123" s="1259" t="s">
        <v>101</v>
      </c>
      <c r="E123" s="1259" t="s">
        <v>105</v>
      </c>
      <c r="F123" s="1259" t="s">
        <v>103</v>
      </c>
      <c r="G123" s="1287" t="s">
        <v>104</v>
      </c>
      <c r="H123" s="1288">
        <v>0.12</v>
      </c>
      <c r="I123" s="1288">
        <v>3.34</v>
      </c>
      <c r="J123" s="1289">
        <v>0.75</v>
      </c>
      <c r="K123" s="1290">
        <v>4.0999999999999996</v>
      </c>
      <c r="L123" s="1283"/>
      <c r="M123" s="1283"/>
    </row>
    <row r="124" spans="2:21" outlineLevel="1" x14ac:dyDescent="0.25">
      <c r="D124" s="1291"/>
      <c r="E124" s="1291"/>
      <c r="F124" s="1291"/>
      <c r="G124" s="1292"/>
      <c r="H124" s="1288"/>
      <c r="I124" s="1289"/>
      <c r="J124" s="1289"/>
      <c r="K124" s="1290"/>
      <c r="L124" s="1283"/>
      <c r="M124" s="1283"/>
    </row>
    <row r="125" spans="2:21" outlineLevel="1" x14ac:dyDescent="0.25">
      <c r="D125" s="1259" t="s">
        <v>106</v>
      </c>
      <c r="E125" s="1259" t="s">
        <v>107</v>
      </c>
      <c r="F125" s="1259" t="s">
        <v>108</v>
      </c>
      <c r="G125" s="1287">
        <v>7.5</v>
      </c>
      <c r="H125" s="1288">
        <v>0.02</v>
      </c>
      <c r="I125" s="1289">
        <v>1.6</v>
      </c>
      <c r="J125" s="1289">
        <v>0.25</v>
      </c>
      <c r="K125" s="1293">
        <v>1.55</v>
      </c>
      <c r="L125" s="1283"/>
      <c r="M125" s="1283"/>
    </row>
    <row r="126" spans="2:21" outlineLevel="1" x14ac:dyDescent="0.25">
      <c r="D126" s="1259" t="s">
        <v>106</v>
      </c>
      <c r="E126" s="1259" t="s">
        <v>107</v>
      </c>
      <c r="F126" s="1259" t="s">
        <v>109</v>
      </c>
      <c r="G126" s="1287">
        <v>22.5</v>
      </c>
      <c r="H126" s="1288">
        <v>0.09</v>
      </c>
      <c r="I126" s="1289">
        <v>0.55000000000000004</v>
      </c>
      <c r="J126" s="1289">
        <v>0.2</v>
      </c>
      <c r="K126" s="1293">
        <v>2.2999999999999998</v>
      </c>
      <c r="L126" s="1283"/>
      <c r="M126" s="1283"/>
    </row>
    <row r="127" spans="2:21" outlineLevel="1" x14ac:dyDescent="0.25">
      <c r="D127" s="1259" t="s">
        <v>106</v>
      </c>
      <c r="E127" s="1259" t="s">
        <v>107</v>
      </c>
      <c r="F127" s="1259" t="s">
        <v>110</v>
      </c>
      <c r="G127" s="1287">
        <v>40</v>
      </c>
      <c r="H127" s="1288">
        <v>0.01</v>
      </c>
      <c r="I127" s="1289">
        <v>2.95</v>
      </c>
      <c r="J127" s="1289">
        <v>0.25</v>
      </c>
      <c r="K127" s="1293">
        <v>0.8</v>
      </c>
      <c r="L127" s="1283"/>
      <c r="M127" s="1283"/>
    </row>
    <row r="128" spans="2:21" outlineLevel="1" x14ac:dyDescent="0.25">
      <c r="D128" s="1259" t="s">
        <v>106</v>
      </c>
      <c r="E128" s="1259" t="s">
        <v>107</v>
      </c>
      <c r="F128" s="1259" t="s">
        <v>111</v>
      </c>
      <c r="G128" s="1287">
        <v>50</v>
      </c>
      <c r="H128" s="1288">
        <v>0.06</v>
      </c>
      <c r="I128" s="1289">
        <v>0.45</v>
      </c>
      <c r="J128" s="1289">
        <v>0.14000000000000001</v>
      </c>
      <c r="K128" s="1293">
        <v>6.3</v>
      </c>
      <c r="L128" s="1283"/>
      <c r="M128" s="1283"/>
    </row>
    <row r="129" spans="2:57" outlineLevel="1" x14ac:dyDescent="0.25">
      <c r="D129" s="1259" t="s">
        <v>106</v>
      </c>
      <c r="E129" s="1259" t="s">
        <v>112</v>
      </c>
      <c r="F129" s="1259" t="s">
        <v>108</v>
      </c>
      <c r="G129" s="1287">
        <v>7.5</v>
      </c>
      <c r="H129" s="1288">
        <v>0.1</v>
      </c>
      <c r="I129" s="1289">
        <v>1.07</v>
      </c>
      <c r="J129" s="1289">
        <v>0.56000000000000005</v>
      </c>
      <c r="K129" s="1293">
        <v>1.61</v>
      </c>
      <c r="L129" s="1283"/>
      <c r="M129" s="1283"/>
    </row>
    <row r="130" spans="2:57" outlineLevel="1" x14ac:dyDescent="0.25">
      <c r="D130" s="1259" t="s">
        <v>106</v>
      </c>
      <c r="E130" s="1259" t="s">
        <v>112</v>
      </c>
      <c r="F130" s="1259" t="s">
        <v>109</v>
      </c>
      <c r="G130" s="1287">
        <v>22.5</v>
      </c>
      <c r="H130" s="1288">
        <v>0.15</v>
      </c>
      <c r="I130" s="1289">
        <v>0.32</v>
      </c>
      <c r="J130" s="1289">
        <v>0.3</v>
      </c>
      <c r="K130" s="1290">
        <v>5.5</v>
      </c>
      <c r="L130" s="2007"/>
      <c r="M130" s="2007"/>
      <c r="N130" s="2007"/>
    </row>
    <row r="131" spans="2:57" outlineLevel="1" x14ac:dyDescent="0.25">
      <c r="D131" s="1259" t="s">
        <v>106</v>
      </c>
      <c r="E131" s="1259" t="s">
        <v>112</v>
      </c>
      <c r="F131" s="1259" t="s">
        <v>110</v>
      </c>
      <c r="G131" s="1287">
        <v>40</v>
      </c>
      <c r="H131" s="1288">
        <v>0.06</v>
      </c>
      <c r="I131" s="1289">
        <v>3.02</v>
      </c>
      <c r="J131" s="1289">
        <v>0.55000000000000004</v>
      </c>
      <c r="K131" s="1290">
        <v>-2</v>
      </c>
      <c r="L131" s="2007"/>
      <c r="M131" s="2007"/>
      <c r="N131" s="2007"/>
    </row>
    <row r="132" spans="2:57" outlineLevel="1" x14ac:dyDescent="0.25">
      <c r="D132" s="1259" t="s">
        <v>106</v>
      </c>
      <c r="E132" s="1259" t="s">
        <v>112</v>
      </c>
      <c r="F132" s="1259" t="s">
        <v>111</v>
      </c>
      <c r="G132" s="1287">
        <v>50</v>
      </c>
      <c r="H132" s="1288">
        <v>0.08</v>
      </c>
      <c r="I132" s="1289">
        <v>2.02</v>
      </c>
      <c r="J132" s="1289">
        <v>0.32</v>
      </c>
      <c r="K132" s="1290">
        <v>9.49</v>
      </c>
      <c r="L132" s="2007"/>
      <c r="M132" s="2007"/>
      <c r="N132" s="2007"/>
    </row>
    <row r="133" spans="2:57" outlineLevel="1" x14ac:dyDescent="0.25">
      <c r="D133" s="1259" t="s">
        <v>106</v>
      </c>
      <c r="E133" s="1259" t="s">
        <v>113</v>
      </c>
      <c r="F133" s="1259" t="s">
        <v>114</v>
      </c>
      <c r="G133" s="1287">
        <v>25</v>
      </c>
      <c r="H133" s="1288">
        <v>0.06</v>
      </c>
      <c r="I133" s="1289">
        <v>0.6</v>
      </c>
      <c r="J133" s="1289">
        <v>0.1</v>
      </c>
      <c r="K133" s="1290">
        <v>0.2</v>
      </c>
      <c r="L133" s="2007"/>
      <c r="M133" s="2007"/>
      <c r="N133" s="2007"/>
    </row>
    <row r="136" spans="2:57" s="39" customFormat="1" x14ac:dyDescent="0.25">
      <c r="B136" s="1989" t="s">
        <v>115</v>
      </c>
      <c r="C136" s="1990"/>
      <c r="D136" s="1990"/>
      <c r="E136" s="1990"/>
      <c r="F136" s="1990"/>
      <c r="G136" s="1990"/>
      <c r="H136" s="1990"/>
      <c r="I136" s="1991"/>
      <c r="J136" s="1991"/>
      <c r="K136" s="1991"/>
      <c r="L136" s="1991"/>
      <c r="M136" s="1992"/>
      <c r="N136" s="1992"/>
      <c r="O136" s="1993"/>
      <c r="V136" s="40" t="str">
        <f>B136</f>
        <v>Refrigerators &amp; Freezers Controls</v>
      </c>
      <c r="W136" s="41"/>
      <c r="X136" s="41"/>
      <c r="Y136" s="41"/>
      <c r="Z136" s="41"/>
      <c r="AA136" s="41"/>
      <c r="AB136" s="41"/>
      <c r="AC136" s="41"/>
      <c r="AD136" s="41"/>
      <c r="AE136" s="41"/>
      <c r="AF136" s="41"/>
      <c r="AG136" s="41"/>
      <c r="AH136" s="41"/>
      <c r="AI136" s="42"/>
      <c r="AJ136" s="22"/>
      <c r="AK136" s="22"/>
      <c r="AL136" s="22"/>
      <c r="AM136" s="22"/>
      <c r="AN136" s="22"/>
      <c r="AO136" s="22"/>
      <c r="AP136" s="22"/>
      <c r="AQ136" s="22"/>
      <c r="AR136" s="22"/>
      <c r="AS136" s="22"/>
      <c r="AT136" s="22"/>
      <c r="AU136" s="22"/>
    </row>
    <row r="137" spans="2:57" x14ac:dyDescent="0.25">
      <c r="D137" s="1234"/>
      <c r="E137" s="1227"/>
      <c r="F137" s="1227"/>
      <c r="G137" s="1227"/>
      <c r="H137" s="1235"/>
      <c r="I137" s="1227"/>
      <c r="J137" s="1227"/>
      <c r="K137" s="1227"/>
      <c r="L137" s="1227"/>
      <c r="P137" s="1227"/>
      <c r="Q137" s="1227"/>
      <c r="R137" s="1227"/>
      <c r="S137" s="1227"/>
      <c r="T137" s="1227"/>
      <c r="U137" s="1227"/>
      <c r="V137"/>
      <c r="W137"/>
      <c r="X137"/>
      <c r="Y137"/>
      <c r="Z137"/>
      <c r="AA137"/>
      <c r="AB137"/>
      <c r="AC137"/>
      <c r="AD137"/>
      <c r="AE137"/>
      <c r="AF137"/>
      <c r="AG137"/>
      <c r="AH137"/>
      <c r="AI137"/>
      <c r="AJ137" s="38"/>
      <c r="AK137" s="38"/>
      <c r="AL137" s="38"/>
      <c r="AM137" s="38"/>
      <c r="AN137" s="38"/>
      <c r="AO137" s="38"/>
      <c r="AP137" s="38"/>
      <c r="AQ137" s="38"/>
      <c r="AR137" s="38"/>
      <c r="AS137" s="38"/>
      <c r="AT137" s="38"/>
      <c r="AU137" s="38"/>
    </row>
    <row r="138" spans="2:57" s="43" customFormat="1" ht="30" x14ac:dyDescent="0.25">
      <c r="B138" s="1236"/>
      <c r="C138" s="44" t="s">
        <v>16</v>
      </c>
      <c r="D138" s="131" t="s">
        <v>17</v>
      </c>
      <c r="E138" s="131" t="s">
        <v>18</v>
      </c>
      <c r="F138" s="131" t="s">
        <v>116</v>
      </c>
      <c r="G138" s="131" t="s">
        <v>20</v>
      </c>
      <c r="H138" s="131" t="s">
        <v>21</v>
      </c>
      <c r="I138" s="131" t="s">
        <v>22</v>
      </c>
      <c r="J138" s="131" t="s">
        <v>23</v>
      </c>
      <c r="K138" s="131" t="s">
        <v>117</v>
      </c>
      <c r="L138" s="44" t="s">
        <v>25</v>
      </c>
      <c r="M138" s="1222"/>
      <c r="N138" s="1222"/>
      <c r="O138" s="1222"/>
      <c r="P138" s="1139"/>
      <c r="Q138" s="1139"/>
      <c r="R138" s="1139"/>
      <c r="S138" s="1139"/>
      <c r="T138" s="1139"/>
      <c r="U138" s="1139"/>
      <c r="V138" s="48" t="s">
        <v>26</v>
      </c>
      <c r="W138" s="49">
        <v>43252</v>
      </c>
      <c r="X138" s="49">
        <v>43465</v>
      </c>
      <c r="Y138" s="49" t="s">
        <v>27</v>
      </c>
      <c r="Z138" s="49" t="s">
        <v>27</v>
      </c>
      <c r="AA138" s="49" t="s">
        <v>27</v>
      </c>
      <c r="AB138" s="49" t="s">
        <v>27</v>
      </c>
      <c r="AC138" s="49" t="s">
        <v>27</v>
      </c>
      <c r="AD138" s="49" t="s">
        <v>27</v>
      </c>
      <c r="AE138" s="49" t="s">
        <v>27</v>
      </c>
      <c r="AF138" s="49" t="s">
        <v>27</v>
      </c>
      <c r="AG138" s="49" t="s">
        <v>27</v>
      </c>
      <c r="AH138"/>
      <c r="AI138" s="48" t="s">
        <v>26</v>
      </c>
      <c r="AJ138" s="49">
        <v>43252</v>
      </c>
      <c r="AK138" s="49">
        <v>43465</v>
      </c>
      <c r="AL138" s="49" t="s">
        <v>27</v>
      </c>
      <c r="AM138" s="49" t="s">
        <v>27</v>
      </c>
      <c r="AN138" s="49" t="s">
        <v>27</v>
      </c>
      <c r="AO138" s="49" t="s">
        <v>27</v>
      </c>
      <c r="AP138" s="49" t="s">
        <v>27</v>
      </c>
      <c r="AQ138" s="49" t="s">
        <v>27</v>
      </c>
      <c r="AR138" s="49" t="s">
        <v>27</v>
      </c>
      <c r="AS138" s="49" t="s">
        <v>27</v>
      </c>
      <c r="AT138" s="24"/>
      <c r="AU138" s="48" t="s">
        <v>26</v>
      </c>
      <c r="AV138" s="49">
        <v>43252</v>
      </c>
      <c r="AW138" s="49">
        <v>43465</v>
      </c>
      <c r="AX138" s="49" t="s">
        <v>27</v>
      </c>
      <c r="AY138" s="49" t="s">
        <v>27</v>
      </c>
      <c r="AZ138" s="49" t="s">
        <v>27</v>
      </c>
      <c r="BA138" s="49" t="s">
        <v>27</v>
      </c>
      <c r="BB138" s="49" t="s">
        <v>27</v>
      </c>
      <c r="BC138" s="49" t="s">
        <v>27</v>
      </c>
      <c r="BD138" s="49" t="s">
        <v>27</v>
      </c>
      <c r="BE138" s="49" t="s">
        <v>27</v>
      </c>
    </row>
    <row r="139" spans="2:57" ht="15" customHeight="1" x14ac:dyDescent="0.25">
      <c r="C139" s="1277"/>
      <c r="D139" s="1238" t="s">
        <v>28</v>
      </c>
      <c r="E139" s="1268" t="s">
        <v>118</v>
      </c>
      <c r="F139" s="72">
        <f>F$150*G$150*(H$150-H152)*I$150*J152</f>
        <v>668.13575400000013</v>
      </c>
      <c r="G139" s="1240" t="s">
        <v>70</v>
      </c>
      <c r="H139" s="1241">
        <f>VLOOKUP(G139,'CP FACTORS'!$A$26:$B$38,2,FALSE)</f>
        <v>1.3573829999999999E-4</v>
      </c>
      <c r="I139" s="1242">
        <f>H139*F139</f>
        <v>9.0691611417178214E-2</v>
      </c>
      <c r="J139" s="1278">
        <v>12</v>
      </c>
      <c r="K139" s="1294">
        <v>151</v>
      </c>
      <c r="L139" s="1295" t="s">
        <v>119</v>
      </c>
      <c r="M139" s="1996"/>
      <c r="N139" s="1996"/>
      <c r="O139" s="1996"/>
      <c r="V139" s="52" t="str">
        <f>F138</f>
        <v>kWh Annual Savings (per door)</v>
      </c>
      <c r="W139" s="59">
        <v>668.13575400000013</v>
      </c>
      <c r="X139" s="59">
        <v>668.13575400000013</v>
      </c>
      <c r="Y139" s="55"/>
      <c r="Z139" s="55"/>
      <c r="AA139" s="55"/>
      <c r="AB139" s="55"/>
      <c r="AC139" s="55"/>
      <c r="AD139" s="55"/>
      <c r="AE139" s="55"/>
      <c r="AF139" s="55"/>
      <c r="AG139" s="55"/>
      <c r="AH139" s="56"/>
      <c r="AI139" s="52" t="s">
        <v>23</v>
      </c>
      <c r="AJ139" s="57">
        <v>12</v>
      </c>
      <c r="AK139" s="57">
        <v>12</v>
      </c>
      <c r="AL139" s="55"/>
      <c r="AM139" s="55"/>
      <c r="AN139" s="55"/>
      <c r="AO139" s="55"/>
      <c r="AP139" s="55"/>
      <c r="AQ139" s="55"/>
      <c r="AR139" s="55"/>
      <c r="AS139" s="55"/>
      <c r="AT139" s="24"/>
      <c r="AU139" s="52" t="str">
        <f>K138</f>
        <v>Inc. Cost (per door)</v>
      </c>
      <c r="AV139" s="58">
        <v>151</v>
      </c>
      <c r="AW139" s="58">
        <v>151</v>
      </c>
      <c r="AX139" s="55"/>
      <c r="AY139" s="55"/>
      <c r="AZ139" s="55"/>
      <c r="BA139" s="55"/>
      <c r="BB139" s="55"/>
      <c r="BC139" s="55"/>
      <c r="BD139" s="55"/>
      <c r="BE139" s="55"/>
    </row>
    <row r="140" spans="2:57" x14ac:dyDescent="0.25">
      <c r="C140" s="1277"/>
      <c r="D140" s="1238" t="s">
        <v>28</v>
      </c>
      <c r="E140" s="1281" t="s">
        <v>120</v>
      </c>
      <c r="F140" s="72">
        <f>F$150*G$150*(H$150-H153)*I$150*J153</f>
        <v>770.92587000000003</v>
      </c>
      <c r="G140" s="1240" t="s">
        <v>70</v>
      </c>
      <c r="H140" s="1241">
        <f>VLOOKUP(G140,'CP FACTORS'!$A$26:$B$38,2,FALSE)</f>
        <v>1.3573829999999999E-4</v>
      </c>
      <c r="I140" s="1242">
        <f>H140*F140</f>
        <v>0.10464416701982099</v>
      </c>
      <c r="J140" s="1279">
        <v>12</v>
      </c>
      <c r="K140" s="1294">
        <v>151</v>
      </c>
      <c r="L140" s="1295" t="s">
        <v>119</v>
      </c>
      <c r="M140" s="1996"/>
      <c r="N140" s="1996"/>
      <c r="O140" s="1996"/>
      <c r="V140" s="52" t="str">
        <f>V139</f>
        <v>kWh Annual Savings (per door)</v>
      </c>
      <c r="W140" s="59">
        <v>770.92587000000003</v>
      </c>
      <c r="X140" s="59">
        <v>770.92587000000003</v>
      </c>
      <c r="Y140" s="55"/>
      <c r="Z140" s="55"/>
      <c r="AA140" s="55"/>
      <c r="AB140" s="55"/>
      <c r="AC140" s="55"/>
      <c r="AD140" s="55"/>
      <c r="AE140" s="55"/>
      <c r="AF140" s="55"/>
      <c r="AG140" s="55"/>
      <c r="AH140" s="56"/>
      <c r="AI140" s="52" t="s">
        <v>23</v>
      </c>
      <c r="AJ140" s="57">
        <v>12</v>
      </c>
      <c r="AK140" s="57">
        <v>12</v>
      </c>
      <c r="AL140" s="55"/>
      <c r="AM140" s="55"/>
      <c r="AN140" s="55"/>
      <c r="AO140" s="55"/>
      <c r="AP140" s="55"/>
      <c r="AQ140" s="55"/>
      <c r="AR140" s="55"/>
      <c r="AS140" s="55"/>
      <c r="AT140" s="24"/>
      <c r="AU140" s="52" t="str">
        <f>AU139</f>
        <v>Inc. Cost (per door)</v>
      </c>
      <c r="AV140" s="58">
        <v>151</v>
      </c>
      <c r="AW140" s="58">
        <v>151</v>
      </c>
      <c r="AX140" s="55"/>
      <c r="AY140" s="55"/>
      <c r="AZ140" s="55"/>
      <c r="BA140" s="55"/>
      <c r="BB140" s="55"/>
      <c r="BC140" s="55"/>
      <c r="BD140" s="55"/>
      <c r="BE140" s="55"/>
    </row>
    <row r="141" spans="2:57" outlineLevel="1" x14ac:dyDescent="0.25">
      <c r="E141" s="1227"/>
      <c r="F141" s="1227"/>
      <c r="G141" s="1227"/>
      <c r="H141" s="1251"/>
      <c r="I141" s="1227"/>
      <c r="J141" s="1227"/>
      <c r="K141" s="1227"/>
      <c r="M141" s="1996"/>
      <c r="N141" s="1996"/>
      <c r="O141" s="1996"/>
    </row>
    <row r="142" spans="2:57" outlineLevel="1" x14ac:dyDescent="0.25">
      <c r="D142" s="1227" t="s">
        <v>52</v>
      </c>
      <c r="E142" s="1227"/>
      <c r="F142" s="1227"/>
      <c r="G142" s="1227"/>
      <c r="H142" s="1251"/>
      <c r="I142" s="1227"/>
      <c r="J142" s="1227"/>
      <c r="K142" s="1227"/>
      <c r="M142" s="1996"/>
      <c r="N142" s="1996"/>
      <c r="O142" s="1996"/>
    </row>
    <row r="143" spans="2:57" outlineLevel="1" x14ac:dyDescent="0.25">
      <c r="D143" s="1252"/>
      <c r="G143" s="1285"/>
      <c r="H143" s="1286"/>
      <c r="M143" s="1996"/>
      <c r="N143" s="1996"/>
      <c r="O143" s="1996"/>
    </row>
    <row r="144" spans="2:57" outlineLevel="1" x14ac:dyDescent="0.25">
      <c r="D144" s="1252"/>
      <c r="G144" s="1285"/>
      <c r="H144" s="1286"/>
    </row>
    <row r="145" spans="2:57" outlineLevel="1" x14ac:dyDescent="0.25">
      <c r="D145" s="1252"/>
      <c r="G145" s="1222"/>
      <c r="H145" s="1253"/>
      <c r="M145" s="1227"/>
    </row>
    <row r="146" spans="2:57" outlineLevel="1" x14ac:dyDescent="0.25">
      <c r="D146" s="1252"/>
      <c r="G146" s="1222"/>
      <c r="H146" s="1253"/>
      <c r="M146" s="1227"/>
    </row>
    <row r="147" spans="2:57" outlineLevel="1" x14ac:dyDescent="0.25">
      <c r="D147" s="1252"/>
      <c r="G147" s="1222"/>
      <c r="H147" s="1253"/>
      <c r="M147" s="1227"/>
    </row>
    <row r="148" spans="2:57" outlineLevel="1" x14ac:dyDescent="0.25">
      <c r="D148" s="1252"/>
      <c r="G148" s="1222"/>
      <c r="H148" s="1253"/>
    </row>
    <row r="149" spans="2:57" s="61" customFormat="1" ht="60" outlineLevel="1" x14ac:dyDescent="0.25">
      <c r="B149" s="1258"/>
      <c r="C149" s="1258"/>
      <c r="D149" s="91"/>
      <c r="E149" s="91" t="s">
        <v>89</v>
      </c>
      <c r="F149" s="91" t="s">
        <v>121</v>
      </c>
      <c r="G149" s="91" t="s">
        <v>122</v>
      </c>
      <c r="H149" s="94" t="s">
        <v>123</v>
      </c>
      <c r="I149" s="94" t="s">
        <v>65</v>
      </c>
      <c r="J149" s="95" t="s">
        <v>124</v>
      </c>
      <c r="K149" s="1258"/>
      <c r="L149" s="1258"/>
      <c r="M149" s="175"/>
      <c r="N149" s="1258"/>
      <c r="O149" s="1258"/>
      <c r="P149" s="1258"/>
      <c r="Q149" s="1258"/>
      <c r="R149" s="1258"/>
      <c r="S149" s="1258"/>
      <c r="T149" s="1258"/>
      <c r="U149" s="1258"/>
      <c r="V149" s="22"/>
      <c r="W149" s="22"/>
      <c r="X149" s="22"/>
      <c r="Y149" s="22"/>
      <c r="Z149" s="22"/>
      <c r="AA149" s="22"/>
      <c r="AB149" s="22"/>
      <c r="AC149" s="22"/>
      <c r="AD149" s="22"/>
      <c r="AE149" s="22"/>
      <c r="AF149" s="22"/>
      <c r="AG149" s="22"/>
      <c r="AH149" s="22"/>
      <c r="AI149" s="22"/>
      <c r="AJ149" s="22"/>
      <c r="AK149" s="22"/>
      <c r="AL149" s="22"/>
      <c r="AM149" s="22"/>
      <c r="AN149" s="22"/>
      <c r="AO149" s="22"/>
      <c r="AP149" s="22"/>
      <c r="AQ149" s="22"/>
      <c r="AR149" s="22"/>
      <c r="AS149" s="22"/>
      <c r="AT149" s="22"/>
      <c r="AU149" s="22"/>
      <c r="AV149" s="22"/>
      <c r="AW149" s="22"/>
      <c r="AX149" s="22"/>
      <c r="AY149" s="22"/>
      <c r="AZ149" s="22"/>
      <c r="BA149" s="22"/>
      <c r="BB149" s="22"/>
      <c r="BC149" s="22"/>
      <c r="BD149" s="22"/>
      <c r="BE149" s="22"/>
    </row>
    <row r="150" spans="2:57" outlineLevel="1" x14ac:dyDescent="0.25">
      <c r="D150" s="1259"/>
      <c r="E150" s="1259" t="s">
        <v>125</v>
      </c>
      <c r="F150" s="1296">
        <v>0.13</v>
      </c>
      <c r="G150" s="1297">
        <v>1</v>
      </c>
      <c r="H150" s="1298">
        <v>0.90700000000000003</v>
      </c>
      <c r="I150" s="1299">
        <v>8766</v>
      </c>
      <c r="J150" s="1300"/>
      <c r="K150" s="1283"/>
    </row>
    <row r="151" spans="2:57" outlineLevel="1" x14ac:dyDescent="0.25">
      <c r="D151" s="1291"/>
      <c r="E151" s="1291"/>
      <c r="F151" s="1266"/>
      <c r="G151" s="1301"/>
      <c r="H151" s="1302"/>
      <c r="I151" s="1299"/>
      <c r="J151" s="1300"/>
      <c r="K151" s="1283"/>
    </row>
    <row r="152" spans="2:57" outlineLevel="1" x14ac:dyDescent="0.25">
      <c r="D152" s="1259"/>
      <c r="E152" s="1259" t="str">
        <f>E139</f>
        <v>Anti-Sweat Heater Controls Refrigerator</v>
      </c>
      <c r="F152" s="1296">
        <v>0.13</v>
      </c>
      <c r="G152" s="1297">
        <v>1</v>
      </c>
      <c r="H152" s="1298">
        <v>0.45600000000000002</v>
      </c>
      <c r="I152" s="1299">
        <v>8766</v>
      </c>
      <c r="J152" s="1300">
        <v>1.3</v>
      </c>
      <c r="K152" s="1283"/>
    </row>
    <row r="153" spans="2:57" outlineLevel="1" x14ac:dyDescent="0.25">
      <c r="D153" s="1259"/>
      <c r="E153" s="1259" t="str">
        <f>E140</f>
        <v>Anti-Sweat Heater Controls Freezer</v>
      </c>
      <c r="F153" s="1296">
        <v>0.13</v>
      </c>
      <c r="G153" s="1297">
        <v>1</v>
      </c>
      <c r="H153" s="1298">
        <v>0.45600000000000002</v>
      </c>
      <c r="I153" s="1299">
        <v>8766</v>
      </c>
      <c r="J153" s="1300">
        <v>1.5</v>
      </c>
      <c r="K153" s="1283"/>
    </row>
    <row r="156" spans="2:57" s="39" customFormat="1" x14ac:dyDescent="0.25">
      <c r="B156" s="1989" t="s">
        <v>126</v>
      </c>
      <c r="C156" s="1990"/>
      <c r="D156" s="1990"/>
      <c r="E156" s="1990"/>
      <c r="F156" s="1990"/>
      <c r="G156" s="1990"/>
      <c r="H156" s="1990"/>
      <c r="I156" s="1991"/>
      <c r="J156" s="1991"/>
      <c r="K156" s="1991"/>
      <c r="L156" s="1991"/>
      <c r="M156" s="1992"/>
      <c r="N156" s="1992"/>
      <c r="O156" s="1993"/>
      <c r="V156" s="40" t="str">
        <f>B156</f>
        <v>Heat Pump Water Heaters</v>
      </c>
      <c r="W156" s="41"/>
      <c r="X156" s="41"/>
      <c r="Y156" s="41"/>
      <c r="Z156" s="41"/>
      <c r="AA156" s="41"/>
      <c r="AB156" s="41"/>
      <c r="AC156" s="41"/>
      <c r="AD156" s="41"/>
      <c r="AE156" s="41"/>
      <c r="AF156" s="41"/>
      <c r="AG156" s="41"/>
      <c r="AH156" s="41"/>
      <c r="AI156" s="42"/>
      <c r="AJ156" s="22"/>
      <c r="AK156" s="22"/>
      <c r="AL156" s="22"/>
      <c r="AM156" s="22"/>
      <c r="AN156" s="22"/>
      <c r="AO156" s="22"/>
      <c r="AP156" s="22"/>
      <c r="AQ156" s="22"/>
      <c r="AR156" s="22"/>
      <c r="AS156" s="22"/>
      <c r="AT156" s="22"/>
      <c r="AU156" s="22"/>
    </row>
    <row r="157" spans="2:57" x14ac:dyDescent="0.25">
      <c r="D157" s="1234"/>
      <c r="E157" s="1227"/>
      <c r="F157" s="1227"/>
      <c r="G157" s="1227"/>
      <c r="H157" s="1235"/>
      <c r="I157" s="1227"/>
      <c r="J157" s="1227"/>
      <c r="K157" s="1227"/>
      <c r="L157" s="1227"/>
      <c r="P157" s="1227"/>
      <c r="Q157" s="1227"/>
      <c r="R157" s="1227"/>
      <c r="S157" s="1227"/>
      <c r="T157" s="1227"/>
      <c r="U157" s="1227"/>
      <c r="V157"/>
      <c r="W157"/>
      <c r="X157"/>
      <c r="Y157"/>
      <c r="Z157"/>
      <c r="AA157"/>
      <c r="AB157"/>
      <c r="AC157"/>
      <c r="AD157"/>
      <c r="AE157"/>
      <c r="AF157"/>
      <c r="AG157"/>
      <c r="AH157"/>
      <c r="AI157"/>
      <c r="AJ157" s="38"/>
      <c r="AK157" s="38"/>
      <c r="AL157" s="38"/>
      <c r="AM157" s="38"/>
      <c r="AN157" s="38"/>
      <c r="AO157" s="38"/>
      <c r="AP157" s="38"/>
      <c r="AQ157" s="38"/>
      <c r="AR157" s="38"/>
      <c r="AS157" s="38"/>
      <c r="AT157" s="38"/>
      <c r="AU157" s="38"/>
    </row>
    <row r="158" spans="2:57" s="43" customFormat="1" ht="30" x14ac:dyDescent="0.25">
      <c r="B158" s="1236"/>
      <c r="C158" s="44" t="s">
        <v>16</v>
      </c>
      <c r="D158" s="131" t="s">
        <v>17</v>
      </c>
      <c r="E158" s="131" t="s">
        <v>18</v>
      </c>
      <c r="F158" s="131" t="s">
        <v>19</v>
      </c>
      <c r="G158" s="131" t="s">
        <v>20</v>
      </c>
      <c r="H158" s="46" t="s">
        <v>21</v>
      </c>
      <c r="I158" s="131" t="s">
        <v>22</v>
      </c>
      <c r="J158" s="131" t="s">
        <v>23</v>
      </c>
      <c r="K158" s="44" t="s">
        <v>24</v>
      </c>
      <c r="L158" s="44" t="s">
        <v>25</v>
      </c>
      <c r="M158" s="1222"/>
      <c r="N158" s="1222"/>
      <c r="O158" s="1222"/>
      <c r="P158" s="1139"/>
      <c r="Q158" s="1139"/>
      <c r="R158" s="1139"/>
      <c r="S158" s="1139"/>
      <c r="T158" s="1139"/>
      <c r="U158" s="1139"/>
      <c r="V158" s="48" t="s">
        <v>26</v>
      </c>
      <c r="W158" s="49">
        <v>43252</v>
      </c>
      <c r="X158" s="49">
        <v>43465</v>
      </c>
      <c r="Y158" s="49" t="s">
        <v>27</v>
      </c>
      <c r="Z158" s="49" t="s">
        <v>27</v>
      </c>
      <c r="AA158" s="49" t="s">
        <v>27</v>
      </c>
      <c r="AB158" s="49" t="s">
        <v>27</v>
      </c>
      <c r="AC158" s="49" t="s">
        <v>27</v>
      </c>
      <c r="AD158" s="49" t="s">
        <v>27</v>
      </c>
      <c r="AE158" s="49" t="s">
        <v>27</v>
      </c>
      <c r="AF158" s="49" t="s">
        <v>27</v>
      </c>
      <c r="AG158" s="49" t="s">
        <v>27</v>
      </c>
      <c r="AH158"/>
      <c r="AI158" s="48" t="s">
        <v>26</v>
      </c>
      <c r="AJ158" s="49">
        <v>43252</v>
      </c>
      <c r="AK158" s="49">
        <v>43465</v>
      </c>
      <c r="AL158" s="49" t="s">
        <v>27</v>
      </c>
      <c r="AM158" s="49" t="s">
        <v>27</v>
      </c>
      <c r="AN158" s="49" t="s">
        <v>27</v>
      </c>
      <c r="AO158" s="49" t="s">
        <v>27</v>
      </c>
      <c r="AP158" s="49" t="s">
        <v>27</v>
      </c>
      <c r="AQ158" s="49" t="s">
        <v>27</v>
      </c>
      <c r="AR158" s="49" t="s">
        <v>27</v>
      </c>
      <c r="AS158" s="49" t="s">
        <v>27</v>
      </c>
      <c r="AT158" s="24"/>
      <c r="AU158" s="48" t="s">
        <v>26</v>
      </c>
      <c r="AV158" s="49">
        <v>43252</v>
      </c>
      <c r="AW158" s="49">
        <v>43465</v>
      </c>
      <c r="AX158" s="49" t="s">
        <v>27</v>
      </c>
      <c r="AY158" s="49" t="s">
        <v>27</v>
      </c>
      <c r="AZ158" s="49" t="s">
        <v>27</v>
      </c>
      <c r="BA158" s="49" t="s">
        <v>27</v>
      </c>
      <c r="BB158" s="49" t="s">
        <v>27</v>
      </c>
      <c r="BC158" s="49" t="s">
        <v>27</v>
      </c>
      <c r="BD158" s="49" t="s">
        <v>27</v>
      </c>
      <c r="BE158" s="49" t="s">
        <v>27</v>
      </c>
    </row>
    <row r="159" spans="2:57" x14ac:dyDescent="0.25">
      <c r="C159" s="1237"/>
      <c r="D159" s="1238" t="s">
        <v>28</v>
      </c>
      <c r="E159" s="1268" t="s">
        <v>127</v>
      </c>
      <c r="F159" s="72">
        <f>(((1/F173-1/G173)*H173*J173*(K173-L173)*1)/3412)+M173-N173</f>
        <v>21156</v>
      </c>
      <c r="G159" s="1240" t="s">
        <v>128</v>
      </c>
      <c r="H159" s="1241">
        <f>VLOOKUP(G159,'CP FACTORS'!$A$26:$B$38,2,FALSE)</f>
        <v>1.811545E-4</v>
      </c>
      <c r="I159" s="1242">
        <f>H159*F159</f>
        <v>3.8325046020000002</v>
      </c>
      <c r="J159" s="1278">
        <v>15</v>
      </c>
      <c r="K159" s="1294">
        <v>4000</v>
      </c>
      <c r="L159" s="1244" t="s">
        <v>31</v>
      </c>
      <c r="V159" s="52" t="s">
        <v>19</v>
      </c>
      <c r="W159" s="59">
        <v>21156</v>
      </c>
      <c r="X159" s="59">
        <v>21156</v>
      </c>
      <c r="Y159" s="55"/>
      <c r="Z159" s="55"/>
      <c r="AA159" s="55"/>
      <c r="AB159" s="55"/>
      <c r="AC159" s="55"/>
      <c r="AD159" s="55"/>
      <c r="AE159" s="55"/>
      <c r="AF159" s="55"/>
      <c r="AG159" s="55"/>
      <c r="AH159" s="56"/>
      <c r="AI159" s="52" t="s">
        <v>23</v>
      </c>
      <c r="AJ159" s="89">
        <v>15</v>
      </c>
      <c r="AK159" s="89">
        <v>15</v>
      </c>
      <c r="AL159" s="55"/>
      <c r="AM159" s="55"/>
      <c r="AN159" s="55"/>
      <c r="AO159" s="55"/>
      <c r="AP159" s="55"/>
      <c r="AQ159" s="55"/>
      <c r="AR159" s="55"/>
      <c r="AS159" s="55"/>
      <c r="AT159" s="24"/>
      <c r="AU159" s="52" t="s">
        <v>24</v>
      </c>
      <c r="AV159" s="96">
        <v>4000</v>
      </c>
      <c r="AW159" s="96">
        <v>4000</v>
      </c>
      <c r="AX159" s="55"/>
      <c r="AY159" s="55"/>
      <c r="AZ159" s="55"/>
      <c r="BA159" s="55"/>
      <c r="BB159" s="55"/>
      <c r="BC159" s="55"/>
      <c r="BD159" s="55"/>
      <c r="BE159" s="55"/>
    </row>
    <row r="160" spans="2:57" x14ac:dyDescent="0.25">
      <c r="C160" s="1237"/>
      <c r="D160" s="1238" t="s">
        <v>28</v>
      </c>
      <c r="E160" s="1281" t="s">
        <v>129</v>
      </c>
      <c r="F160" s="72">
        <f>(((1/F174-1/G174)*H174*J174*(K174-L174)*1)/3412)+M174-N174</f>
        <v>52890.000000000015</v>
      </c>
      <c r="G160" s="1240" t="s">
        <v>128</v>
      </c>
      <c r="H160" s="1241">
        <f>VLOOKUP(G160,'CP FACTORS'!$A$26:$B$38,2,FALSE)</f>
        <v>1.811545E-4</v>
      </c>
      <c r="I160" s="1242">
        <f>H160*F160</f>
        <v>9.5812615050000023</v>
      </c>
      <c r="J160" s="1279">
        <v>15</v>
      </c>
      <c r="K160" s="1294">
        <v>7000</v>
      </c>
      <c r="L160" s="1244" t="s">
        <v>31</v>
      </c>
      <c r="V160" s="52" t="s">
        <v>19</v>
      </c>
      <c r="W160" s="59">
        <v>52890.000000000015</v>
      </c>
      <c r="X160" s="59">
        <v>52890.000000000015</v>
      </c>
      <c r="Y160" s="55"/>
      <c r="Z160" s="55"/>
      <c r="AA160" s="55"/>
      <c r="AB160" s="55"/>
      <c r="AC160" s="55"/>
      <c r="AD160" s="55"/>
      <c r="AE160" s="55"/>
      <c r="AF160" s="55"/>
      <c r="AG160" s="55"/>
      <c r="AH160" s="56"/>
      <c r="AI160" s="52" t="s">
        <v>23</v>
      </c>
      <c r="AJ160" s="90">
        <v>15</v>
      </c>
      <c r="AK160" s="90">
        <v>15</v>
      </c>
      <c r="AL160" s="55"/>
      <c r="AM160" s="55"/>
      <c r="AN160" s="55"/>
      <c r="AO160" s="55"/>
      <c r="AP160" s="55"/>
      <c r="AQ160" s="55"/>
      <c r="AR160" s="55"/>
      <c r="AS160" s="55"/>
      <c r="AT160" s="24"/>
      <c r="AU160" s="52" t="s">
        <v>24</v>
      </c>
      <c r="AV160" s="96">
        <v>7000</v>
      </c>
      <c r="AW160" s="96">
        <v>7000</v>
      </c>
      <c r="AX160" s="55"/>
      <c r="AY160" s="55"/>
      <c r="AZ160" s="55"/>
      <c r="BA160" s="55"/>
      <c r="BB160" s="55"/>
      <c r="BC160" s="55"/>
      <c r="BD160" s="55"/>
      <c r="BE160" s="55"/>
    </row>
    <row r="161" spans="2:57" x14ac:dyDescent="0.25">
      <c r="C161" s="1237"/>
      <c r="D161" s="1238" t="s">
        <v>28</v>
      </c>
      <c r="E161" s="1281" t="s">
        <v>130</v>
      </c>
      <c r="F161" s="72">
        <f>(((1/F175-1/G175)*H175*J175*(K175-L175)*1)/3412)+M175-N175</f>
        <v>141040.99999999997</v>
      </c>
      <c r="G161" s="1240" t="s">
        <v>128</v>
      </c>
      <c r="H161" s="1241">
        <f>VLOOKUP(G161,'CP FACTORS'!$A$26:$B$38,2,FALSE)</f>
        <v>1.811545E-4</v>
      </c>
      <c r="I161" s="1242">
        <f>H161*F161</f>
        <v>25.550211834499994</v>
      </c>
      <c r="J161" s="1279">
        <v>15</v>
      </c>
      <c r="K161" s="1294">
        <v>10000</v>
      </c>
      <c r="L161" s="1244" t="s">
        <v>31</v>
      </c>
      <c r="V161" s="52" t="s">
        <v>19</v>
      </c>
      <c r="W161" s="59">
        <v>141040.99999999997</v>
      </c>
      <c r="X161" s="59">
        <v>141040.99999999997</v>
      </c>
      <c r="Y161" s="55"/>
      <c r="Z161" s="55"/>
      <c r="AA161" s="55"/>
      <c r="AB161" s="55"/>
      <c r="AC161" s="55"/>
      <c r="AD161" s="55"/>
      <c r="AE161" s="55"/>
      <c r="AF161" s="55"/>
      <c r="AG161" s="55"/>
      <c r="AH161" s="56"/>
      <c r="AI161" s="52" t="s">
        <v>23</v>
      </c>
      <c r="AJ161" s="90">
        <v>15</v>
      </c>
      <c r="AK161" s="90">
        <v>15</v>
      </c>
      <c r="AL161" s="55"/>
      <c r="AM161" s="55"/>
      <c r="AN161" s="55"/>
      <c r="AO161" s="55"/>
      <c r="AP161" s="55"/>
      <c r="AQ161" s="55"/>
      <c r="AR161" s="55"/>
      <c r="AS161" s="55"/>
      <c r="AT161" s="24"/>
      <c r="AU161" s="52" t="s">
        <v>24</v>
      </c>
      <c r="AV161" s="96">
        <v>10000</v>
      </c>
      <c r="AW161" s="96">
        <v>10000</v>
      </c>
      <c r="AX161" s="55"/>
      <c r="AY161" s="55"/>
      <c r="AZ161" s="55"/>
      <c r="BA161" s="55"/>
      <c r="BB161" s="55"/>
      <c r="BC161" s="55"/>
      <c r="BD161" s="55"/>
      <c r="BE161" s="55"/>
    </row>
    <row r="162" spans="2:57" x14ac:dyDescent="0.25">
      <c r="C162" s="1237"/>
      <c r="D162" s="1238" t="s">
        <v>28</v>
      </c>
      <c r="E162" s="1281" t="s">
        <v>131</v>
      </c>
      <c r="F162" s="72">
        <f>(((1/F176-1/G176)*H176*J176*(K176-L176)*1)/3412)+M176-N176</f>
        <v>282081.00000000006</v>
      </c>
      <c r="G162" s="1240" t="s">
        <v>128</v>
      </c>
      <c r="H162" s="1241">
        <f>VLOOKUP(G162,'CP FACTORS'!$A$26:$B$38,2,FALSE)</f>
        <v>1.811545E-4</v>
      </c>
      <c r="I162" s="1242">
        <f>H162*F162</f>
        <v>51.10024251450001</v>
      </c>
      <c r="J162" s="1279">
        <v>15</v>
      </c>
      <c r="K162" s="1294">
        <v>14000</v>
      </c>
      <c r="L162" s="1244" t="s">
        <v>31</v>
      </c>
      <c r="V162" s="52" t="s">
        <v>19</v>
      </c>
      <c r="W162" s="59">
        <v>282081.00000000006</v>
      </c>
      <c r="X162" s="59">
        <v>282081.00000000006</v>
      </c>
      <c r="Y162" s="55"/>
      <c r="Z162" s="55"/>
      <c r="AA162" s="55"/>
      <c r="AB162" s="55"/>
      <c r="AC162" s="55"/>
      <c r="AD162" s="55"/>
      <c r="AE162" s="55"/>
      <c r="AF162" s="55"/>
      <c r="AG162" s="55"/>
      <c r="AH162" s="56"/>
      <c r="AI162" s="52" t="s">
        <v>23</v>
      </c>
      <c r="AJ162" s="90">
        <v>15</v>
      </c>
      <c r="AK162" s="90">
        <v>15</v>
      </c>
      <c r="AL162" s="55"/>
      <c r="AM162" s="55"/>
      <c r="AN162" s="55"/>
      <c r="AO162" s="55"/>
      <c r="AP162" s="55"/>
      <c r="AQ162" s="55"/>
      <c r="AR162" s="55"/>
      <c r="AS162" s="55"/>
      <c r="AT162" s="24"/>
      <c r="AU162" s="52" t="s">
        <v>24</v>
      </c>
      <c r="AV162" s="96">
        <v>14000</v>
      </c>
      <c r="AW162" s="96">
        <v>14000</v>
      </c>
      <c r="AX162" s="55"/>
      <c r="AY162" s="55"/>
      <c r="AZ162" s="55"/>
      <c r="BA162" s="55"/>
      <c r="BB162" s="55"/>
      <c r="BC162" s="55"/>
      <c r="BD162" s="55"/>
      <c r="BE162" s="55"/>
    </row>
    <row r="163" spans="2:57" x14ac:dyDescent="0.25">
      <c r="C163" s="1237"/>
      <c r="D163" s="1238" t="s">
        <v>28</v>
      </c>
      <c r="E163" s="1281" t="s">
        <v>132</v>
      </c>
      <c r="F163" s="72">
        <f>(((1/F177-1/G177)*H177*J177*(K177-L177)*1)/3412)+M177-N177</f>
        <v>423122.00000000012</v>
      </c>
      <c r="G163" s="1240" t="s">
        <v>128</v>
      </c>
      <c r="H163" s="1241">
        <f>VLOOKUP(G163,'CP FACTORS'!$A$26:$B$38,2,FALSE)</f>
        <v>1.811545E-4</v>
      </c>
      <c r="I163" s="1242">
        <f>H163*F163</f>
        <v>76.650454349000029</v>
      </c>
      <c r="J163" s="1279">
        <v>15</v>
      </c>
      <c r="K163" s="1294">
        <v>18000</v>
      </c>
      <c r="L163" s="1244" t="s">
        <v>31</v>
      </c>
      <c r="N163" s="1285"/>
      <c r="O163" s="1285"/>
      <c r="P163" s="1285"/>
      <c r="Q163" s="1285"/>
      <c r="R163" s="1285"/>
      <c r="V163" s="52" t="s">
        <v>19</v>
      </c>
      <c r="W163" s="59">
        <v>423122.00000000012</v>
      </c>
      <c r="X163" s="59">
        <v>423122.00000000012</v>
      </c>
      <c r="Y163" s="55"/>
      <c r="Z163" s="55"/>
      <c r="AA163" s="55"/>
      <c r="AB163" s="55"/>
      <c r="AC163" s="55"/>
      <c r="AD163" s="55"/>
      <c r="AE163" s="55"/>
      <c r="AF163" s="55"/>
      <c r="AG163" s="55"/>
      <c r="AH163" s="56"/>
      <c r="AI163" s="52" t="s">
        <v>23</v>
      </c>
      <c r="AJ163" s="90">
        <v>15</v>
      </c>
      <c r="AK163" s="90">
        <v>15</v>
      </c>
      <c r="AL163" s="55"/>
      <c r="AM163" s="55"/>
      <c r="AN163" s="55"/>
      <c r="AO163" s="55"/>
      <c r="AP163" s="55"/>
      <c r="AQ163" s="55"/>
      <c r="AR163" s="55"/>
      <c r="AS163" s="55"/>
      <c r="AT163" s="24"/>
      <c r="AU163" s="52" t="s">
        <v>24</v>
      </c>
      <c r="AV163" s="96">
        <v>18000</v>
      </c>
      <c r="AW163" s="96">
        <v>18000</v>
      </c>
      <c r="AX163" s="55"/>
      <c r="AY163" s="55"/>
      <c r="AZ163" s="55"/>
      <c r="BA163" s="55"/>
      <c r="BB163" s="55"/>
      <c r="BC163" s="55"/>
      <c r="BD163" s="55"/>
      <c r="BE163" s="55"/>
    </row>
    <row r="164" spans="2:57" outlineLevel="1" x14ac:dyDescent="0.25">
      <c r="E164" s="1227"/>
      <c r="F164" s="1227"/>
      <c r="G164" s="1227"/>
      <c r="H164" s="1251"/>
      <c r="I164" s="1227"/>
      <c r="J164" s="1227"/>
      <c r="K164" s="1227"/>
      <c r="N164" s="1285"/>
      <c r="O164" s="1285"/>
      <c r="P164" s="1285"/>
      <c r="Q164" s="1285"/>
      <c r="R164" s="1285"/>
      <c r="V164" s="52" t="s">
        <v>19</v>
      </c>
      <c r="W164" s="59"/>
      <c r="X164" s="59"/>
      <c r="Y164" s="55"/>
      <c r="Z164" s="55"/>
      <c r="AA164" s="55"/>
      <c r="AB164" s="55"/>
      <c r="AC164" s="55"/>
      <c r="AD164" s="55"/>
      <c r="AE164" s="55"/>
      <c r="AF164" s="55"/>
      <c r="AG164" s="55"/>
      <c r="AH164" s="56"/>
      <c r="AI164" s="52" t="s">
        <v>23</v>
      </c>
      <c r="AJ164" s="57"/>
      <c r="AK164" s="57"/>
      <c r="AL164" s="55"/>
      <c r="AM164" s="55"/>
      <c r="AN164" s="55"/>
      <c r="AO164" s="55"/>
      <c r="AP164" s="55"/>
      <c r="AQ164" s="55"/>
      <c r="AR164" s="55"/>
      <c r="AS164" s="55"/>
      <c r="AT164" s="24"/>
      <c r="AU164" s="52" t="s">
        <v>24</v>
      </c>
      <c r="AV164" s="58"/>
      <c r="AW164" s="58"/>
      <c r="AX164" s="55"/>
      <c r="AY164" s="55"/>
      <c r="AZ164" s="55"/>
      <c r="BA164" s="55"/>
      <c r="BB164" s="55"/>
      <c r="BC164" s="55"/>
      <c r="BD164" s="55"/>
      <c r="BE164" s="55"/>
    </row>
    <row r="165" spans="2:57" outlineLevel="1" x14ac:dyDescent="0.25">
      <c r="D165" s="1227" t="s">
        <v>52</v>
      </c>
      <c r="E165" s="175"/>
      <c r="F165" s="1227"/>
      <c r="G165" s="1227"/>
      <c r="H165" s="1251"/>
      <c r="I165" s="1227"/>
      <c r="J165" s="1227"/>
      <c r="K165" s="175"/>
      <c r="N165" s="1285"/>
      <c r="O165" s="1285"/>
      <c r="P165" s="1285"/>
      <c r="Q165" s="1285"/>
      <c r="R165" s="1285"/>
      <c r="V165" s="52" t="s">
        <v>19</v>
      </c>
      <c r="W165" s="59"/>
      <c r="X165" s="59"/>
      <c r="Y165" s="55"/>
      <c r="Z165" s="55"/>
      <c r="AA165" s="55"/>
      <c r="AB165" s="55"/>
      <c r="AC165" s="55"/>
      <c r="AD165" s="55"/>
      <c r="AE165" s="55"/>
      <c r="AF165" s="55"/>
      <c r="AG165" s="55"/>
      <c r="AH165" s="56"/>
      <c r="AI165" s="52" t="s">
        <v>23</v>
      </c>
      <c r="AJ165" s="57"/>
      <c r="AK165" s="57"/>
      <c r="AL165" s="55"/>
      <c r="AM165" s="55"/>
      <c r="AN165" s="55"/>
      <c r="AO165" s="55"/>
      <c r="AP165" s="55"/>
      <c r="AQ165" s="55"/>
      <c r="AR165" s="55"/>
      <c r="AS165" s="55"/>
      <c r="AT165" s="24"/>
      <c r="AU165" s="52" t="s">
        <v>24</v>
      </c>
      <c r="AV165" s="58"/>
      <c r="AW165" s="58"/>
      <c r="AX165" s="55"/>
      <c r="AY165" s="55"/>
      <c r="AZ165" s="55"/>
      <c r="BA165" s="55"/>
      <c r="BB165" s="55"/>
      <c r="BC165" s="55"/>
      <c r="BD165" s="55"/>
      <c r="BE165" s="55"/>
    </row>
    <row r="166" spans="2:57" outlineLevel="1" x14ac:dyDescent="0.25">
      <c r="D166" s="1252"/>
      <c r="F166" s="175"/>
      <c r="G166" s="1285"/>
      <c r="H166" s="1286"/>
      <c r="N166" s="1285"/>
      <c r="O166" s="1285"/>
      <c r="P166" s="1285"/>
      <c r="Q166" s="1285"/>
      <c r="R166" s="1285"/>
      <c r="V166" s="52" t="s">
        <v>19</v>
      </c>
      <c r="W166" s="59"/>
      <c r="X166" s="59"/>
      <c r="Y166" s="55"/>
      <c r="Z166" s="55"/>
      <c r="AA166" s="55"/>
      <c r="AB166" s="55"/>
      <c r="AC166" s="55"/>
      <c r="AD166" s="55"/>
      <c r="AE166" s="55"/>
      <c r="AF166" s="55"/>
      <c r="AG166" s="55"/>
      <c r="AH166" s="56"/>
      <c r="AI166" s="52" t="s">
        <v>23</v>
      </c>
      <c r="AJ166" s="57"/>
      <c r="AK166" s="57"/>
      <c r="AL166" s="55"/>
      <c r="AM166" s="55"/>
      <c r="AN166" s="55"/>
      <c r="AO166" s="55"/>
      <c r="AP166" s="55"/>
      <c r="AQ166" s="55"/>
      <c r="AR166" s="55"/>
      <c r="AS166" s="55"/>
      <c r="AT166" s="24"/>
      <c r="AU166" s="52" t="s">
        <v>24</v>
      </c>
      <c r="AV166" s="58"/>
      <c r="AW166" s="58"/>
      <c r="AX166" s="55"/>
      <c r="AY166" s="55"/>
      <c r="AZ166" s="55"/>
      <c r="BA166" s="55"/>
      <c r="BB166" s="55"/>
      <c r="BC166" s="55"/>
      <c r="BD166" s="55"/>
      <c r="BE166" s="55"/>
    </row>
    <row r="167" spans="2:57" outlineLevel="1" x14ac:dyDescent="0.25">
      <c r="D167" s="1252"/>
      <c r="G167" s="1285"/>
      <c r="H167" s="1286"/>
      <c r="N167" s="1285"/>
      <c r="O167" s="1285"/>
      <c r="P167" s="1285"/>
      <c r="Q167" s="1285"/>
      <c r="R167" s="1285"/>
      <c r="V167" s="52" t="s">
        <v>19</v>
      </c>
      <c r="W167" s="59"/>
      <c r="X167" s="59"/>
      <c r="Y167" s="55"/>
      <c r="Z167" s="55"/>
      <c r="AA167" s="55"/>
      <c r="AB167" s="55"/>
      <c r="AC167" s="55"/>
      <c r="AD167" s="55"/>
      <c r="AE167" s="55"/>
      <c r="AF167" s="55"/>
      <c r="AG167" s="55"/>
      <c r="AH167" s="56"/>
      <c r="AI167" s="52" t="s">
        <v>23</v>
      </c>
      <c r="AJ167" s="57"/>
      <c r="AK167" s="57"/>
      <c r="AL167" s="55"/>
      <c r="AM167" s="55"/>
      <c r="AN167" s="55"/>
      <c r="AO167" s="55"/>
      <c r="AP167" s="55"/>
      <c r="AQ167" s="55"/>
      <c r="AR167" s="55"/>
      <c r="AS167" s="55"/>
      <c r="AT167" s="24"/>
      <c r="AU167" s="52" t="s">
        <v>24</v>
      </c>
      <c r="AV167" s="58"/>
      <c r="AW167" s="58"/>
      <c r="AX167" s="55"/>
      <c r="AY167" s="55"/>
      <c r="AZ167" s="55"/>
      <c r="BA167" s="55"/>
      <c r="BB167" s="55"/>
      <c r="BC167" s="55"/>
      <c r="BD167" s="55"/>
      <c r="BE167" s="55"/>
    </row>
    <row r="168" spans="2:57" outlineLevel="1" x14ac:dyDescent="0.25">
      <c r="D168" s="1252"/>
      <c r="G168" s="1222"/>
      <c r="H168" s="1253"/>
      <c r="M168" s="1227"/>
      <c r="N168" s="1285"/>
      <c r="O168" s="1285"/>
      <c r="P168" s="1285"/>
      <c r="Q168" s="1285"/>
      <c r="R168" s="1285"/>
      <c r="V168" s="52" t="s">
        <v>19</v>
      </c>
      <c r="W168" s="59"/>
      <c r="X168" s="59"/>
      <c r="Y168" s="55"/>
      <c r="Z168" s="55"/>
      <c r="AA168" s="55"/>
      <c r="AB168" s="55"/>
      <c r="AC168" s="55"/>
      <c r="AD168" s="55"/>
      <c r="AE168" s="55"/>
      <c r="AF168" s="55"/>
      <c r="AG168" s="55"/>
      <c r="AH168" s="56"/>
      <c r="AI168" s="52" t="s">
        <v>23</v>
      </c>
      <c r="AJ168" s="57"/>
      <c r="AK168" s="57"/>
      <c r="AL168" s="55"/>
      <c r="AM168" s="55"/>
      <c r="AN168" s="55"/>
      <c r="AO168" s="55"/>
      <c r="AP168" s="55"/>
      <c r="AQ168" s="55"/>
      <c r="AR168" s="55"/>
      <c r="AS168" s="55"/>
      <c r="AT168" s="24"/>
      <c r="AU168" s="52" t="s">
        <v>24</v>
      </c>
      <c r="AV168" s="58"/>
      <c r="AW168" s="58"/>
      <c r="AX168" s="55"/>
      <c r="AY168" s="55"/>
      <c r="AZ168" s="55"/>
      <c r="BA168" s="55"/>
      <c r="BB168" s="55"/>
      <c r="BC168" s="55"/>
      <c r="BD168" s="55"/>
      <c r="BE168" s="55"/>
    </row>
    <row r="169" spans="2:57" outlineLevel="1" x14ac:dyDescent="0.25">
      <c r="D169" s="1252"/>
      <c r="G169" s="1222"/>
      <c r="H169" s="1253"/>
      <c r="M169" s="1227"/>
      <c r="N169" s="1285"/>
      <c r="O169" s="1285"/>
      <c r="P169" s="1285"/>
      <c r="Q169" s="1285"/>
      <c r="R169" s="1285"/>
      <c r="V169" s="52" t="s">
        <v>19</v>
      </c>
      <c r="W169" s="59"/>
      <c r="X169" s="59"/>
      <c r="Y169" s="55"/>
      <c r="Z169" s="55"/>
      <c r="AA169" s="55"/>
      <c r="AB169" s="55"/>
      <c r="AC169" s="55"/>
      <c r="AD169" s="55"/>
      <c r="AE169" s="55"/>
      <c r="AF169" s="55"/>
      <c r="AG169" s="55"/>
      <c r="AH169" s="56"/>
      <c r="AI169" s="52" t="s">
        <v>23</v>
      </c>
      <c r="AJ169" s="57"/>
      <c r="AK169" s="57"/>
      <c r="AL169" s="55"/>
      <c r="AM169" s="55"/>
      <c r="AN169" s="55"/>
      <c r="AO169" s="55"/>
      <c r="AP169" s="55"/>
      <c r="AQ169" s="55"/>
      <c r="AR169" s="55"/>
      <c r="AS169" s="55"/>
      <c r="AT169" s="24"/>
      <c r="AU169" s="52" t="s">
        <v>24</v>
      </c>
      <c r="AV169" s="58"/>
      <c r="AW169" s="58"/>
      <c r="AX169" s="55"/>
      <c r="AY169" s="55"/>
      <c r="AZ169" s="55"/>
      <c r="BA169" s="55"/>
      <c r="BB169" s="55"/>
      <c r="BC169" s="55"/>
      <c r="BD169" s="55"/>
      <c r="BE169" s="55"/>
    </row>
    <row r="170" spans="2:57" outlineLevel="1" x14ac:dyDescent="0.25">
      <c r="D170" s="1252"/>
      <c r="G170" s="1222"/>
      <c r="H170" s="1253"/>
      <c r="M170" s="1227"/>
      <c r="N170" s="1285"/>
      <c r="O170" s="1285"/>
      <c r="P170" s="1285"/>
      <c r="Q170" s="1285"/>
      <c r="R170" s="1285"/>
      <c r="V170" s="52" t="s">
        <v>19</v>
      </c>
      <c r="W170" s="59"/>
      <c r="X170" s="59"/>
      <c r="Y170" s="55"/>
      <c r="Z170" s="55"/>
      <c r="AA170" s="55"/>
      <c r="AB170" s="55"/>
      <c r="AC170" s="55"/>
      <c r="AD170" s="55"/>
      <c r="AE170" s="55"/>
      <c r="AF170" s="55"/>
      <c r="AG170" s="55"/>
      <c r="AH170" s="56"/>
      <c r="AI170" s="52" t="s">
        <v>23</v>
      </c>
      <c r="AJ170" s="57"/>
      <c r="AK170" s="57"/>
      <c r="AL170" s="55"/>
      <c r="AM170" s="55"/>
      <c r="AN170" s="55"/>
      <c r="AO170" s="55"/>
      <c r="AP170" s="55"/>
      <c r="AQ170" s="55"/>
      <c r="AR170" s="55"/>
      <c r="AS170" s="55"/>
      <c r="AT170" s="24"/>
      <c r="AU170" s="52" t="s">
        <v>24</v>
      </c>
      <c r="AV170" s="58"/>
      <c r="AW170" s="58"/>
      <c r="AX170" s="55"/>
      <c r="AY170" s="55"/>
      <c r="AZ170" s="55"/>
      <c r="BA170" s="55"/>
      <c r="BB170" s="55"/>
      <c r="BC170" s="55"/>
      <c r="BD170" s="55"/>
      <c r="BE170" s="55"/>
    </row>
    <row r="171" spans="2:57" outlineLevel="1" x14ac:dyDescent="0.25">
      <c r="D171" s="1252"/>
      <c r="G171" s="1222"/>
      <c r="H171" s="1253"/>
      <c r="N171" s="1285"/>
      <c r="O171" s="1285"/>
      <c r="P171" s="1285"/>
      <c r="Q171" s="1285"/>
      <c r="R171" s="1285"/>
      <c r="V171" s="52" t="s">
        <v>19</v>
      </c>
      <c r="W171" s="59"/>
      <c r="X171" s="59"/>
      <c r="Y171" s="55"/>
      <c r="Z171" s="55"/>
      <c r="AA171" s="55"/>
      <c r="AB171" s="55"/>
      <c r="AC171" s="55"/>
      <c r="AD171" s="55"/>
      <c r="AE171" s="55"/>
      <c r="AF171" s="55"/>
      <c r="AG171" s="55"/>
      <c r="AH171" s="56"/>
      <c r="AI171" s="52" t="s">
        <v>23</v>
      </c>
      <c r="AJ171" s="57"/>
      <c r="AK171" s="57"/>
      <c r="AL171" s="55"/>
      <c r="AM171" s="55"/>
      <c r="AN171" s="55"/>
      <c r="AO171" s="55"/>
      <c r="AP171" s="55"/>
      <c r="AQ171" s="55"/>
      <c r="AR171" s="55"/>
      <c r="AS171" s="55"/>
      <c r="AT171" s="24"/>
      <c r="AU171" s="52" t="s">
        <v>24</v>
      </c>
      <c r="AV171" s="58"/>
      <c r="AW171" s="58"/>
      <c r="AX171" s="55"/>
      <c r="AY171" s="55"/>
      <c r="AZ171" s="55"/>
      <c r="BA171" s="55"/>
      <c r="BB171" s="55"/>
      <c r="BC171" s="55"/>
      <c r="BD171" s="55"/>
      <c r="BE171" s="55"/>
    </row>
    <row r="172" spans="2:57" s="61" customFormat="1" ht="30" outlineLevel="1" x14ac:dyDescent="0.25">
      <c r="B172" s="1258"/>
      <c r="C172" s="1258"/>
      <c r="D172" s="44" t="s">
        <v>16</v>
      </c>
      <c r="E172" s="91" t="s">
        <v>89</v>
      </c>
      <c r="F172" s="91" t="s">
        <v>133</v>
      </c>
      <c r="G172" s="91" t="s">
        <v>134</v>
      </c>
      <c r="H172" s="95" t="s">
        <v>135</v>
      </c>
      <c r="I172" s="95" t="s">
        <v>136</v>
      </c>
      <c r="J172" s="95" t="s">
        <v>137</v>
      </c>
      <c r="K172" s="95" t="s">
        <v>138</v>
      </c>
      <c r="L172" s="95" t="s">
        <v>139</v>
      </c>
      <c r="M172" s="131" t="s">
        <v>140</v>
      </c>
      <c r="N172" s="131" t="s">
        <v>141</v>
      </c>
      <c r="O172" s="131" t="s">
        <v>142</v>
      </c>
      <c r="P172" s="131" t="s">
        <v>143</v>
      </c>
      <c r="Q172" s="131" t="s">
        <v>144</v>
      </c>
      <c r="R172" s="131" t="s">
        <v>145</v>
      </c>
      <c r="S172" s="131" t="s">
        <v>146</v>
      </c>
      <c r="T172" s="1258"/>
      <c r="U172" s="1258"/>
      <c r="V172" s="52" t="s">
        <v>19</v>
      </c>
      <c r="W172" s="59"/>
      <c r="X172" s="59"/>
      <c r="Y172" s="55"/>
      <c r="Z172" s="55"/>
      <c r="AA172" s="55"/>
      <c r="AB172" s="55"/>
      <c r="AC172" s="55"/>
      <c r="AD172" s="55"/>
      <c r="AE172" s="55"/>
      <c r="AF172" s="55"/>
      <c r="AG172" s="55"/>
      <c r="AH172" s="56"/>
      <c r="AI172" s="52" t="s">
        <v>23</v>
      </c>
      <c r="AJ172" s="57"/>
      <c r="AK172" s="57"/>
      <c r="AL172" s="55"/>
      <c r="AM172" s="55"/>
      <c r="AN172" s="55"/>
      <c r="AO172" s="55"/>
      <c r="AP172" s="55"/>
      <c r="AQ172" s="55"/>
      <c r="AR172" s="55"/>
      <c r="AS172" s="55"/>
      <c r="AT172" s="24"/>
      <c r="AU172" s="52" t="s">
        <v>24</v>
      </c>
      <c r="AV172" s="58"/>
      <c r="AW172" s="58"/>
      <c r="AX172" s="55"/>
      <c r="AY172" s="55"/>
      <c r="AZ172" s="55"/>
      <c r="BA172" s="55"/>
      <c r="BB172" s="55"/>
      <c r="BC172" s="55"/>
      <c r="BD172" s="55"/>
      <c r="BE172" s="55"/>
    </row>
    <row r="173" spans="2:57" outlineLevel="1" x14ac:dyDescent="0.25">
      <c r="D173" s="1259"/>
      <c r="E173" s="1259" t="str">
        <f>E159</f>
        <v>Heat Pump Water Heater w/ 98% Efficiency 2.9-14.6 kW (10 to 50 MBH)</v>
      </c>
      <c r="F173" s="1303">
        <f>0.96-(0.0003*40)</f>
        <v>0.94799999999999995</v>
      </c>
      <c r="G173" s="1303">
        <v>4</v>
      </c>
      <c r="H173" s="1304">
        <f>558*I173</f>
        <v>149421.71926647448</v>
      </c>
      <c r="I173" s="1305">
        <v>267.78085890049192</v>
      </c>
      <c r="J173" s="1289">
        <v>8.33</v>
      </c>
      <c r="K173" s="1306">
        <v>125</v>
      </c>
      <c r="L173" s="1307">
        <v>57.898000000000003</v>
      </c>
      <c r="M173" s="1308">
        <f>((((1-1/G173)*H173*J173*(K173-L173)*1)*Q173*0.53*3)/(O173*3412))*R173</f>
        <v>10425.227215592167</v>
      </c>
      <c r="N173" s="1308">
        <f>((((1-1/G173)*H173*J173*(K173-L173)*1)*Q173*0.43)/(P173*3412))*S173</f>
        <v>8970.821589174504</v>
      </c>
      <c r="O173" s="1297">
        <v>2.8</v>
      </c>
      <c r="P173" s="1287">
        <v>0.88</v>
      </c>
      <c r="Q173" s="1297">
        <v>1</v>
      </c>
      <c r="R173" s="1303">
        <v>1</v>
      </c>
      <c r="S173" s="1303">
        <v>1</v>
      </c>
      <c r="V173" s="52" t="s">
        <v>19</v>
      </c>
      <c r="W173" s="59"/>
      <c r="X173" s="59"/>
      <c r="Y173" s="55"/>
      <c r="Z173" s="55"/>
      <c r="AA173" s="55"/>
      <c r="AB173" s="55"/>
      <c r="AC173" s="55"/>
      <c r="AD173" s="55"/>
      <c r="AE173" s="55"/>
      <c r="AF173" s="55"/>
      <c r="AG173" s="55"/>
      <c r="AH173" s="56"/>
      <c r="AI173" s="52" t="s">
        <v>23</v>
      </c>
      <c r="AJ173" s="57"/>
      <c r="AK173" s="57"/>
      <c r="AL173" s="55"/>
      <c r="AM173" s="55"/>
      <c r="AN173" s="55"/>
      <c r="AO173" s="55"/>
      <c r="AP173" s="55"/>
      <c r="AQ173" s="55"/>
      <c r="AR173" s="55"/>
      <c r="AS173" s="55"/>
      <c r="AT173" s="24"/>
      <c r="AU173" s="52" t="s">
        <v>24</v>
      </c>
      <c r="AV173" s="58"/>
      <c r="AW173" s="58"/>
      <c r="AX173" s="55"/>
      <c r="AY173" s="55"/>
      <c r="AZ173" s="55"/>
      <c r="BA173" s="55"/>
      <c r="BB173" s="55"/>
      <c r="BC173" s="55"/>
      <c r="BD173" s="55"/>
      <c r="BE173" s="55"/>
    </row>
    <row r="174" spans="2:57" outlineLevel="1" x14ac:dyDescent="0.25">
      <c r="D174" s="1259"/>
      <c r="E174" s="1259" t="str">
        <f>E160</f>
        <v>Heat Pump Water Heater w/ 98% Efficiency 14.7-29.3 kW (50 to 100 MBH)</v>
      </c>
      <c r="F174" s="1309">
        <v>0.98</v>
      </c>
      <c r="G174" s="1303">
        <v>4</v>
      </c>
      <c r="H174" s="1304">
        <f>558*I174</f>
        <v>389059.7149286035</v>
      </c>
      <c r="I174" s="1305">
        <v>697.2396324885367</v>
      </c>
      <c r="J174" s="1289">
        <v>8.33</v>
      </c>
      <c r="K174" s="1306">
        <v>125</v>
      </c>
      <c r="L174" s="1307">
        <v>57.898000000000003</v>
      </c>
      <c r="M174" s="1308">
        <f>((((1-1/G174)*H174*J174*(K174-L174)*1)*1*0.53*3)/(O174*3412))*1</f>
        <v>27144.88863115534</v>
      </c>
      <c r="N174" s="1308">
        <f>((((1-1/G174)*H174*J174*(K174-L174)*1)*Q174*0.43)/(P174*3412))*S174</f>
        <v>23357.95162372143</v>
      </c>
      <c r="O174" s="1297">
        <v>2.8</v>
      </c>
      <c r="P174" s="1287">
        <v>0.88</v>
      </c>
      <c r="Q174" s="1297">
        <v>1</v>
      </c>
      <c r="R174" s="1303">
        <v>1</v>
      </c>
      <c r="S174" s="1303">
        <v>1</v>
      </c>
      <c r="V174" s="52" t="s">
        <v>19</v>
      </c>
      <c r="W174" s="59"/>
      <c r="X174" s="59"/>
      <c r="Y174" s="55"/>
      <c r="Z174" s="55"/>
      <c r="AA174" s="55"/>
      <c r="AB174" s="55"/>
      <c r="AC174" s="55"/>
      <c r="AD174" s="55"/>
      <c r="AE174" s="55"/>
      <c r="AF174" s="55"/>
      <c r="AG174" s="55"/>
      <c r="AH174" s="56"/>
      <c r="AI174" s="52" t="s">
        <v>23</v>
      </c>
      <c r="AJ174" s="57"/>
      <c r="AK174" s="57"/>
      <c r="AL174" s="55"/>
      <c r="AM174" s="55"/>
      <c r="AN174" s="55"/>
      <c r="AO174" s="55"/>
      <c r="AP174" s="55"/>
      <c r="AQ174" s="55"/>
      <c r="AR174" s="55"/>
      <c r="AS174" s="55"/>
      <c r="AT174" s="24"/>
      <c r="AU174" s="52" t="s">
        <v>24</v>
      </c>
      <c r="AV174" s="58"/>
      <c r="AW174" s="58"/>
      <c r="AX174" s="55"/>
      <c r="AY174" s="55"/>
      <c r="AZ174" s="55"/>
      <c r="BA174" s="55"/>
      <c r="BB174" s="55"/>
      <c r="BC174" s="55"/>
      <c r="BD174" s="55"/>
      <c r="BE174" s="55"/>
    </row>
    <row r="175" spans="2:57" outlineLevel="1" x14ac:dyDescent="0.25">
      <c r="D175" s="1259"/>
      <c r="E175" s="1259" t="str">
        <f>E161</f>
        <v>Heat Pump Water Heater w/ 98% Efficiency 29.4-87.9 kW (100 to 300 MBH)</v>
      </c>
      <c r="F175" s="1309">
        <v>0.98</v>
      </c>
      <c r="G175" s="1303">
        <v>4</v>
      </c>
      <c r="H175" s="1304">
        <f>558*I175</f>
        <v>1037499.9291594848</v>
      </c>
      <c r="I175" s="1305">
        <v>1859.3188694614423</v>
      </c>
      <c r="J175" s="1289">
        <v>8.33</v>
      </c>
      <c r="K175" s="1306">
        <v>125</v>
      </c>
      <c r="L175" s="1307">
        <v>57.898000000000003</v>
      </c>
      <c r="M175" s="1308">
        <f>((((1-1/G175)*H175*J175*(K175-L175)*1)*1*0.53*3)/(O175*3412))*1</f>
        <v>72386.882915991271</v>
      </c>
      <c r="N175" s="1308">
        <f>((((1-1/G175)*H175*J175*(K175-L175)*1)*Q175*0.43)/(P175*3412))*S175</f>
        <v>62288.312629254913</v>
      </c>
      <c r="O175" s="1297">
        <v>2.8</v>
      </c>
      <c r="P175" s="1287">
        <v>0.88</v>
      </c>
      <c r="Q175" s="1297">
        <v>1</v>
      </c>
      <c r="R175" s="1303">
        <v>1</v>
      </c>
      <c r="S175" s="1303">
        <v>1</v>
      </c>
      <c r="V175" s="52" t="s">
        <v>19</v>
      </c>
      <c r="W175" s="59"/>
      <c r="X175" s="59"/>
      <c r="Y175" s="55"/>
      <c r="Z175" s="55"/>
      <c r="AA175" s="55"/>
      <c r="AB175" s="55"/>
      <c r="AC175" s="55"/>
      <c r="AD175" s="55"/>
      <c r="AE175" s="55"/>
      <c r="AF175" s="55"/>
      <c r="AG175" s="55"/>
      <c r="AH175" s="56"/>
      <c r="AI175" s="52" t="s">
        <v>23</v>
      </c>
      <c r="AJ175" s="57"/>
      <c r="AK175" s="57"/>
      <c r="AL175" s="55"/>
      <c r="AM175" s="55"/>
      <c r="AN175" s="55"/>
      <c r="AO175" s="55"/>
      <c r="AP175" s="55"/>
      <c r="AQ175" s="55"/>
      <c r="AR175" s="55"/>
      <c r="AS175" s="55"/>
      <c r="AT175" s="24"/>
      <c r="AU175" s="52" t="s">
        <v>24</v>
      </c>
      <c r="AV175" s="58"/>
      <c r="AW175" s="58"/>
      <c r="AX175" s="55"/>
      <c r="AY175" s="55"/>
      <c r="AZ175" s="55"/>
      <c r="BA175" s="55"/>
      <c r="BB175" s="55"/>
      <c r="BC175" s="55"/>
      <c r="BD175" s="55"/>
      <c r="BE175" s="55"/>
    </row>
    <row r="176" spans="2:57" outlineLevel="1" x14ac:dyDescent="0.25">
      <c r="D176" s="1259"/>
      <c r="E176" s="1259" t="str">
        <f>E162</f>
        <v>Heat Pump Water Heater w/ 98% Efficiency 88-146.5 kW (300 to 500 MBH)</v>
      </c>
      <c r="F176" s="1309">
        <v>0.98</v>
      </c>
      <c r="G176" s="1303">
        <v>4</v>
      </c>
      <c r="H176" s="1304">
        <f>558*I176</f>
        <v>2074992.5023024278</v>
      </c>
      <c r="I176" s="1305">
        <v>3718.6245560975408</v>
      </c>
      <c r="J176" s="1289">
        <v>8.33</v>
      </c>
      <c r="K176" s="1306">
        <v>125</v>
      </c>
      <c r="L176" s="1307">
        <v>57.898000000000003</v>
      </c>
      <c r="M176" s="1308">
        <f>((((1-1/G176)*H176*J176*(K176-L176)*1)*1*0.53*3)/(O176*3412))*1</f>
        <v>144773.25259907221</v>
      </c>
      <c r="N176" s="1308">
        <f>((((1-1/G176)*H176*J176*(K176-L176)*1)*Q176*0.43)/(P176*3412))*S176</f>
        <v>124576.1836258454</v>
      </c>
      <c r="O176" s="1297">
        <v>2.8</v>
      </c>
      <c r="P176" s="1287">
        <v>0.88</v>
      </c>
      <c r="Q176" s="1297">
        <v>1</v>
      </c>
      <c r="R176" s="1303">
        <v>1</v>
      </c>
      <c r="S176" s="1303">
        <v>1</v>
      </c>
      <c r="V176" s="52" t="s">
        <v>19</v>
      </c>
      <c r="W176" s="59"/>
      <c r="X176" s="59"/>
      <c r="Y176" s="55"/>
      <c r="Z176" s="55"/>
      <c r="AA176" s="55"/>
      <c r="AB176" s="55"/>
      <c r="AC176" s="55"/>
      <c r="AD176" s="55"/>
      <c r="AE176" s="55"/>
      <c r="AF176" s="55"/>
      <c r="AG176" s="55"/>
      <c r="AH176" s="56"/>
      <c r="AI176" s="52" t="s">
        <v>23</v>
      </c>
      <c r="AJ176" s="57"/>
      <c r="AK176" s="57"/>
      <c r="AL176" s="55"/>
      <c r="AM176" s="55"/>
      <c r="AN176" s="55"/>
      <c r="AO176" s="55"/>
      <c r="AP176" s="55"/>
      <c r="AQ176" s="55"/>
      <c r="AR176" s="55"/>
      <c r="AS176" s="55"/>
      <c r="AT176" s="24"/>
      <c r="AU176" s="52" t="s">
        <v>24</v>
      </c>
      <c r="AV176" s="58"/>
      <c r="AW176" s="58"/>
      <c r="AX176" s="55"/>
      <c r="AY176" s="55"/>
      <c r="AZ176" s="55"/>
      <c r="BA176" s="55"/>
      <c r="BB176" s="55"/>
      <c r="BC176" s="55"/>
      <c r="BD176" s="55"/>
      <c r="BE176" s="55"/>
    </row>
    <row r="177" spans="2:57" outlineLevel="1" x14ac:dyDescent="0.25">
      <c r="D177" s="1259"/>
      <c r="E177" s="1259" t="str">
        <f>E163</f>
        <v>Heat Pump Water Heater w/ 98% Efficiency &gt;146.6 kW (above 500 MBH)</v>
      </c>
      <c r="F177" s="1309">
        <v>0.98</v>
      </c>
      <c r="G177" s="1303">
        <v>4</v>
      </c>
      <c r="H177" s="1304">
        <f>558*I177</f>
        <v>3112492.431461913</v>
      </c>
      <c r="I177" s="1305">
        <v>5577.943425558984</v>
      </c>
      <c r="J177" s="1289">
        <v>8.33</v>
      </c>
      <c r="K177" s="1306">
        <v>125</v>
      </c>
      <c r="L177" s="1307">
        <v>57.898000000000003</v>
      </c>
      <c r="M177" s="1308">
        <f>((((1-1/G177)*H177*J177*(K177-L177)*1)*1*0.53*3)/(O177*3412))*1</f>
        <v>217160.13551506354</v>
      </c>
      <c r="N177" s="1308">
        <f>((((1-1/G177)*H177*J177*(K177-L177)*1)*Q177*0.43)/(P177*3412))*S177</f>
        <v>186864.49625510038</v>
      </c>
      <c r="O177" s="1297">
        <v>2.8</v>
      </c>
      <c r="P177" s="1287">
        <v>0.88</v>
      </c>
      <c r="Q177" s="1297">
        <v>1</v>
      </c>
      <c r="R177" s="1303">
        <v>1</v>
      </c>
      <c r="S177" s="1303">
        <v>1</v>
      </c>
      <c r="V177" s="52" t="s">
        <v>19</v>
      </c>
      <c r="W177" s="59"/>
      <c r="X177" s="59"/>
      <c r="Y177" s="55"/>
      <c r="Z177" s="55"/>
      <c r="AA177" s="55"/>
      <c r="AB177" s="55"/>
      <c r="AC177" s="55"/>
      <c r="AD177" s="55"/>
      <c r="AE177" s="55"/>
      <c r="AF177" s="55"/>
      <c r="AG177" s="55"/>
      <c r="AH177" s="56"/>
      <c r="AI177" s="52" t="s">
        <v>23</v>
      </c>
      <c r="AJ177" s="57"/>
      <c r="AK177" s="57"/>
      <c r="AL177" s="55"/>
      <c r="AM177" s="55"/>
      <c r="AN177" s="55"/>
      <c r="AO177" s="55"/>
      <c r="AP177" s="55"/>
      <c r="AQ177" s="55"/>
      <c r="AR177" s="55"/>
      <c r="AS177" s="55"/>
      <c r="AT177" s="24"/>
      <c r="AU177" s="52" t="s">
        <v>24</v>
      </c>
      <c r="AV177" s="58"/>
      <c r="AW177" s="58"/>
      <c r="AX177" s="55"/>
      <c r="AY177" s="55"/>
      <c r="AZ177" s="55"/>
      <c r="BA177" s="55"/>
      <c r="BB177" s="55"/>
      <c r="BC177" s="55"/>
      <c r="BD177" s="55"/>
      <c r="BE177" s="55"/>
    </row>
    <row r="178" spans="2:57" x14ac:dyDescent="0.25">
      <c r="N178" s="1311"/>
      <c r="O178" s="1311"/>
      <c r="P178" s="1311"/>
      <c r="Q178" s="1311"/>
      <c r="R178" s="1311"/>
    </row>
    <row r="179" spans="2:57" x14ac:dyDescent="0.25">
      <c r="N179" s="1285"/>
      <c r="O179" s="1285"/>
      <c r="P179" s="1285"/>
      <c r="Q179" s="1285"/>
      <c r="R179" s="1285"/>
    </row>
    <row r="180" spans="2:57" s="39" customFormat="1" x14ac:dyDescent="0.25">
      <c r="B180" s="1989" t="s">
        <v>147</v>
      </c>
      <c r="C180" s="1990"/>
      <c r="D180" s="1990"/>
      <c r="E180" s="1990"/>
      <c r="F180" s="1990"/>
      <c r="G180" s="1990"/>
      <c r="H180" s="1990"/>
      <c r="I180" s="1991"/>
      <c r="J180" s="1991"/>
      <c r="K180" s="1991"/>
      <c r="L180" s="1991"/>
      <c r="M180" s="1992"/>
      <c r="N180" s="1992"/>
      <c r="O180" s="1993"/>
      <c r="V180" s="40" t="str">
        <f>B180</f>
        <v>Heat Pump Pool Heater</v>
      </c>
      <c r="W180" s="41"/>
      <c r="X180" s="41"/>
      <c r="Y180" s="41"/>
      <c r="Z180" s="41"/>
      <c r="AA180" s="41"/>
      <c r="AB180" s="41"/>
      <c r="AC180" s="41"/>
      <c r="AD180" s="41"/>
      <c r="AE180" s="41"/>
      <c r="AF180" s="41"/>
      <c r="AG180" s="41"/>
      <c r="AH180" s="41"/>
      <c r="AI180" s="42"/>
      <c r="AJ180" s="22"/>
      <c r="AK180" s="22"/>
      <c r="AL180" s="22"/>
      <c r="AM180" s="22"/>
      <c r="AN180" s="22"/>
      <c r="AO180" s="22"/>
      <c r="AP180" s="22"/>
      <c r="AQ180" s="22"/>
      <c r="AR180" s="22"/>
      <c r="AS180" s="22"/>
      <c r="AT180" s="22"/>
      <c r="AU180" s="22"/>
    </row>
    <row r="181" spans="2:57" x14ac:dyDescent="0.25">
      <c r="D181" s="1234"/>
      <c r="E181" s="1227"/>
      <c r="F181" s="1227"/>
      <c r="G181" s="1227"/>
      <c r="H181" s="1235"/>
      <c r="I181" s="1227"/>
      <c r="J181" s="1227"/>
      <c r="K181" s="1227"/>
      <c r="L181" s="1227"/>
      <c r="N181" s="1285"/>
      <c r="O181" s="1285"/>
      <c r="P181" s="1312"/>
      <c r="Q181" s="1312"/>
      <c r="R181" s="1312"/>
      <c r="S181" s="1227"/>
      <c r="T181" s="1227"/>
      <c r="U181" s="1227"/>
      <c r="V181"/>
      <c r="W181"/>
      <c r="X181"/>
      <c r="Y181"/>
      <c r="Z181"/>
      <c r="AA181"/>
      <c r="AB181"/>
      <c r="AC181"/>
      <c r="AD181"/>
      <c r="AE181"/>
      <c r="AF181"/>
      <c r="AG181"/>
      <c r="AH181"/>
      <c r="AI181"/>
      <c r="AJ181" s="38"/>
      <c r="AK181" s="38"/>
      <c r="AL181" s="38"/>
      <c r="AM181" s="38"/>
      <c r="AN181" s="38"/>
      <c r="AO181" s="38"/>
      <c r="AP181" s="38"/>
      <c r="AQ181" s="38"/>
      <c r="AR181" s="38"/>
      <c r="AS181" s="38"/>
      <c r="AT181" s="38"/>
      <c r="AU181" s="38"/>
    </row>
    <row r="182" spans="2:57" s="43" customFormat="1" ht="30" x14ac:dyDescent="0.25">
      <c r="B182" s="1236"/>
      <c r="C182" s="44" t="s">
        <v>16</v>
      </c>
      <c r="D182" s="131" t="s">
        <v>17</v>
      </c>
      <c r="E182" s="131" t="s">
        <v>18</v>
      </c>
      <c r="F182" s="131" t="s">
        <v>19</v>
      </c>
      <c r="G182" s="131" t="s">
        <v>20</v>
      </c>
      <c r="H182" s="131" t="s">
        <v>21</v>
      </c>
      <c r="I182" s="131" t="s">
        <v>22</v>
      </c>
      <c r="J182" s="131" t="s">
        <v>23</v>
      </c>
      <c r="K182" s="131" t="s">
        <v>148</v>
      </c>
      <c r="L182" s="44" t="s">
        <v>25</v>
      </c>
      <c r="M182" s="1222"/>
      <c r="N182" s="1222"/>
      <c r="O182" s="1222"/>
      <c r="P182" s="1139"/>
      <c r="Q182" s="1139"/>
      <c r="R182" s="1139"/>
      <c r="S182" s="1139"/>
      <c r="T182" s="1139"/>
      <c r="U182" s="1139"/>
      <c r="V182" s="48" t="s">
        <v>26</v>
      </c>
      <c r="W182" s="49">
        <v>43252</v>
      </c>
      <c r="X182" s="49">
        <v>43465</v>
      </c>
      <c r="Y182" s="49" t="s">
        <v>27</v>
      </c>
      <c r="Z182" s="49" t="s">
        <v>27</v>
      </c>
      <c r="AA182" s="49" t="s">
        <v>27</v>
      </c>
      <c r="AB182" s="49" t="s">
        <v>27</v>
      </c>
      <c r="AC182" s="49" t="s">
        <v>27</v>
      </c>
      <c r="AD182" s="49" t="s">
        <v>27</v>
      </c>
      <c r="AE182" s="49" t="s">
        <v>27</v>
      </c>
      <c r="AF182" s="49" t="s">
        <v>27</v>
      </c>
      <c r="AG182" s="49" t="s">
        <v>27</v>
      </c>
      <c r="AH182"/>
      <c r="AI182" s="48" t="s">
        <v>26</v>
      </c>
      <c r="AJ182" s="49">
        <v>43252</v>
      </c>
      <c r="AK182" s="49">
        <v>43465</v>
      </c>
      <c r="AL182" s="49" t="s">
        <v>27</v>
      </c>
      <c r="AM182" s="49" t="s">
        <v>27</v>
      </c>
      <c r="AN182" s="49" t="s">
        <v>27</v>
      </c>
      <c r="AO182" s="49" t="s">
        <v>27</v>
      </c>
      <c r="AP182" s="49" t="s">
        <v>27</v>
      </c>
      <c r="AQ182" s="49" t="s">
        <v>27</v>
      </c>
      <c r="AR182" s="49" t="s">
        <v>27</v>
      </c>
      <c r="AS182" s="49" t="s">
        <v>27</v>
      </c>
      <c r="AT182" s="24"/>
      <c r="AU182" s="48" t="s">
        <v>26</v>
      </c>
      <c r="AV182" s="49">
        <v>43252</v>
      </c>
      <c r="AW182" s="49">
        <v>43465</v>
      </c>
      <c r="AX182" s="49" t="s">
        <v>27</v>
      </c>
      <c r="AY182" s="49" t="s">
        <v>27</v>
      </c>
      <c r="AZ182" s="49" t="s">
        <v>27</v>
      </c>
      <c r="BA182" s="49" t="s">
        <v>27</v>
      </c>
      <c r="BB182" s="49" t="s">
        <v>27</v>
      </c>
      <c r="BC182" s="49" t="s">
        <v>27</v>
      </c>
      <c r="BD182" s="49" t="s">
        <v>27</v>
      </c>
      <c r="BE182" s="49" t="s">
        <v>27</v>
      </c>
    </row>
    <row r="183" spans="2:57" x14ac:dyDescent="0.25">
      <c r="C183" s="1277"/>
      <c r="D183" s="1238" t="s">
        <v>28</v>
      </c>
      <c r="E183" s="1268" t="s">
        <v>149</v>
      </c>
      <c r="F183" s="72">
        <f>F194*(1/H194-1/I194)</f>
        <v>35272.879999999997</v>
      </c>
      <c r="G183" s="1240" t="s">
        <v>128</v>
      </c>
      <c r="H183" s="1241">
        <f>VLOOKUP(G183,'CP FACTORS'!$A$26:$B$38,2,FALSE)</f>
        <v>1.811545E-4</v>
      </c>
      <c r="I183" s="1242">
        <f>H183*F183</f>
        <v>6.38984093996</v>
      </c>
      <c r="J183" s="1313">
        <v>15</v>
      </c>
      <c r="K183" s="1270">
        <v>1000</v>
      </c>
      <c r="L183" s="1244" t="s">
        <v>31</v>
      </c>
      <c r="M183" s="1996"/>
      <c r="N183" s="1996"/>
      <c r="O183" s="1996"/>
      <c r="V183" s="52" t="s">
        <v>19</v>
      </c>
      <c r="W183" s="50">
        <v>35272.879999999997</v>
      </c>
      <c r="X183" s="59">
        <v>35272.879999999997</v>
      </c>
      <c r="Y183" s="55"/>
      <c r="Z183" s="55"/>
      <c r="AA183" s="55"/>
      <c r="AB183" s="55"/>
      <c r="AC183" s="55"/>
      <c r="AD183" s="55"/>
      <c r="AE183" s="55"/>
      <c r="AF183" s="55"/>
      <c r="AG183" s="55"/>
      <c r="AH183" s="56"/>
      <c r="AI183" s="52" t="s">
        <v>23</v>
      </c>
      <c r="AJ183" s="57">
        <v>15</v>
      </c>
      <c r="AK183" s="57">
        <v>15</v>
      </c>
      <c r="AL183" s="55"/>
      <c r="AM183" s="55"/>
      <c r="AN183" s="55"/>
      <c r="AO183" s="55"/>
      <c r="AP183" s="55"/>
      <c r="AQ183" s="55"/>
      <c r="AR183" s="55"/>
      <c r="AS183" s="55"/>
      <c r="AT183" s="24"/>
      <c r="AU183" s="52" t="str">
        <f>K182</f>
        <v>Inc. Cost (per unit)</v>
      </c>
      <c r="AV183" s="58">
        <v>1000</v>
      </c>
      <c r="AW183" s="58">
        <v>1000</v>
      </c>
      <c r="AX183" s="55"/>
      <c r="AY183" s="55"/>
      <c r="AZ183" s="55"/>
      <c r="BA183" s="55"/>
      <c r="BB183" s="55"/>
      <c r="BC183" s="55"/>
      <c r="BD183" s="55"/>
      <c r="BE183" s="55"/>
    </row>
    <row r="184" spans="2:57" x14ac:dyDescent="0.25">
      <c r="C184" s="1277"/>
      <c r="D184" s="1238" t="s">
        <v>28</v>
      </c>
      <c r="E184" s="1268" t="s">
        <v>150</v>
      </c>
      <c r="F184" s="72">
        <f>F195*(1/H195-1/I195)</f>
        <v>6206.880000000001</v>
      </c>
      <c r="G184" s="1240" t="s">
        <v>128</v>
      </c>
      <c r="H184" s="1241">
        <f>VLOOKUP(G184,'CP FACTORS'!$A$26:$B$38,2,FALSE)</f>
        <v>1.811545E-4</v>
      </c>
      <c r="I184" s="1242">
        <f>H184*F184</f>
        <v>1.1244042429600003</v>
      </c>
      <c r="J184" s="1313">
        <v>15</v>
      </c>
      <c r="K184" s="1270">
        <v>1000</v>
      </c>
      <c r="L184" s="1244" t="s">
        <v>31</v>
      </c>
      <c r="M184" s="1996"/>
      <c r="N184" s="1996"/>
      <c r="O184" s="1996"/>
      <c r="V184" s="52" t="s">
        <v>19</v>
      </c>
      <c r="W184" s="50">
        <v>6206.880000000001</v>
      </c>
      <c r="X184" s="59">
        <v>6206.880000000001</v>
      </c>
      <c r="Y184" s="55"/>
      <c r="Z184" s="55"/>
      <c r="AA184" s="55"/>
      <c r="AB184" s="55"/>
      <c r="AC184" s="55"/>
      <c r="AD184" s="55"/>
      <c r="AE184" s="55"/>
      <c r="AF184" s="55"/>
      <c r="AG184" s="55"/>
      <c r="AH184" s="56"/>
      <c r="AI184" s="52" t="s">
        <v>23</v>
      </c>
      <c r="AJ184" s="57">
        <v>15</v>
      </c>
      <c r="AK184" s="57">
        <v>15</v>
      </c>
      <c r="AL184" s="55"/>
      <c r="AM184" s="55"/>
      <c r="AN184" s="55"/>
      <c r="AO184" s="55"/>
      <c r="AP184" s="55"/>
      <c r="AQ184" s="55"/>
      <c r="AR184" s="55"/>
      <c r="AS184" s="55"/>
      <c r="AT184" s="24"/>
      <c r="AU184" s="52" t="str">
        <f>AU183</f>
        <v>Inc. Cost (per unit)</v>
      </c>
      <c r="AV184" s="58">
        <v>1000</v>
      </c>
      <c r="AW184" s="58">
        <v>1000</v>
      </c>
      <c r="AX184" s="55"/>
      <c r="AY184" s="55"/>
      <c r="AZ184" s="55"/>
      <c r="BA184" s="55"/>
      <c r="BB184" s="55"/>
      <c r="BC184" s="55"/>
      <c r="BD184" s="55"/>
      <c r="BE184" s="55"/>
    </row>
    <row r="185" spans="2:57" outlineLevel="1" x14ac:dyDescent="0.25">
      <c r="E185" s="1227"/>
      <c r="F185" s="1227"/>
      <c r="G185" s="1227"/>
      <c r="H185" s="1251"/>
      <c r="I185" s="1227"/>
      <c r="J185" s="1227"/>
      <c r="K185" s="1227"/>
      <c r="M185" s="1996"/>
      <c r="N185" s="1996"/>
      <c r="O185" s="1996"/>
    </row>
    <row r="186" spans="2:57" outlineLevel="1" x14ac:dyDescent="0.25">
      <c r="D186" s="1227" t="s">
        <v>52</v>
      </c>
      <c r="E186" s="1227"/>
      <c r="F186" s="1227"/>
      <c r="G186" s="1227"/>
      <c r="H186" s="1251"/>
      <c r="I186" s="1227"/>
      <c r="J186" s="1227"/>
      <c r="K186" s="1227"/>
      <c r="M186" s="1996"/>
      <c r="N186" s="1996"/>
      <c r="O186" s="1996"/>
    </row>
    <row r="187" spans="2:57" outlineLevel="1" x14ac:dyDescent="0.25">
      <c r="D187" s="1252"/>
      <c r="F187" s="1314" t="s">
        <v>151</v>
      </c>
      <c r="G187" s="1285"/>
      <c r="H187" s="1314" t="s">
        <v>152</v>
      </c>
      <c r="M187" s="1996"/>
      <c r="N187" s="1996"/>
      <c r="O187" s="1996"/>
    </row>
    <row r="188" spans="2:57" outlineLevel="1" x14ac:dyDescent="0.25">
      <c r="D188" s="1252"/>
      <c r="G188" s="1285"/>
      <c r="H188" s="1286"/>
    </row>
    <row r="189" spans="2:57" outlineLevel="1" x14ac:dyDescent="0.25">
      <c r="D189" s="1252"/>
      <c r="G189" s="1222"/>
      <c r="H189" s="1253"/>
      <c r="M189" s="1227"/>
    </row>
    <row r="190" spans="2:57" outlineLevel="1" x14ac:dyDescent="0.25">
      <c r="D190" s="1252"/>
      <c r="G190" s="1222"/>
      <c r="H190" s="1253"/>
      <c r="M190" s="1227"/>
    </row>
    <row r="191" spans="2:57" outlineLevel="1" x14ac:dyDescent="0.25">
      <c r="D191" s="1252"/>
      <c r="G191" s="1222"/>
      <c r="H191" s="1253"/>
      <c r="M191" s="1227"/>
    </row>
    <row r="192" spans="2:57" outlineLevel="1" x14ac:dyDescent="0.25">
      <c r="D192" s="1252"/>
      <c r="G192" s="1222"/>
      <c r="H192" s="1253"/>
    </row>
    <row r="193" spans="2:57" s="61" customFormat="1" ht="30" outlineLevel="1" x14ac:dyDescent="0.25">
      <c r="B193" s="1258"/>
      <c r="C193" s="1258"/>
      <c r="D193" s="44" t="s">
        <v>16</v>
      </c>
      <c r="E193" s="91" t="s">
        <v>89</v>
      </c>
      <c r="F193" s="91" t="s">
        <v>153</v>
      </c>
      <c r="G193" s="91" t="s">
        <v>154</v>
      </c>
      <c r="H193" s="94" t="s">
        <v>155</v>
      </c>
      <c r="I193" s="98" t="s">
        <v>156</v>
      </c>
      <c r="J193" s="1258"/>
      <c r="K193" s="1258"/>
      <c r="L193" s="175"/>
      <c r="M193" s="1258"/>
      <c r="N193" s="1258"/>
      <c r="O193" s="1258"/>
      <c r="P193" s="1258"/>
      <c r="Q193" s="1258"/>
      <c r="R193" s="1258"/>
      <c r="S193" s="1258"/>
      <c r="T193" s="1258"/>
      <c r="U193" s="1258"/>
    </row>
    <row r="194" spans="2:57" outlineLevel="1" x14ac:dyDescent="0.25">
      <c r="D194" s="1259"/>
      <c r="E194" s="1259" t="str">
        <f>E183</f>
        <v>Pool Heater Heat Pump (Uncovered)</v>
      </c>
      <c r="F194" s="1315">
        <f>(53.075*G194)+1631.1</f>
        <v>44091.1</v>
      </c>
      <c r="G194" s="1297">
        <v>800</v>
      </c>
      <c r="H194" s="1316">
        <v>1</v>
      </c>
      <c r="I194" s="1317">
        <v>5</v>
      </c>
      <c r="J194" s="1283"/>
    </row>
    <row r="195" spans="2:57" outlineLevel="1" x14ac:dyDescent="0.25">
      <c r="D195" s="1259"/>
      <c r="E195" s="1259" t="str">
        <f>E184</f>
        <v>Pool Heater Heat Pump (Covered)</v>
      </c>
      <c r="F195" s="1315">
        <f>(8.079*G195)+1295.4</f>
        <v>7758.6</v>
      </c>
      <c r="G195" s="1297">
        <v>800</v>
      </c>
      <c r="H195" s="1316">
        <v>1</v>
      </c>
      <c r="I195" s="1317">
        <v>5</v>
      </c>
      <c r="J195" s="1283"/>
    </row>
    <row r="198" spans="2:57" s="39" customFormat="1" x14ac:dyDescent="0.25">
      <c r="B198" s="1989" t="s">
        <v>157</v>
      </c>
      <c r="C198" s="1990"/>
      <c r="D198" s="1990"/>
      <c r="E198" s="1990"/>
      <c r="F198" s="1990"/>
      <c r="G198" s="1990"/>
      <c r="H198" s="1990"/>
      <c r="I198" s="1991"/>
      <c r="J198" s="1991"/>
      <c r="K198" s="1991"/>
      <c r="L198" s="1991"/>
      <c r="M198" s="1992"/>
      <c r="N198" s="1992"/>
      <c r="O198" s="1993"/>
      <c r="V198" s="40" t="str">
        <f>B198</f>
        <v>Pool Pump</v>
      </c>
      <c r="W198" s="41"/>
      <c r="X198" s="41"/>
      <c r="Y198" s="41"/>
      <c r="Z198" s="41"/>
      <c r="AA198" s="41"/>
      <c r="AB198" s="41"/>
      <c r="AC198" s="41"/>
      <c r="AD198" s="41"/>
      <c r="AE198" s="41"/>
      <c r="AF198" s="41"/>
      <c r="AG198" s="41"/>
      <c r="AH198" s="41"/>
      <c r="AI198" s="42"/>
      <c r="AJ198" s="22"/>
      <c r="AK198" s="22"/>
      <c r="AL198" s="22"/>
      <c r="AM198" s="22"/>
      <c r="AN198" s="22"/>
      <c r="AO198" s="22"/>
      <c r="AP198" s="22"/>
      <c r="AQ198" s="22"/>
      <c r="AR198" s="22"/>
      <c r="AS198" s="22"/>
      <c r="AT198" s="22"/>
      <c r="AU198" s="22"/>
    </row>
    <row r="199" spans="2:57" x14ac:dyDescent="0.25">
      <c r="D199" s="1234"/>
      <c r="E199" s="1227"/>
      <c r="F199" s="1227"/>
      <c r="G199" s="1227"/>
      <c r="H199" s="1235"/>
      <c r="I199" s="1227"/>
      <c r="J199" s="1227"/>
      <c r="K199" s="1227"/>
      <c r="L199" s="1227"/>
      <c r="P199" s="1227"/>
      <c r="Q199" s="1227"/>
      <c r="R199" s="1227"/>
      <c r="S199" s="1227"/>
      <c r="T199" s="1227"/>
      <c r="U199" s="1227"/>
      <c r="V199"/>
      <c r="W199"/>
      <c r="X199"/>
      <c r="Y199"/>
      <c r="Z199"/>
      <c r="AA199"/>
      <c r="AB199"/>
      <c r="AC199"/>
      <c r="AD199"/>
      <c r="AE199"/>
      <c r="AF199"/>
      <c r="AG199"/>
      <c r="AH199"/>
      <c r="AI199"/>
      <c r="AJ199" s="38"/>
      <c r="AK199" s="38"/>
      <c r="AL199" s="38"/>
      <c r="AM199" s="38"/>
      <c r="AN199" s="38"/>
      <c r="AO199" s="38"/>
      <c r="AP199" s="38"/>
      <c r="AQ199" s="38"/>
      <c r="AR199" s="38"/>
      <c r="AS199" s="38"/>
      <c r="AT199" s="38"/>
      <c r="AU199" s="38"/>
    </row>
    <row r="200" spans="2:57" s="43" customFormat="1" ht="30" x14ac:dyDescent="0.25">
      <c r="B200" s="1236"/>
      <c r="C200" s="44" t="s">
        <v>16</v>
      </c>
      <c r="D200" s="131" t="s">
        <v>17</v>
      </c>
      <c r="E200" s="131" t="s">
        <v>18</v>
      </c>
      <c r="F200" s="131" t="s">
        <v>158</v>
      </c>
      <c r="G200" s="131" t="s">
        <v>20</v>
      </c>
      <c r="H200" s="46" t="s">
        <v>21</v>
      </c>
      <c r="I200" s="131" t="s">
        <v>22</v>
      </c>
      <c r="J200" s="131" t="s">
        <v>23</v>
      </c>
      <c r="K200" s="44" t="s">
        <v>24</v>
      </c>
      <c r="L200" s="44" t="s">
        <v>25</v>
      </c>
      <c r="M200" s="1222"/>
      <c r="N200" s="1222"/>
      <c r="O200" s="1222"/>
      <c r="P200" s="1139"/>
      <c r="Q200" s="1139"/>
      <c r="R200" s="1139"/>
      <c r="S200" s="1139"/>
      <c r="T200" s="1139"/>
      <c r="U200" s="1139"/>
      <c r="V200" s="48" t="s">
        <v>26</v>
      </c>
      <c r="W200" s="49">
        <v>43252</v>
      </c>
      <c r="X200" s="49">
        <v>43465</v>
      </c>
      <c r="Y200" s="49" t="s">
        <v>27</v>
      </c>
      <c r="Z200" s="49" t="s">
        <v>27</v>
      </c>
      <c r="AA200" s="49" t="s">
        <v>27</v>
      </c>
      <c r="AB200" s="49" t="s">
        <v>27</v>
      </c>
      <c r="AC200" s="49" t="s">
        <v>27</v>
      </c>
      <c r="AD200" s="49" t="s">
        <v>27</v>
      </c>
      <c r="AE200" s="49" t="s">
        <v>27</v>
      </c>
      <c r="AF200" s="49" t="s">
        <v>27</v>
      </c>
      <c r="AG200" s="49" t="s">
        <v>27</v>
      </c>
      <c r="AH200"/>
      <c r="AI200" s="48" t="s">
        <v>26</v>
      </c>
      <c r="AJ200" s="49">
        <v>43252</v>
      </c>
      <c r="AK200" s="49">
        <v>43465</v>
      </c>
      <c r="AL200" s="49" t="s">
        <v>27</v>
      </c>
      <c r="AM200" s="49" t="s">
        <v>27</v>
      </c>
      <c r="AN200" s="49" t="s">
        <v>27</v>
      </c>
      <c r="AO200" s="49" t="s">
        <v>27</v>
      </c>
      <c r="AP200" s="49" t="s">
        <v>27</v>
      </c>
      <c r="AQ200" s="49" t="s">
        <v>27</v>
      </c>
      <c r="AR200" s="49" t="s">
        <v>27</v>
      </c>
      <c r="AS200" s="49" t="s">
        <v>27</v>
      </c>
      <c r="AT200" s="24"/>
      <c r="AU200" s="48" t="s">
        <v>26</v>
      </c>
      <c r="AV200" s="49">
        <v>43252</v>
      </c>
      <c r="AW200" s="49">
        <v>43465</v>
      </c>
      <c r="AX200" s="49" t="s">
        <v>27</v>
      </c>
      <c r="AY200" s="49" t="s">
        <v>27</v>
      </c>
      <c r="AZ200" s="49" t="s">
        <v>27</v>
      </c>
      <c r="BA200" s="49" t="s">
        <v>27</v>
      </c>
      <c r="BB200" s="49" t="s">
        <v>27</v>
      </c>
      <c r="BC200" s="49" t="s">
        <v>27</v>
      </c>
      <c r="BD200" s="49" t="s">
        <v>27</v>
      </c>
      <c r="BE200" s="49" t="s">
        <v>27</v>
      </c>
    </row>
    <row r="201" spans="2:57" x14ac:dyDescent="0.25">
      <c r="C201" s="1277"/>
      <c r="D201" s="1238" t="s">
        <v>28</v>
      </c>
      <c r="E201" s="1268" t="s">
        <v>159</v>
      </c>
      <c r="F201" s="72">
        <f>1747*F211</f>
        <v>1747</v>
      </c>
      <c r="G201" s="1240" t="s">
        <v>160</v>
      </c>
      <c r="H201" s="1241">
        <f>VLOOKUP(G201,'CP FACTORS'!$A$26:$B$38,2,FALSE)</f>
        <v>1.379439E-4</v>
      </c>
      <c r="I201" s="1242">
        <f>H201*F201</f>
        <v>0.24098799330000001</v>
      </c>
      <c r="J201" s="1313">
        <v>15</v>
      </c>
      <c r="K201" s="1294">
        <f>200*F211+46</f>
        <v>246</v>
      </c>
      <c r="L201" s="1244" t="s">
        <v>31</v>
      </c>
      <c r="M201" s="1996"/>
      <c r="N201" s="1996"/>
      <c r="O201" s="1996"/>
      <c r="V201" s="52" t="s">
        <v>19</v>
      </c>
      <c r="W201" s="59">
        <v>1747</v>
      </c>
      <c r="X201" s="59">
        <v>1747</v>
      </c>
      <c r="Y201" s="55"/>
      <c r="Z201" s="55"/>
      <c r="AA201" s="55"/>
      <c r="AB201" s="55"/>
      <c r="AC201" s="55"/>
      <c r="AD201" s="55"/>
      <c r="AE201" s="55"/>
      <c r="AF201" s="55"/>
      <c r="AG201" s="55"/>
      <c r="AH201" s="56"/>
      <c r="AI201" s="52" t="s">
        <v>23</v>
      </c>
      <c r="AJ201" s="97">
        <v>15</v>
      </c>
      <c r="AK201" s="97">
        <v>15</v>
      </c>
      <c r="AL201" s="55"/>
      <c r="AM201" s="55"/>
      <c r="AN201" s="55"/>
      <c r="AO201" s="55"/>
      <c r="AP201" s="55"/>
      <c r="AQ201" s="55"/>
      <c r="AR201" s="55"/>
      <c r="AS201" s="55"/>
      <c r="AT201" s="24"/>
      <c r="AU201" s="52" t="s">
        <v>24</v>
      </c>
      <c r="AV201" s="58">
        <v>246</v>
      </c>
      <c r="AW201" s="58">
        <v>246</v>
      </c>
      <c r="AX201" s="55"/>
      <c r="AY201" s="55"/>
      <c r="AZ201" s="55"/>
      <c r="BA201" s="55"/>
      <c r="BB201" s="55"/>
      <c r="BC201" s="55"/>
      <c r="BD201" s="55"/>
      <c r="BE201" s="55"/>
    </row>
    <row r="202" spans="2:57" outlineLevel="1" x14ac:dyDescent="0.25">
      <c r="E202" s="1227"/>
      <c r="F202" s="1227"/>
      <c r="G202" s="1227"/>
      <c r="H202" s="1251"/>
      <c r="I202" s="1227"/>
      <c r="J202" s="1227"/>
      <c r="K202" s="1227"/>
      <c r="M202" s="1996"/>
      <c r="N202" s="1996"/>
      <c r="O202" s="1996"/>
      <c r="V202" s="52" t="s">
        <v>19</v>
      </c>
      <c r="W202" s="59"/>
      <c r="X202" s="59"/>
      <c r="Y202" s="55"/>
      <c r="Z202" s="55"/>
      <c r="AA202" s="55"/>
      <c r="AB202" s="55"/>
      <c r="AC202" s="55"/>
      <c r="AD202" s="55"/>
      <c r="AE202" s="55"/>
      <c r="AF202" s="55"/>
      <c r="AG202" s="55"/>
      <c r="AH202" s="56"/>
      <c r="AI202" s="52" t="s">
        <v>23</v>
      </c>
      <c r="AJ202" s="57"/>
      <c r="AK202" s="57"/>
      <c r="AL202" s="55"/>
      <c r="AM202" s="55"/>
      <c r="AN202" s="55"/>
      <c r="AO202" s="55"/>
      <c r="AP202" s="55"/>
      <c r="AQ202" s="55"/>
      <c r="AR202" s="55"/>
      <c r="AS202" s="55"/>
      <c r="AT202" s="24"/>
      <c r="AU202" s="52" t="s">
        <v>24</v>
      </c>
      <c r="AV202" s="58"/>
      <c r="AW202" s="58"/>
      <c r="AX202" s="55"/>
      <c r="AY202" s="55"/>
      <c r="AZ202" s="55"/>
      <c r="BA202" s="55"/>
      <c r="BB202" s="55"/>
      <c r="BC202" s="55"/>
      <c r="BD202" s="55"/>
      <c r="BE202" s="55"/>
    </row>
    <row r="203" spans="2:57" outlineLevel="1" x14ac:dyDescent="0.25">
      <c r="D203" s="1227" t="s">
        <v>52</v>
      </c>
      <c r="E203" s="1227"/>
      <c r="F203" s="1227"/>
      <c r="G203" s="1227"/>
      <c r="H203" s="1251"/>
      <c r="I203" s="1227"/>
      <c r="J203" s="1227"/>
      <c r="K203" s="1227"/>
      <c r="M203" s="1996"/>
      <c r="N203" s="1996"/>
      <c r="O203" s="1996"/>
    </row>
    <row r="204" spans="2:57" outlineLevel="1" x14ac:dyDescent="0.25">
      <c r="D204" s="1252"/>
      <c r="G204" s="1285"/>
      <c r="H204" s="1286"/>
      <c r="M204" s="1996"/>
      <c r="N204" s="1996"/>
      <c r="O204" s="1996"/>
    </row>
    <row r="205" spans="2:57" outlineLevel="1" x14ac:dyDescent="0.25">
      <c r="D205" s="1252"/>
      <c r="G205" s="1285"/>
      <c r="H205" s="1286"/>
      <c r="M205" s="1996"/>
      <c r="N205" s="1996"/>
      <c r="O205" s="1996"/>
    </row>
    <row r="206" spans="2:57" outlineLevel="1" x14ac:dyDescent="0.25">
      <c r="D206" s="1252"/>
      <c r="G206" s="1222"/>
      <c r="H206" s="1253"/>
      <c r="M206" s="1227"/>
    </row>
    <row r="207" spans="2:57" outlineLevel="1" x14ac:dyDescent="0.25">
      <c r="D207" s="1252"/>
      <c r="G207" s="1222"/>
      <c r="H207" s="1253"/>
      <c r="M207" s="1227"/>
    </row>
    <row r="208" spans="2:57" outlineLevel="1" x14ac:dyDescent="0.25">
      <c r="D208" s="1252"/>
      <c r="G208" s="1222"/>
      <c r="H208" s="1253"/>
      <c r="M208" s="1227"/>
    </row>
    <row r="209" spans="2:57" outlineLevel="1" x14ac:dyDescent="0.25">
      <c r="D209" s="1252"/>
      <c r="G209" s="1222"/>
      <c r="H209" s="1253"/>
    </row>
    <row r="210" spans="2:57" s="61" customFormat="1" ht="30" outlineLevel="1" x14ac:dyDescent="0.25">
      <c r="B210" s="1258"/>
      <c r="C210" s="1258"/>
      <c r="D210" s="44" t="s">
        <v>16</v>
      </c>
      <c r="E210" s="91" t="s">
        <v>89</v>
      </c>
      <c r="F210" s="91" t="s">
        <v>161</v>
      </c>
      <c r="G210" s="1258"/>
      <c r="H210" s="1258"/>
      <c r="I210" s="175"/>
      <c r="J210" s="1258"/>
      <c r="K210" s="1258"/>
      <c r="L210" s="1258"/>
      <c r="M210" s="1258"/>
      <c r="N210" s="1258"/>
      <c r="O210" s="1258"/>
      <c r="P210" s="1258"/>
      <c r="Q210" s="1258"/>
      <c r="R210" s="1258"/>
      <c r="S210" s="1258"/>
      <c r="T210" s="1258"/>
      <c r="U210" s="1258"/>
    </row>
    <row r="211" spans="2:57" outlineLevel="1" x14ac:dyDescent="0.2">
      <c r="D211" s="1259"/>
      <c r="E211" s="1259" t="str">
        <f>E201</f>
        <v>Pool Pump w/ Variable Frequency Drive</v>
      </c>
      <c r="F211" s="1318">
        <v>1</v>
      </c>
      <c r="H211" s="1222"/>
    </row>
    <row r="214" spans="2:57" s="43" customFormat="1" ht="30" x14ac:dyDescent="0.25">
      <c r="B214" s="1236"/>
      <c r="C214" s="44" t="s">
        <v>16</v>
      </c>
      <c r="D214" s="131" t="s">
        <v>17</v>
      </c>
      <c r="E214" s="131" t="s">
        <v>18</v>
      </c>
      <c r="F214" s="131" t="s">
        <v>19</v>
      </c>
      <c r="G214" s="131" t="s">
        <v>20</v>
      </c>
      <c r="H214" s="46" t="s">
        <v>21</v>
      </c>
      <c r="I214" s="131" t="s">
        <v>22</v>
      </c>
      <c r="J214" s="131" t="s">
        <v>23</v>
      </c>
      <c r="K214" s="44" t="s">
        <v>24</v>
      </c>
      <c r="L214" s="44" t="s">
        <v>25</v>
      </c>
      <c r="M214" s="1222"/>
      <c r="N214" s="1222"/>
      <c r="O214" s="1222"/>
      <c r="P214" s="1139"/>
      <c r="Q214" s="1139"/>
      <c r="R214" s="1139"/>
      <c r="S214" s="1139"/>
      <c r="T214" s="1139"/>
      <c r="U214" s="1139"/>
      <c r="V214" s="48" t="s">
        <v>26</v>
      </c>
      <c r="W214" s="49">
        <v>43252</v>
      </c>
      <c r="X214" s="49">
        <v>43465</v>
      </c>
      <c r="Y214" s="49" t="s">
        <v>27</v>
      </c>
      <c r="Z214" s="49" t="s">
        <v>27</v>
      </c>
      <c r="AA214" s="49" t="s">
        <v>27</v>
      </c>
      <c r="AB214" s="49" t="s">
        <v>27</v>
      </c>
      <c r="AC214" s="49" t="s">
        <v>27</v>
      </c>
      <c r="AD214" s="49" t="s">
        <v>27</v>
      </c>
      <c r="AE214" s="49" t="s">
        <v>27</v>
      </c>
      <c r="AF214" s="49" t="s">
        <v>27</v>
      </c>
      <c r="AG214" s="49" t="s">
        <v>27</v>
      </c>
      <c r="AH214"/>
      <c r="AI214" s="48" t="s">
        <v>26</v>
      </c>
      <c r="AJ214" s="49">
        <v>43252</v>
      </c>
      <c r="AK214" s="49">
        <v>43465</v>
      </c>
      <c r="AL214" s="49" t="s">
        <v>27</v>
      </c>
      <c r="AM214" s="49" t="s">
        <v>27</v>
      </c>
      <c r="AN214" s="49" t="s">
        <v>27</v>
      </c>
      <c r="AO214" s="49" t="s">
        <v>27</v>
      </c>
      <c r="AP214" s="49" t="s">
        <v>27</v>
      </c>
      <c r="AQ214" s="49" t="s">
        <v>27</v>
      </c>
      <c r="AR214" s="49" t="s">
        <v>27</v>
      </c>
      <c r="AS214" s="49" t="s">
        <v>27</v>
      </c>
      <c r="AT214" s="24"/>
      <c r="AU214" s="48" t="s">
        <v>26</v>
      </c>
      <c r="AV214" s="49">
        <v>43252</v>
      </c>
      <c r="AW214" s="49">
        <v>43465</v>
      </c>
      <c r="AX214" s="49" t="s">
        <v>27</v>
      </c>
      <c r="AY214" s="49" t="s">
        <v>27</v>
      </c>
      <c r="AZ214" s="49" t="s">
        <v>27</v>
      </c>
      <c r="BA214" s="49" t="s">
        <v>27</v>
      </c>
      <c r="BB214" s="49" t="s">
        <v>27</v>
      </c>
      <c r="BC214" s="49" t="s">
        <v>27</v>
      </c>
      <c r="BD214" s="49" t="s">
        <v>27</v>
      </c>
      <c r="BE214" s="49" t="s">
        <v>27</v>
      </c>
    </row>
    <row r="215" spans="2:57" x14ac:dyDescent="0.25">
      <c r="C215" s="1277"/>
      <c r="D215" s="1238" t="s">
        <v>28</v>
      </c>
      <c r="E215" s="1268" t="s">
        <v>162</v>
      </c>
      <c r="F215" s="72">
        <f>0.746*F225*G225</f>
        <v>601.27599999999995</v>
      </c>
      <c r="G215" s="1240" t="s">
        <v>160</v>
      </c>
      <c r="H215" s="1241">
        <f>VLOOKUP(G215,'CP FACTORS'!$A$26:$B$38,2,FALSE)</f>
        <v>1.379439E-4</v>
      </c>
      <c r="I215" s="1242">
        <f>H215*F215</f>
        <v>8.2942356416399993E-2</v>
      </c>
      <c r="J215" s="1319">
        <v>10</v>
      </c>
      <c r="K215" s="1294">
        <v>100</v>
      </c>
      <c r="L215" s="1244" t="s">
        <v>31</v>
      </c>
      <c r="M215" s="1996"/>
      <c r="N215" s="1996"/>
      <c r="O215" s="1996"/>
      <c r="V215" s="52" t="s">
        <v>19</v>
      </c>
      <c r="W215" s="59">
        <v>601.27599999999995</v>
      </c>
      <c r="X215" s="59">
        <v>601.27599999999995</v>
      </c>
      <c r="Y215" s="55"/>
      <c r="Z215" s="55"/>
      <c r="AA215" s="55"/>
      <c r="AB215" s="55"/>
      <c r="AC215" s="55"/>
      <c r="AD215" s="55"/>
      <c r="AE215" s="55"/>
      <c r="AF215" s="55"/>
      <c r="AG215" s="55"/>
      <c r="AH215" s="56"/>
      <c r="AI215" s="52" t="s">
        <v>23</v>
      </c>
      <c r="AJ215" s="57">
        <v>10</v>
      </c>
      <c r="AK215" s="57">
        <v>10</v>
      </c>
      <c r="AL215" s="55"/>
      <c r="AM215" s="55"/>
      <c r="AN215" s="55"/>
      <c r="AO215" s="55"/>
      <c r="AP215" s="55"/>
      <c r="AQ215" s="55"/>
      <c r="AR215" s="55"/>
      <c r="AS215" s="55"/>
      <c r="AT215" s="24"/>
      <c r="AU215" s="52" t="s">
        <v>24</v>
      </c>
      <c r="AV215" s="58">
        <v>100</v>
      </c>
      <c r="AW215" s="58">
        <v>100</v>
      </c>
      <c r="AX215" s="55"/>
      <c r="AY215" s="55"/>
      <c r="AZ215" s="55"/>
      <c r="BA215" s="55"/>
      <c r="BB215" s="55"/>
      <c r="BC215" s="55"/>
      <c r="BD215" s="55"/>
      <c r="BE215" s="55"/>
    </row>
    <row r="216" spans="2:57" outlineLevel="1" x14ac:dyDescent="0.25">
      <c r="E216" s="1227"/>
      <c r="F216" s="1227"/>
      <c r="G216" s="1227"/>
      <c r="H216" s="1251"/>
      <c r="I216" s="1227"/>
      <c r="J216" s="1227"/>
      <c r="K216" s="1227"/>
      <c r="M216" s="1996"/>
      <c r="N216" s="1996"/>
      <c r="O216" s="1996"/>
    </row>
    <row r="217" spans="2:57" outlineLevel="1" x14ac:dyDescent="0.25">
      <c r="D217" s="1227" t="s">
        <v>52</v>
      </c>
      <c r="E217" s="1227"/>
      <c r="F217" s="1227"/>
      <c r="G217" s="1227"/>
      <c r="H217" s="1251"/>
      <c r="I217" s="1227"/>
      <c r="J217" s="1227"/>
      <c r="K217" s="1227"/>
      <c r="M217" s="1996"/>
      <c r="N217" s="1996"/>
      <c r="O217" s="1996"/>
    </row>
    <row r="218" spans="2:57" outlineLevel="1" x14ac:dyDescent="0.25">
      <c r="D218" s="1320"/>
      <c r="E218" s="1223"/>
      <c r="G218" s="1285"/>
      <c r="H218" s="1286"/>
      <c r="M218" s="1996"/>
      <c r="N218" s="1996"/>
      <c r="O218" s="1996"/>
    </row>
    <row r="219" spans="2:57" outlineLevel="1" x14ac:dyDescent="0.25">
      <c r="D219" s="1320"/>
      <c r="E219" s="1223"/>
      <c r="G219" s="1285"/>
      <c r="H219" s="1286"/>
      <c r="M219" s="1996"/>
      <c r="N219" s="1996"/>
      <c r="O219" s="1996"/>
    </row>
    <row r="220" spans="2:57" outlineLevel="1" x14ac:dyDescent="0.25">
      <c r="D220" s="1320"/>
      <c r="E220" s="1223"/>
      <c r="G220" s="1222"/>
      <c r="H220" s="1253"/>
      <c r="M220" s="1227"/>
    </row>
    <row r="221" spans="2:57" outlineLevel="1" x14ac:dyDescent="0.25">
      <c r="D221" s="1252"/>
      <c r="G221" s="1222"/>
      <c r="H221" s="1253"/>
      <c r="M221" s="1227"/>
    </row>
    <row r="222" spans="2:57" outlineLevel="1" x14ac:dyDescent="0.25">
      <c r="D222" s="1252"/>
      <c r="G222" s="1222"/>
      <c r="H222" s="1253"/>
      <c r="M222" s="1227"/>
    </row>
    <row r="223" spans="2:57" outlineLevel="1" x14ac:dyDescent="0.25">
      <c r="D223" s="1252"/>
      <c r="G223" s="1222"/>
      <c r="H223" s="1253"/>
    </row>
    <row r="224" spans="2:57" s="61" customFormat="1" ht="30" outlineLevel="1" x14ac:dyDescent="0.25">
      <c r="B224" s="1258"/>
      <c r="C224" s="1258"/>
      <c r="D224" s="44" t="s">
        <v>16</v>
      </c>
      <c r="E224" s="91" t="s">
        <v>89</v>
      </c>
      <c r="F224" s="91" t="s">
        <v>163</v>
      </c>
      <c r="G224" s="91" t="s">
        <v>164</v>
      </c>
      <c r="H224" s="1258"/>
      <c r="I224" s="175"/>
      <c r="J224" s="1258"/>
      <c r="K224" s="1258"/>
      <c r="L224" s="1258"/>
      <c r="M224" s="1258"/>
      <c r="N224" s="1258"/>
      <c r="O224" s="1258"/>
      <c r="P224" s="1258"/>
      <c r="Q224" s="1258"/>
      <c r="R224" s="1258"/>
      <c r="S224" s="1258"/>
      <c r="T224" s="1258"/>
      <c r="U224" s="1258"/>
    </row>
    <row r="225" spans="2:57" outlineLevel="1" x14ac:dyDescent="0.2">
      <c r="D225" s="1259"/>
      <c r="E225" s="1259" t="str">
        <f>E215</f>
        <v>Pool Pump Timer</v>
      </c>
      <c r="F225" s="1321">
        <v>403</v>
      </c>
      <c r="G225" s="1322">
        <v>2</v>
      </c>
      <c r="H225" s="1222"/>
    </row>
    <row r="228" spans="2:57" s="39" customFormat="1" x14ac:dyDescent="0.25">
      <c r="B228" s="1989" t="s">
        <v>165</v>
      </c>
      <c r="C228" s="1990"/>
      <c r="D228" s="1990"/>
      <c r="E228" s="1990"/>
      <c r="F228" s="1990"/>
      <c r="G228" s="1990"/>
      <c r="H228" s="1990"/>
      <c r="I228" s="1991"/>
      <c r="J228" s="1991"/>
      <c r="K228" s="1991"/>
      <c r="L228" s="1991"/>
      <c r="M228" s="1992"/>
      <c r="N228" s="1992"/>
      <c r="O228" s="1993"/>
      <c r="V228" s="40" t="str">
        <f>B228</f>
        <v>Steam Cookers</v>
      </c>
      <c r="W228" s="41"/>
      <c r="X228" s="41"/>
      <c r="Y228" s="41"/>
      <c r="Z228" s="41"/>
      <c r="AA228" s="41"/>
      <c r="AB228" s="41"/>
      <c r="AC228" s="41"/>
      <c r="AD228" s="41"/>
      <c r="AE228" s="41"/>
      <c r="AF228" s="41"/>
      <c r="AG228" s="41"/>
      <c r="AH228" s="41"/>
      <c r="AI228" s="42"/>
      <c r="AJ228" s="22"/>
      <c r="AK228" s="22"/>
      <c r="AL228" s="22"/>
      <c r="AM228" s="22"/>
      <c r="AN228" s="22"/>
      <c r="AO228" s="22"/>
      <c r="AP228" s="22"/>
      <c r="AQ228" s="22"/>
      <c r="AR228" s="22"/>
      <c r="AS228" s="22"/>
      <c r="AT228" s="22"/>
      <c r="AU228" s="22"/>
    </row>
    <row r="229" spans="2:57" x14ac:dyDescent="0.25">
      <c r="D229" s="1234"/>
      <c r="E229" s="1227"/>
      <c r="F229" s="1227"/>
      <c r="G229" s="1227"/>
      <c r="H229" s="1235"/>
      <c r="I229" s="1227"/>
      <c r="J229" s="1227"/>
      <c r="K229" s="1227"/>
      <c r="L229" s="1227"/>
      <c r="P229" s="1227"/>
      <c r="Q229" s="1227"/>
      <c r="R229" s="1227"/>
      <c r="S229" s="1227"/>
      <c r="T229" s="1227"/>
      <c r="U229" s="1227"/>
      <c r="V229"/>
      <c r="W229"/>
      <c r="X229"/>
      <c r="Y229"/>
      <c r="Z229"/>
      <c r="AA229"/>
      <c r="AB229"/>
      <c r="AC229"/>
      <c r="AD229"/>
      <c r="AE229"/>
      <c r="AF229"/>
      <c r="AG229"/>
      <c r="AH229"/>
      <c r="AI229"/>
      <c r="AJ229" s="38"/>
      <c r="AK229" s="38"/>
      <c r="AL229" s="38"/>
      <c r="AM229" s="38"/>
      <c r="AN229" s="38"/>
      <c r="AO229" s="38"/>
      <c r="AP229" s="38"/>
      <c r="AQ229" s="38"/>
      <c r="AR229" s="38"/>
      <c r="AS229" s="38"/>
      <c r="AT229" s="38"/>
      <c r="AU229" s="38"/>
    </row>
    <row r="230" spans="2:57" s="43" customFormat="1" ht="30" x14ac:dyDescent="0.25">
      <c r="B230" s="1236"/>
      <c r="C230" s="44" t="s">
        <v>16</v>
      </c>
      <c r="D230" s="131" t="s">
        <v>17</v>
      </c>
      <c r="E230" s="131" t="s">
        <v>18</v>
      </c>
      <c r="F230" s="131" t="s">
        <v>19</v>
      </c>
      <c r="G230" s="131" t="s">
        <v>20</v>
      </c>
      <c r="H230" s="46" t="s">
        <v>21</v>
      </c>
      <c r="I230" s="131" t="s">
        <v>22</v>
      </c>
      <c r="J230" s="131" t="s">
        <v>23</v>
      </c>
      <c r="K230" s="44" t="s">
        <v>24</v>
      </c>
      <c r="L230" s="44" t="s">
        <v>25</v>
      </c>
      <c r="M230" s="1222"/>
      <c r="N230" s="1222"/>
      <c r="O230" s="1222"/>
      <c r="P230" s="1139"/>
      <c r="Q230" s="1139"/>
      <c r="R230" s="1139"/>
      <c r="S230" s="1139"/>
      <c r="T230" s="1139"/>
      <c r="U230" s="1139"/>
      <c r="V230" s="48" t="s">
        <v>26</v>
      </c>
      <c r="W230" s="49">
        <v>43252</v>
      </c>
      <c r="X230" s="49">
        <v>43465</v>
      </c>
      <c r="Y230" s="49" t="s">
        <v>27</v>
      </c>
      <c r="Z230" s="49" t="s">
        <v>27</v>
      </c>
      <c r="AA230" s="49" t="s">
        <v>27</v>
      </c>
      <c r="AB230" s="49" t="s">
        <v>27</v>
      </c>
      <c r="AC230" s="49" t="s">
        <v>27</v>
      </c>
      <c r="AD230" s="49" t="s">
        <v>27</v>
      </c>
      <c r="AE230" s="49" t="s">
        <v>27</v>
      </c>
      <c r="AF230" s="49" t="s">
        <v>27</v>
      </c>
      <c r="AG230" s="49" t="s">
        <v>27</v>
      </c>
      <c r="AH230"/>
      <c r="AI230" s="48" t="s">
        <v>26</v>
      </c>
      <c r="AJ230" s="49">
        <v>43252</v>
      </c>
      <c r="AK230" s="49">
        <v>43465</v>
      </c>
      <c r="AL230" s="49" t="s">
        <v>27</v>
      </c>
      <c r="AM230" s="49" t="s">
        <v>27</v>
      </c>
      <c r="AN230" s="49" t="s">
        <v>27</v>
      </c>
      <c r="AO230" s="49" t="s">
        <v>27</v>
      </c>
      <c r="AP230" s="49" t="s">
        <v>27</v>
      </c>
      <c r="AQ230" s="49" t="s">
        <v>27</v>
      </c>
      <c r="AR230" s="49" t="s">
        <v>27</v>
      </c>
      <c r="AS230" s="49" t="s">
        <v>27</v>
      </c>
      <c r="AT230" s="24"/>
      <c r="AU230" s="48" t="s">
        <v>26</v>
      </c>
      <c r="AV230" s="49">
        <v>43252</v>
      </c>
      <c r="AW230" s="49">
        <v>43465</v>
      </c>
      <c r="AX230" s="49" t="s">
        <v>27</v>
      </c>
      <c r="AY230" s="49" t="s">
        <v>27</v>
      </c>
      <c r="AZ230" s="49" t="s">
        <v>27</v>
      </c>
      <c r="BA230" s="49" t="s">
        <v>27</v>
      </c>
      <c r="BB230" s="49" t="s">
        <v>27</v>
      </c>
      <c r="BC230" s="49" t="s">
        <v>27</v>
      </c>
      <c r="BD230" s="49" t="s">
        <v>27</v>
      </c>
      <c r="BE230" s="49" t="s">
        <v>27</v>
      </c>
    </row>
    <row r="231" spans="2:57" x14ac:dyDescent="0.25">
      <c r="C231" s="1237"/>
      <c r="D231" s="1238" t="s">
        <v>28</v>
      </c>
      <c r="E231" s="1268" t="s">
        <v>166</v>
      </c>
      <c r="F231" s="72">
        <f>(F244+G244)*H244/1000</f>
        <v>7856.3138680450465</v>
      </c>
      <c r="G231" s="1240" t="s">
        <v>167</v>
      </c>
      <c r="H231" s="1241">
        <f>VLOOKUP(G231,'CP FACTORS'!$A$26:$B$38,2,FALSE)</f>
        <v>1.998949E-4</v>
      </c>
      <c r="I231" s="1242">
        <f>H231*F231</f>
        <v>1.5704370750214778</v>
      </c>
      <c r="J231" s="1323">
        <v>12</v>
      </c>
      <c r="K231" s="1294">
        <v>4150</v>
      </c>
      <c r="L231" s="1244" t="s">
        <v>31</v>
      </c>
      <c r="V231" s="52" t="s">
        <v>19</v>
      </c>
      <c r="W231" s="59">
        <v>7856.3138680450465</v>
      </c>
      <c r="X231" s="59">
        <v>7856.3138680450465</v>
      </c>
      <c r="Y231" s="55"/>
      <c r="Z231" s="55"/>
      <c r="AA231" s="55"/>
      <c r="AB231" s="55"/>
      <c r="AC231" s="55"/>
      <c r="AD231" s="55"/>
      <c r="AE231" s="55"/>
      <c r="AF231" s="55"/>
      <c r="AG231" s="55"/>
      <c r="AH231" s="56"/>
      <c r="AI231" s="52" t="s">
        <v>23</v>
      </c>
      <c r="AJ231" s="57">
        <v>12</v>
      </c>
      <c r="AK231" s="57">
        <v>12</v>
      </c>
      <c r="AL231" s="55"/>
      <c r="AM231" s="55"/>
      <c r="AN231" s="55"/>
      <c r="AO231" s="55"/>
      <c r="AP231" s="55"/>
      <c r="AQ231" s="55"/>
      <c r="AR231" s="55"/>
      <c r="AS231" s="55"/>
      <c r="AT231" s="24"/>
      <c r="AU231" s="52" t="s">
        <v>24</v>
      </c>
      <c r="AV231" s="58">
        <v>4150</v>
      </c>
      <c r="AW231" s="58">
        <v>4150</v>
      </c>
      <c r="AX231" s="55"/>
      <c r="AY231" s="55"/>
      <c r="AZ231" s="55"/>
      <c r="BA231" s="55"/>
      <c r="BB231" s="55"/>
      <c r="BC231" s="55"/>
      <c r="BD231" s="55"/>
      <c r="BE231" s="55"/>
    </row>
    <row r="232" spans="2:57" x14ac:dyDescent="0.25">
      <c r="C232" s="1237"/>
      <c r="D232" s="1238" t="s">
        <v>28</v>
      </c>
      <c r="E232" s="1281" t="s">
        <v>168</v>
      </c>
      <c r="F232" s="72">
        <f>(F245+G245)*H245/1000</f>
        <v>9213.5039339295909</v>
      </c>
      <c r="G232" s="1240" t="s">
        <v>167</v>
      </c>
      <c r="H232" s="1241">
        <f>VLOOKUP(G232,'CP FACTORS'!$A$26:$B$38,2,FALSE)</f>
        <v>1.998949E-4</v>
      </c>
      <c r="I232" s="1242">
        <f>H232*F232</f>
        <v>1.8417324475224621</v>
      </c>
      <c r="J232" s="1279">
        <v>12</v>
      </c>
      <c r="K232" s="1294">
        <v>4150</v>
      </c>
      <c r="L232" s="1244" t="s">
        <v>31</v>
      </c>
      <c r="V232" s="52" t="s">
        <v>19</v>
      </c>
      <c r="W232" s="59">
        <v>9213.5039339295909</v>
      </c>
      <c r="X232" s="59">
        <v>9213.5039339295909</v>
      </c>
      <c r="Y232" s="55"/>
      <c r="Z232" s="55"/>
      <c r="AA232" s="55"/>
      <c r="AB232" s="55"/>
      <c r="AC232" s="55"/>
      <c r="AD232" s="55"/>
      <c r="AE232" s="55"/>
      <c r="AF232" s="55"/>
      <c r="AG232" s="55"/>
      <c r="AH232" s="56"/>
      <c r="AI232" s="52" t="s">
        <v>23</v>
      </c>
      <c r="AJ232" s="57">
        <v>12</v>
      </c>
      <c r="AK232" s="57">
        <v>12</v>
      </c>
      <c r="AL232" s="55"/>
      <c r="AM232" s="55"/>
      <c r="AN232" s="55"/>
      <c r="AO232" s="55"/>
      <c r="AP232" s="55"/>
      <c r="AQ232" s="55"/>
      <c r="AR232" s="55"/>
      <c r="AS232" s="55"/>
      <c r="AT232" s="24"/>
      <c r="AU232" s="52" t="s">
        <v>24</v>
      </c>
      <c r="AV232" s="58">
        <v>4150</v>
      </c>
      <c r="AW232" s="58">
        <v>4150</v>
      </c>
      <c r="AX232" s="55"/>
      <c r="AY232" s="55"/>
      <c r="AZ232" s="55"/>
      <c r="BA232" s="55"/>
      <c r="BB232" s="55"/>
      <c r="BC232" s="55"/>
      <c r="BD232" s="55"/>
      <c r="BE232" s="55"/>
    </row>
    <row r="233" spans="2:57" x14ac:dyDescent="0.25">
      <c r="C233" s="1237"/>
      <c r="D233" s="1238" t="s">
        <v>28</v>
      </c>
      <c r="E233" s="1281" t="s">
        <v>169</v>
      </c>
      <c r="F233" s="72">
        <f>(F246+G246)*H246/1000</f>
        <v>10512.970851398522</v>
      </c>
      <c r="G233" s="1240" t="s">
        <v>167</v>
      </c>
      <c r="H233" s="1241">
        <f>VLOOKUP(G233,'CP FACTORS'!$A$26:$B$38,2,FALSE)</f>
        <v>1.998949E-4</v>
      </c>
      <c r="I233" s="1242">
        <f>H233*F233</f>
        <v>2.1014892570432226</v>
      </c>
      <c r="J233" s="1279">
        <v>12</v>
      </c>
      <c r="K233" s="1294">
        <v>4150</v>
      </c>
      <c r="L233" s="1244" t="s">
        <v>31</v>
      </c>
      <c r="V233" s="52" t="s">
        <v>19</v>
      </c>
      <c r="W233" s="59">
        <v>10512.970851398522</v>
      </c>
      <c r="X233" s="59">
        <v>10512.970851398522</v>
      </c>
      <c r="Y233" s="55"/>
      <c r="Z233" s="55"/>
      <c r="AA233" s="55"/>
      <c r="AB233" s="55"/>
      <c r="AC233" s="55"/>
      <c r="AD233" s="55"/>
      <c r="AE233" s="55"/>
      <c r="AF233" s="55"/>
      <c r="AG233" s="55"/>
      <c r="AH233" s="56"/>
      <c r="AI233" s="52" t="s">
        <v>23</v>
      </c>
      <c r="AJ233" s="57">
        <v>12</v>
      </c>
      <c r="AK233" s="57">
        <v>12</v>
      </c>
      <c r="AL233" s="55"/>
      <c r="AM233" s="55"/>
      <c r="AN233" s="55"/>
      <c r="AO233" s="55"/>
      <c r="AP233" s="55"/>
      <c r="AQ233" s="55"/>
      <c r="AR233" s="55"/>
      <c r="AS233" s="55"/>
      <c r="AT233" s="24"/>
      <c r="AU233" s="52" t="s">
        <v>24</v>
      </c>
      <c r="AV233" s="58">
        <v>4150</v>
      </c>
      <c r="AW233" s="58">
        <v>4150</v>
      </c>
      <c r="AX233" s="55"/>
      <c r="AY233" s="55"/>
      <c r="AZ233" s="55"/>
      <c r="BA233" s="55"/>
      <c r="BB233" s="55"/>
      <c r="BC233" s="55"/>
      <c r="BD233" s="55"/>
      <c r="BE233" s="55"/>
    </row>
    <row r="234" spans="2:57" x14ac:dyDescent="0.25">
      <c r="C234" s="1237"/>
      <c r="D234" s="1238" t="s">
        <v>28</v>
      </c>
      <c r="E234" s="1281" t="s">
        <v>170</v>
      </c>
      <c r="F234" s="72">
        <f>(F247+G247)*H247/1000</f>
        <v>11818.648943162641</v>
      </c>
      <c r="G234" s="1240" t="s">
        <v>167</v>
      </c>
      <c r="H234" s="1241">
        <f>VLOOKUP(G234,'CP FACTORS'!$A$26:$B$38,2,FALSE)</f>
        <v>1.998949E-4</v>
      </c>
      <c r="I234" s="1242">
        <f>H234*F234</f>
        <v>2.3624876486286017</v>
      </c>
      <c r="J234" s="1279">
        <v>12</v>
      </c>
      <c r="K234" s="1294">
        <v>4150</v>
      </c>
      <c r="L234" s="1244" t="s">
        <v>31</v>
      </c>
      <c r="V234" s="52" t="s">
        <v>19</v>
      </c>
      <c r="W234" s="59">
        <v>11818.648943162641</v>
      </c>
      <c r="X234" s="59">
        <v>11818.648943162641</v>
      </c>
      <c r="Y234" s="55"/>
      <c r="Z234" s="55"/>
      <c r="AA234" s="55"/>
      <c r="AB234" s="55"/>
      <c r="AC234" s="55"/>
      <c r="AD234" s="55"/>
      <c r="AE234" s="55"/>
      <c r="AF234" s="55"/>
      <c r="AG234" s="55"/>
      <c r="AH234" s="56"/>
      <c r="AI234" s="52" t="s">
        <v>23</v>
      </c>
      <c r="AJ234" s="57">
        <v>12</v>
      </c>
      <c r="AK234" s="57">
        <v>12</v>
      </c>
      <c r="AL234" s="55"/>
      <c r="AM234" s="55"/>
      <c r="AN234" s="55"/>
      <c r="AO234" s="55"/>
      <c r="AP234" s="55"/>
      <c r="AQ234" s="55"/>
      <c r="AR234" s="55"/>
      <c r="AS234" s="55"/>
      <c r="AT234" s="24"/>
      <c r="AU234" s="52" t="s">
        <v>24</v>
      </c>
      <c r="AV234" s="58">
        <v>4150</v>
      </c>
      <c r="AW234" s="58">
        <v>4150</v>
      </c>
      <c r="AX234" s="55"/>
      <c r="AY234" s="55"/>
      <c r="AZ234" s="55"/>
      <c r="BA234" s="55"/>
      <c r="BB234" s="55"/>
      <c r="BC234" s="55"/>
      <c r="BD234" s="55"/>
      <c r="BE234" s="55"/>
    </row>
    <row r="235" spans="2:57" outlineLevel="1" x14ac:dyDescent="0.25">
      <c r="E235" s="1227"/>
      <c r="F235" s="1227"/>
      <c r="G235" s="1227"/>
      <c r="H235" s="1251"/>
      <c r="I235" s="1227"/>
      <c r="J235" s="1227"/>
      <c r="K235" s="1227"/>
    </row>
    <row r="236" spans="2:57" outlineLevel="1" x14ac:dyDescent="0.25">
      <c r="D236" s="1227" t="s">
        <v>52</v>
      </c>
      <c r="E236" s="175"/>
      <c r="F236" s="1227"/>
      <c r="G236" s="1227"/>
      <c r="H236" s="1251"/>
      <c r="I236" s="1227"/>
      <c r="J236" s="1227"/>
      <c r="K236" s="175"/>
    </row>
    <row r="237" spans="2:57" outlineLevel="1" x14ac:dyDescent="0.25">
      <c r="D237" s="1252"/>
      <c r="E237" s="175"/>
      <c r="F237" s="175"/>
      <c r="G237" s="1285"/>
      <c r="H237" s="1286"/>
    </row>
    <row r="238" spans="2:57" outlineLevel="1" x14ac:dyDescent="0.25">
      <c r="D238" s="1252"/>
      <c r="G238" s="1285"/>
      <c r="H238" s="1286"/>
      <c r="P238" s="1988"/>
      <c r="Q238" s="1988"/>
    </row>
    <row r="239" spans="2:57" outlineLevel="1" x14ac:dyDescent="0.25">
      <c r="D239" s="1252"/>
      <c r="G239" s="1222"/>
      <c r="H239" s="1253"/>
      <c r="M239" s="1227"/>
      <c r="P239" s="1988"/>
      <c r="Q239" s="1988"/>
    </row>
    <row r="240" spans="2:57" outlineLevel="1" x14ac:dyDescent="0.25">
      <c r="D240" s="1252"/>
      <c r="G240" s="1222"/>
      <c r="H240" s="1253"/>
      <c r="M240" s="1227"/>
      <c r="P240" s="1988"/>
      <c r="Q240" s="1988"/>
    </row>
    <row r="241" spans="2:57" outlineLevel="1" x14ac:dyDescent="0.25">
      <c r="D241" s="1252"/>
      <c r="G241" s="1222"/>
      <c r="H241" s="1253"/>
      <c r="M241" s="1227"/>
    </row>
    <row r="242" spans="2:57" outlineLevel="1" x14ac:dyDescent="0.25">
      <c r="D242" s="1252"/>
      <c r="G242" s="1222"/>
      <c r="H242" s="1253"/>
    </row>
    <row r="243" spans="2:57" s="61" customFormat="1" ht="45" outlineLevel="1" x14ac:dyDescent="0.2">
      <c r="B243" s="1258"/>
      <c r="C243" s="1258"/>
      <c r="D243" s="91" t="s">
        <v>16</v>
      </c>
      <c r="E243" s="91" t="s">
        <v>89</v>
      </c>
      <c r="F243" s="99" t="s">
        <v>171</v>
      </c>
      <c r="G243" s="91" t="s">
        <v>172</v>
      </c>
      <c r="H243" s="91" t="s">
        <v>173</v>
      </c>
      <c r="I243" s="91" t="s">
        <v>174</v>
      </c>
      <c r="J243" s="95" t="s">
        <v>175</v>
      </c>
      <c r="K243" s="95" t="s">
        <v>176</v>
      </c>
      <c r="L243" s="95" t="s">
        <v>177</v>
      </c>
      <c r="M243" s="95" t="s">
        <v>178</v>
      </c>
      <c r="N243" s="95" t="s">
        <v>179</v>
      </c>
      <c r="O243" s="95" t="s">
        <v>180</v>
      </c>
      <c r="P243" s="95" t="s">
        <v>155</v>
      </c>
      <c r="Q243" s="95" t="s">
        <v>181</v>
      </c>
      <c r="R243" s="95" t="s">
        <v>65</v>
      </c>
      <c r="S243" s="131" t="s">
        <v>182</v>
      </c>
      <c r="T243" s="1258"/>
      <c r="U243" s="1258"/>
    </row>
    <row r="244" spans="2:57" outlineLevel="1" x14ac:dyDescent="0.25">
      <c r="D244" s="1259"/>
      <c r="E244" s="1259" t="str">
        <f>E231</f>
        <v>3 Pan ENERGY STAR Steam Cooker</v>
      </c>
      <c r="F244" s="1324">
        <f>((1-I244)*(J244+I244*L244*N244*(O244/P244))*(R244-S244/(L244*N244)))-((1-I244)*(K244+I244*M244*N244*(O244/Q244))*(R244-S244/(M244*N244)))</f>
        <v>16669.415107583976</v>
      </c>
      <c r="G244" s="1325">
        <f>(S244*(O244/P244))-(S244*(O244/Q244))</f>
        <v>4839.9999999999982</v>
      </c>
      <c r="H244" s="1326">
        <v>365.25</v>
      </c>
      <c r="I244" s="1303">
        <v>0.4</v>
      </c>
      <c r="J244" s="1327">
        <v>1100</v>
      </c>
      <c r="K244" s="1306">
        <v>400</v>
      </c>
      <c r="L244" s="1300">
        <v>23.3</v>
      </c>
      <c r="M244" s="1328">
        <v>16.7</v>
      </c>
      <c r="N244" s="1306">
        <v>3</v>
      </c>
      <c r="O244" s="1300">
        <v>30.8</v>
      </c>
      <c r="P244" s="1309">
        <v>0.28000000000000003</v>
      </c>
      <c r="Q244" s="1303">
        <v>0.5</v>
      </c>
      <c r="R244" s="1297">
        <v>12</v>
      </c>
      <c r="S244" s="1305">
        <v>100</v>
      </c>
    </row>
    <row r="245" spans="2:57" outlineLevel="1" x14ac:dyDescent="0.25">
      <c r="D245" s="1259"/>
      <c r="E245" s="1259" t="str">
        <f>E232</f>
        <v>4 Pan ENERGY STAR Steam Cooker</v>
      </c>
      <c r="F245" s="1324">
        <f>((1-I245)*(J245+I245*L245*N245*(O245/P245))*(R245-S245/(L245*N245)))-((1-I245)*(K245+I245*M245*N245*(O245/Q245))*(R245-S245/(M245*N245)))</f>
        <v>20385.19899775384</v>
      </c>
      <c r="G245" s="1325">
        <f>(S245*(O245/P245))-(S245*(O245/Q245))</f>
        <v>4839.9999999999982</v>
      </c>
      <c r="H245" s="1326">
        <v>365.25</v>
      </c>
      <c r="I245" s="1303">
        <v>0.4</v>
      </c>
      <c r="J245" s="1327">
        <v>1100</v>
      </c>
      <c r="K245" s="1306">
        <v>530</v>
      </c>
      <c r="L245" s="1300">
        <v>23.3</v>
      </c>
      <c r="M245" s="1328">
        <v>16.7</v>
      </c>
      <c r="N245" s="1306">
        <v>4</v>
      </c>
      <c r="O245" s="1300">
        <v>30.8</v>
      </c>
      <c r="P245" s="1309">
        <v>0.28000000000000003</v>
      </c>
      <c r="Q245" s="1303">
        <v>0.5</v>
      </c>
      <c r="R245" s="1297">
        <v>12</v>
      </c>
      <c r="S245" s="1305">
        <v>100</v>
      </c>
    </row>
    <row r="246" spans="2:57" outlineLevel="1" x14ac:dyDescent="0.25">
      <c r="D246" s="1259"/>
      <c r="E246" s="1259" t="str">
        <f>E233</f>
        <v>5 Pan ENERGY STAR Steam Cooker</v>
      </c>
      <c r="F246" s="1324">
        <f>((1-I246)*(J246+I246*L246*N246*(O246/P246))*(R246-S246/(L246*N246)))-((1-I246)*(K246+I246*M246*N246*(O246/Q246))*(R246-S246/(M246*N246)))</f>
        <v>23942.945520598285</v>
      </c>
      <c r="G246" s="1325">
        <f>(S246*(O246/P246))-(S246*(O246/Q246))</f>
        <v>4839.9999999999982</v>
      </c>
      <c r="H246" s="1326">
        <v>365.25</v>
      </c>
      <c r="I246" s="1303">
        <v>0.4</v>
      </c>
      <c r="J246" s="1327">
        <v>1100</v>
      </c>
      <c r="K246" s="1306">
        <v>670</v>
      </c>
      <c r="L246" s="1300">
        <v>23.3</v>
      </c>
      <c r="M246" s="1328">
        <v>16.7</v>
      </c>
      <c r="N246" s="1306">
        <v>5</v>
      </c>
      <c r="O246" s="1300">
        <v>30.8</v>
      </c>
      <c r="P246" s="1309">
        <v>0.28000000000000003</v>
      </c>
      <c r="Q246" s="1303">
        <v>0.5</v>
      </c>
      <c r="R246" s="1297">
        <v>12</v>
      </c>
      <c r="S246" s="1305">
        <v>100</v>
      </c>
    </row>
    <row r="247" spans="2:57" outlineLevel="1" x14ac:dyDescent="0.25">
      <c r="D247" s="1259"/>
      <c r="E247" s="1259" t="str">
        <f>E234</f>
        <v>6 Pan ENERGY STAR Steam Cooker</v>
      </c>
      <c r="F247" s="1324">
        <f>((1-I247)*(J247+I247*L247*N247*(O247/P247))*(R247-S247/(L247*N247)))-((1-I247)*(K247+I247*M247*N247*(O247/Q247))*(R247-S247/(M247*N247)))</f>
        <v>27517.697311875811</v>
      </c>
      <c r="G247" s="1325">
        <f>(S247*(O247/P247))-(S247*(O247/Q247))</f>
        <v>4839.9999999999982</v>
      </c>
      <c r="H247" s="1326">
        <v>365.25</v>
      </c>
      <c r="I247" s="1303">
        <v>0.4</v>
      </c>
      <c r="J247" s="1327">
        <v>1100</v>
      </c>
      <c r="K247" s="1306">
        <v>800</v>
      </c>
      <c r="L247" s="1300">
        <v>23.3</v>
      </c>
      <c r="M247" s="1328">
        <v>16.7</v>
      </c>
      <c r="N247" s="1306">
        <v>6</v>
      </c>
      <c r="O247" s="1300">
        <v>30.8</v>
      </c>
      <c r="P247" s="1309">
        <v>0.28000000000000003</v>
      </c>
      <c r="Q247" s="1303">
        <v>0.5</v>
      </c>
      <c r="R247" s="1297">
        <v>12</v>
      </c>
      <c r="S247" s="1305">
        <v>100</v>
      </c>
    </row>
    <row r="250" spans="2:57" s="39" customFormat="1" x14ac:dyDescent="0.25">
      <c r="B250" s="1989" t="s">
        <v>183</v>
      </c>
      <c r="C250" s="1990"/>
      <c r="D250" s="1990"/>
      <c r="E250" s="1990"/>
      <c r="F250" s="1990"/>
      <c r="G250" s="1990"/>
      <c r="H250" s="1990"/>
      <c r="I250" s="1991"/>
      <c r="J250" s="1991"/>
      <c r="K250" s="1991"/>
      <c r="L250" s="1991"/>
      <c r="M250" s="1992"/>
      <c r="N250" s="1992"/>
      <c r="O250" s="1993"/>
      <c r="V250" s="40" t="str">
        <f>B250</f>
        <v>Holding Cabinet</v>
      </c>
      <c r="W250" s="41"/>
      <c r="X250" s="41"/>
      <c r="Y250" s="41"/>
      <c r="Z250" s="41"/>
      <c r="AA250" s="41"/>
      <c r="AB250" s="41"/>
      <c r="AC250" s="41"/>
      <c r="AD250" s="41"/>
      <c r="AE250" s="41"/>
      <c r="AF250" s="41"/>
      <c r="AG250" s="41"/>
      <c r="AH250" s="41"/>
      <c r="AI250" s="42"/>
      <c r="AJ250" s="22"/>
      <c r="AK250" s="22"/>
      <c r="AL250" s="22"/>
      <c r="AM250" s="22"/>
      <c r="AN250" s="22"/>
      <c r="AO250" s="22"/>
      <c r="AP250" s="22"/>
      <c r="AQ250" s="22"/>
      <c r="AR250" s="22"/>
      <c r="AS250" s="22"/>
      <c r="AT250" s="22"/>
      <c r="AU250" s="22"/>
    </row>
    <row r="251" spans="2:57" x14ac:dyDescent="0.25">
      <c r="D251" s="1234"/>
      <c r="E251" s="1227"/>
      <c r="F251" s="1227"/>
      <c r="G251" s="1227"/>
      <c r="H251" s="1235"/>
      <c r="I251" s="1227"/>
      <c r="J251" s="1227"/>
      <c r="K251" s="1227"/>
      <c r="L251" s="1227"/>
      <c r="P251" s="1227"/>
      <c r="Q251" s="1227"/>
      <c r="R251" s="1227"/>
      <c r="S251" s="1227"/>
      <c r="T251" s="1227"/>
      <c r="U251" s="1227"/>
      <c r="V251"/>
      <c r="W251"/>
      <c r="X251"/>
      <c r="Y251"/>
      <c r="Z251"/>
      <c r="AA251"/>
      <c r="AB251"/>
      <c r="AC251"/>
      <c r="AD251"/>
      <c r="AE251"/>
      <c r="AF251"/>
      <c r="AG251"/>
      <c r="AH251"/>
      <c r="AI251"/>
      <c r="AJ251" s="38"/>
      <c r="AK251" s="38"/>
      <c r="AL251" s="38"/>
      <c r="AM251" s="38"/>
      <c r="AN251" s="38"/>
      <c r="AO251" s="38"/>
      <c r="AP251" s="38"/>
      <c r="AQ251" s="38"/>
      <c r="AR251" s="38"/>
      <c r="AS251" s="38"/>
      <c r="AT251" s="38"/>
      <c r="AU251" s="38"/>
    </row>
    <row r="252" spans="2:57" s="43" customFormat="1" ht="30" x14ac:dyDescent="0.25">
      <c r="B252" s="1236"/>
      <c r="C252" s="44" t="s">
        <v>16</v>
      </c>
      <c r="D252" s="44" t="s">
        <v>17</v>
      </c>
      <c r="E252" s="131" t="s">
        <v>18</v>
      </c>
      <c r="F252" s="131" t="s">
        <v>19</v>
      </c>
      <c r="G252" s="131" t="s">
        <v>20</v>
      </c>
      <c r="H252" s="46" t="s">
        <v>21</v>
      </c>
      <c r="I252" s="131" t="s">
        <v>22</v>
      </c>
      <c r="J252" s="131" t="s">
        <v>23</v>
      </c>
      <c r="K252" s="44" t="s">
        <v>24</v>
      </c>
      <c r="L252" s="44" t="s">
        <v>25</v>
      </c>
      <c r="M252" s="1222"/>
      <c r="N252" s="1222"/>
      <c r="O252" s="1222"/>
      <c r="P252" s="1139"/>
      <c r="Q252" s="1139"/>
      <c r="R252" s="1139"/>
      <c r="S252" s="1139"/>
      <c r="T252" s="1139"/>
      <c r="U252" s="1139"/>
      <c r="V252" s="48" t="s">
        <v>26</v>
      </c>
      <c r="W252" s="49">
        <v>43252</v>
      </c>
      <c r="X252" s="49">
        <v>43465</v>
      </c>
      <c r="Y252" s="49" t="s">
        <v>27</v>
      </c>
      <c r="Z252" s="49" t="s">
        <v>27</v>
      </c>
      <c r="AA252" s="49" t="s">
        <v>27</v>
      </c>
      <c r="AB252" s="49" t="s">
        <v>27</v>
      </c>
      <c r="AC252" s="49" t="s">
        <v>27</v>
      </c>
      <c r="AD252" s="49" t="s">
        <v>27</v>
      </c>
      <c r="AE252" s="49" t="s">
        <v>27</v>
      </c>
      <c r="AF252" s="49" t="s">
        <v>27</v>
      </c>
      <c r="AG252" s="49" t="s">
        <v>27</v>
      </c>
      <c r="AH252"/>
      <c r="AI252" s="48" t="s">
        <v>26</v>
      </c>
      <c r="AJ252" s="49">
        <v>43252</v>
      </c>
      <c r="AK252" s="49">
        <v>43465</v>
      </c>
      <c r="AL252" s="49" t="s">
        <v>27</v>
      </c>
      <c r="AM252" s="49" t="s">
        <v>27</v>
      </c>
      <c r="AN252" s="49" t="s">
        <v>27</v>
      </c>
      <c r="AO252" s="49" t="s">
        <v>27</v>
      </c>
      <c r="AP252" s="49" t="s">
        <v>27</v>
      </c>
      <c r="AQ252" s="49" t="s">
        <v>27</v>
      </c>
      <c r="AR252" s="49" t="s">
        <v>27</v>
      </c>
      <c r="AS252" s="49" t="s">
        <v>27</v>
      </c>
      <c r="AT252" s="24"/>
      <c r="AU252" s="48" t="s">
        <v>26</v>
      </c>
      <c r="AV252" s="49">
        <v>43252</v>
      </c>
      <c r="AW252" s="49">
        <v>43465</v>
      </c>
      <c r="AX252" s="49" t="s">
        <v>27</v>
      </c>
      <c r="AY252" s="49" t="s">
        <v>27</v>
      </c>
      <c r="AZ252" s="49" t="s">
        <v>27</v>
      </c>
      <c r="BA252" s="49" t="s">
        <v>27</v>
      </c>
      <c r="BB252" s="49" t="s">
        <v>27</v>
      </c>
      <c r="BC252" s="49" t="s">
        <v>27</v>
      </c>
      <c r="BD252" s="49" t="s">
        <v>27</v>
      </c>
      <c r="BE252" s="49" t="s">
        <v>27</v>
      </c>
    </row>
    <row r="253" spans="2:57" x14ac:dyDescent="0.25">
      <c r="C253" s="1277"/>
      <c r="D253" s="1329" t="s">
        <v>28</v>
      </c>
      <c r="E253" s="1268" t="s">
        <v>184</v>
      </c>
      <c r="F253" s="72">
        <f>(H265-I265)*J265*K265/1000</f>
        <v>709.49812499999996</v>
      </c>
      <c r="G253" s="1240" t="s">
        <v>167</v>
      </c>
      <c r="H253" s="1241">
        <f>VLOOKUP(G253,'CP FACTORS'!$A$26:$B$38,2,FALSE)</f>
        <v>1.998949E-4</v>
      </c>
      <c r="I253" s="1242">
        <f>H253*F253</f>
        <v>0.1418250567470625</v>
      </c>
      <c r="J253" s="1319">
        <v>12</v>
      </c>
      <c r="K253" s="1270">
        <v>1783</v>
      </c>
      <c r="L253" s="1244" t="s">
        <v>31</v>
      </c>
      <c r="V253" s="52" t="s">
        <v>19</v>
      </c>
      <c r="W253" s="59">
        <v>709.49812499999996</v>
      </c>
      <c r="X253" s="59">
        <v>709.49812499999996</v>
      </c>
      <c r="Y253" s="55"/>
      <c r="Z253" s="55"/>
      <c r="AA253" s="55"/>
      <c r="AB253" s="55"/>
      <c r="AC253" s="55"/>
      <c r="AD253" s="55"/>
      <c r="AE253" s="55"/>
      <c r="AF253" s="55"/>
      <c r="AG253" s="55"/>
      <c r="AH253" s="56"/>
      <c r="AI253" s="52" t="s">
        <v>23</v>
      </c>
      <c r="AJ253" s="57">
        <v>12</v>
      </c>
      <c r="AK253" s="57">
        <v>12</v>
      </c>
      <c r="AL253" s="55"/>
      <c r="AM253" s="55"/>
      <c r="AN253" s="55"/>
      <c r="AO253" s="55"/>
      <c r="AP253" s="55"/>
      <c r="AQ253" s="55"/>
      <c r="AR253" s="55"/>
      <c r="AS253" s="55"/>
      <c r="AT253" s="24"/>
      <c r="AU253" s="52" t="s">
        <v>24</v>
      </c>
      <c r="AV253" s="58">
        <v>1783</v>
      </c>
      <c r="AW253" s="58">
        <v>1783</v>
      </c>
      <c r="AX253" s="55"/>
      <c r="AY253" s="55"/>
      <c r="AZ253" s="55"/>
      <c r="BA253" s="55"/>
      <c r="BB253" s="55"/>
      <c r="BC253" s="55"/>
      <c r="BD253" s="55"/>
      <c r="BE253" s="55"/>
    </row>
    <row r="254" spans="2:57" x14ac:dyDescent="0.25">
      <c r="C254" s="1277"/>
      <c r="D254" s="1329" t="s">
        <v>28</v>
      </c>
      <c r="E254" s="1268" t="s">
        <v>185</v>
      </c>
      <c r="F254" s="72">
        <f>(H266-I266)*J266*K266/1000</f>
        <v>2772.2474999999999</v>
      </c>
      <c r="G254" s="1240" t="s">
        <v>167</v>
      </c>
      <c r="H254" s="1241">
        <f>VLOOKUP(G254,'CP FACTORS'!$A$26:$B$38,2,FALSE)</f>
        <v>1.998949E-4</v>
      </c>
      <c r="I254" s="1242">
        <f>H254*F254</f>
        <v>0.55415813678774994</v>
      </c>
      <c r="J254" s="1319">
        <v>12</v>
      </c>
      <c r="K254" s="1270">
        <v>1783</v>
      </c>
      <c r="L254" s="1244" t="s">
        <v>31</v>
      </c>
      <c r="V254" s="52" t="s">
        <v>19</v>
      </c>
      <c r="W254" s="59">
        <v>2772.2474999999999</v>
      </c>
      <c r="X254" s="59">
        <v>2772.2474999999999</v>
      </c>
      <c r="Y254" s="55"/>
      <c r="Z254" s="55"/>
      <c r="AA254" s="55"/>
      <c r="AB254" s="55"/>
      <c r="AC254" s="55"/>
      <c r="AD254" s="55"/>
      <c r="AE254" s="55"/>
      <c r="AF254" s="55"/>
      <c r="AG254" s="55"/>
      <c r="AH254" s="56"/>
      <c r="AI254" s="52" t="s">
        <v>23</v>
      </c>
      <c r="AJ254" s="57">
        <v>12</v>
      </c>
      <c r="AK254" s="57">
        <v>12</v>
      </c>
      <c r="AL254" s="55"/>
      <c r="AM254" s="55"/>
      <c r="AN254" s="55"/>
      <c r="AO254" s="55"/>
      <c r="AP254" s="55"/>
      <c r="AQ254" s="55"/>
      <c r="AR254" s="55"/>
      <c r="AS254" s="55"/>
      <c r="AT254" s="24"/>
      <c r="AU254" s="52" t="s">
        <v>24</v>
      </c>
      <c r="AV254" s="58">
        <v>1783</v>
      </c>
      <c r="AW254" s="58">
        <v>1783</v>
      </c>
      <c r="AX254" s="55"/>
      <c r="AY254" s="55"/>
      <c r="AZ254" s="55"/>
      <c r="BA254" s="55"/>
      <c r="BB254" s="55"/>
      <c r="BC254" s="55"/>
      <c r="BD254" s="55"/>
      <c r="BE254" s="55"/>
    </row>
    <row r="255" spans="2:57" x14ac:dyDescent="0.25">
      <c r="C255" s="1277"/>
      <c r="D255" s="1329" t="s">
        <v>28</v>
      </c>
      <c r="E255" s="1268" t="s">
        <v>186</v>
      </c>
      <c r="F255" s="72">
        <f>(H267-I267)*J267*K267/1000</f>
        <v>4438.3353749999997</v>
      </c>
      <c r="G255" s="1240" t="s">
        <v>167</v>
      </c>
      <c r="H255" s="1241">
        <f>VLOOKUP(G255,'CP FACTORS'!$A$26:$B$38,2,FALSE)</f>
        <v>1.998949E-4</v>
      </c>
      <c r="I255" s="1242">
        <f>H255*F255</f>
        <v>0.8872006059520875</v>
      </c>
      <c r="J255" s="1319">
        <v>12</v>
      </c>
      <c r="K255" s="1270">
        <v>1783</v>
      </c>
      <c r="L255" s="1244" t="s">
        <v>31</v>
      </c>
      <c r="V255" s="52" t="s">
        <v>19</v>
      </c>
      <c r="W255" s="59">
        <v>4438.3353749999997</v>
      </c>
      <c r="X255" s="59">
        <v>4438.3353749999997</v>
      </c>
      <c r="Y255" s="55"/>
      <c r="Z255" s="55"/>
      <c r="AA255" s="55"/>
      <c r="AB255" s="55"/>
      <c r="AC255" s="55"/>
      <c r="AD255" s="55"/>
      <c r="AE255" s="55"/>
      <c r="AF255" s="55"/>
      <c r="AG255" s="55"/>
      <c r="AH255" s="56"/>
      <c r="AI255" s="52" t="s">
        <v>23</v>
      </c>
      <c r="AJ255" s="57">
        <v>12</v>
      </c>
      <c r="AK255" s="57">
        <v>12</v>
      </c>
      <c r="AL255" s="55"/>
      <c r="AM255" s="55"/>
      <c r="AN255" s="55"/>
      <c r="AO255" s="55"/>
      <c r="AP255" s="55"/>
      <c r="AQ255" s="55"/>
      <c r="AR255" s="55"/>
      <c r="AS255" s="55"/>
      <c r="AT255" s="24"/>
      <c r="AU255" s="52" t="s">
        <v>24</v>
      </c>
      <c r="AV255" s="58">
        <v>1783</v>
      </c>
      <c r="AW255" s="58">
        <v>1783</v>
      </c>
      <c r="AX255" s="55"/>
      <c r="AY255" s="55"/>
      <c r="AZ255" s="55"/>
      <c r="BA255" s="55"/>
      <c r="BB255" s="55"/>
      <c r="BC255" s="55"/>
      <c r="BD255" s="55"/>
      <c r="BE255" s="55"/>
    </row>
    <row r="256" spans="2:57" outlineLevel="1" x14ac:dyDescent="0.25">
      <c r="E256" s="1227"/>
      <c r="F256" s="1227"/>
      <c r="G256" s="1227"/>
      <c r="H256" s="1251"/>
      <c r="I256" s="1227"/>
      <c r="J256" s="1227"/>
      <c r="K256" s="1227"/>
    </row>
    <row r="257" spans="2:81" outlineLevel="1" x14ac:dyDescent="0.25">
      <c r="D257" s="1227" t="s">
        <v>52</v>
      </c>
      <c r="E257" s="1227"/>
      <c r="F257" s="1227"/>
      <c r="G257" s="1227"/>
      <c r="H257" s="1251"/>
      <c r="I257" s="1227"/>
      <c r="J257" s="1227"/>
      <c r="K257" s="1227"/>
    </row>
    <row r="258" spans="2:81" outlineLevel="1" x14ac:dyDescent="0.25">
      <c r="D258" s="1252"/>
      <c r="G258" s="1285"/>
      <c r="H258" s="1286"/>
    </row>
    <row r="259" spans="2:81" outlineLevel="1" x14ac:dyDescent="0.25">
      <c r="D259" s="175"/>
      <c r="G259" s="1285"/>
      <c r="H259" s="1286"/>
    </row>
    <row r="260" spans="2:81" outlineLevel="1" x14ac:dyDescent="0.25">
      <c r="D260" s="1252"/>
      <c r="G260" s="1222"/>
      <c r="H260" s="1253"/>
      <c r="M260" s="1227"/>
    </row>
    <row r="261" spans="2:81" outlineLevel="1" x14ac:dyDescent="0.25">
      <c r="D261" s="1252"/>
      <c r="G261" s="1222"/>
      <c r="H261" s="1253"/>
      <c r="M261" s="1227"/>
    </row>
    <row r="262" spans="2:81" outlineLevel="1" x14ac:dyDescent="0.25">
      <c r="D262" s="1252"/>
      <c r="G262" s="1222"/>
      <c r="H262" s="1253"/>
      <c r="M262" s="1227"/>
    </row>
    <row r="263" spans="2:81" outlineLevel="1" x14ac:dyDescent="0.25">
      <c r="D263" s="1252"/>
      <c r="G263" s="1222"/>
      <c r="H263" s="1253"/>
    </row>
    <row r="264" spans="2:81" s="61" customFormat="1" ht="30" outlineLevel="1" x14ac:dyDescent="0.25">
      <c r="B264" s="1258"/>
      <c r="C264" s="1258"/>
      <c r="D264" s="91" t="s">
        <v>16</v>
      </c>
      <c r="E264" s="91" t="s">
        <v>89</v>
      </c>
      <c r="F264" s="91" t="s">
        <v>90</v>
      </c>
      <c r="G264" s="91" t="s">
        <v>91</v>
      </c>
      <c r="H264" s="94" t="s">
        <v>187</v>
      </c>
      <c r="I264" s="98" t="s">
        <v>188</v>
      </c>
      <c r="J264" s="98" t="s">
        <v>65</v>
      </c>
      <c r="K264" s="98" t="s">
        <v>173</v>
      </c>
      <c r="L264" s="175"/>
      <c r="M264" s="1258"/>
      <c r="N264" s="1258"/>
      <c r="O264" s="1258"/>
      <c r="P264" s="1258"/>
      <c r="Q264" s="1258"/>
      <c r="R264" s="1258"/>
      <c r="S264" s="1258"/>
      <c r="T264" s="1258"/>
      <c r="U264" s="1258"/>
    </row>
    <row r="265" spans="2:81" outlineLevel="1" x14ac:dyDescent="0.25">
      <c r="D265" s="1259"/>
      <c r="E265" s="1259" t="str">
        <f>E253</f>
        <v>ENERGY STAR Hot Holding Cabinet (0 &lt; V &lt;13)</v>
      </c>
      <c r="F265" s="1296" t="s">
        <v>189</v>
      </c>
      <c r="G265" s="1297">
        <v>7</v>
      </c>
      <c r="H265" s="1330">
        <f>40*G265</f>
        <v>280</v>
      </c>
      <c r="I265" s="1331">
        <f>21.5*G265</f>
        <v>150.5</v>
      </c>
      <c r="J265" s="1332">
        <v>15</v>
      </c>
      <c r="K265" s="1270">
        <v>365.25</v>
      </c>
      <c r="L265" s="1222" t="s">
        <v>190</v>
      </c>
    </row>
    <row r="266" spans="2:81" outlineLevel="1" x14ac:dyDescent="0.25">
      <c r="D266" s="1259"/>
      <c r="E266" s="1259" t="str">
        <f>E254</f>
        <v>ENERGY STAR Hot Holding Cabinet (13 ≤ V &lt;28)</v>
      </c>
      <c r="F266" s="1296" t="s">
        <v>1859</v>
      </c>
      <c r="G266" s="1297">
        <v>20</v>
      </c>
      <c r="H266" s="1330">
        <f>40*G266</f>
        <v>800</v>
      </c>
      <c r="I266" s="1331">
        <f>(2*G266)+254</f>
        <v>294</v>
      </c>
      <c r="J266" s="1332">
        <v>15</v>
      </c>
      <c r="K266" s="1270">
        <v>365.25</v>
      </c>
    </row>
    <row r="267" spans="2:81" outlineLevel="1" x14ac:dyDescent="0.25">
      <c r="D267" s="1259"/>
      <c r="E267" s="1259" t="str">
        <f>E255</f>
        <v>ENERGY STAR Hot Holding Cabinet (28 ≤ V)</v>
      </c>
      <c r="F267" s="1296" t="s">
        <v>191</v>
      </c>
      <c r="G267" s="1297">
        <v>28</v>
      </c>
      <c r="H267" s="1330">
        <f>40*G267</f>
        <v>1120</v>
      </c>
      <c r="I267" s="1331">
        <f>(3.8*G267)+203.5</f>
        <v>309.89999999999998</v>
      </c>
      <c r="J267" s="1332">
        <v>15</v>
      </c>
      <c r="K267" s="1270">
        <v>365.25</v>
      </c>
    </row>
    <row r="270" spans="2:81" s="39" customFormat="1" x14ac:dyDescent="0.25">
      <c r="B270" s="1989" t="s">
        <v>192</v>
      </c>
      <c r="C270" s="1990"/>
      <c r="D270" s="1990"/>
      <c r="E270" s="1990"/>
      <c r="F270" s="1990"/>
      <c r="G270" s="1990"/>
      <c r="H270" s="1990"/>
      <c r="I270" s="1991"/>
      <c r="J270" s="1991"/>
      <c r="K270" s="1991"/>
      <c r="L270" s="1991"/>
      <c r="M270" s="1992"/>
      <c r="N270" s="1992"/>
      <c r="O270" s="1993"/>
      <c r="V270" s="40" t="str">
        <f>B270</f>
        <v>HVAC</v>
      </c>
      <c r="W270" s="41"/>
      <c r="X270" s="41"/>
      <c r="Y270" s="41"/>
      <c r="Z270" s="41"/>
      <c r="AA270" s="41"/>
      <c r="AB270" s="41"/>
      <c r="AC270" s="41"/>
      <c r="AD270" s="41"/>
      <c r="AE270" s="41"/>
      <c r="AF270" s="41"/>
      <c r="AG270" s="41"/>
      <c r="AH270" s="41"/>
      <c r="AI270" s="42"/>
      <c r="AJ270" s="22"/>
      <c r="AK270" s="22"/>
      <c r="AL270" s="22"/>
      <c r="AM270" s="22"/>
      <c r="AN270" s="22"/>
      <c r="AO270" s="22"/>
      <c r="AP270" s="22"/>
      <c r="AQ270" s="22"/>
      <c r="AR270" s="22"/>
      <c r="AS270" s="22"/>
      <c r="AT270" s="22"/>
      <c r="AU270" s="22"/>
    </row>
    <row r="271" spans="2:81" x14ac:dyDescent="0.25">
      <c r="D271" s="1234"/>
      <c r="E271" s="1227"/>
      <c r="F271" s="1227"/>
      <c r="G271" s="1227"/>
      <c r="H271" s="1235"/>
      <c r="I271" s="1227"/>
      <c r="J271" s="1227"/>
      <c r="K271" s="1227"/>
      <c r="L271" s="1227"/>
      <c r="P271" s="1227"/>
      <c r="Q271" s="1227"/>
      <c r="R271" s="1227"/>
      <c r="S271" s="1227"/>
      <c r="T271" s="1227"/>
      <c r="U271" s="1227"/>
      <c r="V271"/>
      <c r="W271"/>
      <c r="X271"/>
      <c r="Y271"/>
      <c r="Z271"/>
      <c r="AA271"/>
      <c r="AB271"/>
      <c r="AC271"/>
      <c r="AD271"/>
      <c r="AE271"/>
      <c r="AF271"/>
      <c r="AG271"/>
      <c r="AH271"/>
      <c r="AI271"/>
      <c r="AJ271" s="38"/>
      <c r="AK271" s="38"/>
      <c r="AL271" s="38"/>
      <c r="AM271" s="38"/>
      <c r="AN271" s="38"/>
      <c r="AO271" s="38"/>
      <c r="AP271" s="38"/>
      <c r="AQ271" s="38"/>
      <c r="AR271" s="38"/>
      <c r="AS271" s="38"/>
      <c r="AT271" s="38"/>
      <c r="AU271" s="38"/>
    </row>
    <row r="272" spans="2:81" s="43" customFormat="1" ht="45" x14ac:dyDescent="0.25">
      <c r="B272" s="1236"/>
      <c r="C272" s="44" t="s">
        <v>16</v>
      </c>
      <c r="D272" s="44" t="s">
        <v>17</v>
      </c>
      <c r="E272" s="131" t="s">
        <v>18</v>
      </c>
      <c r="F272" s="131" t="s">
        <v>193</v>
      </c>
      <c r="G272" s="131" t="s">
        <v>194</v>
      </c>
      <c r="H272" s="131" t="s">
        <v>195</v>
      </c>
      <c r="I272" s="131" t="s">
        <v>20</v>
      </c>
      <c r="J272" s="131" t="s">
        <v>20</v>
      </c>
      <c r="K272" s="46" t="s">
        <v>21</v>
      </c>
      <c r="L272" s="131" t="s">
        <v>22</v>
      </c>
      <c r="M272" s="131" t="s">
        <v>23</v>
      </c>
      <c r="N272" s="44" t="s">
        <v>24</v>
      </c>
      <c r="O272" s="44" t="s">
        <v>25</v>
      </c>
      <c r="P272" s="1333"/>
      <c r="Q272" s="1334"/>
      <c r="R272" s="1139"/>
      <c r="S272" s="1139"/>
      <c r="T272" s="1139"/>
      <c r="U272" s="1139"/>
      <c r="V272" s="48" t="s">
        <v>26</v>
      </c>
      <c r="W272" s="49">
        <v>43252</v>
      </c>
      <c r="X272" s="49">
        <v>43465</v>
      </c>
      <c r="Y272" s="49" t="s">
        <v>27</v>
      </c>
      <c r="Z272" s="49" t="s">
        <v>27</v>
      </c>
      <c r="AA272" s="49" t="s">
        <v>27</v>
      </c>
      <c r="AB272" s="49" t="s">
        <v>27</v>
      </c>
      <c r="AC272" s="49" t="s">
        <v>27</v>
      </c>
      <c r="AD272" s="49" t="s">
        <v>27</v>
      </c>
      <c r="AE272" s="49" t="s">
        <v>27</v>
      </c>
      <c r="AF272" s="49" t="s">
        <v>27</v>
      </c>
      <c r="AG272" s="49" t="s">
        <v>27</v>
      </c>
      <c r="AH272"/>
      <c r="AI272" s="48" t="s">
        <v>26</v>
      </c>
      <c r="AJ272" s="49">
        <v>43252</v>
      </c>
      <c r="AK272" s="49">
        <v>43465</v>
      </c>
      <c r="AL272" s="49" t="s">
        <v>27</v>
      </c>
      <c r="AM272" s="49" t="s">
        <v>27</v>
      </c>
      <c r="AN272" s="49" t="s">
        <v>27</v>
      </c>
      <c r="AO272" s="49" t="s">
        <v>27</v>
      </c>
      <c r="AP272" s="49" t="s">
        <v>27</v>
      </c>
      <c r="AQ272" s="49" t="s">
        <v>27</v>
      </c>
      <c r="AR272" s="49" t="s">
        <v>27</v>
      </c>
      <c r="AS272" s="49" t="s">
        <v>27</v>
      </c>
      <c r="AT272"/>
      <c r="AU272" s="48" t="s">
        <v>26</v>
      </c>
      <c r="AV272" s="49">
        <v>43252</v>
      </c>
      <c r="AW272" s="49">
        <v>43465</v>
      </c>
      <c r="AX272" s="49" t="s">
        <v>27</v>
      </c>
      <c r="AY272" s="49" t="s">
        <v>27</v>
      </c>
      <c r="AZ272" s="49" t="s">
        <v>27</v>
      </c>
      <c r="BA272" s="49" t="s">
        <v>27</v>
      </c>
      <c r="BB272" s="49" t="s">
        <v>27</v>
      </c>
      <c r="BC272" s="49" t="s">
        <v>27</v>
      </c>
      <c r="BD272" s="49" t="s">
        <v>27</v>
      </c>
      <c r="BE272" s="49" t="s">
        <v>27</v>
      </c>
      <c r="BF272"/>
      <c r="BG272" s="48" t="s">
        <v>26</v>
      </c>
      <c r="BH272" s="49">
        <v>43252</v>
      </c>
      <c r="BI272" s="49">
        <v>43465</v>
      </c>
      <c r="BJ272" s="49" t="s">
        <v>27</v>
      </c>
      <c r="BK272" s="49" t="s">
        <v>27</v>
      </c>
      <c r="BL272" s="49" t="s">
        <v>27</v>
      </c>
      <c r="BM272" s="49" t="s">
        <v>27</v>
      </c>
      <c r="BN272" s="49" t="s">
        <v>27</v>
      </c>
      <c r="BO272" s="49" t="s">
        <v>27</v>
      </c>
      <c r="BP272" s="49" t="s">
        <v>27</v>
      </c>
      <c r="BQ272" s="49" t="s">
        <v>27</v>
      </c>
      <c r="BR272" s="24"/>
      <c r="BS272" s="48" t="s">
        <v>26</v>
      </c>
      <c r="BT272" s="49">
        <v>43252</v>
      </c>
      <c r="BU272" s="49">
        <v>43465</v>
      </c>
      <c r="BV272" s="49" t="s">
        <v>27</v>
      </c>
      <c r="BW272" s="49" t="s">
        <v>27</v>
      </c>
      <c r="BX272" s="49" t="s">
        <v>27</v>
      </c>
      <c r="BY272" s="49" t="s">
        <v>27</v>
      </c>
      <c r="BZ272" s="49" t="s">
        <v>27</v>
      </c>
      <c r="CA272" s="49" t="s">
        <v>27</v>
      </c>
      <c r="CB272" s="49" t="s">
        <v>27</v>
      </c>
      <c r="CC272" s="49" t="s">
        <v>27</v>
      </c>
    </row>
    <row r="273" spans="2:81" x14ac:dyDescent="0.25">
      <c r="C273" s="1277"/>
      <c r="D273" s="1329" t="s">
        <v>28</v>
      </c>
      <c r="E273" s="1335" t="s">
        <v>196</v>
      </c>
      <c r="F273" s="72">
        <f>(1/F283)*G283*(H283/1000)*I283</f>
        <v>205.33500000000004</v>
      </c>
      <c r="G273" s="72">
        <f>J283*(L283/(K283*3412))*M283</f>
        <v>233.00117233294256</v>
      </c>
      <c r="H273" s="72">
        <f>SUM(F273:G273)</f>
        <v>438.33617233294262</v>
      </c>
      <c r="I273" s="1240" t="s">
        <v>197</v>
      </c>
      <c r="J273" s="1240" t="s">
        <v>198</v>
      </c>
      <c r="K273" s="1241">
        <v>9.1068395835808389E-4</v>
      </c>
      <c r="L273" s="1242">
        <f>K273*F273</f>
        <v>0.18699529058945719</v>
      </c>
      <c r="M273" s="1319">
        <v>10</v>
      </c>
      <c r="N273" s="1294">
        <v>224</v>
      </c>
      <c r="O273" s="1244" t="s">
        <v>31</v>
      </c>
      <c r="V273" s="52" t="str">
        <f>F272</f>
        <v>Cooling kWh Annual Savings (per Ton)</v>
      </c>
      <c r="W273" s="59">
        <v>205.33500000000004</v>
      </c>
      <c r="X273" s="59">
        <v>205.33500000000004</v>
      </c>
      <c r="Y273" s="55"/>
      <c r="Z273" s="55"/>
      <c r="AA273" s="55"/>
      <c r="AB273" s="55"/>
      <c r="AC273" s="55"/>
      <c r="AD273" s="55"/>
      <c r="AE273" s="55"/>
      <c r="AF273" s="55"/>
      <c r="AG273" s="55"/>
      <c r="AH273" s="56"/>
      <c r="AI273" s="52" t="str">
        <f>G272</f>
        <v>Heating kWh Annual Savings (per ton)</v>
      </c>
      <c r="AJ273" s="59">
        <v>233.00117233294256</v>
      </c>
      <c r="AK273" s="59">
        <v>233.00117233294256</v>
      </c>
      <c r="AL273" s="55"/>
      <c r="AM273" s="55"/>
      <c r="AN273" s="55"/>
      <c r="AO273" s="55"/>
      <c r="AP273" s="55"/>
      <c r="AQ273" s="55"/>
      <c r="AR273" s="55"/>
      <c r="AS273" s="55"/>
      <c r="AT273" s="56"/>
      <c r="AU273" s="52" t="str">
        <f>H272</f>
        <v>Total kWh Annual Savings</v>
      </c>
      <c r="AV273" s="59">
        <v>438.33617233294262</v>
      </c>
      <c r="AW273" s="59">
        <v>438.33617233294262</v>
      </c>
      <c r="AX273" s="55"/>
      <c r="AY273" s="55"/>
      <c r="AZ273" s="55"/>
      <c r="BA273" s="55"/>
      <c r="BB273" s="55"/>
      <c r="BC273" s="55"/>
      <c r="BD273" s="55"/>
      <c r="BE273" s="55"/>
      <c r="BF273" s="56"/>
      <c r="BG273" s="52" t="s">
        <v>23</v>
      </c>
      <c r="BH273" s="57">
        <v>10</v>
      </c>
      <c r="BI273" s="57">
        <v>10</v>
      </c>
      <c r="BJ273" s="55"/>
      <c r="BK273" s="55"/>
      <c r="BL273" s="55"/>
      <c r="BM273" s="55"/>
      <c r="BN273" s="55"/>
      <c r="BO273" s="55"/>
      <c r="BP273" s="55"/>
      <c r="BQ273" s="55"/>
      <c r="BR273" s="24"/>
      <c r="BS273" s="52" t="str">
        <f>N272</f>
        <v>Inc. Cost</v>
      </c>
      <c r="BT273" s="58">
        <v>224</v>
      </c>
      <c r="BU273" s="58">
        <v>224</v>
      </c>
      <c r="BV273" s="55"/>
      <c r="BW273" s="55"/>
      <c r="BX273" s="55"/>
      <c r="BY273" s="55"/>
      <c r="BZ273" s="55"/>
      <c r="CA273" s="55"/>
      <c r="CB273" s="55"/>
      <c r="CC273" s="55"/>
    </row>
    <row r="274" spans="2:81" outlineLevel="1" x14ac:dyDescent="0.25">
      <c r="E274" s="1227"/>
      <c r="F274" s="1227"/>
      <c r="G274" s="1227"/>
      <c r="H274" s="1251"/>
      <c r="I274" s="1227"/>
      <c r="J274" s="1227"/>
      <c r="K274" s="1227"/>
      <c r="V274" s="52" t="s">
        <v>19</v>
      </c>
      <c r="W274" s="59"/>
      <c r="X274" s="59"/>
      <c r="Y274" s="55"/>
      <c r="Z274" s="55"/>
      <c r="AA274" s="55"/>
      <c r="AB274" s="55"/>
      <c r="AC274" s="55"/>
      <c r="AD274" s="55"/>
      <c r="AE274" s="55"/>
      <c r="AF274" s="55"/>
      <c r="AG274" s="55"/>
      <c r="AH274" s="56"/>
      <c r="AI274" s="52" t="s">
        <v>23</v>
      </c>
      <c r="AJ274" s="57"/>
      <c r="AK274" s="57"/>
      <c r="AL274" s="55"/>
      <c r="AM274" s="55"/>
      <c r="AN274" s="55"/>
      <c r="AO274" s="55"/>
      <c r="AP274" s="55"/>
      <c r="AQ274" s="55"/>
      <c r="AR274" s="55"/>
      <c r="AS274" s="55"/>
      <c r="AT274" s="24"/>
      <c r="AU274" s="52" t="s">
        <v>24</v>
      </c>
      <c r="AV274" s="58"/>
      <c r="AW274" s="58"/>
      <c r="AX274" s="55"/>
      <c r="AY274" s="55"/>
      <c r="AZ274" s="55"/>
      <c r="BA274" s="55"/>
      <c r="BB274" s="55"/>
      <c r="BC274" s="55"/>
      <c r="BD274" s="55"/>
      <c r="BE274" s="55"/>
    </row>
    <row r="275" spans="2:81" outlineLevel="1" x14ac:dyDescent="0.25">
      <c r="D275" s="1227" t="s">
        <v>52</v>
      </c>
      <c r="E275" s="1227"/>
      <c r="F275" s="1227"/>
      <c r="G275" s="1227"/>
      <c r="H275" s="1251"/>
      <c r="I275" s="1227"/>
      <c r="J275" s="1227"/>
      <c r="K275" s="1227"/>
    </row>
    <row r="276" spans="2:81" outlineLevel="1" x14ac:dyDescent="0.25">
      <c r="D276" s="1252"/>
      <c r="G276" s="1285"/>
      <c r="H276" s="1286"/>
    </row>
    <row r="277" spans="2:81" outlineLevel="1" x14ac:dyDescent="0.25">
      <c r="D277" s="1320"/>
      <c r="E277" s="1223"/>
      <c r="G277" s="1285"/>
      <c r="H277" s="1286"/>
    </row>
    <row r="278" spans="2:81" outlineLevel="1" x14ac:dyDescent="0.25">
      <c r="D278" s="1320"/>
      <c r="E278" s="1223"/>
      <c r="G278" s="1222"/>
      <c r="H278" s="1253"/>
      <c r="M278" s="1227"/>
    </row>
    <row r="279" spans="2:81" outlineLevel="1" x14ac:dyDescent="0.25">
      <c r="D279" s="1252"/>
      <c r="G279" s="1222"/>
      <c r="H279" s="1253"/>
      <c r="M279" s="1227"/>
    </row>
    <row r="280" spans="2:81" outlineLevel="1" x14ac:dyDescent="0.25">
      <c r="D280" s="1252"/>
      <c r="G280" s="1222"/>
      <c r="H280" s="1253"/>
      <c r="M280" s="1227"/>
    </row>
    <row r="281" spans="2:81" outlineLevel="1" x14ac:dyDescent="0.25">
      <c r="D281" s="1252"/>
      <c r="G281" s="1222"/>
      <c r="H281" s="1253"/>
    </row>
    <row r="282" spans="2:81" s="61" customFormat="1" ht="30" outlineLevel="1" x14ac:dyDescent="0.2">
      <c r="B282" s="1258"/>
      <c r="C282" s="1258"/>
      <c r="D282" s="91" t="s">
        <v>16</v>
      </c>
      <c r="E282" s="91" t="s">
        <v>89</v>
      </c>
      <c r="F282" s="101" t="s">
        <v>199</v>
      </c>
      <c r="G282" s="91" t="s">
        <v>200</v>
      </c>
      <c r="H282" s="91" t="s">
        <v>201</v>
      </c>
      <c r="I282" s="91" t="s">
        <v>202</v>
      </c>
      <c r="J282" s="101" t="s">
        <v>203</v>
      </c>
      <c r="K282" s="101" t="s">
        <v>204</v>
      </c>
      <c r="L282" s="91" t="s">
        <v>205</v>
      </c>
      <c r="M282" s="91" t="s">
        <v>206</v>
      </c>
      <c r="N282" s="1258"/>
      <c r="O282" s="1258"/>
      <c r="P282" s="1258"/>
      <c r="Q282" s="1258"/>
      <c r="R282" s="1258"/>
      <c r="S282" s="1258"/>
      <c r="T282" s="1258"/>
      <c r="U282" s="1258"/>
    </row>
    <row r="283" spans="2:81" outlineLevel="1" x14ac:dyDescent="0.2">
      <c r="D283" s="1259"/>
      <c r="E283" s="1259" t="str">
        <f>E273</f>
        <v>Learning Thermostat</v>
      </c>
      <c r="F283" s="1336">
        <v>10</v>
      </c>
      <c r="G283" s="1322">
        <v>1053</v>
      </c>
      <c r="H283" s="1337">
        <v>12000</v>
      </c>
      <c r="I283" s="1338">
        <v>0.16250000000000001</v>
      </c>
      <c r="J283" s="1322">
        <v>1060</v>
      </c>
      <c r="K283" s="1318">
        <v>2</v>
      </c>
      <c r="L283" s="1337">
        <v>12000</v>
      </c>
      <c r="M283" s="1338">
        <v>0.125</v>
      </c>
    </row>
    <row r="286" spans="2:81" s="43" customFormat="1" ht="30" x14ac:dyDescent="0.25">
      <c r="B286" s="1236"/>
      <c r="C286" s="44" t="s">
        <v>16</v>
      </c>
      <c r="D286" s="44" t="s">
        <v>17</v>
      </c>
      <c r="E286" s="131" t="s">
        <v>18</v>
      </c>
      <c r="F286" s="131" t="s">
        <v>158</v>
      </c>
      <c r="G286" s="131" t="s">
        <v>20</v>
      </c>
      <c r="H286" s="131" t="s">
        <v>21</v>
      </c>
      <c r="I286" s="131" t="s">
        <v>22</v>
      </c>
      <c r="J286" s="131" t="s">
        <v>23</v>
      </c>
      <c r="K286" s="131" t="s">
        <v>207</v>
      </c>
      <c r="L286" s="44" t="s">
        <v>25</v>
      </c>
      <c r="M286" s="1222"/>
      <c r="N286" s="1222"/>
      <c r="O286" s="1222"/>
      <c r="P286" s="1139"/>
      <c r="Q286" s="1139"/>
      <c r="R286" s="1139"/>
      <c r="S286" s="1139"/>
      <c r="T286" s="1139"/>
      <c r="U286" s="1139"/>
      <c r="V286" s="48" t="s">
        <v>26</v>
      </c>
      <c r="W286" s="49">
        <v>43252</v>
      </c>
      <c r="X286" s="49">
        <v>43465</v>
      </c>
      <c r="Y286" s="49" t="s">
        <v>27</v>
      </c>
      <c r="Z286" s="49" t="s">
        <v>27</v>
      </c>
      <c r="AA286" s="49" t="s">
        <v>27</v>
      </c>
      <c r="AB286" s="49" t="s">
        <v>27</v>
      </c>
      <c r="AC286" s="49" t="s">
        <v>27</v>
      </c>
      <c r="AD286" s="49" t="s">
        <v>27</v>
      </c>
      <c r="AE286" s="49" t="s">
        <v>27</v>
      </c>
      <c r="AF286" s="49" t="s">
        <v>27</v>
      </c>
      <c r="AG286" s="49" t="s">
        <v>27</v>
      </c>
      <c r="AH286"/>
      <c r="AI286" s="48" t="s">
        <v>26</v>
      </c>
      <c r="AJ286" s="49">
        <v>43252</v>
      </c>
      <c r="AK286" s="49">
        <v>43465</v>
      </c>
      <c r="AL286" s="49" t="s">
        <v>27</v>
      </c>
      <c r="AM286" s="49" t="s">
        <v>27</v>
      </c>
      <c r="AN286" s="49" t="s">
        <v>27</v>
      </c>
      <c r="AO286" s="49" t="s">
        <v>27</v>
      </c>
      <c r="AP286" s="49" t="s">
        <v>27</v>
      </c>
      <c r="AQ286" s="49" t="s">
        <v>27</v>
      </c>
      <c r="AR286" s="49" t="s">
        <v>27</v>
      </c>
      <c r="AS286" s="49" t="s">
        <v>27</v>
      </c>
      <c r="AT286" s="24"/>
      <c r="AU286" s="48" t="s">
        <v>26</v>
      </c>
      <c r="AV286" s="49">
        <v>43252</v>
      </c>
      <c r="AW286" s="49">
        <v>43465</v>
      </c>
      <c r="AX286" s="49" t="s">
        <v>27</v>
      </c>
      <c r="AY286" s="49" t="s">
        <v>27</v>
      </c>
      <c r="AZ286" s="49" t="s">
        <v>27</v>
      </c>
      <c r="BA286" s="49" t="s">
        <v>27</v>
      </c>
      <c r="BB286" s="49" t="s">
        <v>27</v>
      </c>
      <c r="BC286" s="49" t="s">
        <v>27</v>
      </c>
      <c r="BD286" s="49" t="s">
        <v>27</v>
      </c>
      <c r="BE286" s="49" t="s">
        <v>27</v>
      </c>
    </row>
    <row r="287" spans="2:81" x14ac:dyDescent="0.25">
      <c r="C287" s="1277"/>
      <c r="D287" s="1329" t="s">
        <v>28</v>
      </c>
      <c r="E287" s="1339" t="s">
        <v>208</v>
      </c>
      <c r="F287" s="72">
        <f>(F298/G298)*H298*I298</f>
        <v>1289.6420430107526</v>
      </c>
      <c r="G287" s="1240" t="s">
        <v>197</v>
      </c>
      <c r="H287" s="1241">
        <f>VLOOKUP(G287,'CP FACTORS'!$A$26:$B$38,2,FALSE)</f>
        <v>9.1068400000000004E-4</v>
      </c>
      <c r="I287" s="1242">
        <f>H287*F287</f>
        <v>1.1744563742972043</v>
      </c>
      <c r="J287" s="1319">
        <v>15</v>
      </c>
      <c r="K287" s="1270">
        <v>179</v>
      </c>
      <c r="L287" s="1340" t="s">
        <v>209</v>
      </c>
      <c r="V287" s="52" t="str">
        <f>F286</f>
        <v>kWh Annual Savings (per HP)</v>
      </c>
      <c r="W287" s="59">
        <v>1289.6420430107526</v>
      </c>
      <c r="X287" s="59">
        <v>1289.6420430107526</v>
      </c>
      <c r="Y287" s="55"/>
      <c r="Z287" s="55"/>
      <c r="AA287" s="55"/>
      <c r="AB287" s="55"/>
      <c r="AC287" s="55"/>
      <c r="AD287" s="55"/>
      <c r="AE287" s="55"/>
      <c r="AF287" s="55"/>
      <c r="AG287" s="55"/>
      <c r="AH287" s="56"/>
      <c r="AI287" s="52" t="s">
        <v>23</v>
      </c>
      <c r="AJ287" s="57">
        <v>15</v>
      </c>
      <c r="AK287" s="57">
        <v>15</v>
      </c>
      <c r="AL287" s="55"/>
      <c r="AM287" s="55"/>
      <c r="AN287" s="55"/>
      <c r="AO287" s="55"/>
      <c r="AP287" s="55"/>
      <c r="AQ287" s="55"/>
      <c r="AR287" s="55"/>
      <c r="AS287" s="55"/>
      <c r="AT287" s="24"/>
      <c r="AU287" s="52" t="str">
        <f>K286</f>
        <v>Inc. Cost (per HP)</v>
      </c>
      <c r="AV287" s="84">
        <v>179</v>
      </c>
      <c r="AW287" s="84">
        <v>179</v>
      </c>
      <c r="AX287" s="55"/>
      <c r="AY287" s="55"/>
      <c r="AZ287" s="55"/>
      <c r="BA287" s="55"/>
      <c r="BB287" s="55"/>
      <c r="BC287" s="55"/>
      <c r="BD287" s="55"/>
      <c r="BE287" s="55"/>
    </row>
    <row r="288" spans="2:81" x14ac:dyDescent="0.25">
      <c r="C288" s="1277"/>
      <c r="D288" s="1329" t="s">
        <v>28</v>
      </c>
      <c r="E288" s="1339" t="s">
        <v>210</v>
      </c>
      <c r="F288" s="72">
        <f>(F299/G299)*H299*I299</f>
        <v>1696.5749462365593</v>
      </c>
      <c r="G288" s="1240" t="s">
        <v>211</v>
      </c>
      <c r="H288" s="1241">
        <f>VLOOKUP(G288,'CP FACTORS'!$A$26:$B$38,2,FALSE)</f>
        <v>4.4398300000000001E-4</v>
      </c>
      <c r="I288" s="1242">
        <f>H288*F288</f>
        <v>0.75325043435494632</v>
      </c>
      <c r="J288" s="1319">
        <v>15</v>
      </c>
      <c r="K288" s="1270">
        <f>K287</f>
        <v>179</v>
      </c>
      <c r="L288" s="1340" t="s">
        <v>209</v>
      </c>
      <c r="V288" s="52" t="str">
        <f>V287</f>
        <v>kWh Annual Savings (per HP)</v>
      </c>
      <c r="W288" s="59">
        <v>1696.5749462365593</v>
      </c>
      <c r="X288" s="59">
        <v>1696.5749462365593</v>
      </c>
      <c r="Y288" s="55"/>
      <c r="Z288" s="55"/>
      <c r="AA288" s="55"/>
      <c r="AB288" s="55"/>
      <c r="AC288" s="55"/>
      <c r="AD288" s="55"/>
      <c r="AE288" s="55"/>
      <c r="AF288" s="55"/>
      <c r="AG288" s="55"/>
      <c r="AH288" s="56"/>
      <c r="AI288" s="52" t="s">
        <v>23</v>
      </c>
      <c r="AJ288" s="57">
        <v>15</v>
      </c>
      <c r="AK288" s="57">
        <v>15</v>
      </c>
      <c r="AL288" s="55"/>
      <c r="AM288" s="55"/>
      <c r="AN288" s="55"/>
      <c r="AO288" s="55"/>
      <c r="AP288" s="55"/>
      <c r="AQ288" s="55"/>
      <c r="AR288" s="55"/>
      <c r="AS288" s="55"/>
      <c r="AT288" s="24"/>
      <c r="AU288" s="52" t="str">
        <f>AU287</f>
        <v>Inc. Cost (per HP)</v>
      </c>
      <c r="AV288" s="84">
        <f t="shared" ref="AV288:AW288" si="15">AV287</f>
        <v>179</v>
      </c>
      <c r="AW288" s="84">
        <f t="shared" si="15"/>
        <v>179</v>
      </c>
      <c r="AX288" s="55"/>
      <c r="AY288" s="55"/>
      <c r="AZ288" s="55"/>
      <c r="BA288" s="55"/>
      <c r="BB288" s="55"/>
      <c r="BC288" s="55"/>
      <c r="BD288" s="55"/>
      <c r="BE288" s="55"/>
    </row>
    <row r="289" spans="2:57" outlineLevel="1" x14ac:dyDescent="0.25">
      <c r="E289" s="1227"/>
      <c r="F289" s="1227"/>
      <c r="G289" s="1227"/>
      <c r="H289" s="1251"/>
      <c r="I289" s="1227"/>
      <c r="J289" s="1227"/>
      <c r="K289" s="1227"/>
      <c r="L289" s="1227"/>
    </row>
    <row r="290" spans="2:57" outlineLevel="1" x14ac:dyDescent="0.25">
      <c r="D290" s="1227" t="s">
        <v>52</v>
      </c>
      <c r="E290" s="1227"/>
      <c r="F290" s="1227"/>
      <c r="G290" s="1227"/>
      <c r="H290" s="1251"/>
      <c r="I290" s="1227"/>
      <c r="J290" s="1227"/>
      <c r="K290" s="1341"/>
      <c r="L290" s="1227"/>
    </row>
    <row r="291" spans="2:57" outlineLevel="1" x14ac:dyDescent="0.25">
      <c r="D291" s="1252"/>
      <c r="G291" s="1285"/>
      <c r="H291" s="1286"/>
      <c r="L291" s="1227"/>
    </row>
    <row r="292" spans="2:57" outlineLevel="1" x14ac:dyDescent="0.25">
      <c r="D292" s="1320"/>
      <c r="E292" s="1223"/>
      <c r="G292" s="1285"/>
      <c r="H292" s="1286"/>
      <c r="L292" s="1227"/>
    </row>
    <row r="293" spans="2:57" outlineLevel="1" x14ac:dyDescent="0.25">
      <c r="D293" s="1320"/>
      <c r="E293" s="1223"/>
      <c r="G293" s="1222"/>
      <c r="H293" s="1253"/>
      <c r="L293" s="1227"/>
      <c r="M293" s="1227"/>
    </row>
    <row r="294" spans="2:57" outlineLevel="1" x14ac:dyDescent="0.25">
      <c r="D294" s="1252"/>
      <c r="G294" s="1222"/>
      <c r="H294" s="1253"/>
      <c r="L294" s="1227"/>
      <c r="M294" s="1227"/>
    </row>
    <row r="295" spans="2:57" outlineLevel="1" x14ac:dyDescent="0.25">
      <c r="D295" s="1252"/>
      <c r="G295" s="1222"/>
      <c r="H295" s="1253"/>
      <c r="L295" s="1227"/>
      <c r="M295" s="1227"/>
    </row>
    <row r="296" spans="2:57" outlineLevel="1" x14ac:dyDescent="0.25">
      <c r="D296" s="1252"/>
      <c r="G296" s="1222"/>
      <c r="H296" s="1253"/>
      <c r="L296" s="1227"/>
    </row>
    <row r="297" spans="2:57" s="61" customFormat="1" ht="30" outlineLevel="1" x14ac:dyDescent="0.25">
      <c r="B297" s="1258"/>
      <c r="C297" s="1258"/>
      <c r="D297" s="91" t="s">
        <v>16</v>
      </c>
      <c r="E297" s="91" t="s">
        <v>89</v>
      </c>
      <c r="F297" s="91" t="s">
        <v>212</v>
      </c>
      <c r="G297" s="91" t="s">
        <v>213</v>
      </c>
      <c r="H297" s="91" t="s">
        <v>65</v>
      </c>
      <c r="I297" s="91" t="s">
        <v>66</v>
      </c>
      <c r="J297" s="1258"/>
      <c r="K297" s="1258"/>
      <c r="L297" s="1227"/>
      <c r="M297" s="1258"/>
      <c r="N297" s="1258"/>
      <c r="O297" s="1258"/>
      <c r="P297" s="1258"/>
      <c r="Q297" s="1258"/>
      <c r="R297" s="1258"/>
      <c r="S297" s="1258"/>
      <c r="T297" s="1258"/>
      <c r="U297" s="1258"/>
    </row>
    <row r="298" spans="2:57" outlineLevel="1" x14ac:dyDescent="0.25">
      <c r="D298" s="1259"/>
      <c r="E298" s="1259" t="str">
        <f>E287</f>
        <v>VFD on Chilled Water Pump 1-75HP</v>
      </c>
      <c r="F298" s="1318">
        <v>1</v>
      </c>
      <c r="G298" s="1342">
        <v>0.93</v>
      </c>
      <c r="H298" s="1322">
        <v>3539</v>
      </c>
      <c r="I298" s="1338">
        <v>0.33889999999999998</v>
      </c>
      <c r="L298" s="1227"/>
    </row>
    <row r="299" spans="2:57" outlineLevel="1" x14ac:dyDescent="0.25">
      <c r="D299" s="1259"/>
      <c r="E299" s="1259" t="str">
        <f>E288</f>
        <v>VFD on Hot Water Pump 1-75HP</v>
      </c>
      <c r="F299" s="1318">
        <v>1</v>
      </c>
      <c r="G299" s="1342">
        <v>0.93</v>
      </c>
      <c r="H299" s="1322">
        <v>4411</v>
      </c>
      <c r="I299" s="1338">
        <v>0.35770000000000002</v>
      </c>
      <c r="L299" s="1227"/>
    </row>
    <row r="302" spans="2:57" s="43" customFormat="1" ht="30" x14ac:dyDescent="0.25">
      <c r="B302" s="1236"/>
      <c r="C302" s="44" t="s">
        <v>16</v>
      </c>
      <c r="D302" s="44" t="s">
        <v>17</v>
      </c>
      <c r="E302" s="131" t="s">
        <v>18</v>
      </c>
      <c r="F302" s="131" t="s">
        <v>158</v>
      </c>
      <c r="G302" s="131" t="s">
        <v>20</v>
      </c>
      <c r="H302" s="131" t="s">
        <v>21</v>
      </c>
      <c r="I302" s="131" t="s">
        <v>22</v>
      </c>
      <c r="J302" s="131" t="s">
        <v>23</v>
      </c>
      <c r="K302" s="131" t="s">
        <v>207</v>
      </c>
      <c r="L302" s="44" t="s">
        <v>25</v>
      </c>
      <c r="M302" s="1222"/>
      <c r="N302" s="1222"/>
      <c r="O302" s="1222"/>
      <c r="P302" s="1139"/>
      <c r="Q302" s="1139"/>
      <c r="R302" s="1139"/>
      <c r="S302" s="1139"/>
      <c r="T302" s="1139"/>
      <c r="U302" s="1139"/>
      <c r="V302" s="48" t="s">
        <v>26</v>
      </c>
      <c r="W302" s="49">
        <v>43252</v>
      </c>
      <c r="X302" s="49">
        <v>43465</v>
      </c>
      <c r="Y302" s="49" t="s">
        <v>27</v>
      </c>
      <c r="Z302" s="49" t="s">
        <v>27</v>
      </c>
      <c r="AA302" s="49" t="s">
        <v>27</v>
      </c>
      <c r="AB302" s="49" t="s">
        <v>27</v>
      </c>
      <c r="AC302" s="49" t="s">
        <v>27</v>
      </c>
      <c r="AD302" s="49" t="s">
        <v>27</v>
      </c>
      <c r="AE302" s="49" t="s">
        <v>27</v>
      </c>
      <c r="AF302" s="49" t="s">
        <v>27</v>
      </c>
      <c r="AG302" s="49" t="s">
        <v>27</v>
      </c>
      <c r="AH302"/>
      <c r="AI302" s="48" t="s">
        <v>26</v>
      </c>
      <c r="AJ302" s="49">
        <v>43252</v>
      </c>
      <c r="AK302" s="49">
        <v>43465</v>
      </c>
      <c r="AL302" s="49" t="s">
        <v>27</v>
      </c>
      <c r="AM302" s="49" t="s">
        <v>27</v>
      </c>
      <c r="AN302" s="49" t="s">
        <v>27</v>
      </c>
      <c r="AO302" s="49" t="s">
        <v>27</v>
      </c>
      <c r="AP302" s="49" t="s">
        <v>27</v>
      </c>
      <c r="AQ302" s="49" t="s">
        <v>27</v>
      </c>
      <c r="AR302" s="49" t="s">
        <v>27</v>
      </c>
      <c r="AS302" s="49" t="s">
        <v>27</v>
      </c>
      <c r="AT302" s="24"/>
      <c r="AU302" s="48" t="s">
        <v>26</v>
      </c>
      <c r="AV302" s="49">
        <v>43252</v>
      </c>
      <c r="AW302" s="49">
        <v>43465</v>
      </c>
      <c r="AX302" s="49" t="s">
        <v>27</v>
      </c>
      <c r="AY302" s="49" t="s">
        <v>27</v>
      </c>
      <c r="AZ302" s="49" t="s">
        <v>27</v>
      </c>
      <c r="BA302" s="49" t="s">
        <v>27</v>
      </c>
      <c r="BB302" s="49" t="s">
        <v>27</v>
      </c>
      <c r="BC302" s="49" t="s">
        <v>27</v>
      </c>
      <c r="BD302" s="49" t="s">
        <v>27</v>
      </c>
      <c r="BE302" s="49" t="s">
        <v>27</v>
      </c>
    </row>
    <row r="303" spans="2:57" x14ac:dyDescent="0.25">
      <c r="C303" s="1277"/>
      <c r="D303" s="1329" t="s">
        <v>28</v>
      </c>
      <c r="E303" s="1281" t="s">
        <v>214</v>
      </c>
      <c r="F303" s="72">
        <f>(((0.746*F329*(G329/H329))*I329*J329)-((0.746*F329*(G329/H329))*I329*K329))*(1+L329)</f>
        <v>939.74820779247341</v>
      </c>
      <c r="G303" s="1240" t="s">
        <v>211</v>
      </c>
      <c r="H303" s="1241">
        <f>VLOOKUP(G303,'CP FACTORS'!$A$26:$B$38,2,FALSE)</f>
        <v>4.4398300000000001E-4</v>
      </c>
      <c r="I303" s="1242">
        <f>H303*F303</f>
        <v>0.41723222854032571</v>
      </c>
      <c r="J303" s="1319">
        <v>15</v>
      </c>
      <c r="K303" s="1270">
        <v>168</v>
      </c>
      <c r="L303" s="1340" t="s">
        <v>209</v>
      </c>
      <c r="V303" s="52" t="str">
        <f>F302</f>
        <v>kWh Annual Savings (per HP)</v>
      </c>
      <c r="W303" s="59"/>
      <c r="X303" s="59"/>
      <c r="Y303" s="55"/>
      <c r="Z303" s="55"/>
      <c r="AA303" s="55"/>
      <c r="AB303" s="55"/>
      <c r="AC303" s="55"/>
      <c r="AD303" s="55"/>
      <c r="AE303" s="55"/>
      <c r="AF303" s="55"/>
      <c r="AG303" s="55"/>
      <c r="AH303" s="56"/>
      <c r="AI303" s="52" t="s">
        <v>23</v>
      </c>
      <c r="AJ303" s="57">
        <v>15</v>
      </c>
      <c r="AK303" s="57">
        <v>15</v>
      </c>
      <c r="AL303" s="55"/>
      <c r="AM303" s="55"/>
      <c r="AN303" s="55"/>
      <c r="AO303" s="55"/>
      <c r="AP303" s="55"/>
      <c r="AQ303" s="55"/>
      <c r="AR303" s="55"/>
      <c r="AS303" s="55"/>
      <c r="AT303" s="24"/>
      <c r="AU303" s="52" t="str">
        <f>K302</f>
        <v>Inc. Cost (per HP)</v>
      </c>
      <c r="AV303" s="58">
        <v>168</v>
      </c>
      <c r="AW303" s="58">
        <v>168</v>
      </c>
      <c r="AX303" s="55"/>
      <c r="AY303" s="55"/>
      <c r="AZ303" s="55"/>
      <c r="BA303" s="55"/>
      <c r="BB303" s="55"/>
      <c r="BC303" s="55"/>
      <c r="BD303" s="55"/>
      <c r="BE303" s="55"/>
    </row>
    <row r="304" spans="2:57" outlineLevel="1" x14ac:dyDescent="0.25">
      <c r="E304" s="1227"/>
      <c r="F304" s="1227"/>
      <c r="G304" s="1227"/>
      <c r="H304" s="1251"/>
      <c r="I304" s="1227"/>
      <c r="J304" s="1227"/>
      <c r="M304" s="1994"/>
      <c r="N304" s="1994"/>
      <c r="O304" s="1994"/>
      <c r="P304" s="1994"/>
    </row>
    <row r="305" spans="4:16" outlineLevel="1" x14ac:dyDescent="0.25">
      <c r="D305" s="1227" t="s">
        <v>52</v>
      </c>
      <c r="E305" s="1227"/>
      <c r="F305" s="1227"/>
      <c r="G305" s="1227"/>
      <c r="H305" s="1251"/>
      <c r="I305" s="1227"/>
      <c r="J305" s="1227"/>
      <c r="K305" s="1227"/>
      <c r="M305" s="1994"/>
      <c r="N305" s="1994"/>
      <c r="O305" s="1994"/>
      <c r="P305" s="1994"/>
    </row>
    <row r="306" spans="4:16" outlineLevel="1" x14ac:dyDescent="0.25">
      <c r="D306" s="1252"/>
      <c r="G306" s="1285"/>
      <c r="H306" s="1286"/>
      <c r="M306" s="1994"/>
      <c r="N306" s="1994"/>
      <c r="O306" s="1994"/>
      <c r="P306" s="1994"/>
    </row>
    <row r="307" spans="4:16" outlineLevel="1" x14ac:dyDescent="0.25">
      <c r="D307" s="1320"/>
      <c r="E307" s="1223"/>
      <c r="G307" s="1285"/>
      <c r="H307" s="1286"/>
      <c r="M307" s="1994"/>
      <c r="N307" s="1994"/>
      <c r="O307" s="1994"/>
      <c r="P307" s="1994"/>
    </row>
    <row r="308" spans="4:16" outlineLevel="1" x14ac:dyDescent="0.25">
      <c r="D308" s="1320"/>
      <c r="E308" s="1223"/>
      <c r="G308" s="1222"/>
      <c r="H308" s="1253"/>
      <c r="M308" s="1994"/>
      <c r="N308" s="1994"/>
      <c r="O308" s="1994"/>
      <c r="P308" s="1994"/>
    </row>
    <row r="309" spans="4:16" outlineLevel="1" x14ac:dyDescent="0.25">
      <c r="D309" s="1252"/>
      <c r="G309" s="1222"/>
      <c r="H309" s="1253"/>
      <c r="M309" s="1227"/>
    </row>
    <row r="310" spans="4:16" outlineLevel="1" x14ac:dyDescent="0.25">
      <c r="D310" s="1252"/>
      <c r="G310" s="1222"/>
      <c r="H310" s="1253"/>
      <c r="M310" s="1227"/>
    </row>
    <row r="311" spans="4:16" ht="15.75" outlineLevel="1" thickBot="1" x14ac:dyDescent="0.3">
      <c r="D311" s="1252"/>
      <c r="G311" s="1222"/>
      <c r="H311" s="1253"/>
      <c r="M311" s="1227"/>
    </row>
    <row r="312" spans="4:16" outlineLevel="1" x14ac:dyDescent="0.25">
      <c r="D312" s="1252"/>
      <c r="E312" s="1343" t="s">
        <v>215</v>
      </c>
      <c r="F312" s="1344"/>
      <c r="G312" s="1222"/>
      <c r="H312" s="1253"/>
      <c r="M312" s="1227"/>
    </row>
    <row r="313" spans="4:16" outlineLevel="1" x14ac:dyDescent="0.25">
      <c r="D313" s="1252"/>
      <c r="E313" s="1345"/>
      <c r="F313" s="1346"/>
      <c r="G313" s="1222"/>
      <c r="H313" s="1253"/>
      <c r="M313" s="1227"/>
    </row>
    <row r="314" spans="4:16" outlineLevel="1" x14ac:dyDescent="0.25">
      <c r="D314" s="1252"/>
      <c r="E314" s="1347" t="s">
        <v>216</v>
      </c>
      <c r="F314" s="1346">
        <v>1</v>
      </c>
      <c r="G314" s="1222"/>
      <c r="H314" s="1253"/>
      <c r="M314" s="1227"/>
    </row>
    <row r="315" spans="4:16" outlineLevel="1" x14ac:dyDescent="0.25">
      <c r="D315" s="1252"/>
      <c r="E315" s="1347" t="s">
        <v>217</v>
      </c>
      <c r="F315" s="1346">
        <v>0.8</v>
      </c>
      <c r="G315" s="1222"/>
      <c r="H315" s="1253"/>
      <c r="M315" s="1227"/>
    </row>
    <row r="316" spans="4:16" outlineLevel="1" x14ac:dyDescent="0.25">
      <c r="D316" s="1252"/>
      <c r="E316" s="1347" t="s">
        <v>218</v>
      </c>
      <c r="F316" s="1346">
        <v>0.78</v>
      </c>
      <c r="G316" s="1222"/>
      <c r="H316" s="1253"/>
      <c r="M316" s="1227"/>
    </row>
    <row r="317" spans="4:16" outlineLevel="1" x14ac:dyDescent="0.25">
      <c r="D317" s="1252"/>
      <c r="E317" s="1347" t="s">
        <v>219</v>
      </c>
      <c r="F317" s="1346">
        <v>0.69</v>
      </c>
      <c r="G317" s="1222"/>
      <c r="H317" s="1253"/>
      <c r="M317" s="1227"/>
    </row>
    <row r="318" spans="4:16" outlineLevel="1" x14ac:dyDescent="0.25">
      <c r="D318" s="1252"/>
      <c r="E318" s="1347" t="s">
        <v>220</v>
      </c>
      <c r="F318" s="1346">
        <v>0.63</v>
      </c>
      <c r="G318" s="1222"/>
      <c r="H318" s="1253"/>
      <c r="M318" s="1227"/>
    </row>
    <row r="319" spans="4:16" outlineLevel="1" x14ac:dyDescent="0.25">
      <c r="D319" s="1252"/>
      <c r="E319" s="1347" t="s">
        <v>221</v>
      </c>
      <c r="F319" s="1346">
        <v>0.53</v>
      </c>
      <c r="G319" s="1222"/>
      <c r="H319" s="1253"/>
      <c r="M319" s="1227"/>
    </row>
    <row r="320" spans="4:16" outlineLevel="1" x14ac:dyDescent="0.25">
      <c r="D320" s="1252"/>
      <c r="E320" s="1347" t="s">
        <v>222</v>
      </c>
      <c r="F320" s="1346">
        <v>0.53</v>
      </c>
      <c r="G320" s="1222"/>
      <c r="H320" s="1253"/>
      <c r="M320" s="1227"/>
    </row>
    <row r="321" spans="2:57" outlineLevel="1" x14ac:dyDescent="0.25">
      <c r="D321" s="1252"/>
      <c r="E321" s="1347" t="s">
        <v>223</v>
      </c>
      <c r="F321" s="1346">
        <v>0.49</v>
      </c>
      <c r="G321" s="1222"/>
      <c r="H321" s="1253"/>
      <c r="M321" s="1227"/>
    </row>
    <row r="322" spans="2:57" outlineLevel="1" x14ac:dyDescent="0.25">
      <c r="D322" s="1252"/>
      <c r="E322" s="1347" t="s">
        <v>224</v>
      </c>
      <c r="F322" s="1346">
        <v>0.39</v>
      </c>
      <c r="G322" s="1222"/>
      <c r="H322" s="1253"/>
      <c r="M322" s="1227"/>
    </row>
    <row r="323" spans="2:57" outlineLevel="1" x14ac:dyDescent="0.25">
      <c r="D323" s="1252"/>
      <c r="E323" s="1347" t="s">
        <v>225</v>
      </c>
      <c r="F323" s="1346">
        <v>0.3</v>
      </c>
      <c r="G323" s="1222"/>
      <c r="H323" s="1253"/>
      <c r="M323" s="1227"/>
    </row>
    <row r="324" spans="2:57" ht="15.75" outlineLevel="1" thickBot="1" x14ac:dyDescent="0.3">
      <c r="D324" s="1252"/>
      <c r="E324" s="1348" t="s">
        <v>226</v>
      </c>
      <c r="F324" s="1349">
        <v>0.27</v>
      </c>
      <c r="G324" s="1222"/>
      <c r="H324" s="1253"/>
      <c r="M324" s="1227"/>
    </row>
    <row r="325" spans="2:57" outlineLevel="1" x14ac:dyDescent="0.25">
      <c r="D325" s="1252"/>
      <c r="G325" s="1222"/>
      <c r="H325" s="1253"/>
      <c r="M325" s="1227"/>
    </row>
    <row r="326" spans="2:57" outlineLevel="1" x14ac:dyDescent="0.25">
      <c r="D326" s="1252"/>
      <c r="G326" s="1222"/>
      <c r="H326" s="1253"/>
      <c r="M326" s="1227"/>
    </row>
    <row r="327" spans="2:57" outlineLevel="1" x14ac:dyDescent="0.25">
      <c r="D327" s="1252"/>
      <c r="G327" s="1222"/>
      <c r="H327" s="1253"/>
    </row>
    <row r="328" spans="2:57" s="61" customFormat="1" ht="30" outlineLevel="1" x14ac:dyDescent="0.2">
      <c r="B328" s="1258"/>
      <c r="C328" s="1258"/>
      <c r="D328" s="91" t="s">
        <v>16</v>
      </c>
      <c r="E328" s="91" t="s">
        <v>89</v>
      </c>
      <c r="F328" s="91" t="s">
        <v>227</v>
      </c>
      <c r="G328" s="91" t="s">
        <v>228</v>
      </c>
      <c r="H328" s="91" t="s">
        <v>229</v>
      </c>
      <c r="I328" s="91" t="s">
        <v>230</v>
      </c>
      <c r="J328" s="91" t="s">
        <v>231</v>
      </c>
      <c r="K328" s="91" t="s">
        <v>232</v>
      </c>
      <c r="L328" s="91" t="s">
        <v>233</v>
      </c>
      <c r="M328" s="1258"/>
      <c r="N328" s="1258"/>
      <c r="O328" s="1258"/>
      <c r="P328" s="1258"/>
      <c r="Q328" s="1258"/>
      <c r="R328" s="1258"/>
      <c r="S328" s="1258"/>
      <c r="T328" s="1258"/>
      <c r="U328" s="1258"/>
    </row>
    <row r="329" spans="2:57" outlineLevel="1" x14ac:dyDescent="0.2">
      <c r="D329" s="1259"/>
      <c r="E329" s="1259" t="str">
        <f>E303</f>
        <v>VFD on HVAC Fans 1-100HP</v>
      </c>
      <c r="F329" s="1318">
        <v>1</v>
      </c>
      <c r="G329" s="105">
        <v>0.65</v>
      </c>
      <c r="H329" s="1318">
        <v>0.93</v>
      </c>
      <c r="I329" s="1318">
        <v>6773</v>
      </c>
      <c r="J329" s="1318">
        <v>0.53</v>
      </c>
      <c r="K329" s="1318">
        <v>0.3</v>
      </c>
      <c r="L329" s="1350">
        <v>0.157</v>
      </c>
    </row>
    <row r="332" spans="2:57" s="43" customFormat="1" ht="30" x14ac:dyDescent="0.25">
      <c r="B332" s="1236"/>
      <c r="C332" s="44" t="s">
        <v>16</v>
      </c>
      <c r="D332" s="44" t="s">
        <v>17</v>
      </c>
      <c r="E332" s="131" t="s">
        <v>18</v>
      </c>
      <c r="F332" s="131" t="s">
        <v>234</v>
      </c>
      <c r="G332" s="131" t="s">
        <v>20</v>
      </c>
      <c r="H332" s="131" t="s">
        <v>21</v>
      </c>
      <c r="I332" s="131" t="s">
        <v>22</v>
      </c>
      <c r="J332" s="131" t="s">
        <v>23</v>
      </c>
      <c r="K332" s="131" t="s">
        <v>24</v>
      </c>
      <c r="L332" s="44" t="s">
        <v>25</v>
      </c>
      <c r="M332" s="1222"/>
      <c r="N332" s="1222"/>
      <c r="O332" s="1222"/>
      <c r="P332" s="1139"/>
      <c r="Q332" s="1139"/>
      <c r="R332" s="1139"/>
      <c r="S332" s="1139"/>
      <c r="T332" s="1139"/>
      <c r="U332" s="1139"/>
      <c r="V332" s="48" t="s">
        <v>26</v>
      </c>
      <c r="W332" s="49">
        <v>43252</v>
      </c>
      <c r="X332" s="49">
        <v>43465</v>
      </c>
      <c r="Y332" s="49" t="s">
        <v>27</v>
      </c>
      <c r="Z332" s="49" t="s">
        <v>27</v>
      </c>
      <c r="AA332" s="49" t="s">
        <v>27</v>
      </c>
      <c r="AB332" s="49" t="s">
        <v>27</v>
      </c>
      <c r="AC332" s="49" t="s">
        <v>27</v>
      </c>
      <c r="AD332" s="49" t="s">
        <v>27</v>
      </c>
      <c r="AE332" s="49" t="s">
        <v>27</v>
      </c>
      <c r="AF332" s="49" t="s">
        <v>27</v>
      </c>
      <c r="AG332" s="49" t="s">
        <v>27</v>
      </c>
      <c r="AH332"/>
      <c r="AI332" s="48" t="s">
        <v>26</v>
      </c>
      <c r="AJ332" s="49">
        <v>43252</v>
      </c>
      <c r="AK332" s="49">
        <v>43465</v>
      </c>
      <c r="AL332" s="49" t="s">
        <v>27</v>
      </c>
      <c r="AM332" s="49" t="s">
        <v>27</v>
      </c>
      <c r="AN332" s="49" t="s">
        <v>27</v>
      </c>
      <c r="AO332" s="49" t="s">
        <v>27</v>
      </c>
      <c r="AP332" s="49" t="s">
        <v>27</v>
      </c>
      <c r="AQ332" s="49" t="s">
        <v>27</v>
      </c>
      <c r="AR332" s="49" t="s">
        <v>27</v>
      </c>
      <c r="AS332" s="49" t="s">
        <v>27</v>
      </c>
      <c r="AT332" s="24"/>
      <c r="AU332" s="48" t="s">
        <v>26</v>
      </c>
      <c r="AV332" s="49">
        <v>43252</v>
      </c>
      <c r="AW332" s="49">
        <v>43465</v>
      </c>
      <c r="AX332" s="49" t="s">
        <v>27</v>
      </c>
      <c r="AY332" s="49" t="s">
        <v>27</v>
      </c>
      <c r="AZ332" s="49" t="s">
        <v>27</v>
      </c>
      <c r="BA332" s="49" t="s">
        <v>27</v>
      </c>
      <c r="BB332" s="49" t="s">
        <v>27</v>
      </c>
      <c r="BC332" s="49" t="s">
        <v>27</v>
      </c>
      <c r="BD332" s="49" t="s">
        <v>27</v>
      </c>
      <c r="BE332" s="49" t="s">
        <v>27</v>
      </c>
    </row>
    <row r="333" spans="2:57" x14ac:dyDescent="0.25">
      <c r="C333" s="1237"/>
      <c r="D333" s="1329" t="s">
        <v>28</v>
      </c>
      <c r="E333" s="1268" t="s">
        <v>235</v>
      </c>
      <c r="F333" s="72">
        <f>F347*((1/G347)-(1/H347))*K347</f>
        <v>153.95313964386136</v>
      </c>
      <c r="G333" s="1240" t="s">
        <v>197</v>
      </c>
      <c r="H333" s="1241">
        <f>VLOOKUP(G333,'CP FACTORS'!$A$26:$B$38,2,FALSE)</f>
        <v>9.1068400000000004E-4</v>
      </c>
      <c r="I333" s="1242">
        <f>H333*F333</f>
        <v>0.14020266102343024</v>
      </c>
      <c r="J333" s="1278">
        <v>15</v>
      </c>
      <c r="K333" s="1270">
        <v>100</v>
      </c>
      <c r="L333" s="1340" t="s">
        <v>236</v>
      </c>
      <c r="V333" s="52" t="str">
        <f>F332</f>
        <v>kWh Annual Savings (per ton)</v>
      </c>
      <c r="W333" s="59">
        <v>153.95313964386136</v>
      </c>
      <c r="X333" s="59">
        <v>153.95313964386136</v>
      </c>
      <c r="Y333" s="55"/>
      <c r="Z333" s="55"/>
      <c r="AA333" s="55"/>
      <c r="AB333" s="55"/>
      <c r="AC333" s="55"/>
      <c r="AD333" s="55"/>
      <c r="AE333" s="55"/>
      <c r="AF333" s="55"/>
      <c r="AG333" s="55"/>
      <c r="AH333" s="56"/>
      <c r="AI333" s="52" t="s">
        <v>23</v>
      </c>
      <c r="AJ333" s="57">
        <v>15</v>
      </c>
      <c r="AK333" s="57">
        <v>15</v>
      </c>
      <c r="AL333" s="55"/>
      <c r="AM333" s="55"/>
      <c r="AN333" s="55"/>
      <c r="AO333" s="55"/>
      <c r="AP333" s="55"/>
      <c r="AQ333" s="55"/>
      <c r="AR333" s="55"/>
      <c r="AS333" s="55"/>
      <c r="AT333" s="24"/>
      <c r="AU333" s="52" t="s">
        <v>24</v>
      </c>
      <c r="AV333" s="58">
        <v>100</v>
      </c>
      <c r="AW333" s="58">
        <v>100</v>
      </c>
      <c r="AX333" s="55"/>
      <c r="AY333" s="55"/>
      <c r="AZ333" s="55"/>
      <c r="BA333" s="55"/>
      <c r="BB333" s="55"/>
      <c r="BC333" s="55"/>
      <c r="BD333" s="55"/>
      <c r="BE333" s="55"/>
    </row>
    <row r="334" spans="2:57" x14ac:dyDescent="0.25">
      <c r="C334" s="1237"/>
      <c r="D334" s="1329" t="s">
        <v>28</v>
      </c>
      <c r="E334" s="1281" t="s">
        <v>237</v>
      </c>
      <c r="F334" s="72">
        <f>F348*((1/G348)-(1/H348))*K348</f>
        <v>66.505263157894589</v>
      </c>
      <c r="G334" s="1240" t="s">
        <v>197</v>
      </c>
      <c r="H334" s="1241">
        <f>VLOOKUP(G334,'CP FACTORS'!$A$26:$B$38,2,FALSE)</f>
        <v>9.1068400000000004E-4</v>
      </c>
      <c r="I334" s="1242">
        <f>H334*F334</f>
        <v>6.0565279073684079E-2</v>
      </c>
      <c r="J334" s="1279">
        <v>15</v>
      </c>
      <c r="K334" s="1270">
        <v>100</v>
      </c>
      <c r="L334" s="1340" t="s">
        <v>236</v>
      </c>
      <c r="V334" s="52" t="str">
        <f>V333</f>
        <v>kWh Annual Savings (per ton)</v>
      </c>
      <c r="W334" s="59">
        <v>66.505263157894589</v>
      </c>
      <c r="X334" s="59">
        <v>66.505263157894589</v>
      </c>
      <c r="Y334" s="55"/>
      <c r="Z334" s="55"/>
      <c r="AA334" s="55"/>
      <c r="AB334" s="55"/>
      <c r="AC334" s="55"/>
      <c r="AD334" s="55"/>
      <c r="AE334" s="55"/>
      <c r="AF334" s="55"/>
      <c r="AG334" s="55"/>
      <c r="AH334" s="56"/>
      <c r="AI334" s="52" t="s">
        <v>23</v>
      </c>
      <c r="AJ334" s="57">
        <v>15</v>
      </c>
      <c r="AK334" s="57">
        <v>15</v>
      </c>
      <c r="AL334" s="55"/>
      <c r="AM334" s="55"/>
      <c r="AN334" s="55"/>
      <c r="AO334" s="55"/>
      <c r="AP334" s="55"/>
      <c r="AQ334" s="55"/>
      <c r="AR334" s="55"/>
      <c r="AS334" s="55"/>
      <c r="AT334" s="24"/>
      <c r="AU334" s="52" t="s">
        <v>24</v>
      </c>
      <c r="AV334" s="58">
        <v>100</v>
      </c>
      <c r="AW334" s="58">
        <v>100</v>
      </c>
      <c r="AX334" s="55"/>
      <c r="AY334" s="55"/>
      <c r="AZ334" s="55"/>
      <c r="BA334" s="55"/>
      <c r="BB334" s="55"/>
      <c r="BC334" s="55"/>
      <c r="BD334" s="55"/>
      <c r="BE334" s="55"/>
    </row>
    <row r="335" spans="2:57" x14ac:dyDescent="0.25">
      <c r="C335" s="1237"/>
      <c r="D335" s="1329" t="s">
        <v>28</v>
      </c>
      <c r="E335" s="1281" t="s">
        <v>238</v>
      </c>
      <c r="F335" s="72">
        <f>F349*((1/G349)-(1/H349))*K349</f>
        <v>98.581830790568617</v>
      </c>
      <c r="G335" s="1240" t="s">
        <v>197</v>
      </c>
      <c r="H335" s="1241">
        <f>VLOOKUP(G335,'CP FACTORS'!$A$26:$B$38,2,FALSE)</f>
        <v>9.1068400000000004E-4</v>
      </c>
      <c r="I335" s="1242">
        <f>H335*F335</f>
        <v>8.9776895991678193E-2</v>
      </c>
      <c r="J335" s="1279">
        <v>15</v>
      </c>
      <c r="K335" s="1270">
        <v>100</v>
      </c>
      <c r="L335" s="1340" t="s">
        <v>236</v>
      </c>
      <c r="M335" s="1994"/>
      <c r="N335" s="1994"/>
      <c r="O335" s="1994"/>
      <c r="P335" s="1994"/>
      <c r="V335" s="52" t="str">
        <f t="shared" ref="V335:V337" si="16">V334</f>
        <v>kWh Annual Savings (per ton)</v>
      </c>
      <c r="W335" s="59">
        <v>98.581830790568617</v>
      </c>
      <c r="X335" s="59">
        <v>98.581830790568617</v>
      </c>
      <c r="Y335" s="55"/>
      <c r="Z335" s="55"/>
      <c r="AA335" s="55"/>
      <c r="AB335" s="55"/>
      <c r="AC335" s="55"/>
      <c r="AD335" s="55"/>
      <c r="AE335" s="55"/>
      <c r="AF335" s="55"/>
      <c r="AG335" s="55"/>
      <c r="AH335" s="56"/>
      <c r="AI335" s="52" t="s">
        <v>23</v>
      </c>
      <c r="AJ335" s="57">
        <v>15</v>
      </c>
      <c r="AK335" s="57">
        <v>15</v>
      </c>
      <c r="AL335" s="55"/>
      <c r="AM335" s="55"/>
      <c r="AN335" s="55"/>
      <c r="AO335" s="55"/>
      <c r="AP335" s="55"/>
      <c r="AQ335" s="55"/>
      <c r="AR335" s="55"/>
      <c r="AS335" s="55"/>
      <c r="AT335" s="24"/>
      <c r="AU335" s="52" t="s">
        <v>24</v>
      </c>
      <c r="AV335" s="58">
        <v>100</v>
      </c>
      <c r="AW335" s="58">
        <v>100</v>
      </c>
      <c r="AX335" s="55"/>
      <c r="AY335" s="55"/>
      <c r="AZ335" s="55"/>
      <c r="BA335" s="55"/>
      <c r="BB335" s="55"/>
      <c r="BC335" s="55"/>
      <c r="BD335" s="55"/>
      <c r="BE335" s="55"/>
    </row>
    <row r="336" spans="2:57" ht="15.75" customHeight="1" x14ac:dyDescent="0.25">
      <c r="C336" s="1237"/>
      <c r="D336" s="1329" t="s">
        <v>28</v>
      </c>
      <c r="E336" s="1281" t="s">
        <v>239</v>
      </c>
      <c r="F336" s="72">
        <f>F350*((1/G350)-(1/H350))*K350</f>
        <v>70.797848498431222</v>
      </c>
      <c r="G336" s="1240" t="s">
        <v>197</v>
      </c>
      <c r="H336" s="1241">
        <f>VLOOKUP(G336,'CP FACTORS'!$A$26:$B$38,2,FALSE)</f>
        <v>9.1068400000000004E-4</v>
      </c>
      <c r="I336" s="1242">
        <f>H336*F336</f>
        <v>6.4474467861945342E-2</v>
      </c>
      <c r="J336" s="1279">
        <v>15</v>
      </c>
      <c r="K336" s="1270">
        <v>100</v>
      </c>
      <c r="L336" s="1340" t="s">
        <v>236</v>
      </c>
      <c r="M336" s="1994"/>
      <c r="N336" s="1994"/>
      <c r="O336" s="1994"/>
      <c r="P336" s="1994"/>
      <c r="V336" s="52" t="str">
        <f t="shared" si="16"/>
        <v>kWh Annual Savings (per ton)</v>
      </c>
      <c r="W336" s="59">
        <v>70.797848498431222</v>
      </c>
      <c r="X336" s="59">
        <v>70.797848498431222</v>
      </c>
      <c r="Y336" s="55"/>
      <c r="Z336" s="55"/>
      <c r="AA336" s="55"/>
      <c r="AB336" s="55"/>
      <c r="AC336" s="55"/>
      <c r="AD336" s="55"/>
      <c r="AE336" s="55"/>
      <c r="AF336" s="55"/>
      <c r="AG336" s="55"/>
      <c r="AH336" s="56"/>
      <c r="AI336" s="52" t="s">
        <v>23</v>
      </c>
      <c r="AJ336" s="57">
        <v>15</v>
      </c>
      <c r="AK336" s="57">
        <v>15</v>
      </c>
      <c r="AL336" s="55"/>
      <c r="AM336" s="55"/>
      <c r="AN336" s="55"/>
      <c r="AO336" s="55"/>
      <c r="AP336" s="55"/>
      <c r="AQ336" s="55"/>
      <c r="AR336" s="55"/>
      <c r="AS336" s="55"/>
      <c r="AT336" s="24"/>
      <c r="AU336" s="52" t="s">
        <v>24</v>
      </c>
      <c r="AV336" s="58">
        <v>100</v>
      </c>
      <c r="AW336" s="58">
        <v>100</v>
      </c>
      <c r="AX336" s="55"/>
      <c r="AY336" s="55"/>
      <c r="AZ336" s="55"/>
      <c r="BA336" s="55"/>
      <c r="BB336" s="55"/>
      <c r="BC336" s="55"/>
      <c r="BD336" s="55"/>
      <c r="BE336" s="55"/>
    </row>
    <row r="337" spans="2:57" x14ac:dyDescent="0.25">
      <c r="C337" s="1237"/>
      <c r="D337" s="1329" t="s">
        <v>28</v>
      </c>
      <c r="E337" s="1281" t="s">
        <v>240</v>
      </c>
      <c r="F337" s="72">
        <f>F351*((1/I351)-(1/J351))*K351</f>
        <v>69.42857142857153</v>
      </c>
      <c r="G337" s="1240" t="s">
        <v>197</v>
      </c>
      <c r="H337" s="1241">
        <f>VLOOKUP(G337,'CP FACTORS'!$A$26:$B$38,2,FALSE)</f>
        <v>9.1068400000000004E-4</v>
      </c>
      <c r="I337" s="1242">
        <f>H337*F337</f>
        <v>6.3227489142857238E-2</v>
      </c>
      <c r="J337" s="1279">
        <v>15</v>
      </c>
      <c r="K337" s="1270">
        <v>100</v>
      </c>
      <c r="L337" s="1340" t="s">
        <v>236</v>
      </c>
      <c r="M337" s="1994"/>
      <c r="N337" s="1994"/>
      <c r="O337" s="1994"/>
      <c r="P337" s="1994"/>
      <c r="V337" s="52" t="str">
        <f t="shared" si="16"/>
        <v>kWh Annual Savings (per ton)</v>
      </c>
      <c r="W337" s="59">
        <v>69.42857142857153</v>
      </c>
      <c r="X337" s="59">
        <v>69.42857142857153</v>
      </c>
      <c r="Y337" s="55"/>
      <c r="Z337" s="55"/>
      <c r="AA337" s="55"/>
      <c r="AB337" s="55"/>
      <c r="AC337" s="55"/>
      <c r="AD337" s="55"/>
      <c r="AE337" s="55"/>
      <c r="AF337" s="55"/>
      <c r="AG337" s="55"/>
      <c r="AH337" s="56"/>
      <c r="AI337" s="52" t="s">
        <v>23</v>
      </c>
      <c r="AJ337" s="57">
        <v>15</v>
      </c>
      <c r="AK337" s="57">
        <v>15</v>
      </c>
      <c r="AL337" s="55"/>
      <c r="AM337" s="55"/>
      <c r="AN337" s="55"/>
      <c r="AO337" s="55"/>
      <c r="AP337" s="55"/>
      <c r="AQ337" s="55"/>
      <c r="AR337" s="55"/>
      <c r="AS337" s="55"/>
      <c r="AT337" s="24"/>
      <c r="AU337" s="52" t="s">
        <v>24</v>
      </c>
      <c r="AV337" s="58">
        <v>100</v>
      </c>
      <c r="AW337" s="58">
        <v>100</v>
      </c>
      <c r="AX337" s="55"/>
      <c r="AY337" s="55"/>
      <c r="AZ337" s="55"/>
      <c r="BA337" s="55"/>
      <c r="BB337" s="55"/>
      <c r="BC337" s="55"/>
      <c r="BD337" s="55"/>
      <c r="BE337" s="55"/>
    </row>
    <row r="338" spans="2:57" outlineLevel="1" x14ac:dyDescent="0.25">
      <c r="E338" s="1227"/>
      <c r="F338" s="1227"/>
      <c r="G338" s="1227"/>
      <c r="H338" s="1251"/>
      <c r="I338" s="1227"/>
      <c r="J338" s="1227"/>
      <c r="K338" s="1227"/>
      <c r="M338" s="1994"/>
      <c r="N338" s="1994"/>
      <c r="O338" s="1994"/>
      <c r="P338" s="1994"/>
    </row>
    <row r="339" spans="2:57" outlineLevel="1" x14ac:dyDescent="0.25">
      <c r="D339" s="1227" t="s">
        <v>52</v>
      </c>
      <c r="E339" s="175"/>
      <c r="F339" s="1227"/>
      <c r="G339" s="1227"/>
      <c r="H339" s="1251"/>
      <c r="I339" s="1227"/>
      <c r="J339" s="1227"/>
      <c r="K339" s="175"/>
      <c r="M339" s="1994"/>
      <c r="N339" s="1994"/>
      <c r="O339" s="1994"/>
      <c r="P339" s="1994"/>
    </row>
    <row r="340" spans="2:57" outlineLevel="1" x14ac:dyDescent="0.25">
      <c r="D340" s="1252" t="s">
        <v>241</v>
      </c>
      <c r="E340" s="175"/>
      <c r="F340" s="1314" t="s">
        <v>1860</v>
      </c>
      <c r="G340" s="1285"/>
      <c r="H340" s="1286"/>
    </row>
    <row r="341" spans="2:57" outlineLevel="1" x14ac:dyDescent="0.25">
      <c r="D341" s="1252"/>
      <c r="G341" s="1285"/>
      <c r="H341" s="1286"/>
    </row>
    <row r="342" spans="2:57" outlineLevel="1" x14ac:dyDescent="0.25">
      <c r="D342" s="1252"/>
      <c r="G342" s="1222"/>
      <c r="H342" s="1253"/>
      <c r="M342" s="1227"/>
    </row>
    <row r="343" spans="2:57" outlineLevel="1" x14ac:dyDescent="0.25">
      <c r="D343" s="1252"/>
      <c r="G343" s="1222"/>
      <c r="H343" s="1253"/>
      <c r="M343" s="1227"/>
    </row>
    <row r="344" spans="2:57" outlineLevel="1" x14ac:dyDescent="0.25">
      <c r="D344" s="1252"/>
      <c r="G344" s="1222"/>
      <c r="H344" s="1253"/>
      <c r="M344" s="1227"/>
    </row>
    <row r="345" spans="2:57" outlineLevel="1" x14ac:dyDescent="0.25">
      <c r="D345" s="1252"/>
      <c r="G345" s="1222"/>
      <c r="H345" s="1253"/>
    </row>
    <row r="346" spans="2:57" s="61" customFormat="1" ht="30" outlineLevel="1" x14ac:dyDescent="0.2">
      <c r="B346" s="1258"/>
      <c r="C346" s="1258"/>
      <c r="D346" s="91" t="s">
        <v>16</v>
      </c>
      <c r="E346" s="91" t="s">
        <v>89</v>
      </c>
      <c r="F346" s="99" t="s">
        <v>242</v>
      </c>
      <c r="G346" s="91" t="s">
        <v>243</v>
      </c>
      <c r="H346" s="91" t="s">
        <v>244</v>
      </c>
      <c r="I346" s="91" t="s">
        <v>245</v>
      </c>
      <c r="J346" s="95" t="s">
        <v>246</v>
      </c>
      <c r="K346" s="131" t="s">
        <v>247</v>
      </c>
      <c r="L346" s="1258"/>
      <c r="M346" s="1258"/>
      <c r="N346" s="1258"/>
      <c r="O346" s="1258"/>
      <c r="P346" s="1258"/>
      <c r="Q346" s="1258"/>
      <c r="R346" s="1258"/>
      <c r="S346" s="1258"/>
      <c r="T346" s="1258"/>
      <c r="U346" s="1258"/>
    </row>
    <row r="347" spans="2:57" outlineLevel="1" x14ac:dyDescent="0.25">
      <c r="D347" s="1259"/>
      <c r="E347" s="1259" t="str">
        <f>E333</f>
        <v>Packaged DX 135 - 240kbtu</v>
      </c>
      <c r="F347" s="1266">
        <v>12</v>
      </c>
      <c r="G347" s="1326">
        <v>9.6999999999999993</v>
      </c>
      <c r="H347" s="1326">
        <v>11</v>
      </c>
      <c r="I347" s="1326"/>
      <c r="J347" s="1326"/>
      <c r="K347" s="1306">
        <v>1053</v>
      </c>
    </row>
    <row r="348" spans="2:57" outlineLevel="1" x14ac:dyDescent="0.25">
      <c r="D348" s="1259"/>
      <c r="E348" s="1259" t="str">
        <f>E334</f>
        <v>Packaged DX 240 - 760kbtu</v>
      </c>
      <c r="F348" s="1266">
        <v>12</v>
      </c>
      <c r="G348" s="1326">
        <v>9.5</v>
      </c>
      <c r="H348" s="1326">
        <v>10</v>
      </c>
      <c r="I348" s="1326"/>
      <c r="J348" s="1326"/>
      <c r="K348" s="1306">
        <v>1053</v>
      </c>
    </row>
    <row r="349" spans="2:57" outlineLevel="1" x14ac:dyDescent="0.25">
      <c r="D349" s="1259"/>
      <c r="E349" s="1259" t="str">
        <f>E335</f>
        <v>Packaged DX 65 -135kbtu</v>
      </c>
      <c r="F349" s="1266">
        <v>12</v>
      </c>
      <c r="G349" s="1326">
        <v>10.3</v>
      </c>
      <c r="H349" s="1326">
        <v>11.2</v>
      </c>
      <c r="I349" s="1326"/>
      <c r="J349" s="1326"/>
      <c r="K349" s="1306">
        <v>1053</v>
      </c>
    </row>
    <row r="350" spans="2:57" outlineLevel="1" x14ac:dyDescent="0.25">
      <c r="D350" s="1259"/>
      <c r="E350" s="1259" t="str">
        <f>E336</f>
        <v>Packaged DX &gt;760kbtu</v>
      </c>
      <c r="F350" s="1266">
        <v>12</v>
      </c>
      <c r="G350" s="1326">
        <v>9.1999999999999993</v>
      </c>
      <c r="H350" s="1326">
        <v>9.6999999999999993</v>
      </c>
      <c r="I350" s="1326"/>
      <c r="J350" s="1326"/>
      <c r="K350" s="1306">
        <v>1053</v>
      </c>
    </row>
    <row r="351" spans="2:57" outlineLevel="1" x14ac:dyDescent="0.25">
      <c r="D351" s="1259"/>
      <c r="E351" s="1259" t="str">
        <f>E337</f>
        <v>Packaged DX &lt;65kbtu</v>
      </c>
      <c r="F351" s="1266">
        <v>12</v>
      </c>
      <c r="G351" s="1326"/>
      <c r="H351" s="1326"/>
      <c r="I351" s="1326">
        <v>13</v>
      </c>
      <c r="J351" s="1326">
        <v>14</v>
      </c>
      <c r="K351" s="1306">
        <v>1053</v>
      </c>
    </row>
    <row r="354" spans="2:81" s="43" customFormat="1" ht="45" x14ac:dyDescent="0.25">
      <c r="B354" s="1351"/>
      <c r="C354" s="44" t="s">
        <v>16</v>
      </c>
      <c r="D354" s="44" t="s">
        <v>17</v>
      </c>
      <c r="E354" s="131" t="s">
        <v>18</v>
      </c>
      <c r="F354" s="131" t="s">
        <v>248</v>
      </c>
      <c r="G354" s="131" t="s">
        <v>194</v>
      </c>
      <c r="H354" s="131" t="s">
        <v>195</v>
      </c>
      <c r="I354" s="131" t="s">
        <v>20</v>
      </c>
      <c r="J354" s="131" t="s">
        <v>20</v>
      </c>
      <c r="K354" s="46" t="s">
        <v>21</v>
      </c>
      <c r="L354" s="131" t="s">
        <v>22</v>
      </c>
      <c r="M354" s="131" t="s">
        <v>23</v>
      </c>
      <c r="N354" s="44" t="s">
        <v>249</v>
      </c>
      <c r="O354" s="44" t="s">
        <v>25</v>
      </c>
      <c r="P354" s="1352"/>
      <c r="Q354" s="1353"/>
      <c r="R354" s="1139"/>
      <c r="S354" s="1139"/>
      <c r="T354" s="1139"/>
      <c r="U354" s="1139"/>
      <c r="V354" s="48" t="s">
        <v>26</v>
      </c>
      <c r="W354" s="49">
        <v>43252</v>
      </c>
      <c r="X354" s="49">
        <v>43465</v>
      </c>
      <c r="Y354" s="49" t="s">
        <v>27</v>
      </c>
      <c r="Z354" s="49" t="s">
        <v>27</v>
      </c>
      <c r="AA354" s="49" t="s">
        <v>27</v>
      </c>
      <c r="AB354" s="49" t="s">
        <v>27</v>
      </c>
      <c r="AC354" s="49" t="s">
        <v>27</v>
      </c>
      <c r="AD354" s="49" t="s">
        <v>27</v>
      </c>
      <c r="AE354" s="49" t="s">
        <v>27</v>
      </c>
      <c r="AF354" s="49" t="s">
        <v>27</v>
      </c>
      <c r="AG354" s="49" t="s">
        <v>27</v>
      </c>
      <c r="AH354"/>
      <c r="AI354" s="48" t="s">
        <v>26</v>
      </c>
      <c r="AJ354" s="49">
        <v>43252</v>
      </c>
      <c r="AK354" s="49">
        <v>43465</v>
      </c>
      <c r="AL354" s="49" t="s">
        <v>27</v>
      </c>
      <c r="AM354" s="49" t="s">
        <v>27</v>
      </c>
      <c r="AN354" s="49" t="s">
        <v>27</v>
      </c>
      <c r="AO354" s="49" t="s">
        <v>27</v>
      </c>
      <c r="AP354" s="49" t="s">
        <v>27</v>
      </c>
      <c r="AQ354" s="49" t="s">
        <v>27</v>
      </c>
      <c r="AR354" s="49" t="s">
        <v>27</v>
      </c>
      <c r="AS354" s="49" t="s">
        <v>27</v>
      </c>
      <c r="AT354"/>
      <c r="AU354" s="48" t="s">
        <v>26</v>
      </c>
      <c r="AV354" s="49">
        <v>43252</v>
      </c>
      <c r="AW354" s="49">
        <v>43465</v>
      </c>
      <c r="AX354" s="49" t="s">
        <v>27</v>
      </c>
      <c r="AY354" s="49" t="s">
        <v>27</v>
      </c>
      <c r="AZ354" s="49" t="s">
        <v>27</v>
      </c>
      <c r="BA354" s="49" t="s">
        <v>27</v>
      </c>
      <c r="BB354" s="49" t="s">
        <v>27</v>
      </c>
      <c r="BC354" s="49" t="s">
        <v>27</v>
      </c>
      <c r="BD354" s="49" t="s">
        <v>27</v>
      </c>
      <c r="BE354" s="49" t="s">
        <v>27</v>
      </c>
      <c r="BF354"/>
      <c r="BG354" s="48" t="s">
        <v>26</v>
      </c>
      <c r="BH354" s="49">
        <v>43252</v>
      </c>
      <c r="BI354" s="49">
        <v>43465</v>
      </c>
      <c r="BJ354" s="49" t="s">
        <v>27</v>
      </c>
      <c r="BK354" s="49" t="s">
        <v>27</v>
      </c>
      <c r="BL354" s="49" t="s">
        <v>27</v>
      </c>
      <c r="BM354" s="49" t="s">
        <v>27</v>
      </c>
      <c r="BN354" s="49" t="s">
        <v>27</v>
      </c>
      <c r="BO354" s="49" t="s">
        <v>27</v>
      </c>
      <c r="BP354" s="49" t="s">
        <v>27</v>
      </c>
      <c r="BQ354" s="49" t="s">
        <v>27</v>
      </c>
      <c r="BR354" s="24"/>
      <c r="BS354" s="48" t="s">
        <v>26</v>
      </c>
      <c r="BT354" s="49">
        <v>43252</v>
      </c>
      <c r="BU354" s="49">
        <v>43465</v>
      </c>
      <c r="BV354" s="49" t="s">
        <v>27</v>
      </c>
      <c r="BW354" s="49" t="s">
        <v>27</v>
      </c>
      <c r="BX354" s="49" t="s">
        <v>27</v>
      </c>
      <c r="BY354" s="49" t="s">
        <v>27</v>
      </c>
      <c r="BZ354" s="49" t="s">
        <v>27</v>
      </c>
      <c r="CA354" s="49" t="s">
        <v>27</v>
      </c>
      <c r="CB354" s="49" t="s">
        <v>27</v>
      </c>
      <c r="CC354" s="49" t="s">
        <v>27</v>
      </c>
    </row>
    <row r="355" spans="2:81" x14ac:dyDescent="0.25">
      <c r="B355" s="1256"/>
      <c r="C355" s="1237"/>
      <c r="D355" s="1329" t="s">
        <v>28</v>
      </c>
      <c r="E355" s="1268" t="s">
        <v>250</v>
      </c>
      <c r="F355" s="72">
        <f>F370*((1/G370)-(1/H370))*K370</f>
        <v>36.705882352941231</v>
      </c>
      <c r="G355" s="72">
        <f>(P370/3.412*((1/L370)-(1/M370))*Q370)</f>
        <v>27.988128808762067</v>
      </c>
      <c r="H355" s="72">
        <f t="shared" ref="H355:H360" si="17">SUM(F355:G355)</f>
        <v>64.694011161703301</v>
      </c>
      <c r="I355" s="1240" t="s">
        <v>197</v>
      </c>
      <c r="J355" s="1240" t="s">
        <v>198</v>
      </c>
      <c r="K355" s="1241">
        <v>9.1068395835808389E-4</v>
      </c>
      <c r="L355" s="1354">
        <f t="shared" ref="L355:L360" si="18">K355*F355</f>
        <v>3.3427458236202655E-2</v>
      </c>
      <c r="M355" s="375">
        <v>15</v>
      </c>
      <c r="N355" s="1270">
        <v>180</v>
      </c>
      <c r="O355" s="1340" t="s">
        <v>236</v>
      </c>
      <c r="P355" s="1352"/>
      <c r="Q355" s="1352"/>
      <c r="V355" s="52" t="str">
        <f>F354</f>
        <v>Cooling kWh Annual Savings (per ton)</v>
      </c>
      <c r="W355" s="59">
        <v>36.705882352941231</v>
      </c>
      <c r="X355" s="59">
        <v>36.705882352941231</v>
      </c>
      <c r="Y355" s="55"/>
      <c r="Z355" s="55"/>
      <c r="AA355" s="55"/>
      <c r="AB355" s="55"/>
      <c r="AC355" s="55"/>
      <c r="AD355" s="55"/>
      <c r="AE355" s="55"/>
      <c r="AF355" s="55"/>
      <c r="AG355" s="55"/>
      <c r="AH355" s="56"/>
      <c r="AI355" s="52" t="str">
        <f>G354</f>
        <v>Heating kWh Annual Savings (per ton)</v>
      </c>
      <c r="AJ355" s="59">
        <v>27.988128808762067</v>
      </c>
      <c r="AK355" s="59">
        <v>27.988128808762067</v>
      </c>
      <c r="AL355" s="55"/>
      <c r="AM355" s="55"/>
      <c r="AN355" s="55"/>
      <c r="AO355" s="55"/>
      <c r="AP355" s="55"/>
      <c r="AQ355" s="55"/>
      <c r="AR355" s="55"/>
      <c r="AS355" s="55"/>
      <c r="AT355" s="56"/>
      <c r="AU355" s="52" t="str">
        <f>H354</f>
        <v>Total kWh Annual Savings</v>
      </c>
      <c r="AV355" s="59">
        <v>64.694011161703301</v>
      </c>
      <c r="AW355" s="59">
        <v>64.694011161703301</v>
      </c>
      <c r="AX355" s="55"/>
      <c r="AY355" s="55"/>
      <c r="AZ355" s="55"/>
      <c r="BA355" s="55"/>
      <c r="BB355" s="55"/>
      <c r="BC355" s="55"/>
      <c r="BD355" s="55"/>
      <c r="BE355" s="55"/>
      <c r="BF355" s="56"/>
      <c r="BG355" s="52" t="s">
        <v>23</v>
      </c>
      <c r="BH355" s="57">
        <v>15</v>
      </c>
      <c r="BI355" s="57">
        <v>15</v>
      </c>
      <c r="BJ355" s="55"/>
      <c r="BK355" s="55"/>
      <c r="BL355" s="55"/>
      <c r="BM355" s="55"/>
      <c r="BN355" s="55"/>
      <c r="BO355" s="55"/>
      <c r="BP355" s="55"/>
      <c r="BQ355" s="55"/>
      <c r="BR355" s="24"/>
      <c r="BS355" s="52" t="str">
        <f>N354</f>
        <v>Inc. Cost (per ton)</v>
      </c>
      <c r="BT355" s="58">
        <v>180</v>
      </c>
      <c r="BU355" s="58">
        <v>180</v>
      </c>
      <c r="BV355" s="55"/>
      <c r="BW355" s="55"/>
      <c r="BX355" s="55"/>
      <c r="BY355" s="55"/>
      <c r="BZ355" s="55"/>
      <c r="CA355" s="55"/>
      <c r="CB355" s="55"/>
      <c r="CC355" s="55"/>
    </row>
    <row r="356" spans="2:81" x14ac:dyDescent="0.25">
      <c r="B356" s="1256"/>
      <c r="C356" s="1237"/>
      <c r="D356" s="1329" t="s">
        <v>28</v>
      </c>
      <c r="E356" s="1281" t="s">
        <v>251</v>
      </c>
      <c r="F356" s="72">
        <f>F371*((1/G371)-(1/H371))*K371</f>
        <v>114.94736842105272</v>
      </c>
      <c r="G356" s="72">
        <f>(P371/3.412*((1/L371)-(1/M371))*Q371)</f>
        <v>27.988128808762067</v>
      </c>
      <c r="H356" s="72">
        <f t="shared" si="17"/>
        <v>142.93549722981479</v>
      </c>
      <c r="I356" s="1240" t="s">
        <v>197</v>
      </c>
      <c r="J356" s="1240" t="s">
        <v>198</v>
      </c>
      <c r="K356" s="1241">
        <v>9.1068395835808389E-4</v>
      </c>
      <c r="L356" s="1354">
        <f t="shared" si="18"/>
        <v>0.10468072447652929</v>
      </c>
      <c r="M356" s="1279">
        <v>15</v>
      </c>
      <c r="N356" s="1270">
        <v>180</v>
      </c>
      <c r="O356" s="1340" t="s">
        <v>236</v>
      </c>
      <c r="P356" s="1352"/>
      <c r="Q356" s="1352"/>
      <c r="V356" s="52" t="str">
        <f>V355</f>
        <v>Cooling kWh Annual Savings (per ton)</v>
      </c>
      <c r="W356" s="59">
        <v>114.94736842105272</v>
      </c>
      <c r="X356" s="59">
        <v>114.94736842105272</v>
      </c>
      <c r="Y356" s="55"/>
      <c r="Z356" s="55"/>
      <c r="AA356" s="55"/>
      <c r="AB356" s="55"/>
      <c r="AC356" s="55"/>
      <c r="AD356" s="55"/>
      <c r="AE356" s="55"/>
      <c r="AF356" s="55"/>
      <c r="AG356" s="55"/>
      <c r="AH356" s="56"/>
      <c r="AI356" s="52" t="str">
        <f>AI355</f>
        <v>Heating kWh Annual Savings (per ton)</v>
      </c>
      <c r="AJ356" s="59">
        <v>27.988128808762067</v>
      </c>
      <c r="AK356" s="59">
        <v>27.988128808762067</v>
      </c>
      <c r="AL356" s="55"/>
      <c r="AM356" s="55"/>
      <c r="AN356" s="55"/>
      <c r="AO356" s="55"/>
      <c r="AP356" s="55"/>
      <c r="AQ356" s="55"/>
      <c r="AR356" s="55"/>
      <c r="AS356" s="55"/>
      <c r="AT356" s="56"/>
      <c r="AU356" s="52" t="str">
        <f>AU355</f>
        <v>Total kWh Annual Savings</v>
      </c>
      <c r="AV356" s="59">
        <v>142.93549722981479</v>
      </c>
      <c r="AW356" s="59">
        <v>142.93549722981479</v>
      </c>
      <c r="AX356" s="55"/>
      <c r="AY356" s="55"/>
      <c r="AZ356" s="55"/>
      <c r="BA356" s="55"/>
      <c r="BB356" s="55"/>
      <c r="BC356" s="55"/>
      <c r="BD356" s="55"/>
      <c r="BE356" s="55"/>
      <c r="BF356" s="56"/>
      <c r="BG356" s="52" t="s">
        <v>23</v>
      </c>
      <c r="BH356" s="57">
        <v>15</v>
      </c>
      <c r="BI356" s="57">
        <v>15</v>
      </c>
      <c r="BJ356" s="55"/>
      <c r="BK356" s="55"/>
      <c r="BL356" s="55"/>
      <c r="BM356" s="55"/>
      <c r="BN356" s="55"/>
      <c r="BO356" s="55"/>
      <c r="BP356" s="55"/>
      <c r="BQ356" s="55"/>
      <c r="BR356" s="24"/>
      <c r="BS356" s="52" t="str">
        <f>BS355</f>
        <v>Inc. Cost (per ton)</v>
      </c>
      <c r="BT356" s="58">
        <v>180</v>
      </c>
      <c r="BU356" s="58">
        <v>180</v>
      </c>
      <c r="BV356" s="55"/>
      <c r="BW356" s="55"/>
      <c r="BX356" s="55"/>
      <c r="BY356" s="55"/>
      <c r="BZ356" s="55"/>
      <c r="CA356" s="55"/>
      <c r="CB356" s="55"/>
      <c r="CC356" s="55"/>
    </row>
    <row r="357" spans="2:81" x14ac:dyDescent="0.25">
      <c r="B357" s="1256"/>
      <c r="C357" s="1237"/>
      <c r="D357" s="1329" t="s">
        <v>28</v>
      </c>
      <c r="E357" s="1281" t="s">
        <v>252</v>
      </c>
      <c r="F357" s="72">
        <f>F372*((1/G372)-(1/H372))*K372</f>
        <v>95.727272727272819</v>
      </c>
      <c r="G357" s="72">
        <f>(P372/3.412*((1/L372)-(1/M372))*Q372)</f>
        <v>64.554437356313187</v>
      </c>
      <c r="H357" s="72">
        <f t="shared" si="17"/>
        <v>160.28171008358601</v>
      </c>
      <c r="I357" s="1240" t="s">
        <v>197</v>
      </c>
      <c r="J357" s="1240" t="s">
        <v>198</v>
      </c>
      <c r="K357" s="1241">
        <v>9.1068395835808389E-4</v>
      </c>
      <c r="L357" s="1354">
        <f t="shared" si="18"/>
        <v>8.7177291650096661E-2</v>
      </c>
      <c r="M357" s="1279">
        <v>15</v>
      </c>
      <c r="N357" s="1270">
        <v>100</v>
      </c>
      <c r="O357" s="1340" t="s">
        <v>236</v>
      </c>
      <c r="P357" s="1352"/>
      <c r="Q357" s="1352"/>
      <c r="V357" s="52" t="str">
        <f t="shared" ref="V357:V360" si="19">V356</f>
        <v>Cooling kWh Annual Savings (per ton)</v>
      </c>
      <c r="W357" s="59">
        <v>95.727272727272819</v>
      </c>
      <c r="X357" s="59">
        <v>95.727272727272819</v>
      </c>
      <c r="Y357" s="55"/>
      <c r="Z357" s="55"/>
      <c r="AA357" s="55"/>
      <c r="AB357" s="55"/>
      <c r="AC357" s="55"/>
      <c r="AD357" s="55"/>
      <c r="AE357" s="55"/>
      <c r="AF357" s="55"/>
      <c r="AG357" s="55"/>
      <c r="AH357" s="56"/>
      <c r="AI357" s="52" t="str">
        <f t="shared" ref="AI357:AI360" si="20">AI356</f>
        <v>Heating kWh Annual Savings (per ton)</v>
      </c>
      <c r="AJ357" s="59">
        <v>64.554437356313187</v>
      </c>
      <c r="AK357" s="59">
        <v>64.554437356313187</v>
      </c>
      <c r="AL357" s="55"/>
      <c r="AM357" s="55"/>
      <c r="AN357" s="55"/>
      <c r="AO357" s="55"/>
      <c r="AP357" s="55"/>
      <c r="AQ357" s="55"/>
      <c r="AR357" s="55"/>
      <c r="AS357" s="55"/>
      <c r="AT357" s="56"/>
      <c r="AU357" s="52" t="str">
        <f t="shared" ref="AU357:AU375" si="21">AU356</f>
        <v>Total kWh Annual Savings</v>
      </c>
      <c r="AV357" s="59">
        <v>160.28171008358601</v>
      </c>
      <c r="AW357" s="59">
        <v>160.28171008358601</v>
      </c>
      <c r="AX357" s="55"/>
      <c r="AY357" s="55"/>
      <c r="AZ357" s="55"/>
      <c r="BA357" s="55"/>
      <c r="BB357" s="55"/>
      <c r="BC357" s="55"/>
      <c r="BD357" s="55"/>
      <c r="BE357" s="55"/>
      <c r="BF357" s="56"/>
      <c r="BG357" s="52" t="s">
        <v>23</v>
      </c>
      <c r="BH357" s="57">
        <v>15</v>
      </c>
      <c r="BI357" s="57">
        <v>15</v>
      </c>
      <c r="BJ357" s="55"/>
      <c r="BK357" s="55"/>
      <c r="BL357" s="55"/>
      <c r="BM357" s="55"/>
      <c r="BN357" s="55"/>
      <c r="BO357" s="55"/>
      <c r="BP357" s="55"/>
      <c r="BQ357" s="55"/>
      <c r="BR357" s="24"/>
      <c r="BS357" s="52" t="str">
        <f t="shared" ref="BS357:BS375" si="22">BS356</f>
        <v>Inc. Cost (per ton)</v>
      </c>
      <c r="BT357" s="58">
        <v>100</v>
      </c>
      <c r="BU357" s="58">
        <v>100</v>
      </c>
      <c r="BV357" s="55"/>
      <c r="BW357" s="55"/>
      <c r="BX357" s="55"/>
      <c r="BY357" s="55"/>
      <c r="BZ357" s="55"/>
      <c r="CA357" s="55"/>
      <c r="CB357" s="55"/>
      <c r="CC357" s="55"/>
    </row>
    <row r="358" spans="2:81" x14ac:dyDescent="0.25">
      <c r="B358" s="1256"/>
      <c r="C358" s="1237"/>
      <c r="D358" s="1329" t="s">
        <v>28</v>
      </c>
      <c r="E358" s="1268" t="s">
        <v>253</v>
      </c>
      <c r="F358" s="72">
        <f>F373*((1/G373)-(1/H373))*K373</f>
        <v>43.348198970840535</v>
      </c>
      <c r="G358" s="72">
        <f>(P373/3.412*((1/L373)-(1/M373))*Q373)</f>
        <v>183.94829394705997</v>
      </c>
      <c r="H358" s="72">
        <f t="shared" si="17"/>
        <v>227.29649291790051</v>
      </c>
      <c r="I358" s="1240" t="s">
        <v>197</v>
      </c>
      <c r="J358" s="1240" t="s">
        <v>198</v>
      </c>
      <c r="K358" s="1241">
        <v>9.1068395835808389E-4</v>
      </c>
      <c r="L358" s="1354">
        <f t="shared" si="18"/>
        <v>3.9476509426458875E-2</v>
      </c>
      <c r="M358" s="375">
        <v>15</v>
      </c>
      <c r="N358" s="1270">
        <v>100</v>
      </c>
      <c r="O358" s="1340" t="s">
        <v>236</v>
      </c>
      <c r="P358" s="1355"/>
      <c r="Q358" s="1355"/>
      <c r="V358" s="52" t="str">
        <f t="shared" si="19"/>
        <v>Cooling kWh Annual Savings (per ton)</v>
      </c>
      <c r="W358" s="59">
        <v>43.348198970840535</v>
      </c>
      <c r="X358" s="59">
        <v>43.348198970840535</v>
      </c>
      <c r="Y358" s="55"/>
      <c r="Z358" s="55"/>
      <c r="AA358" s="55"/>
      <c r="AB358" s="55"/>
      <c r="AC358" s="55"/>
      <c r="AD358" s="55"/>
      <c r="AE358" s="55"/>
      <c r="AF358" s="55"/>
      <c r="AG358" s="55"/>
      <c r="AH358" s="56"/>
      <c r="AI358" s="52" t="str">
        <f t="shared" si="20"/>
        <v>Heating kWh Annual Savings (per ton)</v>
      </c>
      <c r="AJ358" s="59">
        <v>183.94829394705997</v>
      </c>
      <c r="AK358" s="59">
        <v>183.94829394705997</v>
      </c>
      <c r="AL358" s="55"/>
      <c r="AM358" s="55"/>
      <c r="AN358" s="55"/>
      <c r="AO358" s="55"/>
      <c r="AP358" s="55"/>
      <c r="AQ358" s="55"/>
      <c r="AR358" s="55"/>
      <c r="AS358" s="55"/>
      <c r="AT358" s="56"/>
      <c r="AU358" s="52" t="str">
        <f t="shared" si="21"/>
        <v>Total kWh Annual Savings</v>
      </c>
      <c r="AV358" s="59">
        <v>227.29649291790051</v>
      </c>
      <c r="AW358" s="59">
        <v>227.29649291790051</v>
      </c>
      <c r="AX358" s="55"/>
      <c r="AY358" s="55"/>
      <c r="AZ358" s="55"/>
      <c r="BA358" s="55"/>
      <c r="BB358" s="55"/>
      <c r="BC358" s="55"/>
      <c r="BD358" s="55"/>
      <c r="BE358" s="55"/>
      <c r="BF358" s="56"/>
      <c r="BG358" s="52" t="s">
        <v>23</v>
      </c>
      <c r="BH358" s="57">
        <v>15</v>
      </c>
      <c r="BI358" s="57">
        <v>15</v>
      </c>
      <c r="BJ358" s="55"/>
      <c r="BK358" s="55"/>
      <c r="BL358" s="55"/>
      <c r="BM358" s="55"/>
      <c r="BN358" s="55"/>
      <c r="BO358" s="55"/>
      <c r="BP358" s="55"/>
      <c r="BQ358" s="55"/>
      <c r="BR358" s="24"/>
      <c r="BS358" s="52" t="str">
        <f t="shared" si="22"/>
        <v>Inc. Cost (per ton)</v>
      </c>
      <c r="BT358" s="58">
        <v>100</v>
      </c>
      <c r="BU358" s="58">
        <v>100</v>
      </c>
      <c r="BV358" s="55"/>
      <c r="BW358" s="55"/>
      <c r="BX358" s="55"/>
      <c r="BY358" s="55"/>
      <c r="BZ358" s="55"/>
      <c r="CA358" s="55"/>
      <c r="CB358" s="55"/>
      <c r="CC358" s="55"/>
    </row>
    <row r="359" spans="2:81" x14ac:dyDescent="0.25">
      <c r="B359" s="1256"/>
      <c r="C359" s="1237"/>
      <c r="D359" s="1329" t="s">
        <v>28</v>
      </c>
      <c r="E359" s="1281" t="s">
        <v>254</v>
      </c>
      <c r="F359" s="72">
        <f>F374*((1/G374)-(1/H374))*K374</f>
        <v>138.02979145978136</v>
      </c>
      <c r="G359" s="72">
        <f>(P374/3.412*((1/L374)-(1/M374))*Q374)</f>
        <v>129.44509574052361</v>
      </c>
      <c r="H359" s="72">
        <f t="shared" si="17"/>
        <v>267.47488720030498</v>
      </c>
      <c r="I359" s="1240" t="s">
        <v>197</v>
      </c>
      <c r="J359" s="1240" t="s">
        <v>198</v>
      </c>
      <c r="K359" s="1241">
        <v>9.1068395835808389E-4</v>
      </c>
      <c r="L359" s="1242">
        <f t="shared" si="18"/>
        <v>0.12570151685793454</v>
      </c>
      <c r="M359" s="1279">
        <v>15</v>
      </c>
      <c r="N359" s="1270">
        <v>100</v>
      </c>
      <c r="O359" s="1340" t="s">
        <v>236</v>
      </c>
      <c r="P359" s="1355"/>
      <c r="Q359" s="1355"/>
      <c r="V359" s="52" t="str">
        <f t="shared" si="19"/>
        <v>Cooling kWh Annual Savings (per ton)</v>
      </c>
      <c r="W359" s="59">
        <v>138.02979145978136</v>
      </c>
      <c r="X359" s="59">
        <v>138.02979145978136</v>
      </c>
      <c r="Y359" s="55"/>
      <c r="Z359" s="55"/>
      <c r="AA359" s="55"/>
      <c r="AB359" s="55"/>
      <c r="AC359" s="55"/>
      <c r="AD359" s="55"/>
      <c r="AE359" s="55"/>
      <c r="AF359" s="55"/>
      <c r="AG359" s="55"/>
      <c r="AH359" s="56"/>
      <c r="AI359" s="52" t="str">
        <f t="shared" si="20"/>
        <v>Heating kWh Annual Savings (per ton)</v>
      </c>
      <c r="AJ359" s="59">
        <v>129.44509574052361</v>
      </c>
      <c r="AK359" s="59">
        <v>129.44509574052361</v>
      </c>
      <c r="AL359" s="55"/>
      <c r="AM359" s="55"/>
      <c r="AN359" s="55"/>
      <c r="AO359" s="55"/>
      <c r="AP359" s="55"/>
      <c r="AQ359" s="55"/>
      <c r="AR359" s="55"/>
      <c r="AS359" s="55"/>
      <c r="AT359" s="56"/>
      <c r="AU359" s="52" t="str">
        <f t="shared" si="21"/>
        <v>Total kWh Annual Savings</v>
      </c>
      <c r="AV359" s="59">
        <v>267.47488720030498</v>
      </c>
      <c r="AW359" s="59">
        <v>267.47488720030498</v>
      </c>
      <c r="AX359" s="55"/>
      <c r="AY359" s="55"/>
      <c r="AZ359" s="55"/>
      <c r="BA359" s="55"/>
      <c r="BB359" s="55"/>
      <c r="BC359" s="55"/>
      <c r="BD359" s="55"/>
      <c r="BE359" s="55"/>
      <c r="BF359" s="56"/>
      <c r="BG359" s="52" t="s">
        <v>23</v>
      </c>
      <c r="BH359" s="57">
        <v>15</v>
      </c>
      <c r="BI359" s="57">
        <v>15</v>
      </c>
      <c r="BJ359" s="55"/>
      <c r="BK359" s="55"/>
      <c r="BL359" s="55"/>
      <c r="BM359" s="55"/>
      <c r="BN359" s="55"/>
      <c r="BO359" s="55"/>
      <c r="BP359" s="55"/>
      <c r="BQ359" s="55"/>
      <c r="BR359" s="24"/>
      <c r="BS359" s="52" t="str">
        <f t="shared" si="22"/>
        <v>Inc. Cost (per ton)</v>
      </c>
      <c r="BT359" s="58">
        <v>100</v>
      </c>
      <c r="BU359" s="58">
        <v>100</v>
      </c>
      <c r="BV359" s="55"/>
      <c r="BW359" s="55"/>
      <c r="BX359" s="55"/>
      <c r="BY359" s="55"/>
      <c r="BZ359" s="55"/>
      <c r="CA359" s="55"/>
      <c r="CB359" s="55"/>
      <c r="CC359" s="55"/>
    </row>
    <row r="360" spans="2:81" x14ac:dyDescent="0.25">
      <c r="B360" s="1256"/>
      <c r="C360" s="1237"/>
      <c r="D360" s="1329" t="s">
        <v>28</v>
      </c>
      <c r="E360" s="1281" t="s">
        <v>255</v>
      </c>
      <c r="F360" s="72">
        <f>(F375*((1/I375)-(1/J375))*K375)</f>
        <v>69.42857142857153</v>
      </c>
      <c r="G360" s="72">
        <f>(P375*((1/N375)-(1/O375))*Q375)</f>
        <v>61.948051948051791</v>
      </c>
      <c r="H360" s="72">
        <f t="shared" si="17"/>
        <v>131.37662337662331</v>
      </c>
      <c r="I360" s="1240" t="s">
        <v>197</v>
      </c>
      <c r="J360" s="1240" t="s">
        <v>198</v>
      </c>
      <c r="K360" s="1241">
        <v>9.1068395835808389E-4</v>
      </c>
      <c r="L360" s="1242">
        <f t="shared" si="18"/>
        <v>6.3227486251718493E-2</v>
      </c>
      <c r="M360" s="1279">
        <v>15</v>
      </c>
      <c r="N360" s="1270">
        <v>100</v>
      </c>
      <c r="O360" s="1340" t="s">
        <v>236</v>
      </c>
      <c r="P360" s="1355"/>
      <c r="Q360" s="1355"/>
      <c r="V360" s="52" t="str">
        <f t="shared" si="19"/>
        <v>Cooling kWh Annual Savings (per ton)</v>
      </c>
      <c r="W360" s="59">
        <v>69.42857142857153</v>
      </c>
      <c r="X360" s="59">
        <v>69.42857142857153</v>
      </c>
      <c r="Y360" s="55"/>
      <c r="Z360" s="55"/>
      <c r="AA360" s="55"/>
      <c r="AB360" s="55"/>
      <c r="AC360" s="55"/>
      <c r="AD360" s="55"/>
      <c r="AE360" s="55"/>
      <c r="AF360" s="55"/>
      <c r="AG360" s="55"/>
      <c r="AH360" s="56"/>
      <c r="AI360" s="52" t="str">
        <f t="shared" si="20"/>
        <v>Heating kWh Annual Savings (per ton)</v>
      </c>
      <c r="AJ360" s="59">
        <v>61.948051948051791</v>
      </c>
      <c r="AK360" s="59">
        <v>61.948051948051791</v>
      </c>
      <c r="AL360" s="55"/>
      <c r="AM360" s="55"/>
      <c r="AN360" s="55"/>
      <c r="AO360" s="55"/>
      <c r="AP360" s="55"/>
      <c r="AQ360" s="55"/>
      <c r="AR360" s="55"/>
      <c r="AS360" s="55"/>
      <c r="AT360" s="56"/>
      <c r="AU360" s="52" t="str">
        <f t="shared" si="21"/>
        <v>Total kWh Annual Savings</v>
      </c>
      <c r="AV360" s="59">
        <v>131.37662337662331</v>
      </c>
      <c r="AW360" s="59">
        <v>131.37662337662331</v>
      </c>
      <c r="AX360" s="55"/>
      <c r="AY360" s="55"/>
      <c r="AZ360" s="55"/>
      <c r="BA360" s="55"/>
      <c r="BB360" s="55"/>
      <c r="BC360" s="55"/>
      <c r="BD360" s="55"/>
      <c r="BE360" s="55"/>
      <c r="BF360" s="56"/>
      <c r="BG360" s="52" t="s">
        <v>23</v>
      </c>
      <c r="BH360" s="57">
        <v>15</v>
      </c>
      <c r="BI360" s="57">
        <v>15</v>
      </c>
      <c r="BJ360" s="55"/>
      <c r="BK360" s="55"/>
      <c r="BL360" s="55"/>
      <c r="BM360" s="55"/>
      <c r="BN360" s="55"/>
      <c r="BO360" s="55"/>
      <c r="BP360" s="55"/>
      <c r="BQ360" s="55"/>
      <c r="BR360" s="24"/>
      <c r="BS360" s="52" t="str">
        <f t="shared" si="22"/>
        <v>Inc. Cost (per ton)</v>
      </c>
      <c r="BT360" s="58">
        <v>100</v>
      </c>
      <c r="BU360" s="58">
        <v>100</v>
      </c>
      <c r="BV360" s="55"/>
      <c r="BW360" s="55"/>
      <c r="BX360" s="55"/>
      <c r="BY360" s="55"/>
      <c r="BZ360" s="55"/>
      <c r="CA360" s="55"/>
      <c r="CB360" s="55"/>
      <c r="CC360" s="55"/>
    </row>
    <row r="361" spans="2:81" outlineLevel="1" x14ac:dyDescent="0.25">
      <c r="E361" s="1227"/>
      <c r="F361" s="1227"/>
      <c r="G361" s="1227"/>
      <c r="H361" s="1251"/>
      <c r="I361" s="1227"/>
      <c r="J361" s="1227"/>
      <c r="K361" s="1227"/>
      <c r="M361" s="1355"/>
      <c r="N361" s="1355"/>
      <c r="O361" s="1355"/>
      <c r="P361" s="1355"/>
      <c r="AU361" s="52" t="str">
        <f t="shared" si="21"/>
        <v>Total kWh Annual Savings</v>
      </c>
      <c r="BS361" s="52" t="str">
        <f t="shared" si="22"/>
        <v>Inc. Cost (per ton)</v>
      </c>
    </row>
    <row r="362" spans="2:81" outlineLevel="1" x14ac:dyDescent="0.25">
      <c r="D362" s="1227" t="s">
        <v>52</v>
      </c>
      <c r="E362" s="175"/>
      <c r="F362" s="1227"/>
      <c r="G362" s="1227"/>
      <c r="H362" s="1251"/>
      <c r="I362" s="1227"/>
      <c r="J362" s="1227"/>
      <c r="K362" s="175"/>
      <c r="M362" s="1355"/>
      <c r="N362" s="1355"/>
      <c r="O362" s="1355"/>
      <c r="P362" s="1355"/>
      <c r="AU362" s="52" t="str">
        <f t="shared" si="21"/>
        <v>Total kWh Annual Savings</v>
      </c>
      <c r="BS362" s="52" t="str">
        <f t="shared" si="22"/>
        <v>Inc. Cost (per ton)</v>
      </c>
    </row>
    <row r="363" spans="2:81" outlineLevel="1" x14ac:dyDescent="0.25">
      <c r="E363" s="175"/>
      <c r="F363" s="1314" t="s">
        <v>241</v>
      </c>
      <c r="G363" s="1285"/>
      <c r="H363" s="1286"/>
      <c r="J363" s="1314" t="s">
        <v>1860</v>
      </c>
      <c r="AU363" s="52" t="str">
        <f t="shared" si="21"/>
        <v>Total kWh Annual Savings</v>
      </c>
      <c r="BS363" s="52" t="str">
        <f t="shared" si="22"/>
        <v>Inc. Cost (per ton)</v>
      </c>
    </row>
    <row r="364" spans="2:81" outlineLevel="1" x14ac:dyDescent="0.25">
      <c r="D364" s="1252"/>
      <c r="G364" s="1285"/>
      <c r="H364" s="1286"/>
      <c r="AU364" s="52" t="str">
        <f t="shared" si="21"/>
        <v>Total kWh Annual Savings</v>
      </c>
      <c r="BS364" s="52" t="str">
        <f t="shared" si="22"/>
        <v>Inc. Cost (per ton)</v>
      </c>
    </row>
    <row r="365" spans="2:81" outlineLevel="1" x14ac:dyDescent="0.25">
      <c r="D365" s="1252"/>
      <c r="G365" s="1222"/>
      <c r="H365" s="1253"/>
      <c r="M365" s="1227"/>
      <c r="AU365" s="52" t="str">
        <f t="shared" si="21"/>
        <v>Total kWh Annual Savings</v>
      </c>
      <c r="BS365" s="52" t="str">
        <f t="shared" si="22"/>
        <v>Inc. Cost (per ton)</v>
      </c>
    </row>
    <row r="366" spans="2:81" outlineLevel="1" x14ac:dyDescent="0.25">
      <c r="D366" s="1252"/>
      <c r="G366" s="1222"/>
      <c r="H366" s="1253"/>
      <c r="M366" s="1227"/>
      <c r="AU366" s="52" t="str">
        <f t="shared" si="21"/>
        <v>Total kWh Annual Savings</v>
      </c>
      <c r="BS366" s="52" t="str">
        <f t="shared" si="22"/>
        <v>Inc. Cost (per ton)</v>
      </c>
    </row>
    <row r="367" spans="2:81" outlineLevel="1" x14ac:dyDescent="0.25">
      <c r="D367" s="1252"/>
      <c r="G367" s="1222"/>
      <c r="H367" s="1253"/>
      <c r="M367" s="1227"/>
      <c r="AU367" s="52" t="str">
        <f t="shared" si="21"/>
        <v>Total kWh Annual Savings</v>
      </c>
      <c r="BS367" s="52" t="str">
        <f t="shared" si="22"/>
        <v>Inc. Cost (per ton)</v>
      </c>
    </row>
    <row r="368" spans="2:81" outlineLevel="1" x14ac:dyDescent="0.25">
      <c r="D368" s="1252"/>
      <c r="G368" s="1222"/>
      <c r="H368" s="1253"/>
      <c r="AU368" s="52" t="str">
        <f t="shared" si="21"/>
        <v>Total kWh Annual Savings</v>
      </c>
      <c r="BS368" s="52" t="str">
        <f t="shared" si="22"/>
        <v>Inc. Cost (per ton)</v>
      </c>
    </row>
    <row r="369" spans="2:71" s="61" customFormat="1" ht="30" outlineLevel="1" x14ac:dyDescent="0.2">
      <c r="B369" s="1258"/>
      <c r="C369" s="1258"/>
      <c r="D369" s="91" t="s">
        <v>16</v>
      </c>
      <c r="E369" s="91" t="s">
        <v>89</v>
      </c>
      <c r="F369" s="99" t="s">
        <v>242</v>
      </c>
      <c r="G369" s="91" t="s">
        <v>243</v>
      </c>
      <c r="H369" s="91" t="s">
        <v>244</v>
      </c>
      <c r="I369" s="91" t="s">
        <v>245</v>
      </c>
      <c r="J369" s="95" t="s">
        <v>246</v>
      </c>
      <c r="K369" s="95" t="s">
        <v>200</v>
      </c>
      <c r="L369" s="95" t="s">
        <v>256</v>
      </c>
      <c r="M369" s="95" t="s">
        <v>257</v>
      </c>
      <c r="N369" s="95" t="s">
        <v>258</v>
      </c>
      <c r="O369" s="95" t="s">
        <v>259</v>
      </c>
      <c r="P369" s="99" t="s">
        <v>260</v>
      </c>
      <c r="Q369" s="95" t="s">
        <v>261</v>
      </c>
      <c r="R369" s="95" t="s">
        <v>262</v>
      </c>
      <c r="S369" s="131"/>
      <c r="T369" s="1258"/>
      <c r="U369" s="1258"/>
      <c r="AU369" s="52" t="str">
        <f t="shared" si="21"/>
        <v>Total kWh Annual Savings</v>
      </c>
      <c r="BS369" s="52" t="str">
        <f t="shared" si="22"/>
        <v>Inc. Cost (per ton)</v>
      </c>
    </row>
    <row r="370" spans="2:71" outlineLevel="1" x14ac:dyDescent="0.25">
      <c r="B370" s="1223"/>
      <c r="D370" s="1259"/>
      <c r="E370" s="1259" t="str">
        <f t="shared" ref="E370:E375" si="23">E355</f>
        <v>GSHP &lt;135kbtu; ≥17EER</v>
      </c>
      <c r="F370" s="1266">
        <v>12</v>
      </c>
      <c r="G370" s="1326">
        <v>16.2</v>
      </c>
      <c r="H370" s="1326">
        <v>17</v>
      </c>
      <c r="I370" s="1326"/>
      <c r="J370" s="1326"/>
      <c r="K370" s="1306">
        <v>1053</v>
      </c>
      <c r="L370" s="1328">
        <v>3.6</v>
      </c>
      <c r="M370" s="1328">
        <v>3.7</v>
      </c>
      <c r="N370" s="1328"/>
      <c r="O370" s="1356"/>
      <c r="P370" s="1299">
        <v>12</v>
      </c>
      <c r="Q370" s="1328">
        <v>1060</v>
      </c>
      <c r="R370" s="1357" t="s">
        <v>263</v>
      </c>
      <c r="S370" s="1327"/>
      <c r="AU370" s="52" t="str">
        <f t="shared" si="21"/>
        <v>Total kWh Annual Savings</v>
      </c>
      <c r="BS370" s="52" t="str">
        <f t="shared" si="22"/>
        <v>Inc. Cost (per ton)</v>
      </c>
    </row>
    <row r="371" spans="2:71" outlineLevel="1" x14ac:dyDescent="0.25">
      <c r="B371" s="1223"/>
      <c r="D371" s="1259"/>
      <c r="E371" s="1259" t="str">
        <f t="shared" si="23"/>
        <v>GSHP &lt;135kbtu; ≥19EER</v>
      </c>
      <c r="F371" s="1266">
        <v>12</v>
      </c>
      <c r="G371" s="1326">
        <v>16.2</v>
      </c>
      <c r="H371" s="1326">
        <v>19</v>
      </c>
      <c r="I371" s="1326"/>
      <c r="J371" s="1326"/>
      <c r="K371" s="1306">
        <v>1053</v>
      </c>
      <c r="L371" s="1328">
        <v>3.6</v>
      </c>
      <c r="M371" s="1328">
        <v>3.7</v>
      </c>
      <c r="N371" s="1328"/>
      <c r="O371" s="1356"/>
      <c r="P371" s="1299">
        <v>12</v>
      </c>
      <c r="Q371" s="1328">
        <v>1060</v>
      </c>
      <c r="R371" s="1357" t="s">
        <v>263</v>
      </c>
      <c r="S371" s="1327"/>
      <c r="AU371" s="52" t="str">
        <f t="shared" si="21"/>
        <v>Total kWh Annual Savings</v>
      </c>
      <c r="BS371" s="52" t="str">
        <f t="shared" si="22"/>
        <v>Inc. Cost (per ton)</v>
      </c>
    </row>
    <row r="372" spans="2:71" outlineLevel="1" x14ac:dyDescent="0.25">
      <c r="B372" s="1223"/>
      <c r="D372" s="1259"/>
      <c r="E372" s="1259" t="str">
        <f t="shared" si="23"/>
        <v>ASHP 65 - 135kbtu</v>
      </c>
      <c r="F372" s="1266">
        <v>12</v>
      </c>
      <c r="G372" s="1326">
        <v>11</v>
      </c>
      <c r="H372" s="1326">
        <v>12</v>
      </c>
      <c r="I372" s="1326"/>
      <c r="J372" s="1326"/>
      <c r="K372" s="1306">
        <v>1053</v>
      </c>
      <c r="L372" s="1328">
        <v>3.3</v>
      </c>
      <c r="M372" s="1328">
        <v>3.5</v>
      </c>
      <c r="N372" s="1328"/>
      <c r="O372" s="1356"/>
      <c r="P372" s="1299">
        <v>12</v>
      </c>
      <c r="Q372" s="1328">
        <v>1060</v>
      </c>
      <c r="R372" s="1357" t="s">
        <v>263</v>
      </c>
      <c r="S372" s="1327"/>
      <c r="AU372" s="52" t="str">
        <f t="shared" si="21"/>
        <v>Total kWh Annual Savings</v>
      </c>
      <c r="BS372" s="52" t="str">
        <f t="shared" si="22"/>
        <v>Inc. Cost (per ton)</v>
      </c>
    </row>
    <row r="373" spans="2:71" outlineLevel="1" x14ac:dyDescent="0.25">
      <c r="B373" s="1223"/>
      <c r="D373" s="1259"/>
      <c r="E373" s="1259" t="str">
        <f t="shared" si="23"/>
        <v>ASHP 135 - 240kbtu</v>
      </c>
      <c r="F373" s="1266">
        <v>12</v>
      </c>
      <c r="G373" s="1326">
        <v>10.6</v>
      </c>
      <c r="H373" s="1326">
        <v>11</v>
      </c>
      <c r="I373" s="1326"/>
      <c r="J373" s="1326"/>
      <c r="K373" s="1306">
        <v>1053</v>
      </c>
      <c r="L373" s="1328">
        <v>3.2</v>
      </c>
      <c r="M373" s="1328">
        <v>3.8</v>
      </c>
      <c r="N373" s="1328"/>
      <c r="O373" s="1356"/>
      <c r="P373" s="1299">
        <v>12</v>
      </c>
      <c r="Q373" s="1328">
        <v>1060</v>
      </c>
      <c r="R373" s="1357" t="s">
        <v>263</v>
      </c>
      <c r="S373" s="1327"/>
      <c r="AU373" s="52" t="str">
        <f t="shared" si="21"/>
        <v>Total kWh Annual Savings</v>
      </c>
      <c r="BS373" s="52" t="str">
        <f t="shared" si="22"/>
        <v>Inc. Cost (per ton)</v>
      </c>
    </row>
    <row r="374" spans="2:71" outlineLevel="1" x14ac:dyDescent="0.25">
      <c r="B374" s="1223"/>
      <c r="D374" s="1259"/>
      <c r="E374" s="1259" t="str">
        <f t="shared" si="23"/>
        <v>ASHP &gt;240kbtu</v>
      </c>
      <c r="F374" s="1266">
        <v>12</v>
      </c>
      <c r="G374" s="1326">
        <v>9.5</v>
      </c>
      <c r="H374" s="1326">
        <v>10.6</v>
      </c>
      <c r="I374" s="1326"/>
      <c r="J374" s="1326"/>
      <c r="K374" s="1306">
        <v>1053</v>
      </c>
      <c r="L374" s="1328">
        <v>3.2</v>
      </c>
      <c r="M374" s="1328">
        <v>3.6</v>
      </c>
      <c r="N374" s="1328"/>
      <c r="O374" s="1356"/>
      <c r="P374" s="1299">
        <v>12</v>
      </c>
      <c r="Q374" s="1328">
        <v>1060</v>
      </c>
      <c r="R374" s="1357" t="s">
        <v>263</v>
      </c>
      <c r="S374" s="1327"/>
      <c r="AU374" s="52" t="str">
        <f t="shared" si="21"/>
        <v>Total kWh Annual Savings</v>
      </c>
      <c r="BS374" s="52" t="str">
        <f t="shared" si="22"/>
        <v>Inc. Cost (per ton)</v>
      </c>
    </row>
    <row r="375" spans="2:71" outlineLevel="1" x14ac:dyDescent="0.25">
      <c r="B375" s="1223"/>
      <c r="D375" s="1259"/>
      <c r="E375" s="1259" t="str">
        <f t="shared" si="23"/>
        <v>ASHP &lt;65kbtu</v>
      </c>
      <c r="F375" s="1266">
        <v>12</v>
      </c>
      <c r="G375" s="1326"/>
      <c r="H375" s="1326"/>
      <c r="I375" s="1326">
        <v>13</v>
      </c>
      <c r="J375" s="1326">
        <v>14</v>
      </c>
      <c r="K375" s="1306">
        <v>1053</v>
      </c>
      <c r="L375" s="1306"/>
      <c r="M375" s="1306"/>
      <c r="N375" s="1328">
        <v>7.7</v>
      </c>
      <c r="O375" s="1356">
        <v>8</v>
      </c>
      <c r="P375" s="1299">
        <v>12</v>
      </c>
      <c r="Q375" s="1328">
        <v>1060</v>
      </c>
      <c r="R375" s="1357" t="s">
        <v>264</v>
      </c>
      <c r="S375" s="1327"/>
      <c r="AU375" s="52" t="str">
        <f t="shared" si="21"/>
        <v>Total kWh Annual Savings</v>
      </c>
      <c r="BS375" s="52" t="str">
        <f t="shared" si="22"/>
        <v>Inc. Cost (per ton)</v>
      </c>
    </row>
    <row r="378" spans="2:71" s="43" customFormat="1" ht="30" x14ac:dyDescent="0.25">
      <c r="B378" s="1236"/>
      <c r="C378" s="44" t="s">
        <v>16</v>
      </c>
      <c r="D378" s="44" t="s">
        <v>17</v>
      </c>
      <c r="E378" s="131" t="s">
        <v>18</v>
      </c>
      <c r="F378" s="131" t="s">
        <v>234</v>
      </c>
      <c r="G378" s="131" t="s">
        <v>20</v>
      </c>
      <c r="H378" s="46" t="s">
        <v>21</v>
      </c>
      <c r="I378" s="131" t="s">
        <v>22</v>
      </c>
      <c r="J378" s="131" t="s">
        <v>23</v>
      </c>
      <c r="K378" s="44" t="s">
        <v>249</v>
      </c>
      <c r="L378" s="44" t="s">
        <v>25</v>
      </c>
      <c r="M378" s="1222"/>
      <c r="N378" s="1222"/>
      <c r="O378" s="1222"/>
      <c r="P378" s="1139"/>
      <c r="Q378" s="1139"/>
      <c r="R378" s="1139"/>
      <c r="S378" s="1139"/>
      <c r="T378" s="1139"/>
      <c r="U378" s="1139"/>
      <c r="V378" s="48" t="s">
        <v>26</v>
      </c>
      <c r="W378" s="49">
        <v>43252</v>
      </c>
      <c r="X378" s="49">
        <v>43465</v>
      </c>
      <c r="Y378" s="49" t="s">
        <v>27</v>
      </c>
      <c r="Z378" s="49" t="s">
        <v>27</v>
      </c>
      <c r="AA378" s="49" t="s">
        <v>27</v>
      </c>
      <c r="AB378" s="49" t="s">
        <v>27</v>
      </c>
      <c r="AC378" s="49" t="s">
        <v>27</v>
      </c>
      <c r="AD378" s="49" t="s">
        <v>27</v>
      </c>
      <c r="AE378" s="49" t="s">
        <v>27</v>
      </c>
      <c r="AF378" s="49" t="s">
        <v>27</v>
      </c>
      <c r="AG378" s="49" t="s">
        <v>27</v>
      </c>
      <c r="AH378"/>
      <c r="AI378" s="48" t="s">
        <v>26</v>
      </c>
      <c r="AJ378" s="49">
        <v>43252</v>
      </c>
      <c r="AK378" s="49">
        <v>43465</v>
      </c>
      <c r="AL378" s="49" t="s">
        <v>27</v>
      </c>
      <c r="AM378" s="49" t="s">
        <v>27</v>
      </c>
      <c r="AN378" s="49" t="s">
        <v>27</v>
      </c>
      <c r="AO378" s="49" t="s">
        <v>27</v>
      </c>
      <c r="AP378" s="49" t="s">
        <v>27</v>
      </c>
      <c r="AQ378" s="49" t="s">
        <v>27</v>
      </c>
      <c r="AR378" s="49" t="s">
        <v>27</v>
      </c>
      <c r="AS378" s="49" t="s">
        <v>27</v>
      </c>
      <c r="AT378" s="24"/>
      <c r="AU378" s="48" t="s">
        <v>26</v>
      </c>
      <c r="AV378" s="49">
        <v>43252</v>
      </c>
      <c r="AW378" s="49">
        <v>43465</v>
      </c>
      <c r="AX378" s="49" t="s">
        <v>27</v>
      </c>
      <c r="AY378" s="49" t="s">
        <v>27</v>
      </c>
      <c r="AZ378" s="49" t="s">
        <v>27</v>
      </c>
      <c r="BA378" s="49" t="s">
        <v>27</v>
      </c>
      <c r="BB378" s="49" t="s">
        <v>27</v>
      </c>
      <c r="BC378" s="49" t="s">
        <v>27</v>
      </c>
      <c r="BD378" s="49" t="s">
        <v>27</v>
      </c>
      <c r="BE378" s="49" t="s">
        <v>27</v>
      </c>
    </row>
    <row r="379" spans="2:71" x14ac:dyDescent="0.25">
      <c r="C379" s="1237"/>
      <c r="D379" s="1329" t="s">
        <v>28</v>
      </c>
      <c r="E379" s="1281" t="s">
        <v>265</v>
      </c>
      <c r="F379" s="72">
        <f>F389*(G389-H389)*I389</f>
        <v>411</v>
      </c>
      <c r="G379" s="1240" t="s">
        <v>197</v>
      </c>
      <c r="H379" s="1241">
        <f>VLOOKUP(G379,'CP FACTORS'!$A$26:$B$38,2,FALSE)</f>
        <v>9.1068400000000004E-4</v>
      </c>
      <c r="I379" s="1354">
        <f>H379*F379</f>
        <v>0.37429112400000003</v>
      </c>
      <c r="J379" s="375">
        <v>20</v>
      </c>
      <c r="K379" s="1270">
        <v>106.23</v>
      </c>
      <c r="L379" s="1340" t="s">
        <v>236</v>
      </c>
      <c r="M379" s="1995"/>
      <c r="N379" s="1995"/>
      <c r="O379" s="1995"/>
      <c r="V379" s="52" t="str">
        <f>F378</f>
        <v>kWh Annual Savings (per ton)</v>
      </c>
      <c r="W379" s="59">
        <v>411</v>
      </c>
      <c r="X379" s="59">
        <v>411</v>
      </c>
      <c r="Y379" s="55"/>
      <c r="Z379" s="55"/>
      <c r="AA379" s="55"/>
      <c r="AB379" s="55"/>
      <c r="AC379" s="55"/>
      <c r="AD379" s="55"/>
      <c r="AE379" s="55"/>
      <c r="AF379" s="55"/>
      <c r="AG379" s="55"/>
      <c r="AH379" s="56"/>
      <c r="AI379" s="52" t="s">
        <v>23</v>
      </c>
      <c r="AJ379" s="57">
        <v>20</v>
      </c>
      <c r="AK379" s="57">
        <v>20</v>
      </c>
      <c r="AL379" s="55"/>
      <c r="AM379" s="55"/>
      <c r="AN379" s="55"/>
      <c r="AO379" s="55"/>
      <c r="AP379" s="55"/>
      <c r="AQ379" s="55"/>
      <c r="AR379" s="55"/>
      <c r="AS379" s="55"/>
      <c r="AT379" s="24"/>
      <c r="AU379" s="52" t="str">
        <f>K378</f>
        <v>Inc. Cost (per ton)</v>
      </c>
      <c r="AV379" s="58">
        <v>106.23</v>
      </c>
      <c r="AW379" s="58">
        <v>106.23</v>
      </c>
      <c r="AX379" s="55"/>
      <c r="AY379" s="55"/>
      <c r="AZ379" s="55"/>
      <c r="BA379" s="55"/>
      <c r="BB379" s="55"/>
      <c r="BC379" s="55"/>
      <c r="BD379" s="55"/>
      <c r="BE379" s="55"/>
    </row>
    <row r="380" spans="2:71" outlineLevel="1" x14ac:dyDescent="0.25">
      <c r="E380" s="1227"/>
      <c r="F380" s="1227"/>
      <c r="G380" s="1227"/>
      <c r="H380" s="1251"/>
      <c r="I380" s="1227"/>
      <c r="J380" s="1227"/>
      <c r="K380" s="1227"/>
      <c r="M380" s="1995"/>
      <c r="N380" s="1995"/>
      <c r="O380" s="1995"/>
    </row>
    <row r="381" spans="2:71" outlineLevel="1" x14ac:dyDescent="0.25">
      <c r="D381" s="1227" t="s">
        <v>52</v>
      </c>
      <c r="E381" s="175"/>
      <c r="F381" s="1227"/>
      <c r="G381" s="1227"/>
      <c r="H381" s="1251"/>
      <c r="I381" s="1227"/>
      <c r="J381" s="1227"/>
      <c r="K381" s="1227"/>
      <c r="M381" s="1995"/>
      <c r="N381" s="1995"/>
      <c r="O381" s="1995"/>
    </row>
    <row r="382" spans="2:71" outlineLevel="1" x14ac:dyDescent="0.25">
      <c r="D382" s="1252"/>
      <c r="E382" s="175"/>
      <c r="F382" s="1314"/>
      <c r="G382" s="1285"/>
      <c r="H382" s="1286"/>
    </row>
    <row r="383" spans="2:71" outlineLevel="1" x14ac:dyDescent="0.25">
      <c r="D383" s="1252"/>
      <c r="G383" s="1285"/>
      <c r="H383" s="1286"/>
    </row>
    <row r="384" spans="2:71" outlineLevel="1" x14ac:dyDescent="0.25">
      <c r="D384" s="1252"/>
      <c r="G384" s="1222"/>
      <c r="H384" s="1253"/>
    </row>
    <row r="385" spans="2:57" outlineLevel="1" x14ac:dyDescent="0.25">
      <c r="D385" s="1252"/>
      <c r="G385" s="1222"/>
      <c r="H385" s="1253"/>
    </row>
    <row r="386" spans="2:57" outlineLevel="1" x14ac:dyDescent="0.25">
      <c r="D386" s="1252"/>
      <c r="G386" s="1222"/>
      <c r="H386" s="1253"/>
    </row>
    <row r="387" spans="2:57" outlineLevel="1" x14ac:dyDescent="0.25">
      <c r="D387" s="1252"/>
      <c r="G387" s="1222"/>
      <c r="H387" s="1253"/>
    </row>
    <row r="388" spans="2:57" s="61" customFormat="1" ht="30" outlineLevel="1" x14ac:dyDescent="0.2">
      <c r="B388" s="1258"/>
      <c r="C388" s="1258"/>
      <c r="D388" s="91" t="s">
        <v>16</v>
      </c>
      <c r="E388" s="91" t="s">
        <v>89</v>
      </c>
      <c r="F388" s="99" t="s">
        <v>266</v>
      </c>
      <c r="G388" s="91" t="s">
        <v>267</v>
      </c>
      <c r="H388" s="91" t="s">
        <v>268</v>
      </c>
      <c r="I388" s="91" t="s">
        <v>247</v>
      </c>
      <c r="J388" s="1258"/>
      <c r="K388" s="1258"/>
      <c r="L388" s="1258"/>
      <c r="M388" s="1258"/>
      <c r="N388" s="1258"/>
      <c r="O388" s="1258"/>
      <c r="P388" s="1258"/>
      <c r="Q388" s="1258"/>
      <c r="R388" s="1258"/>
      <c r="S388" s="1258"/>
      <c r="T388" s="1258"/>
      <c r="U388" s="1258"/>
    </row>
    <row r="389" spans="2:57" outlineLevel="1" x14ac:dyDescent="0.2">
      <c r="D389" s="1259"/>
      <c r="E389" s="1259" t="str">
        <f>E379</f>
        <v>Air Cooled Chiller</v>
      </c>
      <c r="F389" s="1358">
        <v>1</v>
      </c>
      <c r="G389" s="1359">
        <f>12/(3.66*3.412)</f>
        <v>0.96092864143908663</v>
      </c>
      <c r="H389" s="1326">
        <v>0.57061525112569633</v>
      </c>
      <c r="I389" s="1326">
        <v>1053</v>
      </c>
    </row>
    <row r="392" spans="2:57" s="39" customFormat="1" x14ac:dyDescent="0.25">
      <c r="B392" s="1989" t="s">
        <v>269</v>
      </c>
      <c r="C392" s="1990"/>
      <c r="D392" s="1990"/>
      <c r="E392" s="1990"/>
      <c r="F392" s="1990"/>
      <c r="G392" s="1990"/>
      <c r="H392" s="1990"/>
      <c r="I392" s="1991"/>
      <c r="J392" s="1991"/>
      <c r="K392" s="1991"/>
      <c r="L392" s="1991"/>
      <c r="M392" s="1992"/>
      <c r="N392" s="1992"/>
      <c r="O392" s="1993"/>
      <c r="V392" s="40" t="str">
        <f>B392</f>
        <v>Appliances</v>
      </c>
      <c r="W392" s="41"/>
      <c r="X392" s="41"/>
      <c r="Y392" s="41"/>
      <c r="Z392" s="41"/>
      <c r="AA392" s="41"/>
      <c r="AB392" s="41"/>
      <c r="AC392" s="41"/>
      <c r="AD392" s="41"/>
      <c r="AE392" s="41"/>
      <c r="AF392" s="41"/>
      <c r="AG392" s="41"/>
      <c r="AH392" s="41"/>
      <c r="AI392" s="42"/>
      <c r="AJ392" s="22"/>
      <c r="AK392" s="22"/>
      <c r="AL392" s="22"/>
      <c r="AM392" s="22"/>
      <c r="AN392" s="22"/>
      <c r="AO392" s="22"/>
      <c r="AP392" s="22"/>
      <c r="AQ392" s="22"/>
      <c r="AR392" s="22"/>
      <c r="AS392" s="22"/>
      <c r="AT392" s="22"/>
      <c r="AU392" s="22"/>
    </row>
    <row r="393" spans="2:57" x14ac:dyDescent="0.25">
      <c r="D393" s="1234"/>
      <c r="E393" s="1227"/>
      <c r="F393" s="1227"/>
      <c r="G393" s="1227"/>
      <c r="H393" s="1235"/>
      <c r="I393" s="1227"/>
      <c r="J393" s="1227"/>
      <c r="K393" s="1227"/>
      <c r="L393" s="1227"/>
      <c r="P393" s="1227"/>
      <c r="Q393" s="1227"/>
      <c r="R393" s="1227"/>
      <c r="S393" s="1227"/>
      <c r="T393" s="1227"/>
      <c r="U393" s="1227"/>
      <c r="V393"/>
      <c r="W393"/>
      <c r="X393"/>
      <c r="Y393"/>
      <c r="Z393"/>
      <c r="AA393"/>
      <c r="AB393"/>
      <c r="AC393"/>
      <c r="AD393"/>
      <c r="AE393"/>
      <c r="AF393"/>
      <c r="AG393"/>
      <c r="AH393"/>
      <c r="AI393"/>
      <c r="AJ393" s="38"/>
      <c r="AK393" s="38"/>
      <c r="AL393" s="38"/>
      <c r="AM393" s="38"/>
      <c r="AN393" s="38"/>
      <c r="AO393" s="38"/>
      <c r="AP393" s="38"/>
      <c r="AQ393" s="38"/>
      <c r="AR393" s="38"/>
      <c r="AS393" s="38"/>
      <c r="AT393" s="38"/>
      <c r="AU393" s="38"/>
    </row>
    <row r="394" spans="2:57" s="43" customFormat="1" ht="30" x14ac:dyDescent="0.25">
      <c r="B394" s="1236"/>
      <c r="C394" s="44" t="s">
        <v>16</v>
      </c>
      <c r="D394" s="44" t="s">
        <v>17</v>
      </c>
      <c r="E394" s="131" t="s">
        <v>18</v>
      </c>
      <c r="F394" s="131" t="s">
        <v>19</v>
      </c>
      <c r="G394" s="131" t="s">
        <v>20</v>
      </c>
      <c r="H394" s="46" t="s">
        <v>21</v>
      </c>
      <c r="I394" s="131" t="s">
        <v>22</v>
      </c>
      <c r="J394" s="131" t="s">
        <v>23</v>
      </c>
      <c r="K394" s="44" t="s">
        <v>24</v>
      </c>
      <c r="L394" s="44" t="s">
        <v>25</v>
      </c>
      <c r="M394" s="1222"/>
      <c r="N394" s="1360"/>
      <c r="O394" s="1333"/>
      <c r="P394" s="1334"/>
      <c r="Q394" s="1139"/>
      <c r="R394" s="1139"/>
      <c r="S394" s="1139"/>
      <c r="T394" s="1139"/>
      <c r="U394" s="1139"/>
      <c r="V394" s="48" t="s">
        <v>26</v>
      </c>
      <c r="W394" s="49">
        <v>43252</v>
      </c>
      <c r="X394" s="49">
        <v>43465</v>
      </c>
      <c r="Y394" s="49" t="s">
        <v>27</v>
      </c>
      <c r="Z394" s="49" t="s">
        <v>27</v>
      </c>
      <c r="AA394" s="49" t="s">
        <v>27</v>
      </c>
      <c r="AB394" s="49" t="s">
        <v>27</v>
      </c>
      <c r="AC394" s="49" t="s">
        <v>27</v>
      </c>
      <c r="AD394" s="49" t="s">
        <v>27</v>
      </c>
      <c r="AE394" s="49" t="s">
        <v>27</v>
      </c>
      <c r="AF394" s="49" t="s">
        <v>27</v>
      </c>
      <c r="AG394" s="49" t="s">
        <v>27</v>
      </c>
      <c r="AH394"/>
      <c r="AI394" s="48" t="s">
        <v>26</v>
      </c>
      <c r="AJ394" s="49">
        <v>43252</v>
      </c>
      <c r="AK394" s="49">
        <v>43465</v>
      </c>
      <c r="AL394" s="49" t="s">
        <v>27</v>
      </c>
      <c r="AM394" s="49" t="s">
        <v>27</v>
      </c>
      <c r="AN394" s="49" t="s">
        <v>27</v>
      </c>
      <c r="AO394" s="49" t="s">
        <v>27</v>
      </c>
      <c r="AP394" s="49" t="s">
        <v>27</v>
      </c>
      <c r="AQ394" s="49" t="s">
        <v>27</v>
      </c>
      <c r="AR394" s="49" t="s">
        <v>27</v>
      </c>
      <c r="AS394" s="49" t="s">
        <v>27</v>
      </c>
      <c r="AT394" s="24"/>
      <c r="AU394" s="48" t="s">
        <v>26</v>
      </c>
      <c r="AV394" s="49">
        <v>43252</v>
      </c>
      <c r="AW394" s="49">
        <v>43465</v>
      </c>
      <c r="AX394" s="49" t="s">
        <v>27</v>
      </c>
      <c r="AY394" s="49" t="s">
        <v>27</v>
      </c>
      <c r="AZ394" s="49" t="s">
        <v>27</v>
      </c>
      <c r="BA394" s="49" t="s">
        <v>27</v>
      </c>
      <c r="BB394" s="49" t="s">
        <v>27</v>
      </c>
      <c r="BC394" s="49" t="s">
        <v>27</v>
      </c>
      <c r="BD394" s="49" t="s">
        <v>27</v>
      </c>
      <c r="BE394" s="49" t="s">
        <v>27</v>
      </c>
    </row>
    <row r="395" spans="2:57" x14ac:dyDescent="0.25">
      <c r="C395" s="1277"/>
      <c r="D395" s="1329" t="s">
        <v>28</v>
      </c>
      <c r="E395" s="1268" t="s">
        <v>270</v>
      </c>
      <c r="F395" s="72">
        <f>((F408*(1/G408)*I408)*(J408+(L408*P408)+(N408*Q408)))-((F408*(1/H408)*I408)*(K408+(M408*P408)+(O408*Q408)))</f>
        <v>907.62032085561532</v>
      </c>
      <c r="G395" s="1240" t="s">
        <v>44</v>
      </c>
      <c r="H395" s="1241">
        <f>VLOOKUP(G395,'CP FACTORS'!$A$26:$B$38,2,FALSE)</f>
        <v>1.379439E-4</v>
      </c>
      <c r="I395" s="1242">
        <f>H395*F395</f>
        <v>0.12520068677807492</v>
      </c>
      <c r="J395" s="1319">
        <v>11</v>
      </c>
      <c r="K395" s="1270">
        <v>200</v>
      </c>
      <c r="L395" s="1340" t="s">
        <v>31</v>
      </c>
      <c r="V395" s="52" t="s">
        <v>19</v>
      </c>
      <c r="W395" s="59">
        <v>907.62032085561532</v>
      </c>
      <c r="X395" s="59">
        <v>907.62032085561532</v>
      </c>
      <c r="Y395" s="55"/>
      <c r="Z395" s="55"/>
      <c r="AA395" s="55"/>
      <c r="AB395" s="55"/>
      <c r="AC395" s="55"/>
      <c r="AD395" s="55"/>
      <c r="AE395" s="55"/>
      <c r="AF395" s="55"/>
      <c r="AG395" s="55"/>
      <c r="AH395" s="56"/>
      <c r="AI395" s="52" t="s">
        <v>23</v>
      </c>
      <c r="AJ395" s="57">
        <v>11</v>
      </c>
      <c r="AK395" s="57">
        <v>11</v>
      </c>
      <c r="AL395" s="55"/>
      <c r="AM395" s="55"/>
      <c r="AN395" s="55"/>
      <c r="AO395" s="55"/>
      <c r="AP395" s="55"/>
      <c r="AQ395" s="55"/>
      <c r="AR395" s="55"/>
      <c r="AS395" s="55"/>
      <c r="AT395" s="24"/>
      <c r="AU395" s="52" t="s">
        <v>24</v>
      </c>
      <c r="AV395" s="58">
        <v>200</v>
      </c>
      <c r="AW395" s="58">
        <v>200</v>
      </c>
      <c r="AX395" s="55"/>
      <c r="AY395" s="55"/>
      <c r="AZ395" s="55"/>
      <c r="BA395" s="55"/>
      <c r="BB395" s="55"/>
      <c r="BC395" s="55"/>
      <c r="BD395" s="55"/>
      <c r="BE395" s="55"/>
    </row>
    <row r="396" spans="2:57" x14ac:dyDescent="0.25">
      <c r="C396" s="1277"/>
      <c r="D396" s="1329" t="s">
        <v>28</v>
      </c>
      <c r="E396" s="1268" t="s">
        <v>271</v>
      </c>
      <c r="F396" s="72">
        <f>((F409*(1/G409)*I409)*(J409+(L409*P409)+(N409*Q409)))-((F409*(1/H409)*I409)*(K409+(M409*P409)+(O409*Q409)))</f>
        <v>308.40938502673907</v>
      </c>
      <c r="G396" s="1240" t="s">
        <v>44</v>
      </c>
      <c r="H396" s="1241">
        <f>VLOOKUP(G396,'CP FACTORS'!$A$26:$B$38,2,FALSE)</f>
        <v>1.379439E-4</v>
      </c>
      <c r="I396" s="1242">
        <f>H396*F396</f>
        <v>4.2543193367189994E-2</v>
      </c>
      <c r="J396" s="1319">
        <v>11</v>
      </c>
      <c r="K396" s="1270">
        <v>200</v>
      </c>
      <c r="L396" s="1340" t="s">
        <v>31</v>
      </c>
      <c r="V396" s="52" t="s">
        <v>19</v>
      </c>
      <c r="W396" s="59">
        <v>308.40938502673907</v>
      </c>
      <c r="X396" s="59">
        <v>308.40938502673907</v>
      </c>
      <c r="Y396" s="55"/>
      <c r="Z396" s="55"/>
      <c r="AA396" s="55"/>
      <c r="AB396" s="55"/>
      <c r="AC396" s="55"/>
      <c r="AD396" s="55"/>
      <c r="AE396" s="55"/>
      <c r="AF396" s="55"/>
      <c r="AG396" s="55"/>
      <c r="AH396" s="56"/>
      <c r="AI396" s="52" t="s">
        <v>23</v>
      </c>
      <c r="AJ396" s="57">
        <v>11</v>
      </c>
      <c r="AK396" s="57">
        <v>11</v>
      </c>
      <c r="AL396" s="55"/>
      <c r="AM396" s="55"/>
      <c r="AN396" s="55"/>
      <c r="AO396" s="55"/>
      <c r="AP396" s="55"/>
      <c r="AQ396" s="55"/>
      <c r="AR396" s="55"/>
      <c r="AS396" s="55"/>
      <c r="AT396" s="24"/>
      <c r="AU396" s="52" t="s">
        <v>24</v>
      </c>
      <c r="AV396" s="58">
        <v>200</v>
      </c>
      <c r="AW396" s="58">
        <v>200</v>
      </c>
      <c r="AX396" s="55"/>
      <c r="AY396" s="55"/>
      <c r="AZ396" s="55"/>
      <c r="BA396" s="55"/>
      <c r="BB396" s="55"/>
      <c r="BC396" s="55"/>
      <c r="BD396" s="55"/>
      <c r="BE396" s="55"/>
    </row>
    <row r="397" spans="2:57" x14ac:dyDescent="0.25">
      <c r="C397" s="1277"/>
      <c r="D397" s="1329" t="s">
        <v>28</v>
      </c>
      <c r="E397" s="1268" t="s">
        <v>272</v>
      </c>
      <c r="F397" s="72">
        <f>((F410*(1/G410)*I410)*(J410+(L410*P410)+(N410*Q410)))-((F410*(1/H410)*I410)*(K410+(M410*P410)+(O410*Q410)))</f>
        <v>750.78352941176479</v>
      </c>
      <c r="G397" s="1240" t="s">
        <v>44</v>
      </c>
      <c r="H397" s="1241">
        <f>VLOOKUP(G397,'CP FACTORS'!$A$26:$B$38,2,FALSE)</f>
        <v>1.379439E-4</v>
      </c>
      <c r="I397" s="1242">
        <f>H397*F397</f>
        <v>0.10356600810282354</v>
      </c>
      <c r="J397" s="1319">
        <v>11</v>
      </c>
      <c r="K397" s="1270">
        <v>200</v>
      </c>
      <c r="L397" s="1340" t="s">
        <v>31</v>
      </c>
      <c r="V397" s="52" t="s">
        <v>19</v>
      </c>
      <c r="W397" s="59">
        <v>750.78352941176479</v>
      </c>
      <c r="X397" s="59">
        <v>750.78352941176479</v>
      </c>
      <c r="Y397" s="55"/>
      <c r="Z397" s="55"/>
      <c r="AA397" s="55"/>
      <c r="AB397" s="55"/>
      <c r="AC397" s="55"/>
      <c r="AD397" s="55"/>
      <c r="AE397" s="55"/>
      <c r="AF397" s="55"/>
      <c r="AG397" s="55"/>
      <c r="AH397" s="56"/>
      <c r="AI397" s="52" t="s">
        <v>23</v>
      </c>
      <c r="AJ397" s="57">
        <v>11</v>
      </c>
      <c r="AK397" s="57">
        <v>11</v>
      </c>
      <c r="AL397" s="55"/>
      <c r="AM397" s="55"/>
      <c r="AN397" s="55"/>
      <c r="AO397" s="55"/>
      <c r="AP397" s="55"/>
      <c r="AQ397" s="55"/>
      <c r="AR397" s="55"/>
      <c r="AS397" s="55"/>
      <c r="AT397" s="24"/>
      <c r="AU397" s="52" t="s">
        <v>24</v>
      </c>
      <c r="AV397" s="58">
        <v>200</v>
      </c>
      <c r="AW397" s="58">
        <v>200</v>
      </c>
      <c r="AX397" s="55"/>
      <c r="AY397" s="55"/>
      <c r="AZ397" s="55"/>
      <c r="BA397" s="55"/>
      <c r="BB397" s="55"/>
      <c r="BC397" s="55"/>
      <c r="BD397" s="55"/>
      <c r="BE397" s="55"/>
    </row>
    <row r="398" spans="2:57" x14ac:dyDescent="0.25">
      <c r="C398" s="1277"/>
      <c r="D398" s="1329" t="s">
        <v>28</v>
      </c>
      <c r="E398" s="1268" t="s">
        <v>273</v>
      </c>
      <c r="F398" s="72">
        <f>((F411*(1/G411)*I411)*(J411+(L411*P411)+(N411*Q411)))-((F411*(1/H411)*I411)*(K411+(M411*P411)+(O411*Q411)))</f>
        <v>151.57259358288775</v>
      </c>
      <c r="G398" s="1240" t="s">
        <v>44</v>
      </c>
      <c r="H398" s="1241">
        <f>VLOOKUP(G398,'CP FACTORS'!$A$26:$B$38,2,FALSE)</f>
        <v>1.379439E-4</v>
      </c>
      <c r="I398" s="1242">
        <f>H398*F398</f>
        <v>2.090851469193851E-2</v>
      </c>
      <c r="J398" s="1319">
        <v>11</v>
      </c>
      <c r="K398" s="1270">
        <v>200</v>
      </c>
      <c r="L398" s="1340" t="s">
        <v>31</v>
      </c>
      <c r="V398" s="52" t="s">
        <v>19</v>
      </c>
      <c r="W398" s="59">
        <v>151.57259358288775</v>
      </c>
      <c r="X398" s="59">
        <v>151.57259358288775</v>
      </c>
      <c r="Y398" s="55"/>
      <c r="Z398" s="55"/>
      <c r="AA398" s="55"/>
      <c r="AB398" s="55"/>
      <c r="AC398" s="55"/>
      <c r="AD398" s="55"/>
      <c r="AE398" s="55"/>
      <c r="AF398" s="55"/>
      <c r="AG398" s="55"/>
      <c r="AH398" s="56"/>
      <c r="AI398" s="52" t="s">
        <v>23</v>
      </c>
      <c r="AJ398" s="57">
        <v>11</v>
      </c>
      <c r="AK398" s="57">
        <v>11</v>
      </c>
      <c r="AL398" s="55"/>
      <c r="AM398" s="55"/>
      <c r="AN398" s="55"/>
      <c r="AO398" s="55"/>
      <c r="AP398" s="55"/>
      <c r="AQ398" s="55"/>
      <c r="AR398" s="55"/>
      <c r="AS398" s="55"/>
      <c r="AT398" s="24"/>
      <c r="AU398" s="52" t="s">
        <v>24</v>
      </c>
      <c r="AV398" s="58">
        <v>200</v>
      </c>
      <c r="AW398" s="58">
        <v>200</v>
      </c>
      <c r="AX398" s="55"/>
      <c r="AY398" s="55"/>
      <c r="AZ398" s="55"/>
      <c r="BA398" s="55"/>
      <c r="BB398" s="55"/>
      <c r="BC398" s="55"/>
      <c r="BD398" s="55"/>
      <c r="BE398" s="55"/>
    </row>
    <row r="399" spans="2:57" outlineLevel="1" x14ac:dyDescent="0.25">
      <c r="E399" s="1227"/>
      <c r="F399" s="1227"/>
      <c r="G399" s="1227"/>
      <c r="H399" s="1251"/>
      <c r="I399" s="1227"/>
      <c r="J399" s="1227"/>
      <c r="K399" s="1227"/>
    </row>
    <row r="400" spans="2:57" outlineLevel="1" x14ac:dyDescent="0.25">
      <c r="D400" s="1227" t="s">
        <v>52</v>
      </c>
      <c r="E400" s="1227"/>
      <c r="F400" s="1227"/>
      <c r="G400" s="1227"/>
      <c r="H400" s="1251"/>
      <c r="I400" s="1227"/>
      <c r="J400" s="1227"/>
      <c r="K400" s="1227"/>
    </row>
    <row r="401" spans="2:57" outlineLevel="1" x14ac:dyDescent="0.25">
      <c r="D401" s="1252"/>
      <c r="G401" s="1285"/>
      <c r="H401" s="1286"/>
    </row>
    <row r="402" spans="2:57" outlineLevel="1" x14ac:dyDescent="0.25">
      <c r="D402" s="1320"/>
      <c r="E402" s="1223"/>
      <c r="G402" s="1285"/>
      <c r="H402" s="1286"/>
    </row>
    <row r="403" spans="2:57" outlineLevel="1" x14ac:dyDescent="0.25">
      <c r="D403" s="1320"/>
      <c r="E403" s="1223"/>
      <c r="G403" s="1222"/>
      <c r="H403" s="1253"/>
      <c r="M403" s="1227"/>
    </row>
    <row r="404" spans="2:57" outlineLevel="1" x14ac:dyDescent="0.25">
      <c r="D404" s="1252"/>
      <c r="G404" s="1222"/>
      <c r="H404" s="1253"/>
      <c r="M404" s="1227"/>
    </row>
    <row r="405" spans="2:57" outlineLevel="1" x14ac:dyDescent="0.25">
      <c r="D405" s="1252"/>
      <c r="G405" s="1222"/>
      <c r="H405" s="1253"/>
      <c r="M405" s="1227"/>
    </row>
    <row r="406" spans="2:57" outlineLevel="1" x14ac:dyDescent="0.25">
      <c r="D406" s="1252"/>
      <c r="G406" s="1222"/>
      <c r="H406" s="1253"/>
    </row>
    <row r="407" spans="2:57" s="61" customFormat="1" ht="30" outlineLevel="1" x14ac:dyDescent="0.2">
      <c r="B407" s="1258"/>
      <c r="C407" s="1258"/>
      <c r="D407" s="91" t="s">
        <v>16</v>
      </c>
      <c r="E407" s="91" t="s">
        <v>89</v>
      </c>
      <c r="F407" s="101" t="s">
        <v>274</v>
      </c>
      <c r="G407" s="91" t="s">
        <v>275</v>
      </c>
      <c r="H407" s="91" t="s">
        <v>276</v>
      </c>
      <c r="I407" s="91" t="s">
        <v>277</v>
      </c>
      <c r="J407" s="91" t="s">
        <v>278</v>
      </c>
      <c r="K407" s="91" t="s">
        <v>279</v>
      </c>
      <c r="L407" s="91" t="s">
        <v>280</v>
      </c>
      <c r="M407" s="91" t="s">
        <v>281</v>
      </c>
      <c r="N407" s="91" t="s">
        <v>282</v>
      </c>
      <c r="O407" s="91" t="s">
        <v>283</v>
      </c>
      <c r="P407" s="91" t="s">
        <v>284</v>
      </c>
      <c r="Q407" s="91" t="s">
        <v>285</v>
      </c>
      <c r="R407" s="1258"/>
      <c r="S407" s="1258"/>
      <c r="T407" s="1258"/>
      <c r="U407" s="1258"/>
    </row>
    <row r="408" spans="2:57" outlineLevel="1" x14ac:dyDescent="0.2">
      <c r="D408" s="1259"/>
      <c r="E408" s="1259" t="str">
        <f>E395</f>
        <v>Clothes Washer (Electric DHW; Electric Dryer)</v>
      </c>
      <c r="F408" s="1336">
        <v>3.1</v>
      </c>
      <c r="G408" s="103">
        <v>1.7</v>
      </c>
      <c r="H408" s="1361">
        <v>2.2000000000000002</v>
      </c>
      <c r="I408" s="1321">
        <v>2190</v>
      </c>
      <c r="J408" s="1350">
        <v>6.5000000000000002E-2</v>
      </c>
      <c r="K408" s="1350">
        <v>3.5000000000000003E-2</v>
      </c>
      <c r="L408" s="1350">
        <v>0.25900000000000001</v>
      </c>
      <c r="M408" s="1350">
        <v>0.14099999999999999</v>
      </c>
      <c r="N408" s="1350">
        <v>0.67600000000000005</v>
      </c>
      <c r="O408" s="1350">
        <v>0.82399999999999995</v>
      </c>
      <c r="P408" s="1350">
        <v>1</v>
      </c>
      <c r="Q408" s="1350">
        <v>1</v>
      </c>
    </row>
    <row r="409" spans="2:57" outlineLevel="1" x14ac:dyDescent="0.2">
      <c r="D409" s="1259"/>
      <c r="E409" s="1259" t="str">
        <f>E396</f>
        <v>Clothes Washer (Gas DHW; Electric Dryer)</v>
      </c>
      <c r="F409" s="1336">
        <v>3.1</v>
      </c>
      <c r="G409" s="103">
        <v>1.7</v>
      </c>
      <c r="H409" s="1361">
        <v>2.2000000000000002</v>
      </c>
      <c r="I409" s="1321">
        <v>2190</v>
      </c>
      <c r="J409" s="1350">
        <v>6.5000000000000002E-2</v>
      </c>
      <c r="K409" s="1350">
        <v>3.5000000000000003E-2</v>
      </c>
      <c r="L409" s="1350">
        <v>0.25900000000000001</v>
      </c>
      <c r="M409" s="1350">
        <v>0.14099999999999999</v>
      </c>
      <c r="N409" s="1350">
        <v>0.67600000000000005</v>
      </c>
      <c r="O409" s="1350">
        <v>0.82399999999999995</v>
      </c>
      <c r="P409" s="1350">
        <v>0</v>
      </c>
      <c r="Q409" s="1350">
        <v>1</v>
      </c>
    </row>
    <row r="410" spans="2:57" outlineLevel="1" x14ac:dyDescent="0.2">
      <c r="D410" s="1259"/>
      <c r="E410" s="1259" t="str">
        <f>E397</f>
        <v>Clothes Washer (Electric DHW; Gas Dryer)</v>
      </c>
      <c r="F410" s="1336">
        <v>3.1</v>
      </c>
      <c r="G410" s="103">
        <v>1.7</v>
      </c>
      <c r="H410" s="1361">
        <v>2.2000000000000002</v>
      </c>
      <c r="I410" s="1321">
        <v>2190</v>
      </c>
      <c r="J410" s="1350">
        <v>6.5000000000000002E-2</v>
      </c>
      <c r="K410" s="1350">
        <v>3.5000000000000003E-2</v>
      </c>
      <c r="L410" s="1350">
        <v>0.25900000000000001</v>
      </c>
      <c r="M410" s="1350">
        <v>0.14099999999999999</v>
      </c>
      <c r="N410" s="1350">
        <v>0.67600000000000005</v>
      </c>
      <c r="O410" s="1350">
        <v>0.82399999999999995</v>
      </c>
      <c r="P410" s="1350">
        <v>1</v>
      </c>
      <c r="Q410" s="1350">
        <v>0</v>
      </c>
    </row>
    <row r="411" spans="2:57" outlineLevel="1" x14ac:dyDescent="0.2">
      <c r="D411" s="1259"/>
      <c r="E411" s="1259" t="str">
        <f>E398</f>
        <v>Clothes Washer (Gas DHW; Gas Dryer)</v>
      </c>
      <c r="F411" s="1336">
        <v>3.1</v>
      </c>
      <c r="G411" s="103">
        <v>1.7</v>
      </c>
      <c r="H411" s="1361">
        <v>2.2000000000000002</v>
      </c>
      <c r="I411" s="1321">
        <v>2190</v>
      </c>
      <c r="J411" s="1350">
        <v>6.5000000000000002E-2</v>
      </c>
      <c r="K411" s="1350">
        <v>3.5000000000000003E-2</v>
      </c>
      <c r="L411" s="1350">
        <v>0.25900000000000001</v>
      </c>
      <c r="M411" s="1350">
        <v>0.14099999999999999</v>
      </c>
      <c r="N411" s="1350">
        <v>0.67600000000000005</v>
      </c>
      <c r="O411" s="1350">
        <v>0.82399999999999995</v>
      </c>
      <c r="P411" s="1350">
        <v>0</v>
      </c>
      <c r="Q411" s="1350">
        <v>0</v>
      </c>
    </row>
    <row r="414" spans="2:57" s="43" customFormat="1" ht="30" x14ac:dyDescent="0.25">
      <c r="B414" s="1236"/>
      <c r="C414" s="44" t="s">
        <v>16</v>
      </c>
      <c r="D414" s="44" t="s">
        <v>17</v>
      </c>
      <c r="E414" s="131" t="s">
        <v>18</v>
      </c>
      <c r="F414" s="131" t="s">
        <v>19</v>
      </c>
      <c r="G414" s="131" t="s">
        <v>20</v>
      </c>
      <c r="H414" s="46" t="s">
        <v>21</v>
      </c>
      <c r="I414" s="131" t="s">
        <v>22</v>
      </c>
      <c r="J414" s="131" t="s">
        <v>23</v>
      </c>
      <c r="K414" s="44" t="s">
        <v>24</v>
      </c>
      <c r="L414" s="44" t="s">
        <v>25</v>
      </c>
      <c r="M414" s="1222"/>
      <c r="N414" s="1360"/>
      <c r="O414" s="1333"/>
      <c r="P414" s="1334"/>
      <c r="Q414" s="1139"/>
      <c r="R414" s="1139"/>
      <c r="S414" s="1139"/>
      <c r="T414" s="1139"/>
      <c r="U414" s="1139"/>
      <c r="V414" s="48" t="s">
        <v>26</v>
      </c>
      <c r="W414" s="49">
        <v>43252</v>
      </c>
      <c r="X414" s="49">
        <v>43465</v>
      </c>
      <c r="Y414" s="49" t="s">
        <v>27</v>
      </c>
      <c r="Z414" s="49" t="s">
        <v>27</v>
      </c>
      <c r="AA414" s="49" t="s">
        <v>27</v>
      </c>
      <c r="AB414" s="49" t="s">
        <v>27</v>
      </c>
      <c r="AC414" s="49" t="s">
        <v>27</v>
      </c>
      <c r="AD414" s="49" t="s">
        <v>27</v>
      </c>
      <c r="AE414" s="49" t="s">
        <v>27</v>
      </c>
      <c r="AF414" s="49" t="s">
        <v>27</v>
      </c>
      <c r="AG414" s="49" t="s">
        <v>27</v>
      </c>
      <c r="AH414"/>
      <c r="AI414" s="48" t="s">
        <v>26</v>
      </c>
      <c r="AJ414" s="49">
        <v>43252</v>
      </c>
      <c r="AK414" s="49">
        <v>43465</v>
      </c>
      <c r="AL414" s="49" t="s">
        <v>27</v>
      </c>
      <c r="AM414" s="49" t="s">
        <v>27</v>
      </c>
      <c r="AN414" s="49" t="s">
        <v>27</v>
      </c>
      <c r="AO414" s="49" t="s">
        <v>27</v>
      </c>
      <c r="AP414" s="49" t="s">
        <v>27</v>
      </c>
      <c r="AQ414" s="49" t="s">
        <v>27</v>
      </c>
      <c r="AR414" s="49" t="s">
        <v>27</v>
      </c>
      <c r="AS414" s="49" t="s">
        <v>27</v>
      </c>
      <c r="AT414" s="24"/>
      <c r="AU414" s="48" t="s">
        <v>26</v>
      </c>
      <c r="AV414" s="49">
        <v>43252</v>
      </c>
      <c r="AW414" s="49">
        <v>43465</v>
      </c>
      <c r="AX414" s="49" t="s">
        <v>27</v>
      </c>
      <c r="AY414" s="49" t="s">
        <v>27</v>
      </c>
      <c r="AZ414" s="49" t="s">
        <v>27</v>
      </c>
      <c r="BA414" s="49" t="s">
        <v>27</v>
      </c>
      <c r="BB414" s="49" t="s">
        <v>27</v>
      </c>
      <c r="BC414" s="49" t="s">
        <v>27</v>
      </c>
      <c r="BD414" s="49" t="s">
        <v>27</v>
      </c>
      <c r="BE414" s="49" t="s">
        <v>27</v>
      </c>
    </row>
    <row r="415" spans="2:57" x14ac:dyDescent="0.25">
      <c r="C415" s="1277"/>
      <c r="D415" s="1329" t="s">
        <v>28</v>
      </c>
      <c r="E415" s="1268" t="s">
        <v>286</v>
      </c>
      <c r="F415" s="72">
        <f>((F429/G429)-(F429/H429))*I429*J429</f>
        <v>840.73431350891383</v>
      </c>
      <c r="G415" s="1240" t="s">
        <v>44</v>
      </c>
      <c r="H415" s="1241">
        <f>VLOOKUP(G415,'CP FACTORS'!$A$26:$B$38,2,FALSE)</f>
        <v>1.379439E-4</v>
      </c>
      <c r="I415" s="1242">
        <f>H415*F415</f>
        <v>0.11597417006924225</v>
      </c>
      <c r="J415" s="1319">
        <v>14</v>
      </c>
      <c r="K415" s="1270">
        <v>75</v>
      </c>
      <c r="L415" s="1340" t="s">
        <v>31</v>
      </c>
      <c r="V415" s="52" t="s">
        <v>19</v>
      </c>
      <c r="W415" s="59">
        <v>840.73431350891383</v>
      </c>
      <c r="X415" s="59">
        <v>840.73431350891383</v>
      </c>
      <c r="Y415" s="55"/>
      <c r="Z415" s="55"/>
      <c r="AA415" s="55"/>
      <c r="AB415" s="55"/>
      <c r="AC415" s="55"/>
      <c r="AD415" s="55"/>
      <c r="AE415" s="55"/>
      <c r="AF415" s="55"/>
      <c r="AG415" s="55"/>
      <c r="AH415" s="56"/>
      <c r="AI415" s="52" t="s">
        <v>23</v>
      </c>
      <c r="AJ415" s="57">
        <v>14</v>
      </c>
      <c r="AK415" s="57">
        <v>14</v>
      </c>
      <c r="AL415" s="55"/>
      <c r="AM415" s="55"/>
      <c r="AN415" s="55"/>
      <c r="AO415" s="55"/>
      <c r="AP415" s="55"/>
      <c r="AQ415" s="55"/>
      <c r="AR415" s="55"/>
      <c r="AS415" s="55"/>
      <c r="AT415" s="24"/>
      <c r="AU415" s="52" t="s">
        <v>24</v>
      </c>
      <c r="AV415" s="58">
        <v>75</v>
      </c>
      <c r="AW415" s="58">
        <v>75</v>
      </c>
      <c r="AX415" s="55"/>
      <c r="AY415" s="55"/>
      <c r="AZ415" s="55"/>
      <c r="BA415" s="55"/>
      <c r="BB415" s="55"/>
      <c r="BC415" s="55"/>
      <c r="BD415" s="55"/>
      <c r="BE415" s="55"/>
    </row>
    <row r="416" spans="2:57" x14ac:dyDescent="0.25">
      <c r="C416" s="1277"/>
      <c r="D416" s="1329" t="s">
        <v>28</v>
      </c>
      <c r="E416" s="1268" t="s">
        <v>287</v>
      </c>
      <c r="F416" s="72">
        <f>((F430/G430)-(F430/H430))*I430*J430</f>
        <v>307.28361601678625</v>
      </c>
      <c r="G416" s="1240" t="s">
        <v>44</v>
      </c>
      <c r="H416" s="1241">
        <f>VLOOKUP(G416,'CP FACTORS'!$A$26:$B$38,2,FALSE)</f>
        <v>1.379439E-4</v>
      </c>
      <c r="I416" s="1242">
        <f>H416*F416</f>
        <v>4.2387900399457959E-2</v>
      </c>
      <c r="J416" s="1319">
        <v>14</v>
      </c>
      <c r="K416" s="1270">
        <v>105</v>
      </c>
      <c r="L416" s="1340" t="s">
        <v>31</v>
      </c>
      <c r="V416" s="52" t="s">
        <v>19</v>
      </c>
      <c r="W416" s="59">
        <v>307.28361601678625</v>
      </c>
      <c r="X416" s="59">
        <v>307.28361601678625</v>
      </c>
      <c r="Y416" s="55"/>
      <c r="Z416" s="55"/>
      <c r="AA416" s="55"/>
      <c r="AB416" s="55"/>
      <c r="AC416" s="55"/>
      <c r="AD416" s="55"/>
      <c r="AE416" s="55"/>
      <c r="AF416" s="55"/>
      <c r="AG416" s="55"/>
      <c r="AH416" s="56"/>
      <c r="AI416" s="52" t="s">
        <v>23</v>
      </c>
      <c r="AJ416" s="57">
        <v>14</v>
      </c>
      <c r="AK416" s="57">
        <v>14</v>
      </c>
      <c r="AL416" s="55"/>
      <c r="AM416" s="55"/>
      <c r="AN416" s="55"/>
      <c r="AO416" s="55"/>
      <c r="AP416" s="55"/>
      <c r="AQ416" s="55"/>
      <c r="AR416" s="55"/>
      <c r="AS416" s="55"/>
      <c r="AT416" s="24"/>
      <c r="AU416" s="52" t="s">
        <v>24</v>
      </c>
      <c r="AV416" s="58">
        <v>105</v>
      </c>
      <c r="AW416" s="58">
        <v>105</v>
      </c>
      <c r="AX416" s="55"/>
      <c r="AY416" s="55"/>
      <c r="AZ416" s="55"/>
      <c r="BA416" s="55"/>
      <c r="BB416" s="55"/>
      <c r="BC416" s="55"/>
      <c r="BD416" s="55"/>
      <c r="BE416" s="55"/>
    </row>
    <row r="417" spans="2:57" x14ac:dyDescent="0.25">
      <c r="C417" s="1277"/>
      <c r="D417" s="1329" t="s">
        <v>28</v>
      </c>
      <c r="E417" s="1268" t="s">
        <v>288</v>
      </c>
      <c r="F417" s="72">
        <f>((F431/G431)-(F431/H431))*I431*J431</f>
        <v>340.10511227902549</v>
      </c>
      <c r="G417" s="1240" t="s">
        <v>44</v>
      </c>
      <c r="H417" s="1241">
        <f>VLOOKUP(G417,'CP FACTORS'!$A$26:$B$38,2,FALSE)</f>
        <v>1.379439E-4</v>
      </c>
      <c r="I417" s="1242">
        <f>H417*F417</f>
        <v>4.6915425597706666E-2</v>
      </c>
      <c r="J417" s="1319">
        <v>14</v>
      </c>
      <c r="K417" s="1270">
        <v>105</v>
      </c>
      <c r="L417" s="1340" t="s">
        <v>31</v>
      </c>
      <c r="V417" s="52" t="s">
        <v>19</v>
      </c>
      <c r="W417" s="59">
        <v>340.10511227902549</v>
      </c>
      <c r="X417" s="59">
        <v>340.10511227902549</v>
      </c>
      <c r="Y417" s="55"/>
      <c r="Z417" s="55"/>
      <c r="AA417" s="55"/>
      <c r="AB417" s="55"/>
      <c r="AC417" s="55"/>
      <c r="AD417" s="55"/>
      <c r="AE417" s="55"/>
      <c r="AF417" s="55"/>
      <c r="AG417" s="55"/>
      <c r="AH417" s="56"/>
      <c r="AI417" s="52" t="s">
        <v>23</v>
      </c>
      <c r="AJ417" s="57">
        <v>14</v>
      </c>
      <c r="AK417" s="57">
        <v>14</v>
      </c>
      <c r="AL417" s="55"/>
      <c r="AM417" s="55"/>
      <c r="AN417" s="55"/>
      <c r="AO417" s="55"/>
      <c r="AP417" s="55"/>
      <c r="AQ417" s="55"/>
      <c r="AR417" s="55"/>
      <c r="AS417" s="55"/>
      <c r="AT417" s="24"/>
      <c r="AU417" s="52" t="s">
        <v>24</v>
      </c>
      <c r="AV417" s="58">
        <v>105</v>
      </c>
      <c r="AW417" s="58">
        <v>105</v>
      </c>
      <c r="AX417" s="55"/>
      <c r="AY417" s="55"/>
      <c r="AZ417" s="55"/>
      <c r="BA417" s="55"/>
      <c r="BB417" s="55"/>
      <c r="BC417" s="55"/>
      <c r="BD417" s="55"/>
      <c r="BE417" s="55"/>
    </row>
    <row r="418" spans="2:57" x14ac:dyDescent="0.25">
      <c r="C418" s="1277"/>
      <c r="D418" s="1329" t="s">
        <v>28</v>
      </c>
      <c r="E418" s="1268" t="s">
        <v>289</v>
      </c>
      <c r="F418" s="72">
        <f>((F432/G432)-(F432/H432))*I432*J432</f>
        <v>428.65776750052589</v>
      </c>
      <c r="G418" s="1240" t="s">
        <v>44</v>
      </c>
      <c r="H418" s="1241">
        <f>VLOOKUP(G418,'CP FACTORS'!$A$26:$B$38,2,FALSE)</f>
        <v>1.379439E-4</v>
      </c>
      <c r="I418" s="1242">
        <f>H418*F418</f>
        <v>5.913072421431579E-2</v>
      </c>
      <c r="J418" s="1319">
        <v>14</v>
      </c>
      <c r="K418" s="1270">
        <v>105</v>
      </c>
      <c r="L418" s="1340" t="s">
        <v>31</v>
      </c>
      <c r="V418" s="52" t="s">
        <v>19</v>
      </c>
      <c r="W418" s="59">
        <v>428.65776750052589</v>
      </c>
      <c r="X418" s="59">
        <v>428.65776750052589</v>
      </c>
      <c r="Y418" s="55"/>
      <c r="Z418" s="55"/>
      <c r="AA418" s="55"/>
      <c r="AB418" s="55"/>
      <c r="AC418" s="55"/>
      <c r="AD418" s="55"/>
      <c r="AE418" s="55"/>
      <c r="AF418" s="55"/>
      <c r="AG418" s="55"/>
      <c r="AH418" s="56"/>
      <c r="AI418" s="52" t="s">
        <v>23</v>
      </c>
      <c r="AJ418" s="57">
        <v>14</v>
      </c>
      <c r="AK418" s="57">
        <v>14</v>
      </c>
      <c r="AL418" s="55"/>
      <c r="AM418" s="55"/>
      <c r="AN418" s="55"/>
      <c r="AO418" s="55"/>
      <c r="AP418" s="55"/>
      <c r="AQ418" s="55"/>
      <c r="AR418" s="55"/>
      <c r="AS418" s="55"/>
      <c r="AT418" s="24"/>
      <c r="AU418" s="52" t="s">
        <v>24</v>
      </c>
      <c r="AV418" s="58">
        <v>105</v>
      </c>
      <c r="AW418" s="58">
        <v>105</v>
      </c>
      <c r="AX418" s="55"/>
      <c r="AY418" s="55"/>
      <c r="AZ418" s="55"/>
      <c r="BA418" s="55"/>
      <c r="BB418" s="55"/>
      <c r="BC418" s="55"/>
      <c r="BD418" s="55"/>
      <c r="BE418" s="55"/>
    </row>
    <row r="419" spans="2:57" x14ac:dyDescent="0.25">
      <c r="C419" s="1277"/>
      <c r="D419" s="1329" t="s">
        <v>28</v>
      </c>
      <c r="E419" s="1268" t="s">
        <v>290</v>
      </c>
      <c r="F419" s="72">
        <f>((F433/G433)-(F433/H433))*I433*J433</f>
        <v>40.574226971021517</v>
      </c>
      <c r="G419" s="1240" t="s">
        <v>44</v>
      </c>
      <c r="H419" s="1241">
        <f>VLOOKUP(G419,'CP FACTORS'!$A$26:$B$38,2,FALSE)</f>
        <v>1.379439E-4</v>
      </c>
      <c r="I419" s="1242">
        <f>H419*F419</f>
        <v>5.5969671078678947E-3</v>
      </c>
      <c r="J419" s="1319">
        <v>14</v>
      </c>
      <c r="K419" s="1270">
        <v>75</v>
      </c>
      <c r="L419" s="1340" t="s">
        <v>31</v>
      </c>
      <c r="V419" s="52" t="s">
        <v>19</v>
      </c>
      <c r="W419" s="59">
        <v>40.574226971021517</v>
      </c>
      <c r="X419" s="59">
        <v>40.574226971021517</v>
      </c>
      <c r="Y419" s="55"/>
      <c r="Z419" s="55"/>
      <c r="AA419" s="55"/>
      <c r="AB419" s="55"/>
      <c r="AC419" s="55"/>
      <c r="AD419" s="55"/>
      <c r="AE419" s="55"/>
      <c r="AF419" s="55"/>
      <c r="AG419" s="55"/>
      <c r="AH419" s="56"/>
      <c r="AI419" s="52" t="s">
        <v>23</v>
      </c>
      <c r="AJ419" s="57">
        <v>14</v>
      </c>
      <c r="AK419" s="57">
        <v>14</v>
      </c>
      <c r="AL419" s="55"/>
      <c r="AM419" s="55"/>
      <c r="AN419" s="55"/>
      <c r="AO419" s="55"/>
      <c r="AP419" s="55"/>
      <c r="AQ419" s="55"/>
      <c r="AR419" s="55"/>
      <c r="AS419" s="55"/>
      <c r="AT419" s="24"/>
      <c r="AU419" s="52" t="s">
        <v>24</v>
      </c>
      <c r="AV419" s="58">
        <v>75</v>
      </c>
      <c r="AW419" s="58">
        <v>75</v>
      </c>
      <c r="AX419" s="55"/>
      <c r="AY419" s="55"/>
      <c r="AZ419" s="55"/>
      <c r="BA419" s="55"/>
      <c r="BB419" s="55"/>
      <c r="BC419" s="55"/>
      <c r="BD419" s="55"/>
      <c r="BE419" s="55"/>
    </row>
    <row r="420" spans="2:57" outlineLevel="1" x14ac:dyDescent="0.25">
      <c r="E420" s="1227"/>
      <c r="F420" s="1227"/>
      <c r="G420" s="1227"/>
      <c r="H420" s="1251"/>
      <c r="I420" s="1227"/>
      <c r="J420" s="1227"/>
      <c r="K420" s="1227"/>
    </row>
    <row r="421" spans="2:57" outlineLevel="1" x14ac:dyDescent="0.25">
      <c r="D421" s="1227" t="s">
        <v>52</v>
      </c>
      <c r="E421" s="1227"/>
      <c r="F421" s="1227"/>
      <c r="G421" s="1227"/>
      <c r="H421" s="1251"/>
      <c r="I421" s="1227"/>
      <c r="J421" s="1227"/>
      <c r="K421" s="1227"/>
    </row>
    <row r="422" spans="2:57" outlineLevel="1" x14ac:dyDescent="0.25">
      <c r="D422" s="1252"/>
      <c r="G422" s="1285"/>
      <c r="H422" s="1286"/>
    </row>
    <row r="423" spans="2:57" outlineLevel="1" x14ac:dyDescent="0.25">
      <c r="D423" s="1320"/>
      <c r="E423" s="1223"/>
      <c r="G423" s="1285"/>
      <c r="H423" s="1286"/>
    </row>
    <row r="424" spans="2:57" outlineLevel="1" x14ac:dyDescent="0.25">
      <c r="D424" s="1320"/>
      <c r="E424" s="1223"/>
      <c r="G424" s="1222"/>
      <c r="H424" s="1253"/>
      <c r="M424" s="1227"/>
    </row>
    <row r="425" spans="2:57" outlineLevel="1" x14ac:dyDescent="0.25">
      <c r="D425" s="1252"/>
      <c r="G425" s="1222"/>
      <c r="H425" s="1253"/>
      <c r="M425" s="1227"/>
    </row>
    <row r="426" spans="2:57" outlineLevel="1" x14ac:dyDescent="0.25">
      <c r="D426" s="1252"/>
      <c r="G426" s="1222"/>
      <c r="H426" s="1253"/>
      <c r="M426" s="1227"/>
    </row>
    <row r="427" spans="2:57" outlineLevel="1" x14ac:dyDescent="0.25">
      <c r="D427" s="1252"/>
      <c r="G427" s="1222"/>
      <c r="H427" s="1253"/>
    </row>
    <row r="428" spans="2:57" s="61" customFormat="1" ht="30" outlineLevel="1" x14ac:dyDescent="0.2">
      <c r="B428" s="1258"/>
      <c r="C428" s="1258"/>
      <c r="D428" s="91" t="s">
        <v>16</v>
      </c>
      <c r="E428" s="91" t="s">
        <v>89</v>
      </c>
      <c r="F428" s="101" t="s">
        <v>291</v>
      </c>
      <c r="G428" s="91" t="s">
        <v>292</v>
      </c>
      <c r="H428" s="91" t="s">
        <v>293</v>
      </c>
      <c r="I428" s="91" t="s">
        <v>277</v>
      </c>
      <c r="J428" s="91" t="s">
        <v>294</v>
      </c>
      <c r="K428" s="91"/>
      <c r="L428" s="91"/>
      <c r="M428" s="91"/>
      <c r="N428" s="91"/>
      <c r="O428" s="91"/>
      <c r="P428" s="91"/>
      <c r="Q428" s="91"/>
      <c r="R428" s="1258"/>
      <c r="S428" s="1258"/>
      <c r="T428" s="1258"/>
      <c r="U428" s="1258"/>
    </row>
    <row r="429" spans="2:57" outlineLevel="1" x14ac:dyDescent="0.2">
      <c r="D429" s="1259"/>
      <c r="E429" s="1259" t="str">
        <f>E415</f>
        <v>Clothes Dryer Vented Electric, Standard (≥ 4.4 ft3)</v>
      </c>
      <c r="F429" s="1336">
        <v>8.4499999999999993</v>
      </c>
      <c r="G429" s="103">
        <v>3.11</v>
      </c>
      <c r="H429" s="1362">
        <v>3.93</v>
      </c>
      <c r="I429" s="1322">
        <v>1483</v>
      </c>
      <c r="J429" s="1350">
        <v>1</v>
      </c>
      <c r="K429" s="1350"/>
      <c r="L429" s="1350"/>
      <c r="M429" s="1350"/>
      <c r="N429" s="1350"/>
      <c r="O429" s="1350"/>
      <c r="P429" s="1350"/>
      <c r="Q429" s="1350"/>
    </row>
    <row r="430" spans="2:57" outlineLevel="1" x14ac:dyDescent="0.2">
      <c r="D430" s="1259"/>
      <c r="E430" s="1259" t="str">
        <f>E416</f>
        <v>Clothes Dryer Vented Electric, Compact (120V) (&lt; 4.4 ft3)</v>
      </c>
      <c r="F430" s="1336">
        <v>3</v>
      </c>
      <c r="G430" s="103">
        <v>3.01</v>
      </c>
      <c r="H430" s="1362">
        <v>3.8</v>
      </c>
      <c r="I430" s="1322">
        <v>1483</v>
      </c>
      <c r="J430" s="1350">
        <v>1</v>
      </c>
      <c r="K430" s="1350"/>
      <c r="L430" s="1350"/>
      <c r="M430" s="1350"/>
      <c r="N430" s="1350"/>
      <c r="O430" s="1350"/>
      <c r="P430" s="1350"/>
      <c r="Q430" s="1350"/>
    </row>
    <row r="431" spans="2:57" outlineLevel="1" x14ac:dyDescent="0.2">
      <c r="D431" s="1259"/>
      <c r="E431" s="1259" t="str">
        <f>E417</f>
        <v>Clothes Dryer Vented Electric, Compact (240V) (&lt;4.4 ft3)</v>
      </c>
      <c r="F431" s="1336">
        <v>3</v>
      </c>
      <c r="G431" s="103">
        <v>2.73</v>
      </c>
      <c r="H431" s="1362">
        <v>3.45</v>
      </c>
      <c r="I431" s="1322">
        <v>1483</v>
      </c>
      <c r="J431" s="1350">
        <v>1</v>
      </c>
      <c r="K431" s="1350"/>
      <c r="L431" s="1350"/>
      <c r="M431" s="1350"/>
      <c r="N431" s="1350"/>
      <c r="O431" s="1350"/>
      <c r="P431" s="1350"/>
      <c r="Q431" s="1350"/>
    </row>
    <row r="432" spans="2:57" outlineLevel="1" x14ac:dyDescent="0.2">
      <c r="D432" s="1259"/>
      <c r="E432" s="1259" t="str">
        <f>E418</f>
        <v>Clothes Dryer Ventless Electric, Compact (240V) (&lt;4.4 ft3)</v>
      </c>
      <c r="F432" s="1336">
        <v>3</v>
      </c>
      <c r="G432" s="103">
        <v>2.13</v>
      </c>
      <c r="H432" s="1362">
        <v>2.68</v>
      </c>
      <c r="I432" s="1322">
        <v>1483</v>
      </c>
      <c r="J432" s="1350">
        <v>1</v>
      </c>
      <c r="K432" s="1350"/>
      <c r="L432" s="1350"/>
      <c r="M432" s="1350"/>
      <c r="N432" s="1350"/>
      <c r="O432" s="1350"/>
      <c r="P432" s="1350"/>
      <c r="Q432" s="1350"/>
    </row>
    <row r="433" spans="2:57" outlineLevel="1" x14ac:dyDescent="0.2">
      <c r="D433" s="1259"/>
      <c r="E433" s="1259" t="str">
        <f>E419</f>
        <v>Clothes Dryer Vented Gas</v>
      </c>
      <c r="F433" s="1336">
        <v>8.4499999999999993</v>
      </c>
      <c r="G433" s="103">
        <v>2.84</v>
      </c>
      <c r="H433" s="1362">
        <v>3.48</v>
      </c>
      <c r="I433" s="1322">
        <v>1483</v>
      </c>
      <c r="J433" s="1350">
        <v>0.05</v>
      </c>
      <c r="K433" s="1350"/>
      <c r="L433" s="1350"/>
      <c r="M433" s="1350"/>
      <c r="N433" s="1350"/>
      <c r="O433" s="1350"/>
      <c r="P433" s="1350"/>
      <c r="Q433" s="1350"/>
    </row>
    <row r="436" spans="2:57" s="39" customFormat="1" x14ac:dyDescent="0.25">
      <c r="B436" s="1989" t="s">
        <v>295</v>
      </c>
      <c r="C436" s="1990"/>
      <c r="D436" s="1990"/>
      <c r="E436" s="1990"/>
      <c r="F436" s="1990"/>
      <c r="G436" s="1990"/>
      <c r="H436" s="1990"/>
      <c r="I436" s="1991"/>
      <c r="J436" s="1991"/>
      <c r="K436" s="1991"/>
      <c r="L436" s="1991"/>
      <c r="M436" s="1992"/>
      <c r="N436" s="1992"/>
      <c r="O436" s="1993"/>
      <c r="V436" s="40" t="str">
        <f>B436</f>
        <v>Compressed Air</v>
      </c>
      <c r="W436" s="41"/>
      <c r="X436" s="41"/>
      <c r="Y436" s="41"/>
      <c r="Z436" s="41"/>
      <c r="AA436" s="41"/>
      <c r="AB436" s="41"/>
      <c r="AC436" s="41"/>
      <c r="AD436" s="41"/>
      <c r="AE436" s="41"/>
      <c r="AF436" s="41"/>
      <c r="AG436" s="41"/>
      <c r="AH436" s="41"/>
      <c r="AI436" s="42"/>
      <c r="AJ436" s="22"/>
      <c r="AK436" s="22"/>
      <c r="AL436" s="22"/>
      <c r="AM436" s="22"/>
      <c r="AN436" s="22"/>
      <c r="AO436" s="22"/>
      <c r="AP436" s="22"/>
      <c r="AQ436" s="22"/>
      <c r="AR436" s="22"/>
      <c r="AS436" s="22"/>
      <c r="AT436" s="22"/>
      <c r="AU436" s="22"/>
    </row>
    <row r="437" spans="2:57" x14ac:dyDescent="0.25">
      <c r="D437" s="1234"/>
      <c r="E437" s="1227"/>
      <c r="F437" s="1227"/>
      <c r="G437" s="1227"/>
      <c r="H437" s="1235"/>
      <c r="I437" s="1227"/>
      <c r="J437" s="1227"/>
      <c r="K437" s="1227"/>
      <c r="L437" s="1227"/>
      <c r="P437" s="1227"/>
      <c r="Q437" s="1227"/>
      <c r="R437" s="1227"/>
      <c r="S437" s="1227"/>
      <c r="T437" s="1227"/>
      <c r="U437" s="1227"/>
      <c r="V437"/>
      <c r="W437"/>
      <c r="X437"/>
      <c r="Y437"/>
      <c r="Z437"/>
      <c r="AA437"/>
      <c r="AB437"/>
      <c r="AC437"/>
      <c r="AD437"/>
      <c r="AE437"/>
      <c r="AF437"/>
      <c r="AG437"/>
      <c r="AH437"/>
      <c r="AI437"/>
      <c r="AJ437" s="38"/>
      <c r="AK437" s="38"/>
      <c r="AL437" s="38"/>
      <c r="AM437" s="38"/>
      <c r="AN437" s="38"/>
      <c r="AO437" s="38"/>
      <c r="AP437" s="38"/>
      <c r="AQ437" s="38"/>
      <c r="AR437" s="38"/>
      <c r="AS437" s="38"/>
      <c r="AT437" s="38"/>
      <c r="AU437" s="38"/>
    </row>
    <row r="438" spans="2:57" s="43" customFormat="1" ht="30" x14ac:dyDescent="0.25">
      <c r="B438" s="1236"/>
      <c r="C438" s="44" t="s">
        <v>16</v>
      </c>
      <c r="D438" s="44" t="s">
        <v>17</v>
      </c>
      <c r="E438" s="131" t="s">
        <v>18</v>
      </c>
      <c r="F438" s="131" t="s">
        <v>19</v>
      </c>
      <c r="G438" s="131" t="s">
        <v>20</v>
      </c>
      <c r="H438" s="46" t="s">
        <v>21</v>
      </c>
      <c r="I438" s="131" t="s">
        <v>22</v>
      </c>
      <c r="J438" s="131" t="s">
        <v>23</v>
      </c>
      <c r="K438" s="44" t="s">
        <v>24</v>
      </c>
      <c r="L438" s="44" t="s">
        <v>25</v>
      </c>
      <c r="M438" s="1222"/>
      <c r="N438" s="1360"/>
      <c r="O438" s="1333"/>
      <c r="P438" s="1334"/>
      <c r="Q438" s="1139"/>
      <c r="R438" s="1139"/>
      <c r="S438" s="1139"/>
      <c r="T438" s="1139"/>
      <c r="U438" s="1139"/>
      <c r="V438" s="48" t="s">
        <v>26</v>
      </c>
      <c r="W438" s="49">
        <v>43252</v>
      </c>
      <c r="X438" s="49">
        <v>43465</v>
      </c>
      <c r="Y438" s="49" t="s">
        <v>27</v>
      </c>
      <c r="Z438" s="49" t="s">
        <v>27</v>
      </c>
      <c r="AA438" s="49" t="s">
        <v>27</v>
      </c>
      <c r="AB438" s="49" t="s">
        <v>27</v>
      </c>
      <c r="AC438" s="49" t="s">
        <v>27</v>
      </c>
      <c r="AD438" s="49" t="s">
        <v>27</v>
      </c>
      <c r="AE438" s="49" t="s">
        <v>27</v>
      </c>
      <c r="AF438" s="49" t="s">
        <v>27</v>
      </c>
      <c r="AG438" s="49" t="s">
        <v>27</v>
      </c>
      <c r="AH438"/>
      <c r="AI438" s="48" t="s">
        <v>26</v>
      </c>
      <c r="AJ438" s="49">
        <v>43252</v>
      </c>
      <c r="AK438" s="49">
        <v>43465</v>
      </c>
      <c r="AL438" s="49" t="s">
        <v>27</v>
      </c>
      <c r="AM438" s="49" t="s">
        <v>27</v>
      </c>
      <c r="AN438" s="49" t="s">
        <v>27</v>
      </c>
      <c r="AO438" s="49" t="s">
        <v>27</v>
      </c>
      <c r="AP438" s="49" t="s">
        <v>27</v>
      </c>
      <c r="AQ438" s="49" t="s">
        <v>27</v>
      </c>
      <c r="AR438" s="49" t="s">
        <v>27</v>
      </c>
      <c r="AS438" s="49" t="s">
        <v>27</v>
      </c>
      <c r="AT438" s="24"/>
      <c r="AU438" s="48" t="s">
        <v>26</v>
      </c>
      <c r="AV438" s="49">
        <v>43252</v>
      </c>
      <c r="AW438" s="49">
        <v>43465</v>
      </c>
      <c r="AX438" s="49" t="s">
        <v>27</v>
      </c>
      <c r="AY438" s="49" t="s">
        <v>27</v>
      </c>
      <c r="AZ438" s="49" t="s">
        <v>27</v>
      </c>
      <c r="BA438" s="49" t="s">
        <v>27</v>
      </c>
      <c r="BB438" s="49" t="s">
        <v>27</v>
      </c>
      <c r="BC438" s="49" t="s">
        <v>27</v>
      </c>
      <c r="BD438" s="49" t="s">
        <v>27</v>
      </c>
      <c r="BE438" s="49" t="s">
        <v>27</v>
      </c>
    </row>
    <row r="439" spans="2:57" x14ac:dyDescent="0.25">
      <c r="C439" s="1277"/>
      <c r="D439" s="1329" t="s">
        <v>28</v>
      </c>
      <c r="E439" s="1268" t="s">
        <v>296</v>
      </c>
      <c r="F439" s="72">
        <f t="shared" ref="F439:F445" si="24">F455*G455*H455</f>
        <v>3272.2560000000003</v>
      </c>
      <c r="G439" s="1240" t="s">
        <v>297</v>
      </c>
      <c r="H439" s="1241">
        <f>VLOOKUP(G439,'CP FACTORS'!$A$26:$B$38,2,FALSE)</f>
        <v>1.379439E-4</v>
      </c>
      <c r="I439" s="1242">
        <f t="shared" ref="I439:I445" si="25">H439*F439</f>
        <v>0.45138775443840001</v>
      </c>
      <c r="J439" s="1319">
        <v>13</v>
      </c>
      <c r="K439" s="1270">
        <v>700</v>
      </c>
      <c r="L439" s="1340" t="s">
        <v>31</v>
      </c>
      <c r="V439" s="52" t="s">
        <v>19</v>
      </c>
      <c r="W439" s="59">
        <v>3272.2560000000003</v>
      </c>
      <c r="X439" s="59">
        <v>3272.2560000000003</v>
      </c>
      <c r="Y439" s="55"/>
      <c r="Z439" s="55"/>
      <c r="AA439" s="55"/>
      <c r="AB439" s="55"/>
      <c r="AC439" s="55"/>
      <c r="AD439" s="55"/>
      <c r="AE439" s="55"/>
      <c r="AF439" s="55"/>
      <c r="AG439" s="55"/>
      <c r="AH439" s="56"/>
      <c r="AI439" s="52" t="s">
        <v>23</v>
      </c>
      <c r="AJ439" s="57">
        <v>13</v>
      </c>
      <c r="AK439" s="57">
        <v>13</v>
      </c>
      <c r="AL439" s="55"/>
      <c r="AM439" s="55"/>
      <c r="AN439" s="55"/>
      <c r="AO439" s="55"/>
      <c r="AP439" s="55"/>
      <c r="AQ439" s="55"/>
      <c r="AR439" s="55"/>
      <c r="AS439" s="55"/>
      <c r="AT439" s="24"/>
      <c r="AU439" s="52" t="s">
        <v>24</v>
      </c>
      <c r="AV439" s="58">
        <v>700</v>
      </c>
      <c r="AW439" s="58">
        <v>700</v>
      </c>
      <c r="AX439" s="55"/>
      <c r="AY439" s="55"/>
      <c r="AZ439" s="55"/>
      <c r="BA439" s="55"/>
      <c r="BB439" s="55"/>
      <c r="BC439" s="55"/>
      <c r="BD439" s="55"/>
      <c r="BE439" s="55"/>
    </row>
    <row r="440" spans="2:57" x14ac:dyDescent="0.25">
      <c r="C440" s="1277"/>
      <c r="D440" s="1329" t="s">
        <v>28</v>
      </c>
      <c r="E440" s="1268" t="s">
        <v>298</v>
      </c>
      <c r="F440" s="72">
        <f t="shared" si="24"/>
        <v>2418.6240000000003</v>
      </c>
      <c r="G440" s="1240" t="s">
        <v>297</v>
      </c>
      <c r="H440" s="1241">
        <f>VLOOKUP(G440,'CP FACTORS'!$A$26:$B$38,2,FALSE)</f>
        <v>1.379439E-4</v>
      </c>
      <c r="I440" s="1242">
        <f t="shared" si="25"/>
        <v>0.33363442719360004</v>
      </c>
      <c r="J440" s="1319">
        <v>13</v>
      </c>
      <c r="K440" s="1270">
        <v>700</v>
      </c>
      <c r="L440" s="1340" t="s">
        <v>31</v>
      </c>
      <c r="V440" s="52" t="s">
        <v>19</v>
      </c>
      <c r="W440" s="59">
        <v>2418.6240000000003</v>
      </c>
      <c r="X440" s="59">
        <v>2418.6240000000003</v>
      </c>
      <c r="Y440" s="55"/>
      <c r="Z440" s="55"/>
      <c r="AA440" s="55"/>
      <c r="AB440" s="55"/>
      <c r="AC440" s="55"/>
      <c r="AD440" s="55"/>
      <c r="AE440" s="55"/>
      <c r="AF440" s="55"/>
      <c r="AG440" s="55"/>
      <c r="AH440" s="56"/>
      <c r="AI440" s="52" t="s">
        <v>23</v>
      </c>
      <c r="AJ440" s="57">
        <v>13</v>
      </c>
      <c r="AK440" s="57">
        <v>13</v>
      </c>
      <c r="AL440" s="55"/>
      <c r="AM440" s="55"/>
      <c r="AN440" s="55"/>
      <c r="AO440" s="55"/>
      <c r="AP440" s="55"/>
      <c r="AQ440" s="55"/>
      <c r="AR440" s="55"/>
      <c r="AS440" s="55"/>
      <c r="AT440" s="24"/>
      <c r="AU440" s="52" t="s">
        <v>24</v>
      </c>
      <c r="AV440" s="58">
        <v>700</v>
      </c>
      <c r="AW440" s="58">
        <v>700</v>
      </c>
      <c r="AX440" s="55"/>
      <c r="AY440" s="55"/>
      <c r="AZ440" s="55"/>
      <c r="BA440" s="55"/>
      <c r="BB440" s="55"/>
      <c r="BC440" s="55"/>
      <c r="BD440" s="55"/>
      <c r="BE440" s="55"/>
    </row>
    <row r="441" spans="2:57" x14ac:dyDescent="0.25">
      <c r="C441" s="1277"/>
      <c r="D441" s="1329" t="s">
        <v>28</v>
      </c>
      <c r="E441" s="1268" t="s">
        <v>299</v>
      </c>
      <c r="F441" s="72">
        <f t="shared" si="24"/>
        <v>2703.1679999999997</v>
      </c>
      <c r="G441" s="1240" t="s">
        <v>297</v>
      </c>
      <c r="H441" s="1241">
        <f>VLOOKUP(G441,'CP FACTORS'!$A$26:$B$38,2,FALSE)</f>
        <v>1.379439E-4</v>
      </c>
      <c r="I441" s="1242">
        <f t="shared" si="25"/>
        <v>0.37288553627519994</v>
      </c>
      <c r="J441" s="1319">
        <v>13</v>
      </c>
      <c r="K441" s="1270">
        <v>700</v>
      </c>
      <c r="L441" s="1340" t="s">
        <v>31</v>
      </c>
      <c r="V441" s="52" t="s">
        <v>19</v>
      </c>
      <c r="W441" s="59">
        <v>2703.1679999999997</v>
      </c>
      <c r="X441" s="59">
        <v>2703.1679999999997</v>
      </c>
      <c r="Y441" s="55"/>
      <c r="Z441" s="55"/>
      <c r="AA441" s="55"/>
      <c r="AB441" s="55"/>
      <c r="AC441" s="55"/>
      <c r="AD441" s="55"/>
      <c r="AE441" s="55"/>
      <c r="AF441" s="55"/>
      <c r="AG441" s="55"/>
      <c r="AH441" s="56"/>
      <c r="AI441" s="52" t="s">
        <v>23</v>
      </c>
      <c r="AJ441" s="57">
        <v>13</v>
      </c>
      <c r="AK441" s="57">
        <v>13</v>
      </c>
      <c r="AL441" s="55"/>
      <c r="AM441" s="55"/>
      <c r="AN441" s="55"/>
      <c r="AO441" s="55"/>
      <c r="AP441" s="55"/>
      <c r="AQ441" s="55"/>
      <c r="AR441" s="55"/>
      <c r="AS441" s="55"/>
      <c r="AT441" s="24"/>
      <c r="AU441" s="52" t="s">
        <v>24</v>
      </c>
      <c r="AV441" s="58">
        <v>700</v>
      </c>
      <c r="AW441" s="58">
        <v>700</v>
      </c>
      <c r="AX441" s="55"/>
      <c r="AY441" s="55"/>
      <c r="AZ441" s="55"/>
      <c r="BA441" s="55"/>
      <c r="BB441" s="55"/>
      <c r="BC441" s="55"/>
      <c r="BD441" s="55"/>
      <c r="BE441" s="55"/>
    </row>
    <row r="442" spans="2:57" x14ac:dyDescent="0.25">
      <c r="C442" s="1277"/>
      <c r="D442" s="1329" t="s">
        <v>28</v>
      </c>
      <c r="E442" s="1268" t="s">
        <v>300</v>
      </c>
      <c r="F442" s="72">
        <f t="shared" si="24"/>
        <v>978.12</v>
      </c>
      <c r="G442" s="1240" t="s">
        <v>297</v>
      </c>
      <c r="H442" s="1241">
        <f>VLOOKUP(G442,'CP FACTORS'!$A$26:$B$38,2,FALSE)</f>
        <v>1.379439E-4</v>
      </c>
      <c r="I442" s="1242">
        <f t="shared" si="25"/>
        <v>0.13492568746799999</v>
      </c>
      <c r="J442" s="1319">
        <v>13</v>
      </c>
      <c r="K442" s="1270">
        <v>700</v>
      </c>
      <c r="L442" s="1340" t="s">
        <v>31</v>
      </c>
      <c r="V442" s="52" t="s">
        <v>19</v>
      </c>
      <c r="W442" s="59">
        <v>978.12</v>
      </c>
      <c r="X442" s="59">
        <v>978.12</v>
      </c>
      <c r="Y442" s="55"/>
      <c r="Z442" s="55"/>
      <c r="AA442" s="55"/>
      <c r="AB442" s="55"/>
      <c r="AC442" s="55"/>
      <c r="AD442" s="55"/>
      <c r="AE442" s="55"/>
      <c r="AF442" s="55"/>
      <c r="AG442" s="55"/>
      <c r="AH442" s="56"/>
      <c r="AI442" s="52" t="s">
        <v>23</v>
      </c>
      <c r="AJ442" s="57">
        <v>13</v>
      </c>
      <c r="AK442" s="57">
        <v>13</v>
      </c>
      <c r="AL442" s="55"/>
      <c r="AM442" s="55"/>
      <c r="AN442" s="55"/>
      <c r="AO442" s="55"/>
      <c r="AP442" s="55"/>
      <c r="AQ442" s="55"/>
      <c r="AR442" s="55"/>
      <c r="AS442" s="55"/>
      <c r="AT442" s="24"/>
      <c r="AU442" s="52" t="s">
        <v>24</v>
      </c>
      <c r="AV442" s="58">
        <v>700</v>
      </c>
      <c r="AW442" s="58">
        <v>700</v>
      </c>
      <c r="AX442" s="55"/>
      <c r="AY442" s="55"/>
      <c r="AZ442" s="55"/>
      <c r="BA442" s="55"/>
      <c r="BB442" s="55"/>
      <c r="BC442" s="55"/>
      <c r="BD442" s="55"/>
      <c r="BE442" s="55"/>
    </row>
    <row r="443" spans="2:57" x14ac:dyDescent="0.25">
      <c r="C443" s="1277"/>
      <c r="D443" s="1329" t="s">
        <v>28</v>
      </c>
      <c r="E443" s="1268" t="s">
        <v>301</v>
      </c>
      <c r="F443" s="72">
        <f t="shared" si="24"/>
        <v>978.12</v>
      </c>
      <c r="G443" s="1240" t="s">
        <v>297</v>
      </c>
      <c r="H443" s="1241">
        <f>VLOOKUP(G443,'CP FACTORS'!$A$26:$B$38,2,FALSE)</f>
        <v>1.379439E-4</v>
      </c>
      <c r="I443" s="1242">
        <f t="shared" si="25"/>
        <v>0.13492568746799999</v>
      </c>
      <c r="J443" s="1319">
        <v>13</v>
      </c>
      <c r="K443" s="1270">
        <v>700</v>
      </c>
      <c r="L443" s="1340" t="s">
        <v>31</v>
      </c>
      <c r="V443" s="52" t="s">
        <v>19</v>
      </c>
      <c r="W443" s="59">
        <v>978.12</v>
      </c>
      <c r="X443" s="59">
        <v>978.12</v>
      </c>
      <c r="Y443" s="55"/>
      <c r="Z443" s="55"/>
      <c r="AA443" s="55"/>
      <c r="AB443" s="55"/>
      <c r="AC443" s="55"/>
      <c r="AD443" s="55"/>
      <c r="AE443" s="55"/>
      <c r="AF443" s="55"/>
      <c r="AG443" s="55"/>
      <c r="AH443" s="56"/>
      <c r="AI443" s="52" t="s">
        <v>23</v>
      </c>
      <c r="AJ443" s="57">
        <v>13</v>
      </c>
      <c r="AK443" s="57">
        <v>13</v>
      </c>
      <c r="AL443" s="55"/>
      <c r="AM443" s="55"/>
      <c r="AN443" s="55"/>
      <c r="AO443" s="55"/>
      <c r="AP443" s="55"/>
      <c r="AQ443" s="55"/>
      <c r="AR443" s="55"/>
      <c r="AS443" s="55"/>
      <c r="AT443" s="24"/>
      <c r="AU443" s="52" t="s">
        <v>24</v>
      </c>
      <c r="AV443" s="58">
        <v>700</v>
      </c>
      <c r="AW443" s="58">
        <v>700</v>
      </c>
      <c r="AX443" s="55"/>
      <c r="AY443" s="55"/>
      <c r="AZ443" s="55"/>
      <c r="BA443" s="55"/>
      <c r="BB443" s="55"/>
      <c r="BC443" s="55"/>
      <c r="BD443" s="55"/>
      <c r="BE443" s="55"/>
    </row>
    <row r="444" spans="2:57" x14ac:dyDescent="0.25">
      <c r="C444" s="1277"/>
      <c r="D444" s="1329" t="s">
        <v>28</v>
      </c>
      <c r="E444" s="1268" t="s">
        <v>302</v>
      </c>
      <c r="F444" s="72">
        <f t="shared" si="24"/>
        <v>2720.9519999999998</v>
      </c>
      <c r="G444" s="1240" t="s">
        <v>297</v>
      </c>
      <c r="H444" s="1241">
        <f>VLOOKUP(G444,'CP FACTORS'!$A$26:$B$38,2,FALSE)</f>
        <v>1.379439E-4</v>
      </c>
      <c r="I444" s="1242">
        <f t="shared" si="25"/>
        <v>0.37533873059279999</v>
      </c>
      <c r="J444" s="1319">
        <v>13</v>
      </c>
      <c r="K444" s="1270">
        <v>700</v>
      </c>
      <c r="L444" s="1340" t="s">
        <v>31</v>
      </c>
      <c r="V444" s="52" t="s">
        <v>19</v>
      </c>
      <c r="W444" s="59">
        <v>2720.9519999999998</v>
      </c>
      <c r="X444" s="59">
        <v>2720.9519999999998</v>
      </c>
      <c r="Y444" s="55"/>
      <c r="Z444" s="55"/>
      <c r="AA444" s="55"/>
      <c r="AB444" s="55"/>
      <c r="AC444" s="55"/>
      <c r="AD444" s="55"/>
      <c r="AE444" s="55"/>
      <c r="AF444" s="55"/>
      <c r="AG444" s="55"/>
      <c r="AH444" s="56"/>
      <c r="AI444" s="52" t="s">
        <v>23</v>
      </c>
      <c r="AJ444" s="57">
        <v>13</v>
      </c>
      <c r="AK444" s="57">
        <v>13</v>
      </c>
      <c r="AL444" s="55"/>
      <c r="AM444" s="55"/>
      <c r="AN444" s="55"/>
      <c r="AO444" s="55"/>
      <c r="AP444" s="55"/>
      <c r="AQ444" s="55"/>
      <c r="AR444" s="55"/>
      <c r="AS444" s="55"/>
      <c r="AT444" s="24"/>
      <c r="AU444" s="52" t="s">
        <v>24</v>
      </c>
      <c r="AV444" s="58">
        <v>700</v>
      </c>
      <c r="AW444" s="58">
        <v>700</v>
      </c>
      <c r="AX444" s="55"/>
      <c r="AY444" s="55"/>
      <c r="AZ444" s="55"/>
      <c r="BA444" s="55"/>
      <c r="BB444" s="55"/>
      <c r="BC444" s="55"/>
      <c r="BD444" s="55"/>
      <c r="BE444" s="55"/>
    </row>
    <row r="445" spans="2:57" x14ac:dyDescent="0.25">
      <c r="C445" s="1277"/>
      <c r="D445" s="1329" t="s">
        <v>28</v>
      </c>
      <c r="E445" s="1268" t="s">
        <v>303</v>
      </c>
      <c r="F445" s="72">
        <f t="shared" si="24"/>
        <v>3165.5520000000001</v>
      </c>
      <c r="G445" s="1240" t="s">
        <v>297</v>
      </c>
      <c r="H445" s="1241">
        <f>VLOOKUP(G445,'CP FACTORS'!$A$26:$B$38,2,FALSE)</f>
        <v>1.379439E-4</v>
      </c>
      <c r="I445" s="1242">
        <f t="shared" si="25"/>
        <v>0.43666858853279999</v>
      </c>
      <c r="J445" s="1319">
        <v>13</v>
      </c>
      <c r="K445" s="1270">
        <v>700</v>
      </c>
      <c r="L445" s="1340" t="s">
        <v>31</v>
      </c>
      <c r="V445" s="52" t="s">
        <v>19</v>
      </c>
      <c r="W445" s="59">
        <v>3165.5520000000001</v>
      </c>
      <c r="X445" s="59">
        <v>3165.5520000000001</v>
      </c>
      <c r="Y445" s="55"/>
      <c r="Z445" s="55"/>
      <c r="AA445" s="55"/>
      <c r="AB445" s="55"/>
      <c r="AC445" s="55"/>
      <c r="AD445" s="55"/>
      <c r="AE445" s="55"/>
      <c r="AF445" s="55"/>
      <c r="AG445" s="55"/>
      <c r="AH445" s="56"/>
      <c r="AI445" s="52" t="s">
        <v>23</v>
      </c>
      <c r="AJ445" s="57">
        <v>13</v>
      </c>
      <c r="AK445" s="57">
        <v>13</v>
      </c>
      <c r="AL445" s="55"/>
      <c r="AM445" s="55"/>
      <c r="AN445" s="55"/>
      <c r="AO445" s="55"/>
      <c r="AP445" s="55"/>
      <c r="AQ445" s="55"/>
      <c r="AR445" s="55"/>
      <c r="AS445" s="55"/>
      <c r="AT445" s="24"/>
      <c r="AU445" s="52" t="s">
        <v>24</v>
      </c>
      <c r="AV445" s="58">
        <v>700</v>
      </c>
      <c r="AW445" s="58">
        <v>700</v>
      </c>
      <c r="AX445" s="55"/>
      <c r="AY445" s="55"/>
      <c r="AZ445" s="55"/>
      <c r="BA445" s="55"/>
      <c r="BB445" s="55"/>
      <c r="BC445" s="55"/>
      <c r="BD445" s="55"/>
      <c r="BE445" s="55"/>
    </row>
    <row r="446" spans="2:57" outlineLevel="1" x14ac:dyDescent="0.25">
      <c r="E446" s="1227"/>
      <c r="F446" s="1227"/>
      <c r="G446" s="1227"/>
      <c r="H446" s="1251"/>
      <c r="I446" s="1227"/>
      <c r="J446" s="1227"/>
      <c r="K446" s="1227"/>
    </row>
    <row r="447" spans="2:57" outlineLevel="1" x14ac:dyDescent="0.25">
      <c r="D447" s="1227" t="s">
        <v>52</v>
      </c>
      <c r="E447" s="1227"/>
      <c r="F447" s="1227"/>
      <c r="G447" s="1227"/>
      <c r="H447" s="1251"/>
      <c r="I447" s="1227"/>
      <c r="J447" s="1227"/>
      <c r="K447" s="1227"/>
    </row>
    <row r="448" spans="2:57" outlineLevel="1" x14ac:dyDescent="0.25">
      <c r="D448" s="1252"/>
      <c r="G448" s="1285"/>
      <c r="H448" s="1286"/>
    </row>
    <row r="449" spans="2:57" outlineLevel="1" x14ac:dyDescent="0.25">
      <c r="D449" s="1320"/>
      <c r="E449" s="1223"/>
      <c r="G449" s="1285"/>
      <c r="H449" s="1286"/>
    </row>
    <row r="450" spans="2:57" outlineLevel="1" x14ac:dyDescent="0.25">
      <c r="D450" s="1320"/>
      <c r="E450" s="1223"/>
      <c r="G450" s="1222"/>
      <c r="H450" s="1253"/>
      <c r="M450" s="1227"/>
    </row>
    <row r="451" spans="2:57" outlineLevel="1" x14ac:dyDescent="0.25">
      <c r="D451" s="1252"/>
      <c r="G451" s="1222"/>
      <c r="H451" s="1253"/>
      <c r="M451" s="1227"/>
    </row>
    <row r="452" spans="2:57" outlineLevel="1" x14ac:dyDescent="0.25">
      <c r="D452" s="1252"/>
      <c r="G452" s="1222"/>
      <c r="H452" s="1253"/>
      <c r="M452" s="1227"/>
    </row>
    <row r="453" spans="2:57" outlineLevel="1" x14ac:dyDescent="0.25">
      <c r="D453" s="1252"/>
      <c r="G453" s="1222"/>
      <c r="H453" s="1253"/>
    </row>
    <row r="454" spans="2:57" s="61" customFormat="1" ht="30" outlineLevel="1" x14ac:dyDescent="0.2">
      <c r="B454" s="1258"/>
      <c r="C454" s="1258"/>
      <c r="D454" s="91" t="s">
        <v>16</v>
      </c>
      <c r="E454" s="91" t="s">
        <v>89</v>
      </c>
      <c r="F454" s="101" t="s">
        <v>304</v>
      </c>
      <c r="G454" s="91" t="s">
        <v>305</v>
      </c>
      <c r="H454" s="91" t="s">
        <v>65</v>
      </c>
      <c r="I454" s="1258"/>
      <c r="J454" s="1258"/>
      <c r="K454" s="1258"/>
      <c r="L454" s="1258"/>
      <c r="M454" s="1258"/>
      <c r="N454" s="1258"/>
      <c r="O454" s="1258"/>
      <c r="P454" s="1258"/>
      <c r="Q454" s="1258"/>
      <c r="R454" s="1258"/>
      <c r="S454" s="1258"/>
      <c r="T454" s="1258"/>
      <c r="U454" s="1258"/>
    </row>
    <row r="455" spans="2:57" outlineLevel="1" x14ac:dyDescent="0.2">
      <c r="D455" s="1259"/>
      <c r="E455" s="1259" t="str">
        <f t="shared" ref="E455:E461" si="26">E439</f>
        <v>No Loss Condensate Drain (Reciprocating - On/off Control)</v>
      </c>
      <c r="F455" s="103">
        <v>3</v>
      </c>
      <c r="G455" s="104">
        <v>0.184</v>
      </c>
      <c r="H455" s="1363">
        <v>5928</v>
      </c>
    </row>
    <row r="456" spans="2:57" outlineLevel="1" x14ac:dyDescent="0.2">
      <c r="D456" s="1259"/>
      <c r="E456" s="1259" t="str">
        <f t="shared" si="26"/>
        <v>No Loss Condensate Drain (Reciprocating - Load/Unload)</v>
      </c>
      <c r="F456" s="103">
        <v>3</v>
      </c>
      <c r="G456" s="104">
        <v>0.13600000000000001</v>
      </c>
      <c r="H456" s="1363">
        <v>5928</v>
      </c>
    </row>
    <row r="457" spans="2:57" outlineLevel="1" x14ac:dyDescent="0.2">
      <c r="D457" s="1259"/>
      <c r="E457" s="1259" t="str">
        <f t="shared" si="26"/>
        <v>No Loss Condensate Drain (Screw - Load/Unload)</v>
      </c>
      <c r="F457" s="103">
        <v>3</v>
      </c>
      <c r="G457" s="104">
        <v>0.152</v>
      </c>
      <c r="H457" s="1363">
        <v>5928</v>
      </c>
    </row>
    <row r="458" spans="2:57" outlineLevel="1" x14ac:dyDescent="0.2">
      <c r="D458" s="1259"/>
      <c r="E458" s="1259" t="str">
        <f t="shared" si="26"/>
        <v>No Loss Condensate Drain (Screw - Inlet Modulation)</v>
      </c>
      <c r="F458" s="103">
        <v>3</v>
      </c>
      <c r="G458" s="104">
        <v>5.5E-2</v>
      </c>
      <c r="H458" s="1363">
        <v>5928</v>
      </c>
    </row>
    <row r="459" spans="2:57" outlineLevel="1" x14ac:dyDescent="0.2">
      <c r="D459" s="1259"/>
      <c r="E459" s="1259" t="str">
        <f t="shared" si="26"/>
        <v>No Loss Condensate Drain (Screw - Inlet Modulation w/ Unloading)</v>
      </c>
      <c r="F459" s="103">
        <v>3</v>
      </c>
      <c r="G459" s="104">
        <v>5.5E-2</v>
      </c>
      <c r="H459" s="1363">
        <v>5928</v>
      </c>
    </row>
    <row r="460" spans="2:57" outlineLevel="1" x14ac:dyDescent="0.2">
      <c r="D460" s="1259"/>
      <c r="E460" s="1259" t="str">
        <f t="shared" si="26"/>
        <v>No Loss Condensate Drain (Screw - Variable Displacement)</v>
      </c>
      <c r="F460" s="103">
        <v>3</v>
      </c>
      <c r="G460" s="104">
        <v>0.153</v>
      </c>
      <c r="H460" s="1363">
        <v>5928</v>
      </c>
    </row>
    <row r="461" spans="2:57" outlineLevel="1" x14ac:dyDescent="0.2">
      <c r="D461" s="1259"/>
      <c r="E461" s="1259" t="str">
        <f t="shared" si="26"/>
        <v>No Loss Condensate Drain (Screw - VFD)</v>
      </c>
      <c r="F461" s="103">
        <v>3</v>
      </c>
      <c r="G461" s="104">
        <v>0.17799999999999999</v>
      </c>
      <c r="H461" s="1363">
        <v>5928</v>
      </c>
    </row>
    <row r="464" spans="2:57" s="43" customFormat="1" ht="30" x14ac:dyDescent="0.25">
      <c r="B464" s="1236"/>
      <c r="C464" s="44" t="s">
        <v>16</v>
      </c>
      <c r="D464" s="44" t="s">
        <v>17</v>
      </c>
      <c r="E464" s="131" t="s">
        <v>18</v>
      </c>
      <c r="F464" s="131" t="s">
        <v>19</v>
      </c>
      <c r="G464" s="131" t="s">
        <v>20</v>
      </c>
      <c r="H464" s="46" t="s">
        <v>21</v>
      </c>
      <c r="I464" s="131" t="s">
        <v>22</v>
      </c>
      <c r="J464" s="131" t="s">
        <v>23</v>
      </c>
      <c r="K464" s="44" t="s">
        <v>24</v>
      </c>
      <c r="L464" s="44" t="s">
        <v>25</v>
      </c>
      <c r="M464" s="1222"/>
      <c r="N464" s="1360"/>
      <c r="O464" s="1333"/>
      <c r="P464" s="1334"/>
      <c r="Q464" s="1139"/>
      <c r="R464" s="1139"/>
      <c r="S464" s="1139"/>
      <c r="T464" s="1139"/>
      <c r="U464" s="1139"/>
      <c r="V464" s="48" t="s">
        <v>26</v>
      </c>
      <c r="W464" s="49">
        <v>43252</v>
      </c>
      <c r="X464" s="49">
        <v>43465</v>
      </c>
      <c r="Y464" s="49" t="s">
        <v>27</v>
      </c>
      <c r="Z464" s="49" t="s">
        <v>27</v>
      </c>
      <c r="AA464" s="49" t="s">
        <v>27</v>
      </c>
      <c r="AB464" s="49" t="s">
        <v>27</v>
      </c>
      <c r="AC464" s="49" t="s">
        <v>27</v>
      </c>
      <c r="AD464" s="49" t="s">
        <v>27</v>
      </c>
      <c r="AE464" s="49" t="s">
        <v>27</v>
      </c>
      <c r="AF464" s="49" t="s">
        <v>27</v>
      </c>
      <c r="AG464" s="49" t="s">
        <v>27</v>
      </c>
      <c r="AH464"/>
      <c r="AI464" s="48" t="s">
        <v>26</v>
      </c>
      <c r="AJ464" s="49">
        <v>43252</v>
      </c>
      <c r="AK464" s="49">
        <v>43465</v>
      </c>
      <c r="AL464" s="49" t="s">
        <v>27</v>
      </c>
      <c r="AM464" s="49" t="s">
        <v>27</v>
      </c>
      <c r="AN464" s="49" t="s">
        <v>27</v>
      </c>
      <c r="AO464" s="49" t="s">
        <v>27</v>
      </c>
      <c r="AP464" s="49" t="s">
        <v>27</v>
      </c>
      <c r="AQ464" s="49" t="s">
        <v>27</v>
      </c>
      <c r="AR464" s="49" t="s">
        <v>27</v>
      </c>
      <c r="AS464" s="49" t="s">
        <v>27</v>
      </c>
      <c r="AT464" s="24"/>
      <c r="AU464" s="48" t="s">
        <v>26</v>
      </c>
      <c r="AV464" s="49">
        <v>43252</v>
      </c>
      <c r="AW464" s="49">
        <v>43465</v>
      </c>
      <c r="AX464" s="49" t="s">
        <v>27</v>
      </c>
      <c r="AY464" s="49" t="s">
        <v>27</v>
      </c>
      <c r="AZ464" s="49" t="s">
        <v>27</v>
      </c>
      <c r="BA464" s="49" t="s">
        <v>27</v>
      </c>
      <c r="BB464" s="49" t="s">
        <v>27</v>
      </c>
      <c r="BC464" s="49" t="s">
        <v>27</v>
      </c>
      <c r="BD464" s="49" t="s">
        <v>27</v>
      </c>
      <c r="BE464" s="49" t="s">
        <v>27</v>
      </c>
    </row>
    <row r="465" spans="2:57" x14ac:dyDescent="0.25">
      <c r="C465" s="1277"/>
      <c r="D465" s="1329" t="s">
        <v>28</v>
      </c>
      <c r="E465" s="1268" t="s">
        <v>306</v>
      </c>
      <c r="F465" s="72">
        <f t="shared" ref="F465:F471" si="27">(F481*G481)*H481*I481*J481</f>
        <v>1547.2080000000001</v>
      </c>
      <c r="G465" s="1240" t="s">
        <v>297</v>
      </c>
      <c r="H465" s="1241">
        <f>VLOOKUP(G465,'CP FACTORS'!$A$26:$B$38,2,FALSE)</f>
        <v>1.379439E-4</v>
      </c>
      <c r="I465" s="1242">
        <f t="shared" ref="I465:I471" si="28">H465*F465</f>
        <v>0.21342790563120001</v>
      </c>
      <c r="J465" s="1319">
        <v>15</v>
      </c>
      <c r="K465" s="1270">
        <v>77</v>
      </c>
      <c r="L465" s="1340" t="s">
        <v>31</v>
      </c>
      <c r="V465" s="52" t="s">
        <v>19</v>
      </c>
      <c r="W465" s="59">
        <v>1547.2080000000001</v>
      </c>
      <c r="X465" s="59">
        <v>1547.2080000000001</v>
      </c>
      <c r="Y465" s="55"/>
      <c r="Z465" s="55"/>
      <c r="AA465" s="55"/>
      <c r="AB465" s="55"/>
      <c r="AC465" s="55"/>
      <c r="AD465" s="55"/>
      <c r="AE465" s="55"/>
      <c r="AF465" s="55"/>
      <c r="AG465" s="55"/>
      <c r="AH465" s="56"/>
      <c r="AI465" s="52" t="s">
        <v>23</v>
      </c>
      <c r="AJ465" s="57">
        <v>15</v>
      </c>
      <c r="AK465" s="57">
        <v>15</v>
      </c>
      <c r="AL465" s="55"/>
      <c r="AM465" s="55"/>
      <c r="AN465" s="55"/>
      <c r="AO465" s="55"/>
      <c r="AP465" s="55"/>
      <c r="AQ465" s="55"/>
      <c r="AR465" s="55"/>
      <c r="AS465" s="55"/>
      <c r="AT465" s="24"/>
      <c r="AU465" s="52" t="s">
        <v>24</v>
      </c>
      <c r="AV465" s="58">
        <v>77</v>
      </c>
      <c r="AW465" s="58">
        <v>77</v>
      </c>
      <c r="AX465" s="55"/>
      <c r="AY465" s="55"/>
      <c r="AZ465" s="55"/>
      <c r="BA465" s="55"/>
      <c r="BB465" s="55"/>
      <c r="BC465" s="55"/>
      <c r="BD465" s="55"/>
      <c r="BE465" s="55"/>
    </row>
    <row r="466" spans="2:57" x14ac:dyDescent="0.25">
      <c r="C466" s="1277"/>
      <c r="D466" s="1329" t="s">
        <v>28</v>
      </c>
      <c r="E466" s="1268" t="s">
        <v>307</v>
      </c>
      <c r="F466" s="72">
        <f t="shared" si="27"/>
        <v>1203.3840000000002</v>
      </c>
      <c r="G466" s="1240" t="s">
        <v>297</v>
      </c>
      <c r="H466" s="1241">
        <f>VLOOKUP(G466,'CP FACTORS'!$A$26:$B$38,2,FALSE)</f>
        <v>1.379439E-4</v>
      </c>
      <c r="I466" s="1242">
        <f t="shared" si="28"/>
        <v>0.16599948215760002</v>
      </c>
      <c r="J466" s="1319">
        <v>15</v>
      </c>
      <c r="K466" s="1270">
        <v>77</v>
      </c>
      <c r="L466" s="1340" t="s">
        <v>31</v>
      </c>
      <c r="V466" s="52" t="s">
        <v>19</v>
      </c>
      <c r="W466" s="59">
        <v>1203.3840000000002</v>
      </c>
      <c r="X466" s="59">
        <v>1203.3840000000002</v>
      </c>
      <c r="Y466" s="55"/>
      <c r="Z466" s="55"/>
      <c r="AA466" s="55"/>
      <c r="AB466" s="55"/>
      <c r="AC466" s="55"/>
      <c r="AD466" s="55"/>
      <c r="AE466" s="55"/>
      <c r="AF466" s="55"/>
      <c r="AG466" s="55"/>
      <c r="AH466" s="56"/>
      <c r="AI466" s="52" t="s">
        <v>23</v>
      </c>
      <c r="AJ466" s="57">
        <v>15</v>
      </c>
      <c r="AK466" s="57">
        <v>15</v>
      </c>
      <c r="AL466" s="55"/>
      <c r="AM466" s="55"/>
      <c r="AN466" s="55"/>
      <c r="AO466" s="55"/>
      <c r="AP466" s="55"/>
      <c r="AQ466" s="55"/>
      <c r="AR466" s="55"/>
      <c r="AS466" s="55"/>
      <c r="AT466" s="24"/>
      <c r="AU466" s="52" t="s">
        <v>24</v>
      </c>
      <c r="AV466" s="58">
        <v>77</v>
      </c>
      <c r="AW466" s="58">
        <v>77</v>
      </c>
      <c r="AX466" s="55"/>
      <c r="AY466" s="55"/>
      <c r="AZ466" s="55"/>
      <c r="BA466" s="55"/>
      <c r="BB466" s="55"/>
      <c r="BC466" s="55"/>
      <c r="BD466" s="55"/>
      <c r="BE466" s="55"/>
    </row>
    <row r="467" spans="2:57" x14ac:dyDescent="0.25">
      <c r="C467" s="1277"/>
      <c r="D467" s="1329" t="s">
        <v>28</v>
      </c>
      <c r="E467" s="1268" t="s">
        <v>308</v>
      </c>
      <c r="F467" s="72">
        <f t="shared" si="27"/>
        <v>1289.3399999999999</v>
      </c>
      <c r="G467" s="1240" t="s">
        <v>297</v>
      </c>
      <c r="H467" s="1241">
        <f>VLOOKUP(G467,'CP FACTORS'!$A$26:$B$38,2,FALSE)</f>
        <v>1.379439E-4</v>
      </c>
      <c r="I467" s="1242">
        <f t="shared" si="28"/>
        <v>0.17785658802599999</v>
      </c>
      <c r="J467" s="1319">
        <v>15</v>
      </c>
      <c r="K467" s="1270">
        <v>77</v>
      </c>
      <c r="L467" s="1340" t="s">
        <v>31</v>
      </c>
      <c r="V467" s="52" t="s">
        <v>19</v>
      </c>
      <c r="W467" s="59">
        <v>1289.3399999999999</v>
      </c>
      <c r="X467" s="59">
        <v>1289.3399999999999</v>
      </c>
      <c r="Y467" s="55"/>
      <c r="Z467" s="55"/>
      <c r="AA467" s="55"/>
      <c r="AB467" s="55"/>
      <c r="AC467" s="55"/>
      <c r="AD467" s="55"/>
      <c r="AE467" s="55"/>
      <c r="AF467" s="55"/>
      <c r="AG467" s="55"/>
      <c r="AH467" s="56"/>
      <c r="AI467" s="52" t="s">
        <v>23</v>
      </c>
      <c r="AJ467" s="57">
        <v>15</v>
      </c>
      <c r="AK467" s="57">
        <v>15</v>
      </c>
      <c r="AL467" s="55"/>
      <c r="AM467" s="55"/>
      <c r="AN467" s="55"/>
      <c r="AO467" s="55"/>
      <c r="AP467" s="55"/>
      <c r="AQ467" s="55"/>
      <c r="AR467" s="55"/>
      <c r="AS467" s="55"/>
      <c r="AT467" s="24"/>
      <c r="AU467" s="52" t="s">
        <v>24</v>
      </c>
      <c r="AV467" s="58">
        <v>77</v>
      </c>
      <c r="AW467" s="58">
        <v>77</v>
      </c>
      <c r="AX467" s="55"/>
      <c r="AY467" s="55"/>
      <c r="AZ467" s="55"/>
      <c r="BA467" s="55"/>
      <c r="BB467" s="55"/>
      <c r="BC467" s="55"/>
      <c r="BD467" s="55"/>
      <c r="BE467" s="55"/>
    </row>
    <row r="468" spans="2:57" x14ac:dyDescent="0.25">
      <c r="C468" s="1277"/>
      <c r="D468" s="1329" t="s">
        <v>28</v>
      </c>
      <c r="E468" s="1268" t="s">
        <v>309</v>
      </c>
      <c r="F468" s="72">
        <f t="shared" si="27"/>
        <v>515.73599999999999</v>
      </c>
      <c r="G468" s="1240" t="s">
        <v>297</v>
      </c>
      <c r="H468" s="1241">
        <f>VLOOKUP(G468,'CP FACTORS'!$A$26:$B$38,2,FALSE)</f>
        <v>1.379439E-4</v>
      </c>
      <c r="I468" s="1242">
        <f t="shared" si="28"/>
        <v>7.1142635210399999E-2</v>
      </c>
      <c r="J468" s="1319">
        <v>15</v>
      </c>
      <c r="K468" s="1270">
        <v>77</v>
      </c>
      <c r="L468" s="1340" t="s">
        <v>31</v>
      </c>
      <c r="V468" s="52" t="s">
        <v>19</v>
      </c>
      <c r="W468" s="59">
        <v>515.73599999999999</v>
      </c>
      <c r="X468" s="59">
        <v>515.73599999999999</v>
      </c>
      <c r="Y468" s="55"/>
      <c r="Z468" s="55"/>
      <c r="AA468" s="55"/>
      <c r="AB468" s="55"/>
      <c r="AC468" s="55"/>
      <c r="AD468" s="55"/>
      <c r="AE468" s="55"/>
      <c r="AF468" s="55"/>
      <c r="AG468" s="55"/>
      <c r="AH468" s="56"/>
      <c r="AI468" s="52" t="s">
        <v>23</v>
      </c>
      <c r="AJ468" s="57">
        <v>15</v>
      </c>
      <c r="AK468" s="57">
        <v>15</v>
      </c>
      <c r="AL468" s="55"/>
      <c r="AM468" s="55"/>
      <c r="AN468" s="55"/>
      <c r="AO468" s="55"/>
      <c r="AP468" s="55"/>
      <c r="AQ468" s="55"/>
      <c r="AR468" s="55"/>
      <c r="AS468" s="55"/>
      <c r="AT468" s="24"/>
      <c r="AU468" s="52" t="s">
        <v>24</v>
      </c>
      <c r="AV468" s="58">
        <v>77</v>
      </c>
      <c r="AW468" s="58">
        <v>77</v>
      </c>
      <c r="AX468" s="55"/>
      <c r="AY468" s="55"/>
      <c r="AZ468" s="55"/>
      <c r="BA468" s="55"/>
      <c r="BB468" s="55"/>
      <c r="BC468" s="55"/>
      <c r="BD468" s="55"/>
      <c r="BE468" s="55"/>
    </row>
    <row r="469" spans="2:57" x14ac:dyDescent="0.25">
      <c r="C469" s="1277"/>
      <c r="D469" s="1329" t="s">
        <v>28</v>
      </c>
      <c r="E469" s="1268" t="s">
        <v>310</v>
      </c>
      <c r="F469" s="72">
        <f t="shared" si="27"/>
        <v>515.73599999999999</v>
      </c>
      <c r="G469" s="1240" t="s">
        <v>297</v>
      </c>
      <c r="H469" s="1241">
        <f>VLOOKUP(G469,'CP FACTORS'!$A$26:$B$38,2,FALSE)</f>
        <v>1.379439E-4</v>
      </c>
      <c r="I469" s="1242">
        <f t="shared" si="28"/>
        <v>7.1142635210399999E-2</v>
      </c>
      <c r="J469" s="1319">
        <v>15</v>
      </c>
      <c r="K469" s="1270">
        <v>77</v>
      </c>
      <c r="L469" s="1340" t="s">
        <v>31</v>
      </c>
      <c r="V469" s="52" t="s">
        <v>19</v>
      </c>
      <c r="W469" s="59">
        <v>515.73599999999999</v>
      </c>
      <c r="X469" s="59">
        <v>515.73599999999999</v>
      </c>
      <c r="Y469" s="55"/>
      <c r="Z469" s="55"/>
      <c r="AA469" s="55"/>
      <c r="AB469" s="55"/>
      <c r="AC469" s="55"/>
      <c r="AD469" s="55"/>
      <c r="AE469" s="55"/>
      <c r="AF469" s="55"/>
      <c r="AG469" s="55"/>
      <c r="AH469" s="56"/>
      <c r="AI469" s="52" t="s">
        <v>23</v>
      </c>
      <c r="AJ469" s="57">
        <v>15</v>
      </c>
      <c r="AK469" s="57">
        <v>15</v>
      </c>
      <c r="AL469" s="55"/>
      <c r="AM469" s="55"/>
      <c r="AN469" s="55"/>
      <c r="AO469" s="55"/>
      <c r="AP469" s="55"/>
      <c r="AQ469" s="55"/>
      <c r="AR469" s="55"/>
      <c r="AS469" s="55"/>
      <c r="AT469" s="24"/>
      <c r="AU469" s="52" t="s">
        <v>24</v>
      </c>
      <c r="AV469" s="58">
        <v>77</v>
      </c>
      <c r="AW469" s="58">
        <v>77</v>
      </c>
      <c r="AX469" s="55"/>
      <c r="AY469" s="55"/>
      <c r="AZ469" s="55"/>
      <c r="BA469" s="55"/>
      <c r="BB469" s="55"/>
      <c r="BC469" s="55"/>
      <c r="BD469" s="55"/>
      <c r="BE469" s="55"/>
    </row>
    <row r="470" spans="2:57" x14ac:dyDescent="0.25">
      <c r="C470" s="1277"/>
      <c r="D470" s="1329" t="s">
        <v>28</v>
      </c>
      <c r="E470" s="1268" t="s">
        <v>311</v>
      </c>
      <c r="F470" s="72">
        <f t="shared" si="27"/>
        <v>1289.3399999999999</v>
      </c>
      <c r="G470" s="1240" t="s">
        <v>297</v>
      </c>
      <c r="H470" s="1241">
        <f>VLOOKUP(G470,'CP FACTORS'!$A$26:$B$38,2,FALSE)</f>
        <v>1.379439E-4</v>
      </c>
      <c r="I470" s="1242">
        <f t="shared" si="28"/>
        <v>0.17785658802599999</v>
      </c>
      <c r="J470" s="1319">
        <v>15</v>
      </c>
      <c r="K470" s="1270">
        <v>77</v>
      </c>
      <c r="L470" s="1340" t="s">
        <v>31</v>
      </c>
      <c r="V470" s="52" t="s">
        <v>19</v>
      </c>
      <c r="W470" s="59">
        <v>1289.3399999999999</v>
      </c>
      <c r="X470" s="59">
        <v>1289.3399999999999</v>
      </c>
      <c r="Y470" s="55"/>
      <c r="Z470" s="55"/>
      <c r="AA470" s="55"/>
      <c r="AB470" s="55"/>
      <c r="AC470" s="55"/>
      <c r="AD470" s="55"/>
      <c r="AE470" s="55"/>
      <c r="AF470" s="55"/>
      <c r="AG470" s="55"/>
      <c r="AH470" s="56"/>
      <c r="AI470" s="52" t="s">
        <v>23</v>
      </c>
      <c r="AJ470" s="57">
        <v>15</v>
      </c>
      <c r="AK470" s="57">
        <v>15</v>
      </c>
      <c r="AL470" s="55"/>
      <c r="AM470" s="55"/>
      <c r="AN470" s="55"/>
      <c r="AO470" s="55"/>
      <c r="AP470" s="55"/>
      <c r="AQ470" s="55"/>
      <c r="AR470" s="55"/>
      <c r="AS470" s="55"/>
      <c r="AT470" s="24"/>
      <c r="AU470" s="52" t="s">
        <v>24</v>
      </c>
      <c r="AV470" s="58">
        <v>77</v>
      </c>
      <c r="AW470" s="58">
        <v>77</v>
      </c>
      <c r="AX470" s="55"/>
      <c r="AY470" s="55"/>
      <c r="AZ470" s="55"/>
      <c r="BA470" s="55"/>
      <c r="BB470" s="55"/>
      <c r="BC470" s="55"/>
      <c r="BD470" s="55"/>
      <c r="BE470" s="55"/>
    </row>
    <row r="471" spans="2:57" x14ac:dyDescent="0.25">
      <c r="C471" s="1277"/>
      <c r="D471" s="1329" t="s">
        <v>28</v>
      </c>
      <c r="E471" s="1268" t="s">
        <v>312</v>
      </c>
      <c r="F471" s="72">
        <f t="shared" si="27"/>
        <v>1547.2080000000001</v>
      </c>
      <c r="G471" s="1240" t="s">
        <v>297</v>
      </c>
      <c r="H471" s="1241">
        <f>VLOOKUP(G471,'CP FACTORS'!$A$26:$B$38,2,FALSE)</f>
        <v>1.379439E-4</v>
      </c>
      <c r="I471" s="1242">
        <f t="shared" si="28"/>
        <v>0.21342790563120001</v>
      </c>
      <c r="J471" s="1319">
        <v>15</v>
      </c>
      <c r="K471" s="1270">
        <v>77</v>
      </c>
      <c r="L471" s="1340" t="s">
        <v>31</v>
      </c>
      <c r="V471" s="52" t="s">
        <v>19</v>
      </c>
      <c r="W471" s="59">
        <v>1547.2080000000001</v>
      </c>
      <c r="X471" s="59">
        <v>1547.2080000000001</v>
      </c>
      <c r="Y471" s="55"/>
      <c r="Z471" s="55"/>
      <c r="AA471" s="55"/>
      <c r="AB471" s="55"/>
      <c r="AC471" s="55"/>
      <c r="AD471" s="55"/>
      <c r="AE471" s="55"/>
      <c r="AF471" s="55"/>
      <c r="AG471" s="55"/>
      <c r="AH471" s="56"/>
      <c r="AI471" s="52" t="s">
        <v>23</v>
      </c>
      <c r="AJ471" s="57">
        <v>15</v>
      </c>
      <c r="AK471" s="57">
        <v>15</v>
      </c>
      <c r="AL471" s="55"/>
      <c r="AM471" s="55"/>
      <c r="AN471" s="55"/>
      <c r="AO471" s="55"/>
      <c r="AP471" s="55"/>
      <c r="AQ471" s="55"/>
      <c r="AR471" s="55"/>
      <c r="AS471" s="55"/>
      <c r="AT471" s="24"/>
      <c r="AU471" s="52" t="s">
        <v>24</v>
      </c>
      <c r="AV471" s="58">
        <v>77</v>
      </c>
      <c r="AW471" s="58">
        <v>77</v>
      </c>
      <c r="AX471" s="55"/>
      <c r="AY471" s="55"/>
      <c r="AZ471" s="55"/>
      <c r="BA471" s="55"/>
      <c r="BB471" s="55"/>
      <c r="BC471" s="55"/>
      <c r="BD471" s="55"/>
      <c r="BE471" s="55"/>
    </row>
    <row r="472" spans="2:57" outlineLevel="1" x14ac:dyDescent="0.25">
      <c r="E472" s="1227"/>
      <c r="F472" s="1227"/>
      <c r="G472" s="1227"/>
      <c r="H472" s="1251"/>
      <c r="I472" s="1227"/>
      <c r="J472" s="1227"/>
      <c r="K472" s="1227"/>
    </row>
    <row r="473" spans="2:57" outlineLevel="1" x14ac:dyDescent="0.25">
      <c r="D473" s="1227" t="s">
        <v>52</v>
      </c>
      <c r="E473" s="1227"/>
      <c r="F473" s="1227"/>
      <c r="G473" s="1227"/>
      <c r="H473" s="1251"/>
      <c r="I473" s="1227"/>
      <c r="J473" s="1227"/>
      <c r="K473" s="1227"/>
    </row>
    <row r="474" spans="2:57" outlineLevel="1" x14ac:dyDescent="0.25">
      <c r="D474" s="1252"/>
      <c r="G474" s="1285"/>
      <c r="H474" s="1286"/>
    </row>
    <row r="475" spans="2:57" outlineLevel="1" x14ac:dyDescent="0.25">
      <c r="D475" s="1320"/>
      <c r="E475" s="1223"/>
      <c r="G475" s="1285"/>
      <c r="H475" s="1286"/>
    </row>
    <row r="476" spans="2:57" outlineLevel="1" x14ac:dyDescent="0.25">
      <c r="D476" s="1320"/>
      <c r="E476" s="1223"/>
      <c r="G476" s="1222"/>
      <c r="H476" s="1253"/>
      <c r="M476" s="1227"/>
    </row>
    <row r="477" spans="2:57" outlineLevel="1" x14ac:dyDescent="0.25">
      <c r="D477" s="1252"/>
      <c r="G477" s="1222"/>
      <c r="H477" s="1253"/>
      <c r="M477" s="1227"/>
    </row>
    <row r="478" spans="2:57" outlineLevel="1" x14ac:dyDescent="0.25">
      <c r="D478" s="1252"/>
      <c r="G478" s="1222"/>
      <c r="H478" s="1253"/>
      <c r="M478" s="1227"/>
    </row>
    <row r="479" spans="2:57" outlineLevel="1" x14ac:dyDescent="0.25">
      <c r="D479" s="1252"/>
      <c r="G479" s="1222"/>
      <c r="H479" s="1253"/>
    </row>
    <row r="480" spans="2:57" s="61" customFormat="1" ht="30" outlineLevel="1" x14ac:dyDescent="0.2">
      <c r="B480" s="1258"/>
      <c r="C480" s="1258"/>
      <c r="D480" s="91" t="s">
        <v>16</v>
      </c>
      <c r="E480" s="91" t="s">
        <v>89</v>
      </c>
      <c r="F480" s="101" t="s">
        <v>313</v>
      </c>
      <c r="G480" s="91" t="s">
        <v>314</v>
      </c>
      <c r="H480" s="91" t="s">
        <v>315</v>
      </c>
      <c r="I480" s="91" t="s">
        <v>316</v>
      </c>
      <c r="J480" s="91" t="s">
        <v>65</v>
      </c>
      <c r="K480" s="1258"/>
      <c r="L480" s="1258"/>
      <c r="M480" s="1258"/>
      <c r="N480" s="1258"/>
      <c r="O480" s="1258"/>
      <c r="P480" s="1258"/>
      <c r="Q480" s="1258"/>
      <c r="R480" s="1258"/>
      <c r="S480" s="1258"/>
      <c r="T480" s="1258"/>
      <c r="U480" s="1258"/>
    </row>
    <row r="481" spans="2:57" outlineLevel="1" x14ac:dyDescent="0.2">
      <c r="D481" s="1259"/>
      <c r="E481" s="1259" t="str">
        <f t="shared" ref="E481:E487" si="29">E465</f>
        <v>Compressed Air Nozzle (Reciprocating - On/off Control)</v>
      </c>
      <c r="F481" s="1322">
        <v>58</v>
      </c>
      <c r="G481" s="105">
        <v>0.5</v>
      </c>
      <c r="H481" s="1364">
        <v>0.18</v>
      </c>
      <c r="I481" s="1342">
        <v>0.05</v>
      </c>
      <c r="J481" s="1363">
        <v>5928</v>
      </c>
    </row>
    <row r="482" spans="2:57" outlineLevel="1" x14ac:dyDescent="0.2">
      <c r="D482" s="1259"/>
      <c r="E482" s="1259" t="str">
        <f t="shared" si="29"/>
        <v>Compressed Air Nozzle (Reciprocating - Load/Unload)</v>
      </c>
      <c r="F482" s="1322">
        <v>58</v>
      </c>
      <c r="G482" s="105">
        <v>0.5</v>
      </c>
      <c r="H482" s="1364">
        <v>0.14000000000000001</v>
      </c>
      <c r="I482" s="1342">
        <v>0.05</v>
      </c>
      <c r="J482" s="1363">
        <v>5928</v>
      </c>
    </row>
    <row r="483" spans="2:57" outlineLevel="1" x14ac:dyDescent="0.2">
      <c r="D483" s="1259"/>
      <c r="E483" s="1259" t="str">
        <f t="shared" si="29"/>
        <v>Compressed Air Nozzle (Screw - Load/Unload)</v>
      </c>
      <c r="F483" s="1322">
        <v>58</v>
      </c>
      <c r="G483" s="105">
        <v>0.5</v>
      </c>
      <c r="H483" s="1364">
        <v>0.15</v>
      </c>
      <c r="I483" s="1342">
        <v>0.05</v>
      </c>
      <c r="J483" s="1363">
        <v>5928</v>
      </c>
    </row>
    <row r="484" spans="2:57" outlineLevel="1" x14ac:dyDescent="0.2">
      <c r="D484" s="1259"/>
      <c r="E484" s="1259" t="str">
        <f t="shared" si="29"/>
        <v>Compressed Air Nozzle (Screw - Inlet Modulation)</v>
      </c>
      <c r="F484" s="1322">
        <v>58</v>
      </c>
      <c r="G484" s="105">
        <v>0.5</v>
      </c>
      <c r="H484" s="1364">
        <v>0.06</v>
      </c>
      <c r="I484" s="1342">
        <v>0.05</v>
      </c>
      <c r="J484" s="1363">
        <v>5928</v>
      </c>
    </row>
    <row r="485" spans="2:57" outlineLevel="1" x14ac:dyDescent="0.2">
      <c r="D485" s="1259"/>
      <c r="E485" s="1259" t="str">
        <f t="shared" si="29"/>
        <v>Compressed Air Nozzle (Screw - Inlet Modulation w/ Unloading)</v>
      </c>
      <c r="F485" s="1322">
        <v>58</v>
      </c>
      <c r="G485" s="105">
        <v>0.5</v>
      </c>
      <c r="H485" s="1364">
        <v>0.06</v>
      </c>
      <c r="I485" s="1342">
        <v>0.05</v>
      </c>
      <c r="J485" s="1363">
        <v>5928</v>
      </c>
    </row>
    <row r="486" spans="2:57" outlineLevel="1" x14ac:dyDescent="0.2">
      <c r="D486" s="1259"/>
      <c r="E486" s="1259" t="str">
        <f t="shared" si="29"/>
        <v>Compressed Air Nozzle (Screw - Variable Displacement)</v>
      </c>
      <c r="F486" s="1322">
        <v>58</v>
      </c>
      <c r="G486" s="105">
        <v>0.5</v>
      </c>
      <c r="H486" s="1364">
        <v>0.15</v>
      </c>
      <c r="I486" s="1342">
        <v>0.05</v>
      </c>
      <c r="J486" s="1363">
        <v>5928</v>
      </c>
    </row>
    <row r="487" spans="2:57" outlineLevel="1" x14ac:dyDescent="0.2">
      <c r="D487" s="1259"/>
      <c r="E487" s="1259" t="str">
        <f t="shared" si="29"/>
        <v>Compressed Air Nozzle (Screw - VFD)</v>
      </c>
      <c r="F487" s="1322">
        <v>58</v>
      </c>
      <c r="G487" s="105">
        <v>0.5</v>
      </c>
      <c r="H487" s="1364">
        <v>0.18</v>
      </c>
      <c r="I487" s="1342">
        <v>0.05</v>
      </c>
      <c r="J487" s="1363">
        <v>5928</v>
      </c>
    </row>
    <row r="490" spans="2:57" s="43" customFormat="1" ht="30" x14ac:dyDescent="0.25">
      <c r="B490" s="1236"/>
      <c r="C490" s="44" t="s">
        <v>16</v>
      </c>
      <c r="D490" s="44" t="s">
        <v>17</v>
      </c>
      <c r="E490" s="131" t="s">
        <v>18</v>
      </c>
      <c r="F490" s="131" t="s">
        <v>158</v>
      </c>
      <c r="G490" s="131" t="s">
        <v>20</v>
      </c>
      <c r="H490" s="46" t="s">
        <v>21</v>
      </c>
      <c r="I490" s="131" t="s">
        <v>22</v>
      </c>
      <c r="J490" s="131" t="s">
        <v>23</v>
      </c>
      <c r="K490" s="44" t="s">
        <v>207</v>
      </c>
      <c r="L490" s="44" t="s">
        <v>25</v>
      </c>
      <c r="M490" s="1222"/>
      <c r="N490" s="1360"/>
      <c r="O490" s="1333"/>
      <c r="P490" s="1334"/>
      <c r="Q490" s="1139"/>
      <c r="R490" s="1139"/>
      <c r="S490" s="1139"/>
      <c r="T490" s="1139"/>
      <c r="U490" s="1139"/>
      <c r="V490" s="48" t="s">
        <v>26</v>
      </c>
      <c r="W490" s="49">
        <v>43252</v>
      </c>
      <c r="X490" s="49">
        <v>43465</v>
      </c>
      <c r="Y490" s="49" t="s">
        <v>27</v>
      </c>
      <c r="Z490" s="49" t="s">
        <v>27</v>
      </c>
      <c r="AA490" s="49" t="s">
        <v>27</v>
      </c>
      <c r="AB490" s="49" t="s">
        <v>27</v>
      </c>
      <c r="AC490" s="49" t="s">
        <v>27</v>
      </c>
      <c r="AD490" s="49" t="s">
        <v>27</v>
      </c>
      <c r="AE490" s="49" t="s">
        <v>27</v>
      </c>
      <c r="AF490" s="49" t="s">
        <v>27</v>
      </c>
      <c r="AG490" s="49" t="s">
        <v>27</v>
      </c>
      <c r="AH490"/>
      <c r="AI490" s="48" t="s">
        <v>26</v>
      </c>
      <c r="AJ490" s="49">
        <v>43252</v>
      </c>
      <c r="AK490" s="49">
        <v>43465</v>
      </c>
      <c r="AL490" s="49" t="s">
        <v>27</v>
      </c>
      <c r="AM490" s="49" t="s">
        <v>27</v>
      </c>
      <c r="AN490" s="49" t="s">
        <v>27</v>
      </c>
      <c r="AO490" s="49" t="s">
        <v>27</v>
      </c>
      <c r="AP490" s="49" t="s">
        <v>27</v>
      </c>
      <c r="AQ490" s="49" t="s">
        <v>27</v>
      </c>
      <c r="AR490" s="49" t="s">
        <v>27</v>
      </c>
      <c r="AS490" s="49" t="s">
        <v>27</v>
      </c>
      <c r="AT490" s="24"/>
      <c r="AU490" s="48" t="s">
        <v>26</v>
      </c>
      <c r="AV490" s="49">
        <v>43252</v>
      </c>
      <c r="AW490" s="49">
        <v>43465</v>
      </c>
      <c r="AX490" s="49" t="s">
        <v>27</v>
      </c>
      <c r="AY490" s="49" t="s">
        <v>27</v>
      </c>
      <c r="AZ490" s="49" t="s">
        <v>27</v>
      </c>
      <c r="BA490" s="49" t="s">
        <v>27</v>
      </c>
      <c r="BB490" s="49" t="s">
        <v>27</v>
      </c>
      <c r="BC490" s="49" t="s">
        <v>27</v>
      </c>
      <c r="BD490" s="49" t="s">
        <v>27</v>
      </c>
      <c r="BE490" s="49" t="s">
        <v>27</v>
      </c>
    </row>
    <row r="491" spans="2:57" x14ac:dyDescent="0.25">
      <c r="C491" s="1277"/>
      <c r="D491" s="1365"/>
      <c r="E491" s="1268" t="s">
        <v>1861</v>
      </c>
      <c r="F491" s="72">
        <f>0.9*F501*G501*(H501-I501)</f>
        <v>987.01200000000028</v>
      </c>
      <c r="G491" s="1240" t="s">
        <v>297</v>
      </c>
      <c r="H491" s="1241">
        <f>VLOOKUP(G491,'CP FACTORS'!$A$26:$B$38,2,FALSE)</f>
        <v>1.379439E-4</v>
      </c>
      <c r="I491" s="1242">
        <f>H491*F491</f>
        <v>0.13615228462680004</v>
      </c>
      <c r="J491" s="1319">
        <v>10</v>
      </c>
      <c r="K491" s="1270">
        <f>(127*1)+1446</f>
        <v>1573</v>
      </c>
      <c r="L491" s="1340" t="s">
        <v>317</v>
      </c>
      <c r="V491" s="52" t="str">
        <f>F490</f>
        <v>kWh Annual Savings (per HP)</v>
      </c>
      <c r="W491" s="59">
        <v>987.01200000000028</v>
      </c>
      <c r="X491" s="59">
        <v>3272.2560000000003</v>
      </c>
      <c r="Y491" s="55"/>
      <c r="Z491" s="55"/>
      <c r="AA491" s="55"/>
      <c r="AB491" s="55"/>
      <c r="AC491" s="55"/>
      <c r="AD491" s="55"/>
      <c r="AE491" s="55"/>
      <c r="AF491" s="55"/>
      <c r="AG491" s="55"/>
      <c r="AH491" s="56"/>
      <c r="AI491" s="52" t="s">
        <v>23</v>
      </c>
      <c r="AJ491" s="57">
        <v>10</v>
      </c>
      <c r="AK491" s="57">
        <v>10</v>
      </c>
      <c r="AL491" s="55"/>
      <c r="AM491" s="55"/>
      <c r="AN491" s="55"/>
      <c r="AO491" s="55"/>
      <c r="AP491" s="55"/>
      <c r="AQ491" s="55"/>
      <c r="AR491" s="55"/>
      <c r="AS491" s="55"/>
      <c r="AT491" s="24"/>
      <c r="AU491" s="52" t="str">
        <f>K490</f>
        <v>Inc. Cost (per HP)</v>
      </c>
      <c r="AV491" s="58">
        <v>1573</v>
      </c>
      <c r="AW491" s="58">
        <v>1573</v>
      </c>
      <c r="AX491" s="55"/>
      <c r="AY491" s="55"/>
      <c r="AZ491" s="55"/>
      <c r="BA491" s="55"/>
      <c r="BB491" s="55"/>
      <c r="BC491" s="55"/>
      <c r="BD491" s="55"/>
      <c r="BE491" s="55"/>
    </row>
    <row r="492" spans="2:57" outlineLevel="1" x14ac:dyDescent="0.25">
      <c r="E492" s="1227"/>
      <c r="F492" s="1227"/>
      <c r="G492" s="1227"/>
      <c r="H492" s="1251"/>
      <c r="I492" s="1227"/>
      <c r="J492" s="1227"/>
      <c r="K492" s="1227"/>
    </row>
    <row r="493" spans="2:57" outlineLevel="1" x14ac:dyDescent="0.25">
      <c r="D493" s="1227" t="s">
        <v>52</v>
      </c>
      <c r="E493" s="1227"/>
      <c r="F493" s="1227"/>
      <c r="G493" s="1227"/>
      <c r="H493" s="1251"/>
      <c r="I493" s="1227"/>
      <c r="J493" s="1227"/>
      <c r="K493" s="1227"/>
    </row>
    <row r="494" spans="2:57" outlineLevel="1" x14ac:dyDescent="0.25">
      <c r="D494" s="1252"/>
      <c r="G494" s="1285"/>
      <c r="H494" s="1286"/>
    </row>
    <row r="495" spans="2:57" outlineLevel="1" x14ac:dyDescent="0.25">
      <c r="D495" s="1320"/>
      <c r="E495" s="1223"/>
      <c r="G495" s="1285"/>
      <c r="H495" s="1286"/>
    </row>
    <row r="496" spans="2:57" outlineLevel="1" x14ac:dyDescent="0.25">
      <c r="D496" s="1320"/>
      <c r="E496" s="1223"/>
      <c r="G496" s="1222"/>
      <c r="H496" s="1253"/>
      <c r="M496" s="1227"/>
    </row>
    <row r="497" spans="2:57" outlineLevel="1" x14ac:dyDescent="0.25">
      <c r="D497" s="1252"/>
      <c r="G497" s="1222"/>
      <c r="H497" s="1253"/>
      <c r="M497" s="1227"/>
    </row>
    <row r="498" spans="2:57" outlineLevel="1" x14ac:dyDescent="0.25">
      <c r="D498" s="1252"/>
      <c r="G498" s="1222"/>
      <c r="H498" s="1253"/>
      <c r="M498" s="1227"/>
    </row>
    <row r="499" spans="2:57" outlineLevel="1" x14ac:dyDescent="0.25">
      <c r="D499" s="1252"/>
      <c r="G499" s="1222"/>
      <c r="H499" s="1253"/>
    </row>
    <row r="500" spans="2:57" s="61" customFormat="1" ht="30" outlineLevel="1" x14ac:dyDescent="0.2">
      <c r="B500" s="1258"/>
      <c r="C500" s="1258"/>
      <c r="D500" s="91" t="s">
        <v>16</v>
      </c>
      <c r="E500" s="91" t="s">
        <v>89</v>
      </c>
      <c r="F500" s="101" t="s">
        <v>318</v>
      </c>
      <c r="G500" s="91" t="s">
        <v>65</v>
      </c>
      <c r="H500" s="91" t="s">
        <v>319</v>
      </c>
      <c r="I500" s="91" t="s">
        <v>320</v>
      </c>
      <c r="J500" s="1258"/>
      <c r="K500" s="1258"/>
      <c r="L500" s="1258"/>
      <c r="M500" s="1258"/>
      <c r="N500" s="1258"/>
      <c r="O500" s="1258"/>
      <c r="P500" s="1258"/>
      <c r="Q500" s="1258"/>
      <c r="R500" s="1258"/>
      <c r="S500" s="1258"/>
      <c r="T500" s="1258"/>
      <c r="U500" s="1258"/>
    </row>
    <row r="501" spans="2:57" outlineLevel="1" x14ac:dyDescent="0.2">
      <c r="D501" s="1259"/>
      <c r="E501" s="1259" t="str">
        <f>E491</f>
        <v>VSD Air Compressor ≤ 40 HP</v>
      </c>
      <c r="F501" s="1322">
        <v>1</v>
      </c>
      <c r="G501" s="106">
        <v>5928</v>
      </c>
      <c r="H501" s="1366">
        <v>0.89</v>
      </c>
      <c r="I501" s="1367">
        <v>0.70499999999999996</v>
      </c>
    </row>
    <row r="504" spans="2:57" s="39" customFormat="1" x14ac:dyDescent="0.25">
      <c r="B504" s="1989" t="s">
        <v>321</v>
      </c>
      <c r="C504" s="1990"/>
      <c r="D504" s="1990"/>
      <c r="E504" s="1990"/>
      <c r="F504" s="1990"/>
      <c r="G504" s="1990"/>
      <c r="H504" s="1990"/>
      <c r="I504" s="1991"/>
      <c r="J504" s="1991"/>
      <c r="K504" s="1991"/>
      <c r="L504" s="1991"/>
      <c r="M504" s="1992"/>
      <c r="N504" s="1992"/>
      <c r="O504" s="1993"/>
      <c r="V504" s="40" t="str">
        <f>B504</f>
        <v>Combination Oven</v>
      </c>
      <c r="W504" s="41"/>
      <c r="X504" s="41"/>
      <c r="Y504" s="41"/>
      <c r="Z504" s="41"/>
      <c r="AA504" s="41"/>
      <c r="AB504" s="41"/>
      <c r="AC504" s="41"/>
      <c r="AD504" s="41"/>
      <c r="AE504" s="41"/>
      <c r="AF504" s="41"/>
      <c r="AG504" s="41"/>
      <c r="AH504" s="41"/>
      <c r="AI504" s="42"/>
      <c r="AJ504" s="22"/>
      <c r="AK504" s="22"/>
      <c r="AL504" s="22"/>
      <c r="AM504" s="22"/>
      <c r="AN504" s="22"/>
      <c r="AO504" s="22"/>
      <c r="AP504" s="22"/>
      <c r="AQ504" s="22"/>
      <c r="AR504" s="22"/>
      <c r="AS504" s="22"/>
      <c r="AT504" s="22"/>
      <c r="AU504" s="22"/>
    </row>
    <row r="505" spans="2:57" x14ac:dyDescent="0.25">
      <c r="D505" s="1234"/>
      <c r="E505" s="1227"/>
      <c r="F505" s="1227"/>
      <c r="G505" s="1227"/>
      <c r="H505" s="1235"/>
      <c r="I505" s="1227"/>
      <c r="J505" s="1227"/>
      <c r="K505" s="1227"/>
      <c r="L505" s="1227"/>
      <c r="P505" s="1227"/>
      <c r="Q505" s="1227"/>
      <c r="R505" s="1227"/>
      <c r="S505" s="1227"/>
      <c r="T505" s="1227"/>
      <c r="U505" s="1227"/>
      <c r="V505"/>
      <c r="W505"/>
      <c r="X505"/>
      <c r="Y505"/>
      <c r="Z505"/>
      <c r="AA505"/>
      <c r="AB505"/>
      <c r="AC505"/>
      <c r="AD505"/>
      <c r="AE505"/>
      <c r="AF505"/>
      <c r="AG505"/>
      <c r="AH505"/>
      <c r="AI505"/>
      <c r="AJ505" s="38"/>
      <c r="AK505" s="38"/>
      <c r="AL505" s="38"/>
      <c r="AM505" s="38"/>
      <c r="AN505" s="38"/>
      <c r="AO505" s="38"/>
      <c r="AP505" s="38"/>
      <c r="AQ505" s="38"/>
      <c r="AR505" s="38"/>
      <c r="AS505" s="38"/>
      <c r="AT505" s="38"/>
      <c r="AU505" s="38"/>
    </row>
    <row r="506" spans="2:57" s="43" customFormat="1" ht="30" x14ac:dyDescent="0.25">
      <c r="B506" s="1236"/>
      <c r="C506" s="44" t="s">
        <v>16</v>
      </c>
      <c r="D506" s="44" t="s">
        <v>17</v>
      </c>
      <c r="E506" s="131" t="s">
        <v>18</v>
      </c>
      <c r="F506" s="131" t="s">
        <v>19</v>
      </c>
      <c r="G506" s="131" t="s">
        <v>20</v>
      </c>
      <c r="H506" s="46" t="s">
        <v>21</v>
      </c>
      <c r="I506" s="131" t="s">
        <v>22</v>
      </c>
      <c r="J506" s="131" t="s">
        <v>23</v>
      </c>
      <c r="K506" s="44" t="s">
        <v>24</v>
      </c>
      <c r="L506" s="44" t="s">
        <v>25</v>
      </c>
      <c r="M506" s="1222"/>
      <c r="N506" s="1222"/>
      <c r="O506" s="1222"/>
      <c r="P506" s="1139"/>
      <c r="Q506" s="1139"/>
      <c r="R506" s="1139"/>
      <c r="S506" s="1139"/>
      <c r="T506" s="1139"/>
      <c r="U506" s="1139"/>
      <c r="V506" s="48" t="s">
        <v>26</v>
      </c>
      <c r="W506" s="49">
        <v>43252</v>
      </c>
      <c r="X506" s="49">
        <v>43465</v>
      </c>
      <c r="Y506" s="49" t="s">
        <v>27</v>
      </c>
      <c r="Z506" s="49" t="s">
        <v>27</v>
      </c>
      <c r="AA506" s="49" t="s">
        <v>27</v>
      </c>
      <c r="AB506" s="49" t="s">
        <v>27</v>
      </c>
      <c r="AC506" s="49" t="s">
        <v>27</v>
      </c>
      <c r="AD506" s="49" t="s">
        <v>27</v>
      </c>
      <c r="AE506" s="49" t="s">
        <v>27</v>
      </c>
      <c r="AF506" s="49" t="s">
        <v>27</v>
      </c>
      <c r="AG506" s="49" t="s">
        <v>27</v>
      </c>
      <c r="AH506"/>
      <c r="AI506" s="48" t="s">
        <v>26</v>
      </c>
      <c r="AJ506" s="49">
        <v>43252</v>
      </c>
      <c r="AK506" s="49">
        <v>43465</v>
      </c>
      <c r="AL506" s="49" t="s">
        <v>27</v>
      </c>
      <c r="AM506" s="49" t="s">
        <v>27</v>
      </c>
      <c r="AN506" s="49" t="s">
        <v>27</v>
      </c>
      <c r="AO506" s="49" t="s">
        <v>27</v>
      </c>
      <c r="AP506" s="49" t="s">
        <v>27</v>
      </c>
      <c r="AQ506" s="49" t="s">
        <v>27</v>
      </c>
      <c r="AR506" s="49" t="s">
        <v>27</v>
      </c>
      <c r="AS506" s="49" t="s">
        <v>27</v>
      </c>
      <c r="AT506" s="24"/>
      <c r="AU506" s="48" t="s">
        <v>26</v>
      </c>
      <c r="AV506" s="49">
        <v>43252</v>
      </c>
      <c r="AW506" s="49">
        <v>43465</v>
      </c>
      <c r="AX506" s="49" t="s">
        <v>27</v>
      </c>
      <c r="AY506" s="49" t="s">
        <v>27</v>
      </c>
      <c r="AZ506" s="49" t="s">
        <v>27</v>
      </c>
      <c r="BA506" s="49" t="s">
        <v>27</v>
      </c>
      <c r="BB506" s="49" t="s">
        <v>27</v>
      </c>
      <c r="BC506" s="49" t="s">
        <v>27</v>
      </c>
      <c r="BD506" s="49" t="s">
        <v>27</v>
      </c>
      <c r="BE506" s="49" t="s">
        <v>27</v>
      </c>
    </row>
    <row r="507" spans="2:57" x14ac:dyDescent="0.25">
      <c r="C507" s="1277"/>
      <c r="D507" s="1329" t="s">
        <v>28</v>
      </c>
      <c r="E507" s="1268" t="s">
        <v>322</v>
      </c>
      <c r="F507" s="72">
        <f>((F520*(G520/H520-G520/I520)*J520)+(F520*(K520/L520-K520/M520)*N520)+((O520*((F524-F520/G524)*J520))-(I524*((F524-F520/K524)*J520)))+((P520*((F524-F520/H524)*N520))-(M524*((F524-F520/L524)*N520))))*N524/1000</f>
        <v>6372.3047989987854</v>
      </c>
      <c r="G507" s="1240" t="s">
        <v>167</v>
      </c>
      <c r="H507" s="1241">
        <f>VLOOKUP(G507,'CP FACTORS'!$A$26:$B$38,2,FALSE)</f>
        <v>1.998949E-4</v>
      </c>
      <c r="I507" s="1354">
        <f>H507*F507</f>
        <v>1.2737912305653822</v>
      </c>
      <c r="J507" s="1368">
        <v>12</v>
      </c>
      <c r="K507" s="1270">
        <v>4300</v>
      </c>
      <c r="L507" s="1340" t="s">
        <v>31</v>
      </c>
      <c r="V507" s="52" t="s">
        <v>19</v>
      </c>
      <c r="W507" s="59">
        <v>6372.3047989987854</v>
      </c>
      <c r="X507" s="59">
        <v>6372.3047989987854</v>
      </c>
      <c r="Y507" s="55"/>
      <c r="Z507" s="55"/>
      <c r="AA507" s="55"/>
      <c r="AB507" s="55"/>
      <c r="AC507" s="55"/>
      <c r="AD507" s="55"/>
      <c r="AE507" s="55"/>
      <c r="AF507" s="55"/>
      <c r="AG507" s="55"/>
      <c r="AH507" s="56"/>
      <c r="AI507" s="52" t="s">
        <v>23</v>
      </c>
      <c r="AJ507" s="57">
        <v>12</v>
      </c>
      <c r="AK507" s="57">
        <v>12</v>
      </c>
      <c r="AL507" s="55"/>
      <c r="AM507" s="55"/>
      <c r="AN507" s="55"/>
      <c r="AO507" s="55"/>
      <c r="AP507" s="55"/>
      <c r="AQ507" s="55"/>
      <c r="AR507" s="55"/>
      <c r="AS507" s="55"/>
      <c r="AT507" s="24"/>
      <c r="AU507" s="52" t="s">
        <v>24</v>
      </c>
      <c r="AV507" s="58">
        <v>4300</v>
      </c>
      <c r="AW507" s="58">
        <v>4300</v>
      </c>
      <c r="AX507" s="55"/>
      <c r="AY507" s="55"/>
      <c r="AZ507" s="55"/>
      <c r="BA507" s="55"/>
      <c r="BB507" s="55"/>
      <c r="BC507" s="55"/>
      <c r="BD507" s="55"/>
      <c r="BE507" s="55"/>
    </row>
    <row r="508" spans="2:57" x14ac:dyDescent="0.25">
      <c r="C508" s="1237"/>
      <c r="D508" s="1329" t="s">
        <v>28</v>
      </c>
      <c r="E508" s="1268" t="s">
        <v>1862</v>
      </c>
      <c r="F508" s="72">
        <f>((F521*(G521/H521-G521/I521)*J521)+(F521*(K521/L521-K521/M521)*N521)+((O521*((F525-F521/G525)*J521))-(I525*((F525-F521/K525)*J521)))+((P521*((F525-F521/H525)*N521))-(M525*((F525-F521/L525)*N521))))*N525/1000</f>
        <v>11743.624493752814</v>
      </c>
      <c r="G508" s="1240" t="s">
        <v>167</v>
      </c>
      <c r="H508" s="1241">
        <f>VLOOKUP(G508,'CP FACTORS'!$A$26:$B$38,2,FALSE)</f>
        <v>1.998949E-4</v>
      </c>
      <c r="I508" s="1354">
        <f>H508*F508</f>
        <v>2.3474906438162693</v>
      </c>
      <c r="J508" s="375">
        <v>12</v>
      </c>
      <c r="K508" s="1270">
        <v>4300</v>
      </c>
      <c r="L508" s="1340" t="s">
        <v>31</v>
      </c>
      <c r="V508" s="52" t="s">
        <v>19</v>
      </c>
      <c r="W508" s="59">
        <v>11743.624493752814</v>
      </c>
      <c r="X508" s="59">
        <v>11743.624493752814</v>
      </c>
      <c r="Y508" s="55"/>
      <c r="Z508" s="55"/>
      <c r="AA508" s="55"/>
      <c r="AB508" s="55"/>
      <c r="AC508" s="55"/>
      <c r="AD508" s="55"/>
      <c r="AE508" s="55"/>
      <c r="AF508" s="55"/>
      <c r="AG508" s="55"/>
      <c r="AH508" s="56"/>
      <c r="AI508" s="52" t="s">
        <v>23</v>
      </c>
      <c r="AJ508" s="57">
        <v>12</v>
      </c>
      <c r="AK508" s="57">
        <v>12</v>
      </c>
      <c r="AL508" s="55"/>
      <c r="AM508" s="55"/>
      <c r="AN508" s="55"/>
      <c r="AO508" s="55"/>
      <c r="AP508" s="55"/>
      <c r="AQ508" s="55"/>
      <c r="AR508" s="55"/>
      <c r="AS508" s="55"/>
      <c r="AT508" s="24"/>
      <c r="AU508" s="52" t="s">
        <v>24</v>
      </c>
      <c r="AV508" s="58">
        <v>4300</v>
      </c>
      <c r="AW508" s="58">
        <v>4300</v>
      </c>
      <c r="AX508" s="55"/>
      <c r="AY508" s="55"/>
      <c r="AZ508" s="55"/>
      <c r="BA508" s="55"/>
      <c r="BB508" s="55"/>
      <c r="BC508" s="55"/>
      <c r="BD508" s="55"/>
      <c r="BE508" s="55"/>
    </row>
    <row r="509" spans="2:57" outlineLevel="1" x14ac:dyDescent="0.25">
      <c r="E509" s="1227"/>
      <c r="F509" s="1227"/>
      <c r="G509" s="1227"/>
      <c r="H509" s="1251"/>
      <c r="I509" s="1227"/>
      <c r="J509" s="1227"/>
      <c r="K509" s="1227"/>
    </row>
    <row r="510" spans="2:57" outlineLevel="1" x14ac:dyDescent="0.25">
      <c r="D510" s="1227" t="s">
        <v>52</v>
      </c>
      <c r="E510" s="175"/>
      <c r="F510" s="1227"/>
      <c r="G510" s="1227"/>
      <c r="H510" s="1251"/>
      <c r="I510" s="1227"/>
      <c r="J510" s="1227"/>
      <c r="K510" s="175"/>
    </row>
    <row r="511" spans="2:57" outlineLevel="1" x14ac:dyDescent="0.25">
      <c r="D511" s="1252"/>
      <c r="E511" s="175"/>
      <c r="F511" s="175"/>
      <c r="G511" s="1285"/>
      <c r="H511" s="1286"/>
    </row>
    <row r="512" spans="2:57" outlineLevel="1" x14ac:dyDescent="0.25">
      <c r="D512" s="1252"/>
      <c r="E512" s="175"/>
      <c r="F512" s="175"/>
      <c r="G512" s="1285"/>
      <c r="H512" s="1286"/>
    </row>
    <row r="513" spans="2:47" outlineLevel="1" x14ac:dyDescent="0.25">
      <c r="D513" s="1252"/>
      <c r="E513" s="175"/>
      <c r="F513" s="175"/>
      <c r="G513" s="1285"/>
      <c r="H513" s="1286"/>
    </row>
    <row r="514" spans="2:47" outlineLevel="1" x14ac:dyDescent="0.25">
      <c r="D514" s="1252"/>
      <c r="G514" s="1285"/>
      <c r="H514" s="1286"/>
      <c r="P514" s="1988"/>
      <c r="Q514" s="1988"/>
    </row>
    <row r="515" spans="2:47" outlineLevel="1" x14ac:dyDescent="0.25">
      <c r="D515" s="1252"/>
      <c r="G515" s="1222"/>
      <c r="H515" s="1253"/>
      <c r="M515" s="1227"/>
      <c r="P515" s="1988"/>
      <c r="Q515" s="1988"/>
    </row>
    <row r="516" spans="2:47" outlineLevel="1" x14ac:dyDescent="0.25">
      <c r="D516" s="1252"/>
      <c r="G516" s="1222"/>
      <c r="H516" s="1253"/>
      <c r="M516" s="1227"/>
      <c r="P516" s="1988"/>
      <c r="Q516" s="1988"/>
    </row>
    <row r="517" spans="2:47" outlineLevel="1" x14ac:dyDescent="0.25">
      <c r="D517" s="1252"/>
      <c r="G517" s="1222"/>
      <c r="H517" s="1253"/>
      <c r="M517" s="1227"/>
    </row>
    <row r="518" spans="2:47" outlineLevel="1" x14ac:dyDescent="0.25">
      <c r="D518" s="1252"/>
      <c r="G518" s="1222"/>
      <c r="H518" s="1253"/>
    </row>
    <row r="519" spans="2:47" s="61" customFormat="1" ht="45" outlineLevel="1" x14ac:dyDescent="0.2">
      <c r="B519" s="1258"/>
      <c r="C519" s="1258"/>
      <c r="D519" s="91" t="s">
        <v>16</v>
      </c>
      <c r="E519" s="91" t="s">
        <v>89</v>
      </c>
      <c r="F519" s="99" t="s">
        <v>323</v>
      </c>
      <c r="G519" s="91" t="s">
        <v>324</v>
      </c>
      <c r="H519" s="91" t="s">
        <v>325</v>
      </c>
      <c r="I519" s="91" t="s">
        <v>326</v>
      </c>
      <c r="J519" s="91" t="s">
        <v>327</v>
      </c>
      <c r="K519" s="91" t="s">
        <v>328</v>
      </c>
      <c r="L519" s="91" t="s">
        <v>329</v>
      </c>
      <c r="M519" s="91" t="s">
        <v>330</v>
      </c>
      <c r="N519" s="95" t="s">
        <v>331</v>
      </c>
      <c r="O519" s="95" t="s">
        <v>332</v>
      </c>
      <c r="P519" s="95" t="s">
        <v>333</v>
      </c>
      <c r="Q519" s="1258"/>
      <c r="R519" s="1258"/>
      <c r="S519" s="1258"/>
      <c r="T519" s="1258"/>
      <c r="U519" s="1258"/>
    </row>
    <row r="520" spans="2:47" outlineLevel="1" x14ac:dyDescent="0.25">
      <c r="D520" s="1259"/>
      <c r="E520" s="1259" t="str">
        <f>E507</f>
        <v>Combination Oven (Pan Capacity &lt; 15)</v>
      </c>
      <c r="F520" s="1358">
        <v>200</v>
      </c>
      <c r="G520" s="1369">
        <v>73.2</v>
      </c>
      <c r="H520" s="1342">
        <v>0.72</v>
      </c>
      <c r="I520" s="1342">
        <v>0.76</v>
      </c>
      <c r="J520" s="1342">
        <v>0.5</v>
      </c>
      <c r="K520" s="1370">
        <v>30.8</v>
      </c>
      <c r="L520" s="1342">
        <v>0.49</v>
      </c>
      <c r="M520" s="1342">
        <v>0.55000000000000004</v>
      </c>
      <c r="N520" s="1371">
        <f>1-J520</f>
        <v>0.5</v>
      </c>
      <c r="O520" s="1306">
        <v>1320</v>
      </c>
      <c r="P520" s="1306">
        <v>5260</v>
      </c>
    </row>
    <row r="521" spans="2:47" outlineLevel="1" x14ac:dyDescent="0.25">
      <c r="D521" s="1259"/>
      <c r="E521" s="1259" t="str">
        <f>E508</f>
        <v>Combination Oven (Pan Capacity ≥ 15)</v>
      </c>
      <c r="F521" s="1358">
        <v>250</v>
      </c>
      <c r="G521" s="1369">
        <v>73.2</v>
      </c>
      <c r="H521" s="1342">
        <v>0.72</v>
      </c>
      <c r="I521" s="1342">
        <v>0.76</v>
      </c>
      <c r="J521" s="1342">
        <v>0.5</v>
      </c>
      <c r="K521" s="1370">
        <v>30.8</v>
      </c>
      <c r="L521" s="1342">
        <v>0.49</v>
      </c>
      <c r="M521" s="1342">
        <v>0.55000000000000004</v>
      </c>
      <c r="N521" s="1371">
        <f>1-J521</f>
        <v>0.5</v>
      </c>
      <c r="O521" s="1306">
        <v>2280</v>
      </c>
      <c r="P521" s="1306">
        <v>8710</v>
      </c>
    </row>
    <row r="522" spans="2:47" outlineLevel="1" x14ac:dyDescent="0.25">
      <c r="D522" s="1372"/>
      <c r="E522" s="1372"/>
      <c r="F522" s="1372"/>
      <c r="G522" s="1373"/>
      <c r="H522" s="1374"/>
      <c r="I522" s="1374"/>
      <c r="J522" s="1374"/>
      <c r="K522" s="1375"/>
      <c r="L522" s="1374"/>
      <c r="M522" s="1374"/>
      <c r="N522" s="1376"/>
      <c r="O522" s="1377"/>
      <c r="P522" s="1377"/>
      <c r="Q522" s="1377"/>
      <c r="R522" s="1378"/>
      <c r="S522" s="1378"/>
      <c r="T522" s="1379"/>
      <c r="U522" s="1378"/>
      <c r="V522" s="107"/>
      <c r="W522" s="107"/>
      <c r="X522" s="107"/>
      <c r="Y522" s="108"/>
    </row>
    <row r="523" spans="2:47" ht="30" outlineLevel="1" x14ac:dyDescent="0.25">
      <c r="D523" s="91" t="s">
        <v>16</v>
      </c>
      <c r="E523" s="91" t="s">
        <v>89</v>
      </c>
      <c r="F523" s="95" t="s">
        <v>334</v>
      </c>
      <c r="G523" s="95" t="s">
        <v>335</v>
      </c>
      <c r="H523" s="95" t="s">
        <v>336</v>
      </c>
      <c r="I523" s="95" t="s">
        <v>337</v>
      </c>
      <c r="J523" s="131" t="s">
        <v>338</v>
      </c>
      <c r="K523" s="131" t="s">
        <v>339</v>
      </c>
      <c r="L523" s="131" t="s">
        <v>340</v>
      </c>
      <c r="M523" s="131" t="s">
        <v>341</v>
      </c>
      <c r="N523" s="131" t="s">
        <v>173</v>
      </c>
      <c r="O523" s="1377"/>
      <c r="P523" s="1377"/>
      <c r="Q523" s="1377"/>
      <c r="R523" s="1378"/>
      <c r="S523" s="1378"/>
      <c r="T523" s="1379"/>
      <c r="U523" s="1378"/>
      <c r="V523" s="107"/>
      <c r="W523" s="107"/>
      <c r="X523" s="107"/>
      <c r="Y523" s="108"/>
    </row>
    <row r="524" spans="2:47" outlineLevel="1" x14ac:dyDescent="0.25">
      <c r="D524" s="1259"/>
      <c r="E524" s="1259" t="str">
        <f>E507</f>
        <v>Combination Oven (Pan Capacity &lt; 15)</v>
      </c>
      <c r="F524" s="1306">
        <v>12</v>
      </c>
      <c r="G524" s="1305">
        <v>79</v>
      </c>
      <c r="H524" s="1305">
        <v>126</v>
      </c>
      <c r="I524" s="1380">
        <f>(0.08*J524+0.4989)*1000</f>
        <v>1298.9000000000001</v>
      </c>
      <c r="J524" s="1305">
        <v>10</v>
      </c>
      <c r="K524" s="1305">
        <v>119</v>
      </c>
      <c r="L524" s="1305">
        <v>177</v>
      </c>
      <c r="M524" s="1330">
        <f>(0.133*J524+0.64)*1000</f>
        <v>1970.0000000000002</v>
      </c>
      <c r="N524" s="1326">
        <v>365.25</v>
      </c>
      <c r="O524" s="1377"/>
      <c r="P524" s="1377"/>
      <c r="Q524" s="1377"/>
      <c r="R524" s="1378"/>
      <c r="S524" s="1378"/>
      <c r="T524" s="1379"/>
      <c r="U524" s="1378"/>
      <c r="V524" s="107"/>
      <c r="W524" s="107"/>
      <c r="X524" s="107"/>
      <c r="Y524" s="108"/>
    </row>
    <row r="525" spans="2:47" x14ac:dyDescent="0.25">
      <c r="D525" s="1259"/>
      <c r="E525" s="1259" t="str">
        <f>E508</f>
        <v>Combination Oven (Pan Capacity ≥ 15)</v>
      </c>
      <c r="F525" s="1306">
        <v>12</v>
      </c>
      <c r="G525" s="1305">
        <v>166</v>
      </c>
      <c r="H525" s="1305">
        <v>295</v>
      </c>
      <c r="I525" s="1380">
        <f>(0.08*J525+0.4989)*1000</f>
        <v>2098.9</v>
      </c>
      <c r="J525" s="1305">
        <v>20</v>
      </c>
      <c r="K525" s="1305">
        <v>201</v>
      </c>
      <c r="L525" s="1305">
        <v>349</v>
      </c>
      <c r="M525" s="1330">
        <f>(0.133*J525+0.64)*1000</f>
        <v>3300.0000000000005</v>
      </c>
      <c r="N525" s="1326">
        <v>365.25</v>
      </c>
    </row>
    <row r="527" spans="2:47" s="39" customFormat="1" x14ac:dyDescent="0.25">
      <c r="B527" s="1989" t="s">
        <v>342</v>
      </c>
      <c r="C527" s="1990"/>
      <c r="D527" s="1990"/>
      <c r="E527" s="1990"/>
      <c r="F527" s="1990"/>
      <c r="G527" s="1990"/>
      <c r="H527" s="1990"/>
      <c r="I527" s="1991"/>
      <c r="J527" s="1991"/>
      <c r="K527" s="1991"/>
      <c r="L527" s="1991"/>
      <c r="M527" s="1992"/>
      <c r="N527" s="1992"/>
      <c r="O527" s="1993"/>
      <c r="V527" s="40" t="str">
        <f>B527</f>
        <v>Fryer</v>
      </c>
      <c r="W527" s="41"/>
      <c r="X527" s="41"/>
      <c r="Y527" s="41"/>
      <c r="Z527" s="41"/>
      <c r="AA527" s="41"/>
      <c r="AB527" s="41"/>
      <c r="AC527" s="41"/>
      <c r="AD527" s="41"/>
      <c r="AE527" s="41"/>
      <c r="AF527" s="41"/>
      <c r="AG527" s="41"/>
      <c r="AH527" s="41"/>
      <c r="AI527" s="42"/>
      <c r="AJ527" s="22"/>
      <c r="AK527" s="22"/>
      <c r="AL527" s="22"/>
      <c r="AM527" s="22"/>
      <c r="AN527" s="22"/>
      <c r="AO527" s="22"/>
      <c r="AP527" s="22"/>
      <c r="AQ527" s="22"/>
      <c r="AR527" s="22"/>
      <c r="AS527" s="22"/>
      <c r="AT527" s="22"/>
      <c r="AU527" s="22"/>
    </row>
    <row r="528" spans="2:47" x14ac:dyDescent="0.25">
      <c r="D528" s="1234"/>
      <c r="E528" s="1227"/>
      <c r="F528" s="1227"/>
      <c r="G528" s="1227"/>
      <c r="H528" s="1235"/>
      <c r="I528" s="1227"/>
      <c r="J528" s="1227"/>
      <c r="K528" s="1227"/>
      <c r="L528" s="1227"/>
      <c r="P528" s="1227"/>
      <c r="Q528" s="1227"/>
      <c r="R528" s="1227"/>
      <c r="S528" s="1227"/>
      <c r="T528" s="1227"/>
      <c r="U528" s="1227"/>
      <c r="V528"/>
      <c r="W528"/>
      <c r="X528"/>
      <c r="Y528"/>
      <c r="Z528"/>
      <c r="AA528"/>
      <c r="AB528"/>
      <c r="AC528"/>
      <c r="AD528"/>
      <c r="AE528"/>
      <c r="AF528"/>
      <c r="AG528"/>
      <c r="AH528"/>
      <c r="AI528"/>
      <c r="AJ528" s="38"/>
      <c r="AK528" s="38"/>
      <c r="AL528" s="38"/>
      <c r="AM528" s="38"/>
      <c r="AN528" s="38"/>
      <c r="AO528" s="38"/>
      <c r="AP528" s="38"/>
      <c r="AQ528" s="38"/>
      <c r="AR528" s="38"/>
      <c r="AS528" s="38"/>
      <c r="AT528" s="38"/>
      <c r="AU528" s="38"/>
    </row>
    <row r="529" spans="2:57" s="43" customFormat="1" ht="30" x14ac:dyDescent="0.25">
      <c r="B529" s="1236"/>
      <c r="C529" s="44" t="s">
        <v>16</v>
      </c>
      <c r="D529" s="44" t="s">
        <v>17</v>
      </c>
      <c r="E529" s="131" t="s">
        <v>18</v>
      </c>
      <c r="F529" s="131" t="s">
        <v>19</v>
      </c>
      <c r="G529" s="131" t="s">
        <v>20</v>
      </c>
      <c r="H529" s="46" t="s">
        <v>21</v>
      </c>
      <c r="I529" s="131" t="s">
        <v>22</v>
      </c>
      <c r="J529" s="131" t="s">
        <v>23</v>
      </c>
      <c r="K529" s="44" t="s">
        <v>24</v>
      </c>
      <c r="L529" s="44" t="s">
        <v>25</v>
      </c>
      <c r="M529" s="1222"/>
      <c r="N529" s="1222"/>
      <c r="O529" s="1222"/>
      <c r="P529" s="1139"/>
      <c r="Q529" s="1139"/>
      <c r="R529" s="1139"/>
      <c r="S529" s="1139"/>
      <c r="T529" s="1139"/>
      <c r="U529" s="1139"/>
      <c r="V529" s="48" t="s">
        <v>26</v>
      </c>
      <c r="W529" s="49">
        <v>43252</v>
      </c>
      <c r="X529" s="49">
        <v>43465</v>
      </c>
      <c r="Y529" s="49" t="s">
        <v>27</v>
      </c>
      <c r="Z529" s="49" t="s">
        <v>27</v>
      </c>
      <c r="AA529" s="49" t="s">
        <v>27</v>
      </c>
      <c r="AB529" s="49" t="s">
        <v>27</v>
      </c>
      <c r="AC529" s="49" t="s">
        <v>27</v>
      </c>
      <c r="AD529" s="49" t="s">
        <v>27</v>
      </c>
      <c r="AE529" s="49" t="s">
        <v>27</v>
      </c>
      <c r="AF529" s="49" t="s">
        <v>27</v>
      </c>
      <c r="AG529" s="49" t="s">
        <v>27</v>
      </c>
      <c r="AH529"/>
      <c r="AI529" s="48" t="s">
        <v>26</v>
      </c>
      <c r="AJ529" s="49">
        <v>43252</v>
      </c>
      <c r="AK529" s="49">
        <v>43465</v>
      </c>
      <c r="AL529" s="49" t="s">
        <v>27</v>
      </c>
      <c r="AM529" s="49" t="s">
        <v>27</v>
      </c>
      <c r="AN529" s="49" t="s">
        <v>27</v>
      </c>
      <c r="AO529" s="49" t="s">
        <v>27</v>
      </c>
      <c r="AP529" s="49" t="s">
        <v>27</v>
      </c>
      <c r="AQ529" s="49" t="s">
        <v>27</v>
      </c>
      <c r="AR529" s="49" t="s">
        <v>27</v>
      </c>
      <c r="AS529" s="49" t="s">
        <v>27</v>
      </c>
      <c r="AT529" s="24"/>
      <c r="AU529" s="48" t="s">
        <v>26</v>
      </c>
      <c r="AV529" s="49">
        <v>43252</v>
      </c>
      <c r="AW529" s="49">
        <v>43465</v>
      </c>
      <c r="AX529" s="49" t="s">
        <v>27</v>
      </c>
      <c r="AY529" s="49" t="s">
        <v>27</v>
      </c>
      <c r="AZ529" s="49" t="s">
        <v>27</v>
      </c>
      <c r="BA529" s="49" t="s">
        <v>27</v>
      </c>
      <c r="BB529" s="49" t="s">
        <v>27</v>
      </c>
      <c r="BC529" s="49" t="s">
        <v>27</v>
      </c>
      <c r="BD529" s="49" t="s">
        <v>27</v>
      </c>
      <c r="BE529" s="49" t="s">
        <v>27</v>
      </c>
    </row>
    <row r="530" spans="2:57" x14ac:dyDescent="0.25">
      <c r="C530" s="1237"/>
      <c r="D530" s="1329" t="s">
        <v>28</v>
      </c>
      <c r="E530" s="1268" t="s">
        <v>343</v>
      </c>
      <c r="F530" s="72">
        <f>(((G541*(I541-J541/K541))-(H541*(I541-J541/L541)))+((J541*M541/N541)-(J541*M541/O541)))*F541/1000</f>
        <v>952.30910027472578</v>
      </c>
      <c r="G530" s="1240" t="s">
        <v>167</v>
      </c>
      <c r="H530" s="1241">
        <f>VLOOKUP(G530,'CP FACTORS'!$A$26:$B$38,2,FALSE)</f>
        <v>1.998949E-4</v>
      </c>
      <c r="I530" s="1354">
        <f>H530*F530</f>
        <v>0.19036173236850629</v>
      </c>
      <c r="J530" s="1368">
        <v>12</v>
      </c>
      <c r="K530" s="1270">
        <v>210</v>
      </c>
      <c r="L530" s="1340" t="s">
        <v>31</v>
      </c>
      <c r="V530" s="52" t="s">
        <v>19</v>
      </c>
      <c r="W530" s="59">
        <v>952.30910027472578</v>
      </c>
      <c r="X530" s="59">
        <v>952.30910027472578</v>
      </c>
      <c r="Y530" s="55"/>
      <c r="Z530" s="55"/>
      <c r="AA530" s="55"/>
      <c r="AB530" s="55"/>
      <c r="AC530" s="55"/>
      <c r="AD530" s="55"/>
      <c r="AE530" s="55"/>
      <c r="AF530" s="55"/>
      <c r="AG530" s="55"/>
      <c r="AH530" s="56"/>
      <c r="AI530" s="52" t="s">
        <v>23</v>
      </c>
      <c r="AJ530" s="57">
        <v>12</v>
      </c>
      <c r="AK530" s="57">
        <v>12</v>
      </c>
      <c r="AL530" s="55"/>
      <c r="AM530" s="55"/>
      <c r="AN530" s="55"/>
      <c r="AO530" s="55"/>
      <c r="AP530" s="55"/>
      <c r="AQ530" s="55"/>
      <c r="AR530" s="55"/>
      <c r="AS530" s="55"/>
      <c r="AT530" s="24"/>
      <c r="AU530" s="52" t="s">
        <v>24</v>
      </c>
      <c r="AV530" s="58">
        <v>210</v>
      </c>
      <c r="AW530" s="58">
        <v>210</v>
      </c>
      <c r="AX530" s="55"/>
      <c r="AY530" s="55"/>
      <c r="AZ530" s="55"/>
      <c r="BA530" s="55"/>
      <c r="BB530" s="55"/>
      <c r="BC530" s="55"/>
      <c r="BD530" s="55"/>
      <c r="BE530" s="55"/>
    </row>
    <row r="531" spans="2:57" x14ac:dyDescent="0.25">
      <c r="C531" s="1237"/>
      <c r="D531" s="1329" t="s">
        <v>28</v>
      </c>
      <c r="E531" s="1268" t="s">
        <v>344</v>
      </c>
      <c r="F531" s="72">
        <f>(((G542*(I542-J542/K542))-(H542*(I542-J542/L542)))+((J542*M542/N542)-(J542*M542/O542)))*F542/1000</f>
        <v>2537.8352678571446</v>
      </c>
      <c r="G531" s="1240" t="s">
        <v>167</v>
      </c>
      <c r="H531" s="1241">
        <f>VLOOKUP(G531,'CP FACTORS'!$A$26:$B$38,2,FALSE)</f>
        <v>1.998949E-4</v>
      </c>
      <c r="I531" s="1354">
        <f>H531*F531</f>
        <v>0.50730032708477713</v>
      </c>
      <c r="J531" s="375">
        <v>12</v>
      </c>
      <c r="K531" s="1270">
        <v>0</v>
      </c>
      <c r="L531" s="1340" t="s">
        <v>31</v>
      </c>
      <c r="V531" s="52" t="s">
        <v>19</v>
      </c>
      <c r="W531" s="59">
        <v>2537.8352678571446</v>
      </c>
      <c r="X531" s="59">
        <v>2537.8352678571446</v>
      </c>
      <c r="Y531" s="55"/>
      <c r="Z531" s="55"/>
      <c r="AA531" s="55"/>
      <c r="AB531" s="55"/>
      <c r="AC531" s="55"/>
      <c r="AD531" s="55"/>
      <c r="AE531" s="55"/>
      <c r="AF531" s="55"/>
      <c r="AG531" s="55"/>
      <c r="AH531" s="56"/>
      <c r="AI531" s="52" t="s">
        <v>23</v>
      </c>
      <c r="AJ531" s="57">
        <v>12</v>
      </c>
      <c r="AK531" s="57">
        <v>12</v>
      </c>
      <c r="AL531" s="55"/>
      <c r="AM531" s="55"/>
      <c r="AN531" s="55"/>
      <c r="AO531" s="55"/>
      <c r="AP531" s="55"/>
      <c r="AQ531" s="55"/>
      <c r="AR531" s="55"/>
      <c r="AS531" s="55"/>
      <c r="AT531" s="24"/>
      <c r="AU531" s="52" t="s">
        <v>24</v>
      </c>
      <c r="AV531" s="58">
        <v>0</v>
      </c>
      <c r="AW531" s="58">
        <v>0</v>
      </c>
      <c r="AX531" s="55"/>
      <c r="AY531" s="55"/>
      <c r="AZ531" s="55"/>
      <c r="BA531" s="55"/>
      <c r="BB531" s="55"/>
      <c r="BC531" s="55"/>
      <c r="BD531" s="55"/>
      <c r="BE531" s="55"/>
    </row>
    <row r="532" spans="2:57" outlineLevel="1" x14ac:dyDescent="0.25">
      <c r="E532" s="1227"/>
      <c r="F532" s="1227"/>
      <c r="G532" s="1227"/>
      <c r="H532" s="1251"/>
      <c r="I532" s="1227"/>
      <c r="J532" s="1227"/>
      <c r="K532" s="1227"/>
    </row>
    <row r="533" spans="2:57" outlineLevel="1" x14ac:dyDescent="0.25">
      <c r="D533" s="1227" t="s">
        <v>52</v>
      </c>
      <c r="E533" s="175"/>
      <c r="F533" s="1227"/>
      <c r="G533" s="1227"/>
      <c r="H533" s="1251"/>
      <c r="I533" s="1227"/>
      <c r="J533" s="1227"/>
      <c r="K533" s="175"/>
    </row>
    <row r="534" spans="2:57" outlineLevel="1" x14ac:dyDescent="0.25">
      <c r="D534" s="1252"/>
      <c r="E534" s="175"/>
      <c r="F534" s="175"/>
      <c r="G534" s="1285"/>
      <c r="H534" s="1286"/>
    </row>
    <row r="535" spans="2:57" outlineLevel="1" x14ac:dyDescent="0.25">
      <c r="D535" s="1252"/>
      <c r="G535" s="1285"/>
      <c r="H535" s="1286"/>
      <c r="P535" s="1988"/>
      <c r="Q535" s="1988"/>
    </row>
    <row r="536" spans="2:57" outlineLevel="1" x14ac:dyDescent="0.25">
      <c r="D536" s="1252"/>
      <c r="G536" s="1222"/>
      <c r="H536" s="1253"/>
      <c r="M536" s="1227"/>
      <c r="P536" s="1988"/>
      <c r="Q536" s="1988"/>
    </row>
    <row r="537" spans="2:57" outlineLevel="1" x14ac:dyDescent="0.25">
      <c r="D537" s="1252"/>
      <c r="G537" s="1222"/>
      <c r="H537" s="1253"/>
      <c r="M537" s="1227"/>
      <c r="P537" s="1988"/>
      <c r="Q537" s="1988"/>
    </row>
    <row r="538" spans="2:57" outlineLevel="1" x14ac:dyDescent="0.25">
      <c r="D538" s="1252"/>
      <c r="G538" s="1222"/>
      <c r="H538" s="1253"/>
      <c r="M538" s="1227"/>
    </row>
    <row r="539" spans="2:57" outlineLevel="1" x14ac:dyDescent="0.25">
      <c r="D539" s="1252"/>
      <c r="G539" s="1222"/>
      <c r="H539" s="1253"/>
    </row>
    <row r="540" spans="2:57" s="61" customFormat="1" ht="30" outlineLevel="1" x14ac:dyDescent="0.2">
      <c r="B540" s="1258"/>
      <c r="C540" s="1258"/>
      <c r="D540" s="91" t="s">
        <v>16</v>
      </c>
      <c r="E540" s="91" t="s">
        <v>89</v>
      </c>
      <c r="F540" s="99" t="s">
        <v>173</v>
      </c>
      <c r="G540" s="91" t="s">
        <v>345</v>
      </c>
      <c r="H540" s="91" t="s">
        <v>346</v>
      </c>
      <c r="I540" s="91" t="s">
        <v>334</v>
      </c>
      <c r="J540" s="91" t="s">
        <v>347</v>
      </c>
      <c r="K540" s="91" t="s">
        <v>348</v>
      </c>
      <c r="L540" s="91" t="s">
        <v>349</v>
      </c>
      <c r="M540" s="91" t="s">
        <v>350</v>
      </c>
      <c r="N540" s="95" t="s">
        <v>351</v>
      </c>
      <c r="O540" s="95" t="s">
        <v>352</v>
      </c>
      <c r="P540" s="1258"/>
      <c r="Q540" s="1258"/>
      <c r="R540" s="1258"/>
      <c r="S540" s="1258"/>
      <c r="T540" s="1258"/>
      <c r="U540" s="1258"/>
    </row>
    <row r="541" spans="2:57" outlineLevel="1" x14ac:dyDescent="0.25">
      <c r="D541" s="1259"/>
      <c r="E541" s="1259" t="str">
        <f>E530</f>
        <v>Standard Open Deep-Fat Fryer</v>
      </c>
      <c r="F541" s="1318">
        <v>365.25</v>
      </c>
      <c r="G541" s="1327">
        <v>1050</v>
      </c>
      <c r="H541" s="106">
        <v>1000</v>
      </c>
      <c r="I541" s="106">
        <v>16</v>
      </c>
      <c r="J541" s="106">
        <v>150</v>
      </c>
      <c r="K541" s="1381">
        <v>65</v>
      </c>
      <c r="L541" s="106">
        <v>70</v>
      </c>
      <c r="M541" s="1381">
        <v>167</v>
      </c>
      <c r="N541" s="868">
        <v>0.75</v>
      </c>
      <c r="O541" s="1273">
        <v>0.8</v>
      </c>
    </row>
    <row r="542" spans="2:57" outlineLevel="1" x14ac:dyDescent="0.25">
      <c r="D542" s="1259"/>
      <c r="E542" s="1259" t="str">
        <f>E531</f>
        <v>Large Vat Open Deep-Fat Fryer</v>
      </c>
      <c r="F542" s="1318">
        <v>365.25</v>
      </c>
      <c r="G542" s="1327">
        <v>1350</v>
      </c>
      <c r="H542" s="106">
        <v>1100</v>
      </c>
      <c r="I542" s="106">
        <v>12</v>
      </c>
      <c r="J542" s="106">
        <v>150</v>
      </c>
      <c r="K542" s="1381">
        <v>100</v>
      </c>
      <c r="L542" s="106">
        <v>110</v>
      </c>
      <c r="M542" s="1381">
        <v>167</v>
      </c>
      <c r="N542" s="868">
        <v>0.7</v>
      </c>
      <c r="O542" s="1273">
        <v>0.8</v>
      </c>
    </row>
    <row r="545" spans="2:57" s="39" customFormat="1" x14ac:dyDescent="0.25">
      <c r="B545" s="1989" t="s">
        <v>353</v>
      </c>
      <c r="C545" s="1990"/>
      <c r="D545" s="1990"/>
      <c r="E545" s="1990"/>
      <c r="F545" s="1990"/>
      <c r="G545" s="1990"/>
      <c r="H545" s="1990"/>
      <c r="I545" s="1991"/>
      <c r="J545" s="1991"/>
      <c r="K545" s="1991"/>
      <c r="L545" s="1991"/>
      <c r="M545" s="1992"/>
      <c r="N545" s="1992"/>
      <c r="O545" s="1993"/>
      <c r="V545" s="40" t="str">
        <f>B545</f>
        <v>Convection Oven</v>
      </c>
      <c r="W545" s="41"/>
      <c r="X545" s="41"/>
      <c r="Y545" s="41"/>
      <c r="Z545" s="41"/>
      <c r="AA545" s="41"/>
      <c r="AB545" s="41"/>
      <c r="AC545" s="41"/>
      <c r="AD545" s="41"/>
      <c r="AE545" s="41"/>
      <c r="AF545" s="41"/>
      <c r="AG545" s="41"/>
      <c r="AH545" s="41"/>
      <c r="AI545" s="42"/>
      <c r="AJ545" s="22"/>
      <c r="AK545" s="22"/>
      <c r="AL545" s="22"/>
      <c r="AM545" s="22"/>
      <c r="AN545" s="22"/>
      <c r="AO545" s="22"/>
      <c r="AP545" s="22"/>
      <c r="AQ545" s="22"/>
      <c r="AR545" s="22"/>
      <c r="AS545" s="22"/>
      <c r="AT545" s="22"/>
      <c r="AU545" s="22"/>
    </row>
    <row r="546" spans="2:57" x14ac:dyDescent="0.25">
      <c r="D546" s="1234"/>
      <c r="E546" s="1227"/>
      <c r="F546" s="1227"/>
      <c r="G546" s="1227"/>
      <c r="H546" s="1235"/>
      <c r="I546" s="1227"/>
      <c r="J546" s="1227"/>
      <c r="K546" s="1227"/>
      <c r="L546" s="1227"/>
      <c r="P546" s="1227"/>
      <c r="Q546" s="1227"/>
      <c r="R546" s="1227"/>
      <c r="S546" s="1227"/>
      <c r="T546" s="1227"/>
      <c r="U546" s="1227"/>
      <c r="V546"/>
      <c r="W546"/>
      <c r="X546"/>
      <c r="Y546"/>
      <c r="Z546"/>
      <c r="AA546"/>
      <c r="AB546"/>
      <c r="AC546"/>
      <c r="AD546"/>
      <c r="AE546"/>
      <c r="AF546"/>
      <c r="AG546"/>
      <c r="AH546"/>
      <c r="AI546"/>
      <c r="AJ546" s="38"/>
      <c r="AK546" s="38"/>
      <c r="AL546" s="38"/>
      <c r="AM546" s="38"/>
      <c r="AN546" s="38"/>
      <c r="AO546" s="38"/>
      <c r="AP546" s="38"/>
      <c r="AQ546" s="38"/>
      <c r="AR546" s="38"/>
      <c r="AS546" s="38"/>
      <c r="AT546" s="38"/>
      <c r="AU546" s="38"/>
    </row>
    <row r="547" spans="2:57" s="43" customFormat="1" ht="30" x14ac:dyDescent="0.25">
      <c r="B547" s="1236"/>
      <c r="C547" s="44" t="s">
        <v>16</v>
      </c>
      <c r="D547" s="44" t="s">
        <v>17</v>
      </c>
      <c r="E547" s="131" t="s">
        <v>18</v>
      </c>
      <c r="F547" s="131" t="s">
        <v>19</v>
      </c>
      <c r="G547" s="131" t="s">
        <v>20</v>
      </c>
      <c r="H547" s="46" t="s">
        <v>21</v>
      </c>
      <c r="I547" s="131" t="s">
        <v>22</v>
      </c>
      <c r="J547" s="131" t="s">
        <v>23</v>
      </c>
      <c r="K547" s="44" t="s">
        <v>24</v>
      </c>
      <c r="L547" s="44" t="s">
        <v>25</v>
      </c>
      <c r="M547" s="1222"/>
      <c r="N547" s="1222"/>
      <c r="O547" s="1222"/>
      <c r="P547" s="1139"/>
      <c r="Q547" s="1139"/>
      <c r="R547" s="1139"/>
      <c r="S547" s="1139"/>
      <c r="T547" s="1139"/>
      <c r="U547" s="1139"/>
      <c r="V547" s="48" t="s">
        <v>26</v>
      </c>
      <c r="W547" s="49">
        <v>43252</v>
      </c>
      <c r="X547" s="49">
        <v>43465</v>
      </c>
      <c r="Y547" s="49" t="s">
        <v>27</v>
      </c>
      <c r="Z547" s="49" t="s">
        <v>27</v>
      </c>
      <c r="AA547" s="49" t="s">
        <v>27</v>
      </c>
      <c r="AB547" s="49" t="s">
        <v>27</v>
      </c>
      <c r="AC547" s="49" t="s">
        <v>27</v>
      </c>
      <c r="AD547" s="49" t="s">
        <v>27</v>
      </c>
      <c r="AE547" s="49" t="s">
        <v>27</v>
      </c>
      <c r="AF547" s="49" t="s">
        <v>27</v>
      </c>
      <c r="AG547" s="49" t="s">
        <v>27</v>
      </c>
      <c r="AH547"/>
      <c r="AI547" s="48" t="s">
        <v>26</v>
      </c>
      <c r="AJ547" s="49">
        <v>43252</v>
      </c>
      <c r="AK547" s="49">
        <v>43465</v>
      </c>
      <c r="AL547" s="49" t="s">
        <v>27</v>
      </c>
      <c r="AM547" s="49" t="s">
        <v>27</v>
      </c>
      <c r="AN547" s="49" t="s">
        <v>27</v>
      </c>
      <c r="AO547" s="49" t="s">
        <v>27</v>
      </c>
      <c r="AP547" s="49" t="s">
        <v>27</v>
      </c>
      <c r="AQ547" s="49" t="s">
        <v>27</v>
      </c>
      <c r="AR547" s="49" t="s">
        <v>27</v>
      </c>
      <c r="AS547" s="49" t="s">
        <v>27</v>
      </c>
      <c r="AT547" s="24"/>
      <c r="AU547" s="48" t="s">
        <v>26</v>
      </c>
      <c r="AV547" s="49">
        <v>43252</v>
      </c>
      <c r="AW547" s="49">
        <v>43465</v>
      </c>
      <c r="AX547" s="49" t="s">
        <v>27</v>
      </c>
      <c r="AY547" s="49" t="s">
        <v>27</v>
      </c>
      <c r="AZ547" s="49" t="s">
        <v>27</v>
      </c>
      <c r="BA547" s="49" t="s">
        <v>27</v>
      </c>
      <c r="BB547" s="49" t="s">
        <v>27</v>
      </c>
      <c r="BC547" s="49" t="s">
        <v>27</v>
      </c>
      <c r="BD547" s="49" t="s">
        <v>27</v>
      </c>
      <c r="BE547" s="49" t="s">
        <v>27</v>
      </c>
    </row>
    <row r="548" spans="2:57" x14ac:dyDescent="0.25">
      <c r="C548" s="1237"/>
      <c r="D548" s="1329" t="s">
        <v>28</v>
      </c>
      <c r="E548" s="1268" t="s">
        <v>354</v>
      </c>
      <c r="F548" s="72">
        <f>(((G559*(I559-J559/K559))-(H559*(I559-J559/L559)))+((J559*M559/N559)-(J559*M559/O559)))*F559/1000</f>
        <v>1938.467533405561</v>
      </c>
      <c r="G548" s="1240" t="s">
        <v>167</v>
      </c>
      <c r="H548" s="1241">
        <f>VLOOKUP(G548,'CP FACTORS'!$A$26:$B$38,2,FALSE)</f>
        <v>1.998949E-4</v>
      </c>
      <c r="I548" s="1354">
        <f>H548*F548</f>
        <v>0.38748977374335125</v>
      </c>
      <c r="J548" s="1368">
        <v>12</v>
      </c>
      <c r="K548" s="1270">
        <v>0</v>
      </c>
      <c r="L548" s="1340" t="s">
        <v>31</v>
      </c>
      <c r="V548" s="52" t="s">
        <v>19</v>
      </c>
      <c r="W548" s="59">
        <v>1938.467533405561</v>
      </c>
      <c r="X548" s="59">
        <v>1938.467533405561</v>
      </c>
      <c r="Y548" s="55"/>
      <c r="Z548" s="55"/>
      <c r="AA548" s="55"/>
      <c r="AB548" s="55"/>
      <c r="AC548" s="55"/>
      <c r="AD548" s="55"/>
      <c r="AE548" s="55"/>
      <c r="AF548" s="55"/>
      <c r="AG548" s="55"/>
      <c r="AH548" s="56"/>
      <c r="AI548" s="52" t="s">
        <v>23</v>
      </c>
      <c r="AJ548" s="57">
        <v>12</v>
      </c>
      <c r="AK548" s="57">
        <v>12</v>
      </c>
      <c r="AL548" s="55"/>
      <c r="AM548" s="55"/>
      <c r="AN548" s="55"/>
      <c r="AO548" s="55"/>
      <c r="AP548" s="55"/>
      <c r="AQ548" s="55"/>
      <c r="AR548" s="55"/>
      <c r="AS548" s="55"/>
      <c r="AT548" s="24"/>
      <c r="AU548" s="52" t="s">
        <v>24</v>
      </c>
      <c r="AV548" s="58">
        <v>0</v>
      </c>
      <c r="AW548" s="58">
        <v>0</v>
      </c>
      <c r="AX548" s="55"/>
      <c r="AY548" s="55"/>
      <c r="AZ548" s="55"/>
      <c r="BA548" s="55"/>
      <c r="BB548" s="55"/>
      <c r="BC548" s="55"/>
      <c r="BD548" s="55"/>
      <c r="BE548" s="55"/>
    </row>
    <row r="549" spans="2:57" x14ac:dyDescent="0.25">
      <c r="C549" s="1237"/>
      <c r="D549" s="1329" t="s">
        <v>28</v>
      </c>
      <c r="E549" s="1268" t="s">
        <v>355</v>
      </c>
      <c r="F549" s="72">
        <f>(((G560*(I560-J560/K560))-(H560*(I560-J560/L560)))+((J560*M560/N560)-(J560*M560/O560)))*F560/1000</f>
        <v>192.1061005247166</v>
      </c>
      <c r="G549" s="1240" t="s">
        <v>167</v>
      </c>
      <c r="H549" s="1241">
        <f>VLOOKUP(G549,'CP FACTORS'!$A$26:$B$38,2,FALSE)</f>
        <v>1.998949E-4</v>
      </c>
      <c r="I549" s="1354">
        <f>H549*F549</f>
        <v>3.8401029753778175E-2</v>
      </c>
      <c r="J549" s="375">
        <v>12</v>
      </c>
      <c r="K549" s="1270">
        <v>0</v>
      </c>
      <c r="L549" s="1340" t="s">
        <v>31</v>
      </c>
      <c r="V549" s="52" t="s">
        <v>19</v>
      </c>
      <c r="W549" s="59">
        <v>192.1061005247166</v>
      </c>
      <c r="X549" s="59">
        <v>192.1061005247166</v>
      </c>
      <c r="Y549" s="55"/>
      <c r="Z549" s="55"/>
      <c r="AA549" s="55"/>
      <c r="AB549" s="55"/>
      <c r="AC549" s="55"/>
      <c r="AD549" s="55"/>
      <c r="AE549" s="55"/>
      <c r="AF549" s="55"/>
      <c r="AG549" s="55"/>
      <c r="AH549" s="56"/>
      <c r="AI549" s="52" t="s">
        <v>23</v>
      </c>
      <c r="AJ549" s="57">
        <v>12</v>
      </c>
      <c r="AK549" s="57">
        <v>12</v>
      </c>
      <c r="AL549" s="55"/>
      <c r="AM549" s="55"/>
      <c r="AN549" s="55"/>
      <c r="AO549" s="55"/>
      <c r="AP549" s="55"/>
      <c r="AQ549" s="55"/>
      <c r="AR549" s="55"/>
      <c r="AS549" s="55"/>
      <c r="AT549" s="24"/>
      <c r="AU549" s="52" t="s">
        <v>24</v>
      </c>
      <c r="AV549" s="58">
        <v>0</v>
      </c>
      <c r="AW549" s="58">
        <v>0</v>
      </c>
      <c r="AX549" s="55"/>
      <c r="AY549" s="55"/>
      <c r="AZ549" s="55"/>
      <c r="BA549" s="55"/>
      <c r="BB549" s="55"/>
      <c r="BC549" s="55"/>
      <c r="BD549" s="55"/>
      <c r="BE549" s="55"/>
    </row>
    <row r="550" spans="2:57" outlineLevel="1" x14ac:dyDescent="0.25">
      <c r="E550" s="1227"/>
      <c r="F550" s="1227"/>
      <c r="G550" s="1227"/>
      <c r="H550" s="1251"/>
      <c r="I550" s="1227"/>
      <c r="J550" s="1227"/>
      <c r="K550" s="1227"/>
    </row>
    <row r="551" spans="2:57" outlineLevel="1" x14ac:dyDescent="0.25">
      <c r="D551" s="1227" t="s">
        <v>52</v>
      </c>
      <c r="E551" s="175"/>
      <c r="F551" s="1227"/>
      <c r="G551" s="1227"/>
      <c r="H551" s="1251"/>
      <c r="I551" s="1227"/>
      <c r="J551" s="1227"/>
      <c r="K551" s="175"/>
    </row>
    <row r="552" spans="2:57" outlineLevel="1" x14ac:dyDescent="0.25">
      <c r="D552" s="1252"/>
      <c r="E552" s="175"/>
      <c r="F552" s="175"/>
      <c r="G552" s="1285"/>
      <c r="H552" s="1286"/>
    </row>
    <row r="553" spans="2:57" outlineLevel="1" x14ac:dyDescent="0.25">
      <c r="D553" s="1252"/>
      <c r="G553" s="1285"/>
      <c r="H553" s="1286"/>
      <c r="P553" s="1988"/>
      <c r="Q553" s="1988"/>
    </row>
    <row r="554" spans="2:57" outlineLevel="1" x14ac:dyDescent="0.25">
      <c r="D554" s="1252"/>
      <c r="G554" s="1222"/>
      <c r="H554" s="1253"/>
      <c r="M554" s="1227"/>
      <c r="P554" s="1988"/>
      <c r="Q554" s="1988"/>
    </row>
    <row r="555" spans="2:57" outlineLevel="1" x14ac:dyDescent="0.25">
      <c r="D555" s="1252"/>
      <c r="G555" s="1222"/>
      <c r="H555" s="1253"/>
      <c r="M555" s="1227"/>
      <c r="P555" s="1988"/>
      <c r="Q555" s="1988"/>
    </row>
    <row r="556" spans="2:57" outlineLevel="1" x14ac:dyDescent="0.25">
      <c r="D556" s="1252"/>
      <c r="G556" s="1222"/>
      <c r="H556" s="1253"/>
      <c r="M556" s="1227"/>
    </row>
    <row r="557" spans="2:57" outlineLevel="1" x14ac:dyDescent="0.25">
      <c r="D557" s="1252"/>
      <c r="G557" s="1222"/>
      <c r="H557" s="1253"/>
    </row>
    <row r="558" spans="2:57" s="61" customFormat="1" ht="30" outlineLevel="1" x14ac:dyDescent="0.2">
      <c r="B558" s="1258"/>
      <c r="C558" s="1258"/>
      <c r="D558" s="91" t="s">
        <v>16</v>
      </c>
      <c r="E558" s="91" t="s">
        <v>89</v>
      </c>
      <c r="F558" s="99" t="s">
        <v>173</v>
      </c>
      <c r="G558" s="91" t="s">
        <v>345</v>
      </c>
      <c r="H558" s="91" t="s">
        <v>346</v>
      </c>
      <c r="I558" s="91" t="s">
        <v>334</v>
      </c>
      <c r="J558" s="91" t="s">
        <v>347</v>
      </c>
      <c r="K558" s="91" t="s">
        <v>348</v>
      </c>
      <c r="L558" s="91" t="s">
        <v>349</v>
      </c>
      <c r="M558" s="91" t="s">
        <v>350</v>
      </c>
      <c r="N558" s="95" t="s">
        <v>351</v>
      </c>
      <c r="O558" s="95" t="s">
        <v>352</v>
      </c>
      <c r="P558" s="1258"/>
      <c r="Q558" s="1258"/>
      <c r="R558" s="1258"/>
      <c r="S558" s="1258"/>
      <c r="T558" s="1258"/>
      <c r="U558" s="1258"/>
    </row>
    <row r="559" spans="2:57" outlineLevel="1" x14ac:dyDescent="0.25">
      <c r="D559" s="1259"/>
      <c r="E559" s="1259" t="str">
        <f>E548</f>
        <v>Convection Oven (Full Size)</v>
      </c>
      <c r="F559" s="1318">
        <v>365.25</v>
      </c>
      <c r="G559" s="1327">
        <v>2000</v>
      </c>
      <c r="H559" s="106">
        <v>1600</v>
      </c>
      <c r="I559" s="106">
        <v>12</v>
      </c>
      <c r="J559" s="106">
        <v>100</v>
      </c>
      <c r="K559" s="1381">
        <v>90</v>
      </c>
      <c r="L559" s="106">
        <v>90</v>
      </c>
      <c r="M559" s="1370">
        <v>73.2</v>
      </c>
      <c r="N559" s="868">
        <v>0.65</v>
      </c>
      <c r="O559" s="1273">
        <v>0.71</v>
      </c>
    </row>
    <row r="560" spans="2:57" outlineLevel="1" x14ac:dyDescent="0.25">
      <c r="D560" s="1259"/>
      <c r="E560" s="1259" t="str">
        <f>E549</f>
        <v>Convection Oven (Half Size)</v>
      </c>
      <c r="F560" s="1318">
        <v>365.25</v>
      </c>
      <c r="G560" s="1327">
        <v>1030</v>
      </c>
      <c r="H560" s="106">
        <v>1000</v>
      </c>
      <c r="I560" s="106">
        <v>12</v>
      </c>
      <c r="J560" s="106">
        <v>100</v>
      </c>
      <c r="K560" s="1381">
        <v>45</v>
      </c>
      <c r="L560" s="106">
        <v>50</v>
      </c>
      <c r="M560" s="1370">
        <v>73.2</v>
      </c>
      <c r="N560" s="868">
        <v>0.68</v>
      </c>
      <c r="O560" s="1273">
        <v>0.71</v>
      </c>
    </row>
    <row r="563" spans="2:57" s="39" customFormat="1" x14ac:dyDescent="0.25">
      <c r="B563" s="1989" t="s">
        <v>356</v>
      </c>
      <c r="C563" s="1990"/>
      <c r="D563" s="1990"/>
      <c r="E563" s="1990"/>
      <c r="F563" s="1990"/>
      <c r="G563" s="1990"/>
      <c r="H563" s="1990"/>
      <c r="I563" s="1991"/>
      <c r="J563" s="1991"/>
      <c r="K563" s="1991"/>
      <c r="L563" s="1991"/>
      <c r="M563" s="1992"/>
      <c r="N563" s="1992"/>
      <c r="O563" s="1993"/>
      <c r="V563" s="40" t="str">
        <f>B563</f>
        <v>Griddle</v>
      </c>
      <c r="W563" s="41"/>
      <c r="X563" s="41"/>
      <c r="Y563" s="41"/>
      <c r="Z563" s="41"/>
      <c r="AA563" s="41"/>
      <c r="AB563" s="41"/>
      <c r="AC563" s="41"/>
      <c r="AD563" s="41"/>
      <c r="AE563" s="41"/>
      <c r="AF563" s="41"/>
      <c r="AG563" s="41"/>
      <c r="AH563" s="41"/>
      <c r="AI563" s="42"/>
      <c r="AJ563" s="22"/>
      <c r="AK563" s="22"/>
      <c r="AL563" s="22"/>
      <c r="AM563" s="22"/>
      <c r="AN563" s="22"/>
      <c r="AO563" s="22"/>
      <c r="AP563" s="22"/>
      <c r="AQ563" s="22"/>
      <c r="AR563" s="22"/>
      <c r="AS563" s="22"/>
      <c r="AT563" s="22"/>
      <c r="AU563" s="22"/>
    </row>
    <row r="564" spans="2:57" x14ac:dyDescent="0.25">
      <c r="D564" s="1234"/>
      <c r="E564" s="1227"/>
      <c r="F564" s="1227"/>
      <c r="G564" s="1227"/>
      <c r="H564" s="1235"/>
      <c r="I564" s="1227"/>
      <c r="J564" s="1227"/>
      <c r="K564" s="1227"/>
      <c r="L564" s="1227"/>
      <c r="P564" s="1227"/>
      <c r="Q564" s="1227"/>
      <c r="R564" s="1227"/>
      <c r="S564" s="1227"/>
      <c r="T564" s="1227"/>
      <c r="U564" s="1227"/>
      <c r="V564"/>
      <c r="W564"/>
      <c r="X564"/>
      <c r="Y564"/>
      <c r="Z564"/>
      <c r="AA564"/>
      <c r="AB564"/>
      <c r="AC564"/>
      <c r="AD564"/>
      <c r="AE564"/>
      <c r="AF564"/>
      <c r="AG564"/>
      <c r="AH564"/>
      <c r="AI564"/>
      <c r="AJ564" s="38"/>
      <c r="AK564" s="38"/>
      <c r="AL564" s="38"/>
      <c r="AM564" s="38"/>
      <c r="AN564" s="38"/>
      <c r="AO564" s="38"/>
      <c r="AP564" s="38"/>
      <c r="AQ564" s="38"/>
      <c r="AR564" s="38"/>
      <c r="AS564" s="38"/>
      <c r="AT564" s="38"/>
      <c r="AU564" s="38"/>
    </row>
    <row r="565" spans="2:57" s="43" customFormat="1" ht="30" x14ac:dyDescent="0.25">
      <c r="B565" s="1236"/>
      <c r="C565" s="44" t="s">
        <v>16</v>
      </c>
      <c r="D565" s="44" t="s">
        <v>17</v>
      </c>
      <c r="E565" s="131" t="s">
        <v>18</v>
      </c>
      <c r="F565" s="131" t="s">
        <v>19</v>
      </c>
      <c r="G565" s="131" t="s">
        <v>20</v>
      </c>
      <c r="H565" s="46" t="s">
        <v>21</v>
      </c>
      <c r="I565" s="131" t="s">
        <v>22</v>
      </c>
      <c r="J565" s="131" t="s">
        <v>23</v>
      </c>
      <c r="K565" s="44" t="s">
        <v>24</v>
      </c>
      <c r="L565" s="44" t="s">
        <v>25</v>
      </c>
      <c r="M565" s="1222"/>
      <c r="N565" s="1222"/>
      <c r="O565" s="1222"/>
      <c r="P565" s="1139"/>
      <c r="Q565" s="1139"/>
      <c r="R565" s="1139"/>
      <c r="S565" s="1139"/>
      <c r="T565" s="1139"/>
      <c r="U565" s="1139"/>
      <c r="V565" s="48" t="s">
        <v>26</v>
      </c>
      <c r="W565" s="49">
        <v>43252</v>
      </c>
      <c r="X565" s="49">
        <v>43465</v>
      </c>
      <c r="Y565" s="49" t="s">
        <v>27</v>
      </c>
      <c r="Z565" s="49" t="s">
        <v>27</v>
      </c>
      <c r="AA565" s="49" t="s">
        <v>27</v>
      </c>
      <c r="AB565" s="49" t="s">
        <v>27</v>
      </c>
      <c r="AC565" s="49" t="s">
        <v>27</v>
      </c>
      <c r="AD565" s="49" t="s">
        <v>27</v>
      </c>
      <c r="AE565" s="49" t="s">
        <v>27</v>
      </c>
      <c r="AF565" s="49" t="s">
        <v>27</v>
      </c>
      <c r="AG565" s="49" t="s">
        <v>27</v>
      </c>
      <c r="AH565"/>
      <c r="AI565" s="48" t="s">
        <v>26</v>
      </c>
      <c r="AJ565" s="49">
        <v>43252</v>
      </c>
      <c r="AK565" s="49">
        <v>43465</v>
      </c>
      <c r="AL565" s="49" t="s">
        <v>27</v>
      </c>
      <c r="AM565" s="49" t="s">
        <v>27</v>
      </c>
      <c r="AN565" s="49" t="s">
        <v>27</v>
      </c>
      <c r="AO565" s="49" t="s">
        <v>27</v>
      </c>
      <c r="AP565" s="49" t="s">
        <v>27</v>
      </c>
      <c r="AQ565" s="49" t="s">
        <v>27</v>
      </c>
      <c r="AR565" s="49" t="s">
        <v>27</v>
      </c>
      <c r="AS565" s="49" t="s">
        <v>27</v>
      </c>
      <c r="AT565" s="24"/>
      <c r="AU565" s="48" t="s">
        <v>26</v>
      </c>
      <c r="AV565" s="49">
        <v>43252</v>
      </c>
      <c r="AW565" s="49">
        <v>43465</v>
      </c>
      <c r="AX565" s="49" t="s">
        <v>27</v>
      </c>
      <c r="AY565" s="49" t="s">
        <v>27</v>
      </c>
      <c r="AZ565" s="49" t="s">
        <v>27</v>
      </c>
      <c r="BA565" s="49" t="s">
        <v>27</v>
      </c>
      <c r="BB565" s="49" t="s">
        <v>27</v>
      </c>
      <c r="BC565" s="49" t="s">
        <v>27</v>
      </c>
      <c r="BD565" s="49" t="s">
        <v>27</v>
      </c>
      <c r="BE565" s="49" t="s">
        <v>27</v>
      </c>
    </row>
    <row r="566" spans="2:57" x14ac:dyDescent="0.25">
      <c r="C566" s="1237"/>
      <c r="D566" s="1329" t="s">
        <v>28</v>
      </c>
      <c r="E566" s="1268" t="s">
        <v>356</v>
      </c>
      <c r="F566" s="72">
        <f>((((G576*I576*J576)*(K576-L576/M576))-((H576*I576*J576)*(K576-L576/N576)))+((L576*O576/P576)-(L576*O576/Q576)))*F576/1000</f>
        <v>1910.3779120879103</v>
      </c>
      <c r="G566" s="1240" t="s">
        <v>167</v>
      </c>
      <c r="H566" s="1241">
        <f>VLOOKUP(G566,'CP FACTORS'!$A$26:$B$38,2,FALSE)</f>
        <v>1.998949E-4</v>
      </c>
      <c r="I566" s="1354">
        <f>H566*F566</f>
        <v>0.3818748016990216</v>
      </c>
      <c r="J566" s="375">
        <v>12</v>
      </c>
      <c r="K566" s="1270">
        <v>0</v>
      </c>
      <c r="L566" s="1340" t="s">
        <v>31</v>
      </c>
      <c r="V566" s="52" t="s">
        <v>19</v>
      </c>
      <c r="W566" s="59">
        <v>1910.3779120879103</v>
      </c>
      <c r="X566" s="59">
        <v>1910.3779120879103</v>
      </c>
      <c r="Y566" s="55"/>
      <c r="Z566" s="55"/>
      <c r="AA566" s="55"/>
      <c r="AB566" s="55"/>
      <c r="AC566" s="55"/>
      <c r="AD566" s="55"/>
      <c r="AE566" s="55"/>
      <c r="AF566" s="55"/>
      <c r="AG566" s="55"/>
      <c r="AH566" s="56"/>
      <c r="AI566" s="52" t="s">
        <v>23</v>
      </c>
      <c r="AJ566" s="57">
        <v>12</v>
      </c>
      <c r="AK566" s="57">
        <v>12</v>
      </c>
      <c r="AL566" s="55"/>
      <c r="AM566" s="55"/>
      <c r="AN566" s="55"/>
      <c r="AO566" s="55"/>
      <c r="AP566" s="55"/>
      <c r="AQ566" s="55"/>
      <c r="AR566" s="55"/>
      <c r="AS566" s="55"/>
      <c r="AT566" s="24"/>
      <c r="AU566" s="52" t="s">
        <v>24</v>
      </c>
      <c r="AV566" s="58">
        <v>0</v>
      </c>
      <c r="AW566" s="58">
        <v>0</v>
      </c>
      <c r="AX566" s="55"/>
      <c r="AY566" s="55"/>
      <c r="AZ566" s="55"/>
      <c r="BA566" s="55"/>
      <c r="BB566" s="55"/>
      <c r="BC566" s="55"/>
      <c r="BD566" s="55"/>
      <c r="BE566" s="55"/>
    </row>
    <row r="567" spans="2:57" outlineLevel="1" x14ac:dyDescent="0.25">
      <c r="E567" s="1227"/>
      <c r="F567" s="1227"/>
      <c r="G567" s="1227"/>
      <c r="H567" s="1251"/>
      <c r="I567" s="1227"/>
      <c r="J567" s="1227"/>
    </row>
    <row r="568" spans="2:57" outlineLevel="1" x14ac:dyDescent="0.25">
      <c r="D568" s="1227" t="s">
        <v>52</v>
      </c>
      <c r="E568" s="175"/>
      <c r="F568" s="1227"/>
      <c r="G568" s="1227"/>
      <c r="H568" s="1251"/>
      <c r="I568" s="1227"/>
      <c r="J568" s="1227"/>
      <c r="K568" s="175"/>
    </row>
    <row r="569" spans="2:57" outlineLevel="1" x14ac:dyDescent="0.25">
      <c r="D569" s="1252"/>
      <c r="E569" s="175"/>
      <c r="F569" s="175"/>
      <c r="G569" s="1285"/>
      <c r="H569" s="1286"/>
    </row>
    <row r="570" spans="2:57" outlineLevel="1" x14ac:dyDescent="0.25">
      <c r="D570" s="1252"/>
      <c r="G570" s="1285"/>
      <c r="H570" s="1286"/>
      <c r="P570" s="1988"/>
      <c r="Q570" s="1988"/>
    </row>
    <row r="571" spans="2:57" outlineLevel="1" x14ac:dyDescent="0.25">
      <c r="D571" s="1252"/>
      <c r="G571" s="1222"/>
      <c r="H571" s="1253"/>
      <c r="M571" s="1227"/>
      <c r="P571" s="1988"/>
      <c r="Q571" s="1988"/>
    </row>
    <row r="572" spans="2:57" outlineLevel="1" x14ac:dyDescent="0.25">
      <c r="D572" s="1252"/>
      <c r="G572" s="1222"/>
      <c r="H572" s="1253"/>
      <c r="M572" s="1227"/>
      <c r="P572" s="1988"/>
      <c r="Q572" s="1988"/>
    </row>
    <row r="573" spans="2:57" outlineLevel="1" x14ac:dyDescent="0.25">
      <c r="D573" s="1252"/>
      <c r="G573" s="1222"/>
      <c r="H573" s="1253"/>
      <c r="M573" s="1227"/>
    </row>
    <row r="574" spans="2:57" outlineLevel="1" x14ac:dyDescent="0.25">
      <c r="D574" s="1252"/>
      <c r="G574" s="1222"/>
      <c r="H574" s="1253"/>
    </row>
    <row r="575" spans="2:57" s="61" customFormat="1" ht="30" outlineLevel="1" x14ac:dyDescent="0.2">
      <c r="B575" s="1258"/>
      <c r="C575" s="1258"/>
      <c r="D575" s="91" t="s">
        <v>16</v>
      </c>
      <c r="E575" s="91" t="s">
        <v>89</v>
      </c>
      <c r="F575" s="99" t="s">
        <v>173</v>
      </c>
      <c r="G575" s="91" t="s">
        <v>357</v>
      </c>
      <c r="H575" s="91" t="s">
        <v>358</v>
      </c>
      <c r="I575" s="91" t="s">
        <v>359</v>
      </c>
      <c r="J575" s="91" t="s">
        <v>360</v>
      </c>
      <c r="K575" s="91" t="s">
        <v>334</v>
      </c>
      <c r="L575" s="91" t="s">
        <v>361</v>
      </c>
      <c r="M575" s="91" t="s">
        <v>348</v>
      </c>
      <c r="N575" s="95" t="s">
        <v>349</v>
      </c>
      <c r="O575" s="95" t="s">
        <v>350</v>
      </c>
      <c r="P575" s="95" t="s">
        <v>351</v>
      </c>
      <c r="Q575" s="131" t="s">
        <v>352</v>
      </c>
      <c r="R575" s="1258"/>
      <c r="S575" s="1258"/>
      <c r="T575" s="1258"/>
      <c r="U575" s="1258"/>
    </row>
    <row r="576" spans="2:57" outlineLevel="1" x14ac:dyDescent="0.25">
      <c r="D576" s="1259"/>
      <c r="E576" s="1259" t="str">
        <f>E566</f>
        <v>Griddle</v>
      </c>
      <c r="F576" s="1318">
        <v>365.25</v>
      </c>
      <c r="G576" s="1327">
        <v>400</v>
      </c>
      <c r="H576" s="106">
        <v>320</v>
      </c>
      <c r="I576" s="106">
        <v>3</v>
      </c>
      <c r="J576" s="106">
        <v>2</v>
      </c>
      <c r="K576" s="106">
        <v>12</v>
      </c>
      <c r="L576" s="106">
        <v>100</v>
      </c>
      <c r="M576" s="1370">
        <v>35</v>
      </c>
      <c r="N576" s="1272">
        <v>40</v>
      </c>
      <c r="O576" s="872">
        <v>139</v>
      </c>
      <c r="P576" s="1382">
        <v>0.65</v>
      </c>
      <c r="Q576" s="1383">
        <v>0.7</v>
      </c>
    </row>
    <row r="579" spans="2:57" s="39" customFormat="1" x14ac:dyDescent="0.25">
      <c r="B579" s="1989" t="s">
        <v>362</v>
      </c>
      <c r="C579" s="1990"/>
      <c r="D579" s="1990"/>
      <c r="E579" s="1990"/>
      <c r="F579" s="1990"/>
      <c r="G579" s="1990"/>
      <c r="H579" s="1990"/>
      <c r="I579" s="1991"/>
      <c r="J579" s="1991"/>
      <c r="K579" s="1991"/>
      <c r="L579" s="1991"/>
      <c r="M579" s="1992"/>
      <c r="N579" s="1992"/>
      <c r="O579" s="1993"/>
      <c r="V579" s="40" t="str">
        <f>B579</f>
        <v>Kitchen Demand Ventillation Controls</v>
      </c>
      <c r="W579" s="41"/>
      <c r="X579" s="41"/>
      <c r="Y579" s="41"/>
      <c r="Z579" s="41"/>
      <c r="AA579" s="41"/>
      <c r="AB579" s="41"/>
      <c r="AC579" s="41"/>
      <c r="AD579" s="41"/>
      <c r="AE579" s="41"/>
      <c r="AF579" s="41"/>
      <c r="AG579" s="41"/>
      <c r="AH579" s="41"/>
      <c r="AI579" s="42"/>
      <c r="AJ579" s="22"/>
      <c r="AK579" s="22"/>
      <c r="AL579" s="22"/>
      <c r="AM579" s="22"/>
      <c r="AN579" s="22"/>
      <c r="AO579" s="22"/>
      <c r="AP579" s="22"/>
      <c r="AQ579" s="22"/>
      <c r="AR579" s="22"/>
      <c r="AS579" s="22"/>
      <c r="AT579" s="22"/>
      <c r="AU579" s="22"/>
    </row>
    <row r="580" spans="2:57" x14ac:dyDescent="0.25">
      <c r="D580" s="1234"/>
      <c r="E580" s="1227"/>
      <c r="F580" s="1227"/>
      <c r="G580" s="1227"/>
      <c r="H580" s="1235"/>
      <c r="I580" s="1227"/>
      <c r="J580" s="1227"/>
      <c r="K580" s="1227"/>
      <c r="L580" s="1227"/>
      <c r="P580" s="1227"/>
      <c r="Q580" s="1227"/>
      <c r="R580" s="1227"/>
      <c r="S580" s="1227"/>
      <c r="T580" s="1227"/>
      <c r="U580" s="1227"/>
      <c r="V580"/>
      <c r="W580"/>
      <c r="X580"/>
      <c r="Y580"/>
      <c r="Z580"/>
      <c r="AA580"/>
      <c r="AB580"/>
      <c r="AC580"/>
      <c r="AD580"/>
      <c r="AE580"/>
      <c r="AF580"/>
      <c r="AG580"/>
      <c r="AH580"/>
      <c r="AI580"/>
      <c r="AJ580" s="38"/>
      <c r="AK580" s="38"/>
      <c r="AL580" s="38"/>
      <c r="AM580" s="38"/>
      <c r="AN580" s="38"/>
      <c r="AO580" s="38"/>
      <c r="AP580" s="38"/>
      <c r="AQ580" s="38"/>
      <c r="AR580" s="38"/>
      <c r="AS580" s="38"/>
      <c r="AT580" s="38"/>
      <c r="AU580" s="38"/>
    </row>
    <row r="581" spans="2:57" s="43" customFormat="1" ht="30" x14ac:dyDescent="0.25">
      <c r="B581" s="1236"/>
      <c r="C581" s="44" t="s">
        <v>16</v>
      </c>
      <c r="D581" s="44" t="s">
        <v>17</v>
      </c>
      <c r="E581" s="131" t="s">
        <v>18</v>
      </c>
      <c r="F581" s="131" t="s">
        <v>158</v>
      </c>
      <c r="G581" s="131" t="s">
        <v>20</v>
      </c>
      <c r="H581" s="46" t="s">
        <v>21</v>
      </c>
      <c r="I581" s="131" t="s">
        <v>22</v>
      </c>
      <c r="J581" s="131" t="s">
        <v>23</v>
      </c>
      <c r="K581" s="44" t="s">
        <v>207</v>
      </c>
      <c r="L581" s="44" t="s">
        <v>25</v>
      </c>
      <c r="M581" s="1222"/>
      <c r="N581" s="1222"/>
      <c r="O581" s="1222"/>
      <c r="P581" s="1139"/>
      <c r="Q581" s="1139"/>
      <c r="R581" s="1139"/>
      <c r="S581" s="1139"/>
      <c r="T581" s="1139"/>
      <c r="U581" s="1139"/>
      <c r="V581" s="48" t="s">
        <v>26</v>
      </c>
      <c r="W581" s="49">
        <v>43252</v>
      </c>
      <c r="X581" s="49">
        <v>43465</v>
      </c>
      <c r="Y581" s="49" t="s">
        <v>27</v>
      </c>
      <c r="Z581" s="49" t="s">
        <v>27</v>
      </c>
      <c r="AA581" s="49" t="s">
        <v>27</v>
      </c>
      <c r="AB581" s="49" t="s">
        <v>27</v>
      </c>
      <c r="AC581" s="49" t="s">
        <v>27</v>
      </c>
      <c r="AD581" s="49" t="s">
        <v>27</v>
      </c>
      <c r="AE581" s="49" t="s">
        <v>27</v>
      </c>
      <c r="AF581" s="49" t="s">
        <v>27</v>
      </c>
      <c r="AG581" s="49" t="s">
        <v>27</v>
      </c>
      <c r="AH581"/>
      <c r="AI581" s="48" t="s">
        <v>26</v>
      </c>
      <c r="AJ581" s="49">
        <v>43252</v>
      </c>
      <c r="AK581" s="49">
        <v>43465</v>
      </c>
      <c r="AL581" s="49" t="s">
        <v>27</v>
      </c>
      <c r="AM581" s="49" t="s">
        <v>27</v>
      </c>
      <c r="AN581" s="49" t="s">
        <v>27</v>
      </c>
      <c r="AO581" s="49" t="s">
        <v>27</v>
      </c>
      <c r="AP581" s="49" t="s">
        <v>27</v>
      </c>
      <c r="AQ581" s="49" t="s">
        <v>27</v>
      </c>
      <c r="AR581" s="49" t="s">
        <v>27</v>
      </c>
      <c r="AS581" s="49" t="s">
        <v>27</v>
      </c>
      <c r="AT581" s="24"/>
      <c r="AU581" s="48" t="s">
        <v>26</v>
      </c>
      <c r="AV581" s="49">
        <v>43252</v>
      </c>
      <c r="AW581" s="49">
        <v>43465</v>
      </c>
      <c r="AX581" s="49" t="s">
        <v>27</v>
      </c>
      <c r="AY581" s="49" t="s">
        <v>27</v>
      </c>
      <c r="AZ581" s="49" t="s">
        <v>27</v>
      </c>
      <c r="BA581" s="49" t="s">
        <v>27</v>
      </c>
      <c r="BB581" s="49" t="s">
        <v>27</v>
      </c>
      <c r="BC581" s="49" t="s">
        <v>27</v>
      </c>
      <c r="BD581" s="49" t="s">
        <v>27</v>
      </c>
      <c r="BE581" s="49" t="s">
        <v>27</v>
      </c>
    </row>
    <row r="582" spans="2:57" x14ac:dyDescent="0.25">
      <c r="C582" s="1237"/>
      <c r="D582" s="1329" t="s">
        <v>28</v>
      </c>
      <c r="E582" s="1268" t="s">
        <v>362</v>
      </c>
      <c r="F582" s="72">
        <f>I592*H592*G592*F592</f>
        <v>3331.0800000000004</v>
      </c>
      <c r="G582" s="1240" t="s">
        <v>167</v>
      </c>
      <c r="H582" s="1241">
        <f>VLOOKUP(G582,'CP FACTORS'!$A$26:$B$38,2,FALSE)</f>
        <v>1.998949E-4</v>
      </c>
      <c r="I582" s="1354">
        <f>H582*F582</f>
        <v>0.66586590349200003</v>
      </c>
      <c r="J582" s="375">
        <v>15</v>
      </c>
      <c r="K582" s="1270">
        <f>1*1988</f>
        <v>1988</v>
      </c>
      <c r="L582" s="1340" t="s">
        <v>317</v>
      </c>
      <c r="V582" s="52" t="str">
        <f>F581</f>
        <v>kWh Annual Savings (per HP)</v>
      </c>
      <c r="W582" s="59">
        <v>3331.0800000000004</v>
      </c>
      <c r="X582" s="59">
        <v>3331.0800000000004</v>
      </c>
      <c r="Y582" s="55"/>
      <c r="Z582" s="55"/>
      <c r="AA582" s="55"/>
      <c r="AB582" s="55"/>
      <c r="AC582" s="55"/>
      <c r="AD582" s="55"/>
      <c r="AE582" s="55"/>
      <c r="AF582" s="55"/>
      <c r="AG582" s="55"/>
      <c r="AH582" s="56"/>
      <c r="AI582" s="52" t="s">
        <v>23</v>
      </c>
      <c r="AJ582" s="57">
        <v>15</v>
      </c>
      <c r="AK582" s="57">
        <v>15</v>
      </c>
      <c r="AL582" s="55"/>
      <c r="AM582" s="55"/>
      <c r="AN582" s="55"/>
      <c r="AO582" s="55"/>
      <c r="AP582" s="55"/>
      <c r="AQ582" s="55"/>
      <c r="AR582" s="55"/>
      <c r="AS582" s="55"/>
      <c r="AT582" s="24"/>
      <c r="AU582" s="52" t="s">
        <v>24</v>
      </c>
      <c r="AV582" s="58">
        <v>1988</v>
      </c>
      <c r="AW582" s="58">
        <v>1988</v>
      </c>
      <c r="AX582" s="55"/>
      <c r="AY582" s="55"/>
      <c r="AZ582" s="55"/>
      <c r="BA582" s="55"/>
      <c r="BB582" s="55"/>
      <c r="BC582" s="55"/>
      <c r="BD582" s="55"/>
      <c r="BE582" s="55"/>
    </row>
    <row r="583" spans="2:57" outlineLevel="1" x14ac:dyDescent="0.25">
      <c r="E583" s="1227"/>
      <c r="F583" s="1227"/>
      <c r="G583" s="1227"/>
      <c r="H583" s="1251"/>
      <c r="I583" s="1227"/>
      <c r="J583" s="1227"/>
    </row>
    <row r="584" spans="2:57" outlineLevel="1" x14ac:dyDescent="0.25">
      <c r="D584" s="1227" t="s">
        <v>52</v>
      </c>
      <c r="E584" s="175"/>
      <c r="F584" s="1227"/>
      <c r="G584" s="1227"/>
      <c r="H584" s="1251"/>
      <c r="I584" s="1227"/>
      <c r="J584" s="1227"/>
      <c r="K584" s="175"/>
    </row>
    <row r="585" spans="2:57" outlineLevel="1" x14ac:dyDescent="0.25">
      <c r="D585" s="1252"/>
      <c r="E585" s="175"/>
      <c r="F585" s="175"/>
      <c r="G585" s="1285"/>
      <c r="H585" s="1286"/>
    </row>
    <row r="586" spans="2:57" outlineLevel="1" x14ac:dyDescent="0.25">
      <c r="D586" s="1252"/>
      <c r="G586" s="1285"/>
      <c r="H586" s="1286"/>
      <c r="P586" s="1988"/>
      <c r="Q586" s="1988"/>
    </row>
    <row r="587" spans="2:57" outlineLevel="1" x14ac:dyDescent="0.25">
      <c r="D587" s="1252"/>
      <c r="G587" s="1222"/>
      <c r="H587" s="1253"/>
      <c r="M587" s="1227"/>
      <c r="P587" s="1988"/>
      <c r="Q587" s="1988"/>
    </row>
    <row r="588" spans="2:57" outlineLevel="1" x14ac:dyDescent="0.25">
      <c r="D588" s="1252"/>
      <c r="G588" s="1222"/>
      <c r="H588" s="1253"/>
      <c r="M588" s="1227"/>
      <c r="P588" s="1988"/>
      <c r="Q588" s="1988"/>
    </row>
    <row r="589" spans="2:57" outlineLevel="1" x14ac:dyDescent="0.25">
      <c r="D589" s="1252"/>
      <c r="G589" s="1222"/>
      <c r="H589" s="1253"/>
      <c r="M589" s="1227"/>
    </row>
    <row r="590" spans="2:57" outlineLevel="1" x14ac:dyDescent="0.25">
      <c r="D590" s="1252"/>
      <c r="G590" s="1222"/>
      <c r="H590" s="1253"/>
    </row>
    <row r="591" spans="2:57" s="61" customFormat="1" ht="30" outlineLevel="1" x14ac:dyDescent="0.2">
      <c r="B591" s="1258"/>
      <c r="C591" s="1258"/>
      <c r="D591" s="91" t="s">
        <v>16</v>
      </c>
      <c r="E591" s="91" t="s">
        <v>89</v>
      </c>
      <c r="F591" s="99" t="s">
        <v>173</v>
      </c>
      <c r="G591" s="91" t="s">
        <v>334</v>
      </c>
      <c r="H591" s="91" t="s">
        <v>363</v>
      </c>
      <c r="I591" s="91" t="s">
        <v>364</v>
      </c>
      <c r="J591" s="1258"/>
      <c r="K591" s="1258"/>
      <c r="L591" s="1258"/>
      <c r="M591" s="1258"/>
      <c r="N591" s="1258"/>
      <c r="O591" s="1258"/>
      <c r="P591" s="1258"/>
      <c r="Q591" s="1258"/>
      <c r="R591" s="1258"/>
      <c r="S591" s="1258"/>
      <c r="T591" s="1258"/>
      <c r="U591" s="1258"/>
    </row>
    <row r="592" spans="2:57" outlineLevel="1" x14ac:dyDescent="0.2">
      <c r="D592" s="1259"/>
      <c r="E592" s="1259" t="str">
        <f>E582</f>
        <v>Kitchen Demand Ventillation Controls</v>
      </c>
      <c r="F592" s="1318">
        <v>365.25</v>
      </c>
      <c r="G592" s="1305">
        <v>12</v>
      </c>
      <c r="H592" s="1384">
        <v>0.76</v>
      </c>
      <c r="I592" s="1384">
        <v>1</v>
      </c>
    </row>
    <row r="595" spans="2:57" s="39" customFormat="1" x14ac:dyDescent="0.25">
      <c r="B595" s="1989" t="s">
        <v>365</v>
      </c>
      <c r="C595" s="1990"/>
      <c r="D595" s="1990"/>
      <c r="E595" s="1990"/>
      <c r="F595" s="1990"/>
      <c r="G595" s="1990"/>
      <c r="H595" s="1990"/>
      <c r="I595" s="1991"/>
      <c r="J595" s="1991"/>
      <c r="K595" s="1991"/>
      <c r="L595" s="1991"/>
      <c r="M595" s="1992"/>
      <c r="N595" s="1992"/>
      <c r="O595" s="1993"/>
      <c r="V595" s="40" t="str">
        <f>B595</f>
        <v>Pre-Rinse Spray Valve</v>
      </c>
      <c r="W595" s="41"/>
      <c r="X595" s="41"/>
      <c r="Y595" s="41"/>
      <c r="Z595" s="41"/>
      <c r="AA595" s="41"/>
      <c r="AB595" s="41"/>
      <c r="AC595" s="41"/>
      <c r="AD595" s="41"/>
      <c r="AE595" s="41"/>
      <c r="AF595" s="41"/>
      <c r="AG595" s="41"/>
      <c r="AH595" s="41"/>
      <c r="AI595" s="42"/>
      <c r="AJ595" s="22"/>
      <c r="AK595" s="22"/>
      <c r="AL595" s="22"/>
      <c r="AM595" s="22"/>
      <c r="AN595" s="22"/>
      <c r="AO595" s="22"/>
      <c r="AP595" s="22"/>
      <c r="AQ595" s="22"/>
      <c r="AR595" s="22"/>
      <c r="AS595" s="22"/>
      <c r="AT595" s="22"/>
      <c r="AU595" s="22"/>
    </row>
    <row r="596" spans="2:57" x14ac:dyDescent="0.25">
      <c r="D596" s="1234"/>
      <c r="E596" s="1227"/>
      <c r="F596" s="1227"/>
      <c r="G596" s="1227"/>
      <c r="H596" s="1235"/>
      <c r="I596" s="1227"/>
      <c r="J596" s="1227"/>
      <c r="K596" s="1227"/>
      <c r="L596" s="1227"/>
      <c r="P596" s="1227"/>
      <c r="Q596" s="1227"/>
      <c r="R596" s="1227"/>
      <c r="S596" s="1227"/>
      <c r="T596" s="1227"/>
      <c r="U596" s="1227"/>
      <c r="V596"/>
      <c r="W596"/>
      <c r="X596"/>
      <c r="Y596"/>
      <c r="Z596"/>
      <c r="AA596"/>
      <c r="AB596"/>
      <c r="AC596"/>
      <c r="AD596"/>
      <c r="AE596"/>
      <c r="AF596"/>
      <c r="AG596"/>
      <c r="AH596"/>
      <c r="AI596"/>
      <c r="AJ596" s="38"/>
      <c r="AK596" s="38"/>
      <c r="AL596" s="38"/>
      <c r="AM596" s="38"/>
      <c r="AN596" s="38"/>
      <c r="AO596" s="38"/>
      <c r="AP596" s="38"/>
      <c r="AQ596" s="38"/>
      <c r="AR596" s="38"/>
      <c r="AS596" s="38"/>
      <c r="AT596" s="38"/>
      <c r="AU596" s="38"/>
    </row>
    <row r="597" spans="2:57" s="43" customFormat="1" ht="30" x14ac:dyDescent="0.25">
      <c r="B597" s="1236"/>
      <c r="C597" s="44" t="s">
        <v>16</v>
      </c>
      <c r="D597" s="44" t="s">
        <v>17</v>
      </c>
      <c r="E597" s="131" t="s">
        <v>18</v>
      </c>
      <c r="F597" s="131" t="s">
        <v>366</v>
      </c>
      <c r="G597" s="131" t="s">
        <v>20</v>
      </c>
      <c r="H597" s="46" t="s">
        <v>21</v>
      </c>
      <c r="I597" s="131" t="s">
        <v>22</v>
      </c>
      <c r="J597" s="131" t="s">
        <v>23</v>
      </c>
      <c r="K597" s="44" t="s">
        <v>24</v>
      </c>
      <c r="L597" s="44" t="s">
        <v>25</v>
      </c>
      <c r="M597" s="1222"/>
      <c r="N597" s="1222"/>
      <c r="O597" s="1222"/>
      <c r="P597" s="1139"/>
      <c r="Q597" s="1139"/>
      <c r="R597" s="1139"/>
      <c r="S597" s="1139"/>
      <c r="T597" s="1139"/>
      <c r="U597" s="1139"/>
      <c r="V597" s="48" t="s">
        <v>26</v>
      </c>
      <c r="W597" s="49">
        <v>43252</v>
      </c>
      <c r="X597" s="49">
        <v>43465</v>
      </c>
      <c r="Y597" s="49" t="s">
        <v>27</v>
      </c>
      <c r="Z597" s="49" t="s">
        <v>27</v>
      </c>
      <c r="AA597" s="49" t="s">
        <v>27</v>
      </c>
      <c r="AB597" s="49" t="s">
        <v>27</v>
      </c>
      <c r="AC597" s="49" t="s">
        <v>27</v>
      </c>
      <c r="AD597" s="49" t="s">
        <v>27</v>
      </c>
      <c r="AE597" s="49" t="s">
        <v>27</v>
      </c>
      <c r="AF597" s="49" t="s">
        <v>27</v>
      </c>
      <c r="AG597" s="49" t="s">
        <v>27</v>
      </c>
      <c r="AH597"/>
      <c r="AI597" s="48" t="s">
        <v>26</v>
      </c>
      <c r="AJ597" s="49">
        <v>43252</v>
      </c>
      <c r="AK597" s="49">
        <v>43465</v>
      </c>
      <c r="AL597" s="49" t="s">
        <v>27</v>
      </c>
      <c r="AM597" s="49" t="s">
        <v>27</v>
      </c>
      <c r="AN597" s="49" t="s">
        <v>27</v>
      </c>
      <c r="AO597" s="49" t="s">
        <v>27</v>
      </c>
      <c r="AP597" s="49" t="s">
        <v>27</v>
      </c>
      <c r="AQ597" s="49" t="s">
        <v>27</v>
      </c>
      <c r="AR597" s="49" t="s">
        <v>27</v>
      </c>
      <c r="AS597" s="49" t="s">
        <v>27</v>
      </c>
      <c r="AT597" s="24"/>
      <c r="AU597" s="48" t="s">
        <v>26</v>
      </c>
      <c r="AV597" s="49">
        <v>43252</v>
      </c>
      <c r="AW597" s="49">
        <v>43465</v>
      </c>
      <c r="AX597" s="49" t="s">
        <v>27</v>
      </c>
      <c r="AY597" s="49" t="s">
        <v>27</v>
      </c>
      <c r="AZ597" s="49" t="s">
        <v>27</v>
      </c>
      <c r="BA597" s="49" t="s">
        <v>27</v>
      </c>
      <c r="BB597" s="49" t="s">
        <v>27</v>
      </c>
      <c r="BC597" s="49" t="s">
        <v>27</v>
      </c>
      <c r="BD597" s="49" t="s">
        <v>27</v>
      </c>
      <c r="BE597" s="49" t="s">
        <v>27</v>
      </c>
    </row>
    <row r="598" spans="2:57" x14ac:dyDescent="0.25">
      <c r="C598" s="1237"/>
      <c r="D598" s="1329" t="s">
        <v>28</v>
      </c>
      <c r="E598" s="1268" t="s">
        <v>365</v>
      </c>
      <c r="F598" s="72">
        <f>F608*8.33*1*(K608-L608)*((1/M608)/3413)</f>
        <v>5786.527002576564</v>
      </c>
      <c r="G598" s="1240" t="s">
        <v>167</v>
      </c>
      <c r="H598" s="1241">
        <f>VLOOKUP(G598,'CP FACTORS'!$A$26:$B$38,2,FALSE)</f>
        <v>1.998949E-4</v>
      </c>
      <c r="I598" s="1354">
        <f>H598*F598</f>
        <v>1.156697236527342</v>
      </c>
      <c r="J598" s="375">
        <v>5</v>
      </c>
      <c r="K598" s="1294">
        <v>92.9</v>
      </c>
      <c r="L598" s="1340" t="s">
        <v>31</v>
      </c>
      <c r="V598" s="52" t="s">
        <v>19</v>
      </c>
      <c r="W598" s="50">
        <v>5786.527002576564</v>
      </c>
      <c r="X598" s="50">
        <v>5786.527002576564</v>
      </c>
      <c r="Y598" s="55"/>
      <c r="Z598" s="55"/>
      <c r="AA598" s="55"/>
      <c r="AB598" s="55"/>
      <c r="AC598" s="55"/>
      <c r="AD598" s="55"/>
      <c r="AE598" s="55"/>
      <c r="AF598" s="55"/>
      <c r="AG598" s="55"/>
      <c r="AH598" s="56"/>
      <c r="AI598" s="52" t="s">
        <v>23</v>
      </c>
      <c r="AJ598" s="57">
        <v>5</v>
      </c>
      <c r="AK598" s="57">
        <v>5</v>
      </c>
      <c r="AL598" s="55"/>
      <c r="AM598" s="55"/>
      <c r="AN598" s="55"/>
      <c r="AO598" s="55"/>
      <c r="AP598" s="55"/>
      <c r="AQ598" s="55"/>
      <c r="AR598" s="55"/>
      <c r="AS598" s="55"/>
      <c r="AT598" s="24"/>
      <c r="AU598" s="52" t="s">
        <v>24</v>
      </c>
      <c r="AV598" s="58">
        <v>92.9</v>
      </c>
      <c r="AW598" s="58">
        <v>92.9</v>
      </c>
      <c r="AX598" s="55"/>
      <c r="AY598" s="55"/>
      <c r="AZ598" s="55"/>
      <c r="BA598" s="55"/>
      <c r="BB598" s="55"/>
      <c r="BC598" s="55"/>
      <c r="BD598" s="55"/>
      <c r="BE598" s="55"/>
    </row>
    <row r="599" spans="2:57" outlineLevel="1" x14ac:dyDescent="0.25">
      <c r="E599" s="1227"/>
      <c r="F599" s="1227"/>
      <c r="G599" s="1227"/>
      <c r="H599" s="1251"/>
      <c r="I599" s="1227"/>
      <c r="J599" s="1227"/>
      <c r="K599" s="1227"/>
    </row>
    <row r="600" spans="2:57" outlineLevel="1" x14ac:dyDescent="0.25">
      <c r="D600" s="1227" t="s">
        <v>52</v>
      </c>
      <c r="E600" s="175"/>
      <c r="F600" s="1227"/>
      <c r="G600" s="1227"/>
      <c r="H600" s="1251"/>
      <c r="I600" s="1227"/>
      <c r="J600" s="1227"/>
      <c r="K600" s="175"/>
    </row>
    <row r="601" spans="2:57" outlineLevel="1" x14ac:dyDescent="0.25">
      <c r="D601" s="1252"/>
      <c r="E601" s="175"/>
      <c r="F601" s="175"/>
      <c r="G601" s="1285"/>
      <c r="H601" s="1286"/>
    </row>
    <row r="602" spans="2:57" outlineLevel="1" x14ac:dyDescent="0.25">
      <c r="D602" s="1252"/>
      <c r="G602" s="1285"/>
      <c r="H602" s="1286"/>
      <c r="P602" s="1988"/>
      <c r="Q602" s="1988"/>
    </row>
    <row r="603" spans="2:57" outlineLevel="1" x14ac:dyDescent="0.25">
      <c r="D603" s="1252"/>
      <c r="G603" s="1222"/>
      <c r="H603" s="1253"/>
      <c r="M603" s="1227"/>
      <c r="P603" s="1988"/>
      <c r="Q603" s="1988"/>
    </row>
    <row r="604" spans="2:57" outlineLevel="1" x14ac:dyDescent="0.25">
      <c r="D604" s="1252"/>
      <c r="G604" s="1222"/>
      <c r="H604" s="1253"/>
      <c r="M604" s="1227"/>
      <c r="P604" s="1988"/>
      <c r="Q604" s="1988"/>
    </row>
    <row r="605" spans="2:57" outlineLevel="1" x14ac:dyDescent="0.25">
      <c r="D605" s="1252"/>
      <c r="G605" s="1222"/>
      <c r="H605" s="1253"/>
      <c r="M605" s="1227"/>
    </row>
    <row r="606" spans="2:57" outlineLevel="1" x14ac:dyDescent="0.25">
      <c r="D606" s="1252"/>
      <c r="G606" s="1222"/>
      <c r="H606" s="1253"/>
    </row>
    <row r="607" spans="2:57" s="61" customFormat="1" ht="30" outlineLevel="1" x14ac:dyDescent="0.2">
      <c r="B607" s="1258"/>
      <c r="C607" s="1258"/>
      <c r="D607" s="91" t="s">
        <v>16</v>
      </c>
      <c r="E607" s="91" t="s">
        <v>89</v>
      </c>
      <c r="F607" s="99" t="s">
        <v>367</v>
      </c>
      <c r="G607" s="91" t="s">
        <v>368</v>
      </c>
      <c r="H607" s="91" t="s">
        <v>369</v>
      </c>
      <c r="I607" s="91" t="s">
        <v>370</v>
      </c>
      <c r="J607" s="91" t="s">
        <v>371</v>
      </c>
      <c r="K607" s="91" t="s">
        <v>138</v>
      </c>
      <c r="L607" s="91" t="s">
        <v>372</v>
      </c>
      <c r="M607" s="91" t="s">
        <v>373</v>
      </c>
      <c r="N607" s="1258"/>
      <c r="O607" s="1258"/>
      <c r="P607" s="1258"/>
      <c r="Q607" s="1258"/>
      <c r="R607" s="1258"/>
      <c r="S607" s="1258"/>
      <c r="T607" s="1258"/>
      <c r="U607" s="1258"/>
    </row>
    <row r="608" spans="2:57" outlineLevel="1" x14ac:dyDescent="0.2">
      <c r="D608" s="1259"/>
      <c r="E608" s="1259" t="str">
        <f>E598</f>
        <v>Pre-Rinse Spray Valve</v>
      </c>
      <c r="F608" s="1315">
        <f>(G608-H608)*60*I608*J608</f>
        <v>32853.599999999991</v>
      </c>
      <c r="G608" s="1326">
        <v>2.23</v>
      </c>
      <c r="H608" s="1384">
        <v>1.06</v>
      </c>
      <c r="I608" s="1384">
        <v>1.5</v>
      </c>
      <c r="J608" s="1384">
        <v>312</v>
      </c>
      <c r="K608" s="1384">
        <f>L608+70</f>
        <v>127.9</v>
      </c>
      <c r="L608" s="1384">
        <v>57.9</v>
      </c>
      <c r="M608" s="1342">
        <v>0.97</v>
      </c>
    </row>
    <row r="611" spans="2:57" s="39" customFormat="1" x14ac:dyDescent="0.25">
      <c r="B611" s="1989" t="s">
        <v>374</v>
      </c>
      <c r="C611" s="1990"/>
      <c r="D611" s="1990"/>
      <c r="E611" s="1990"/>
      <c r="F611" s="1990"/>
      <c r="G611" s="1990"/>
      <c r="H611" s="1990"/>
      <c r="I611" s="1991"/>
      <c r="J611" s="1991"/>
      <c r="K611" s="1991"/>
      <c r="L611" s="1991"/>
      <c r="M611" s="1992"/>
      <c r="N611" s="1992"/>
      <c r="O611" s="1993"/>
      <c r="V611" s="40" t="str">
        <f>B611</f>
        <v>Low Flow Faucet Aerator</v>
      </c>
      <c r="W611" s="41"/>
      <c r="X611" s="41"/>
      <c r="Y611" s="41"/>
      <c r="Z611" s="41"/>
      <c r="AA611" s="41"/>
      <c r="AB611" s="41"/>
      <c r="AC611" s="41"/>
      <c r="AD611" s="41"/>
      <c r="AE611" s="41"/>
      <c r="AF611" s="41"/>
      <c r="AG611" s="41"/>
      <c r="AH611" s="41"/>
      <c r="AI611" s="42"/>
      <c r="AJ611" s="22"/>
      <c r="AK611" s="22"/>
      <c r="AL611" s="22"/>
      <c r="AM611" s="22"/>
      <c r="AN611" s="22"/>
      <c r="AO611" s="22"/>
      <c r="AP611" s="22"/>
      <c r="AQ611" s="22"/>
      <c r="AR611" s="22"/>
      <c r="AS611" s="22"/>
      <c r="AT611" s="22"/>
      <c r="AU611" s="22"/>
    </row>
    <row r="612" spans="2:57" x14ac:dyDescent="0.25">
      <c r="D612" s="1234"/>
      <c r="E612" s="1227"/>
      <c r="F612" s="1227"/>
      <c r="G612" s="1227"/>
      <c r="H612" s="1235"/>
      <c r="I612" s="1227"/>
      <c r="J612" s="1227"/>
      <c r="K612" s="1227"/>
      <c r="L612" s="1227"/>
      <c r="P612" s="1227"/>
      <c r="Q612" s="1227"/>
      <c r="R612" s="1227"/>
      <c r="S612" s="1227"/>
      <c r="T612" s="1227"/>
      <c r="U612" s="1227"/>
      <c r="V612"/>
      <c r="W612"/>
      <c r="X612"/>
      <c r="Y612"/>
      <c r="Z612"/>
      <c r="AA612"/>
      <c r="AB612"/>
      <c r="AC612"/>
      <c r="AD612"/>
      <c r="AE612"/>
      <c r="AF612"/>
      <c r="AG612"/>
      <c r="AH612"/>
      <c r="AI612"/>
      <c r="AJ612" s="38"/>
      <c r="AK612" s="38"/>
      <c r="AL612" s="38"/>
      <c r="AM612" s="38"/>
      <c r="AN612" s="38"/>
      <c r="AO612" s="38"/>
      <c r="AP612" s="38"/>
      <c r="AQ612" s="38"/>
      <c r="AR612" s="38"/>
      <c r="AS612" s="38"/>
      <c r="AT612" s="38"/>
      <c r="AU612" s="38"/>
    </row>
    <row r="613" spans="2:57" s="43" customFormat="1" ht="30" x14ac:dyDescent="0.25">
      <c r="B613" s="1236"/>
      <c r="C613" s="44" t="s">
        <v>16</v>
      </c>
      <c r="D613" s="44" t="s">
        <v>17</v>
      </c>
      <c r="E613" s="131" t="s">
        <v>18</v>
      </c>
      <c r="F613" s="131" t="s">
        <v>366</v>
      </c>
      <c r="G613" s="131" t="s">
        <v>20</v>
      </c>
      <c r="H613" s="46" t="s">
        <v>21</v>
      </c>
      <c r="I613" s="131" t="s">
        <v>22</v>
      </c>
      <c r="J613" s="131" t="s">
        <v>23</v>
      </c>
      <c r="K613" s="44" t="s">
        <v>24</v>
      </c>
      <c r="L613" s="44" t="s">
        <v>25</v>
      </c>
      <c r="M613" s="1222"/>
      <c r="N613" s="1222"/>
      <c r="O613" s="1222"/>
      <c r="P613" s="1139"/>
      <c r="Q613" s="1139"/>
      <c r="R613" s="1139"/>
      <c r="S613" s="1139"/>
      <c r="T613" s="1139"/>
      <c r="U613" s="1139"/>
      <c r="V613" s="48" t="s">
        <v>26</v>
      </c>
      <c r="W613" s="49">
        <v>43252</v>
      </c>
      <c r="X613" s="49">
        <v>43465</v>
      </c>
      <c r="Y613" s="49" t="s">
        <v>27</v>
      </c>
      <c r="Z613" s="49" t="s">
        <v>27</v>
      </c>
      <c r="AA613" s="49" t="s">
        <v>27</v>
      </c>
      <c r="AB613" s="49" t="s">
        <v>27</v>
      </c>
      <c r="AC613" s="49" t="s">
        <v>27</v>
      </c>
      <c r="AD613" s="49" t="s">
        <v>27</v>
      </c>
      <c r="AE613" s="49" t="s">
        <v>27</v>
      </c>
      <c r="AF613" s="49" t="s">
        <v>27</v>
      </c>
      <c r="AG613" s="49" t="s">
        <v>27</v>
      </c>
      <c r="AH613"/>
      <c r="AI613" s="48" t="s">
        <v>26</v>
      </c>
      <c r="AJ613" s="49">
        <v>43252</v>
      </c>
      <c r="AK613" s="49">
        <v>43465</v>
      </c>
      <c r="AL613" s="49" t="s">
        <v>27</v>
      </c>
      <c r="AM613" s="49" t="s">
        <v>27</v>
      </c>
      <c r="AN613" s="49" t="s">
        <v>27</v>
      </c>
      <c r="AO613" s="49" t="s">
        <v>27</v>
      </c>
      <c r="AP613" s="49" t="s">
        <v>27</v>
      </c>
      <c r="AQ613" s="49" t="s">
        <v>27</v>
      </c>
      <c r="AR613" s="49" t="s">
        <v>27</v>
      </c>
      <c r="AS613" s="49" t="s">
        <v>27</v>
      </c>
      <c r="AT613" s="24"/>
      <c r="AU613" s="48" t="s">
        <v>26</v>
      </c>
      <c r="AV613" s="49">
        <v>43252</v>
      </c>
      <c r="AW613" s="49">
        <v>43465</v>
      </c>
      <c r="AX613" s="49" t="s">
        <v>27</v>
      </c>
      <c r="AY613" s="49" t="s">
        <v>27</v>
      </c>
      <c r="AZ613" s="49" t="s">
        <v>27</v>
      </c>
      <c r="BA613" s="49" t="s">
        <v>27</v>
      </c>
      <c r="BB613" s="49" t="s">
        <v>27</v>
      </c>
      <c r="BC613" s="49" t="s">
        <v>27</v>
      </c>
      <c r="BD613" s="49" t="s">
        <v>27</v>
      </c>
      <c r="BE613" s="49" t="s">
        <v>27</v>
      </c>
    </row>
    <row r="614" spans="2:57" x14ac:dyDescent="0.25">
      <c r="C614" s="1237"/>
      <c r="D614" s="1329" t="s">
        <v>28</v>
      </c>
      <c r="E614" s="1268" t="s">
        <v>374</v>
      </c>
      <c r="F614" s="72">
        <f>F624*((G624-H624)/G624)*I624*J624*N624</f>
        <v>86.631740914419709</v>
      </c>
      <c r="G614" s="1240" t="s">
        <v>128</v>
      </c>
      <c r="H614" s="1241">
        <f>VLOOKUP(G614,'CP FACTORS'!$A$26:$B$38,2,FALSE)</f>
        <v>1.811545E-4</v>
      </c>
      <c r="I614" s="1354">
        <f>H614*F614</f>
        <v>1.5693729709481245E-2</v>
      </c>
      <c r="J614" s="375">
        <v>9</v>
      </c>
      <c r="K614" s="1294">
        <v>8</v>
      </c>
      <c r="L614" s="1340" t="s">
        <v>31</v>
      </c>
      <c r="V614" s="52" t="s">
        <v>19</v>
      </c>
      <c r="W614" s="59">
        <v>86.631740914419709</v>
      </c>
      <c r="X614" s="59">
        <v>86.631740914419709</v>
      </c>
      <c r="Y614" s="55"/>
      <c r="Z614" s="55"/>
      <c r="AA614" s="55"/>
      <c r="AB614" s="55"/>
      <c r="AC614" s="55"/>
      <c r="AD614" s="55"/>
      <c r="AE614" s="55"/>
      <c r="AF614" s="55"/>
      <c r="AG614" s="55"/>
      <c r="AH614" s="56"/>
      <c r="AI614" s="52" t="s">
        <v>23</v>
      </c>
      <c r="AJ614" s="57">
        <v>9</v>
      </c>
      <c r="AK614" s="57">
        <v>9</v>
      </c>
      <c r="AL614" s="55"/>
      <c r="AM614" s="55"/>
      <c r="AN614" s="55"/>
      <c r="AO614" s="55"/>
      <c r="AP614" s="55"/>
      <c r="AQ614" s="55"/>
      <c r="AR614" s="55"/>
      <c r="AS614" s="55"/>
      <c r="AT614" s="24"/>
      <c r="AU614" s="52" t="s">
        <v>24</v>
      </c>
      <c r="AV614" s="58">
        <v>8</v>
      </c>
      <c r="AW614" s="58">
        <v>8</v>
      </c>
      <c r="AX614" s="55"/>
      <c r="AY614" s="55"/>
      <c r="AZ614" s="55"/>
      <c r="BA614" s="55"/>
      <c r="BB614" s="55"/>
      <c r="BC614" s="55"/>
      <c r="BD614" s="55"/>
      <c r="BE614" s="55"/>
    </row>
    <row r="615" spans="2:57" outlineLevel="1" x14ac:dyDescent="0.25">
      <c r="E615" s="1227"/>
      <c r="F615" s="1227"/>
      <c r="G615" s="1227"/>
      <c r="H615" s="1251"/>
      <c r="I615" s="1227"/>
      <c r="J615" s="1227"/>
      <c r="K615" s="1227"/>
    </row>
    <row r="616" spans="2:57" outlineLevel="1" x14ac:dyDescent="0.25">
      <c r="D616" s="1227" t="s">
        <v>52</v>
      </c>
      <c r="E616" s="175"/>
      <c r="F616" s="1227"/>
      <c r="G616" s="1227"/>
      <c r="H616" s="1251"/>
      <c r="I616" s="1227"/>
      <c r="J616" s="1227"/>
      <c r="K616" s="175"/>
    </row>
    <row r="617" spans="2:57" outlineLevel="1" x14ac:dyDescent="0.25">
      <c r="D617" s="1252"/>
      <c r="E617" s="175"/>
      <c r="F617" s="175"/>
      <c r="G617" s="1285"/>
      <c r="H617" s="1286"/>
    </row>
    <row r="618" spans="2:57" outlineLevel="1" x14ac:dyDescent="0.25">
      <c r="D618" s="1252"/>
      <c r="G618" s="1285"/>
      <c r="H618" s="1286"/>
      <c r="P618" s="1988"/>
      <c r="Q618" s="1988"/>
    </row>
    <row r="619" spans="2:57" outlineLevel="1" x14ac:dyDescent="0.25">
      <c r="D619" s="1252"/>
      <c r="G619" s="1222"/>
      <c r="H619" s="1253"/>
      <c r="M619" s="1227"/>
      <c r="P619" s="1988"/>
      <c r="Q619" s="1988"/>
    </row>
    <row r="620" spans="2:57" outlineLevel="1" x14ac:dyDescent="0.25">
      <c r="D620" s="1252"/>
      <c r="G620" s="1222"/>
      <c r="H620" s="1253"/>
      <c r="M620" s="1227"/>
      <c r="P620" s="1988"/>
      <c r="Q620" s="1988"/>
    </row>
    <row r="621" spans="2:57" outlineLevel="1" x14ac:dyDescent="0.25">
      <c r="D621" s="1252"/>
      <c r="G621" s="1222"/>
      <c r="H621" s="1253"/>
      <c r="M621" s="1227"/>
    </row>
    <row r="622" spans="2:57" outlineLevel="1" x14ac:dyDescent="0.25">
      <c r="D622" s="1252"/>
      <c r="G622" s="1222"/>
      <c r="H622" s="1253"/>
    </row>
    <row r="623" spans="2:57" s="61" customFormat="1" ht="30" outlineLevel="1" x14ac:dyDescent="0.2">
      <c r="B623" s="1258"/>
      <c r="C623" s="1258"/>
      <c r="D623" s="91" t="s">
        <v>16</v>
      </c>
      <c r="E623" s="91" t="s">
        <v>89</v>
      </c>
      <c r="F623" s="99" t="s">
        <v>284</v>
      </c>
      <c r="G623" s="91" t="s">
        <v>375</v>
      </c>
      <c r="H623" s="91" t="s">
        <v>376</v>
      </c>
      <c r="I623" s="91" t="s">
        <v>377</v>
      </c>
      <c r="J623" s="91" t="s">
        <v>378</v>
      </c>
      <c r="K623" s="91" t="s">
        <v>379</v>
      </c>
      <c r="L623" s="91" t="s">
        <v>380</v>
      </c>
      <c r="M623" s="91" t="s">
        <v>381</v>
      </c>
      <c r="N623" s="91" t="s">
        <v>58</v>
      </c>
      <c r="O623" s="1258"/>
      <c r="P623" s="1258"/>
      <c r="Q623" s="1258"/>
      <c r="R623" s="1258"/>
      <c r="S623" s="1258"/>
      <c r="T623" s="1258"/>
      <c r="U623" s="1258"/>
    </row>
    <row r="624" spans="2:57" outlineLevel="1" x14ac:dyDescent="0.2">
      <c r="D624" s="1259"/>
      <c r="E624" s="1259" t="str">
        <f>E614</f>
        <v>Low Flow Faucet Aerator</v>
      </c>
      <c r="F624" s="1385">
        <v>1</v>
      </c>
      <c r="G624" s="1326">
        <v>1.2</v>
      </c>
      <c r="H624" s="1384">
        <v>0.94</v>
      </c>
      <c r="I624" s="106">
        <v>5000</v>
      </c>
      <c r="J624" s="1386">
        <f>(8.33*1*(K624-L624))/(M624*3412)</f>
        <v>7.9967760844079736E-2</v>
      </c>
      <c r="K624" s="1381">
        <v>90</v>
      </c>
      <c r="L624" s="1370">
        <v>57.9</v>
      </c>
      <c r="M624" s="105">
        <v>0.98</v>
      </c>
      <c r="N624" s="1381">
        <v>1</v>
      </c>
    </row>
    <row r="627" spans="2:57" s="39" customFormat="1" x14ac:dyDescent="0.25">
      <c r="B627" s="1989" t="s">
        <v>382</v>
      </c>
      <c r="C627" s="1990"/>
      <c r="D627" s="1990"/>
      <c r="E627" s="1990"/>
      <c r="F627" s="1990"/>
      <c r="G627" s="1990"/>
      <c r="H627" s="1990"/>
      <c r="I627" s="1991"/>
      <c r="J627" s="1991"/>
      <c r="K627" s="1991"/>
      <c r="L627" s="1991"/>
      <c r="M627" s="1992"/>
      <c r="N627" s="1992"/>
      <c r="O627" s="1993"/>
      <c r="V627" s="40" t="str">
        <f>B627</f>
        <v>Circulator Pump</v>
      </c>
      <c r="W627" s="41"/>
      <c r="X627" s="41"/>
      <c r="Y627" s="41"/>
      <c r="Z627" s="41"/>
      <c r="AA627" s="41"/>
      <c r="AB627" s="41"/>
      <c r="AC627" s="41"/>
      <c r="AD627" s="41"/>
      <c r="AE627" s="41"/>
      <c r="AF627" s="41"/>
      <c r="AG627" s="41"/>
      <c r="AH627" s="41"/>
      <c r="AI627" s="42"/>
      <c r="AJ627" s="22"/>
      <c r="AK627" s="22"/>
      <c r="AL627" s="22"/>
      <c r="AM627" s="22"/>
      <c r="AN627" s="22"/>
      <c r="AO627" s="22"/>
      <c r="AP627" s="22"/>
      <c r="AQ627" s="22"/>
      <c r="AR627" s="22"/>
      <c r="AS627" s="22"/>
      <c r="AT627" s="22"/>
      <c r="AU627" s="22"/>
    </row>
    <row r="628" spans="2:57" x14ac:dyDescent="0.25">
      <c r="D628" s="1234"/>
      <c r="E628" s="1227"/>
      <c r="F628" s="1227"/>
      <c r="G628" s="1227"/>
      <c r="H628" s="1235"/>
      <c r="I628" s="1227"/>
      <c r="J628" s="1227"/>
      <c r="K628" s="1227"/>
      <c r="L628" s="1227"/>
      <c r="P628" s="1227"/>
      <c r="Q628" s="1227"/>
      <c r="R628" s="1227"/>
      <c r="S628" s="1227"/>
      <c r="T628" s="1227"/>
      <c r="U628" s="1227"/>
      <c r="V628"/>
      <c r="W628"/>
      <c r="X628"/>
      <c r="Y628"/>
      <c r="Z628"/>
      <c r="AA628"/>
      <c r="AB628"/>
      <c r="AC628"/>
      <c r="AD628"/>
      <c r="AE628"/>
      <c r="AF628"/>
      <c r="AG628"/>
      <c r="AH628"/>
      <c r="AI628"/>
      <c r="AJ628" s="38"/>
      <c r="AK628" s="38"/>
      <c r="AL628" s="38"/>
      <c r="AM628" s="38"/>
      <c r="AN628" s="38"/>
      <c r="AO628" s="38"/>
      <c r="AP628" s="38"/>
      <c r="AQ628" s="38"/>
      <c r="AR628" s="38"/>
      <c r="AS628" s="38"/>
      <c r="AT628" s="38"/>
      <c r="AU628" s="38"/>
    </row>
    <row r="629" spans="2:57" s="43" customFormat="1" ht="30" x14ac:dyDescent="0.25">
      <c r="B629" s="1236"/>
      <c r="C629" s="44" t="s">
        <v>16</v>
      </c>
      <c r="D629" s="44" t="s">
        <v>17</v>
      </c>
      <c r="E629" s="131" t="s">
        <v>18</v>
      </c>
      <c r="F629" s="131" t="s">
        <v>366</v>
      </c>
      <c r="G629" s="131" t="s">
        <v>20</v>
      </c>
      <c r="H629" s="46" t="s">
        <v>21</v>
      </c>
      <c r="I629" s="131" t="s">
        <v>22</v>
      </c>
      <c r="J629" s="131" t="s">
        <v>23</v>
      </c>
      <c r="K629" s="44" t="s">
        <v>24</v>
      </c>
      <c r="L629" s="44" t="s">
        <v>25</v>
      </c>
      <c r="M629" s="1222"/>
      <c r="N629" s="1222"/>
      <c r="O629" s="1222"/>
      <c r="P629" s="1139"/>
      <c r="Q629" s="1139"/>
      <c r="R629" s="1139"/>
      <c r="S629" s="1139"/>
      <c r="T629" s="1139"/>
      <c r="U629" s="1139"/>
      <c r="V629" s="48" t="s">
        <v>26</v>
      </c>
      <c r="W629" s="49">
        <v>43252</v>
      </c>
      <c r="X629" s="49">
        <v>43465</v>
      </c>
      <c r="Y629" s="49" t="s">
        <v>27</v>
      </c>
      <c r="Z629" s="49" t="s">
        <v>27</v>
      </c>
      <c r="AA629" s="49" t="s">
        <v>27</v>
      </c>
      <c r="AB629" s="49" t="s">
        <v>27</v>
      </c>
      <c r="AC629" s="49" t="s">
        <v>27</v>
      </c>
      <c r="AD629" s="49" t="s">
        <v>27</v>
      </c>
      <c r="AE629" s="49" t="s">
        <v>27</v>
      </c>
      <c r="AF629" s="49" t="s">
        <v>27</v>
      </c>
      <c r="AG629" s="49" t="s">
        <v>27</v>
      </c>
      <c r="AH629"/>
      <c r="AI629" s="48" t="s">
        <v>26</v>
      </c>
      <c r="AJ629" s="49">
        <v>43252</v>
      </c>
      <c r="AK629" s="49">
        <v>43465</v>
      </c>
      <c r="AL629" s="49" t="s">
        <v>27</v>
      </c>
      <c r="AM629" s="49" t="s">
        <v>27</v>
      </c>
      <c r="AN629" s="49" t="s">
        <v>27</v>
      </c>
      <c r="AO629" s="49" t="s">
        <v>27</v>
      </c>
      <c r="AP629" s="49" t="s">
        <v>27</v>
      </c>
      <c r="AQ629" s="49" t="s">
        <v>27</v>
      </c>
      <c r="AR629" s="49" t="s">
        <v>27</v>
      </c>
      <c r="AS629" s="49" t="s">
        <v>27</v>
      </c>
      <c r="AT629" s="24"/>
      <c r="AU629" s="48" t="s">
        <v>26</v>
      </c>
      <c r="AV629" s="49">
        <v>43252</v>
      </c>
      <c r="AW629" s="49">
        <v>43465</v>
      </c>
      <c r="AX629" s="49" t="s">
        <v>27</v>
      </c>
      <c r="AY629" s="49" t="s">
        <v>27</v>
      </c>
      <c r="AZ629" s="49" t="s">
        <v>27</v>
      </c>
      <c r="BA629" s="49" t="s">
        <v>27</v>
      </c>
      <c r="BB629" s="49" t="s">
        <v>27</v>
      </c>
      <c r="BC629" s="49" t="s">
        <v>27</v>
      </c>
      <c r="BD629" s="49" t="s">
        <v>27</v>
      </c>
      <c r="BE629" s="49" t="s">
        <v>27</v>
      </c>
    </row>
    <row r="630" spans="2:57" x14ac:dyDescent="0.25">
      <c r="C630" s="1237"/>
      <c r="D630" s="1329" t="s">
        <v>28</v>
      </c>
      <c r="E630" s="1268" t="s">
        <v>382</v>
      </c>
      <c r="F630" s="72">
        <v>651</v>
      </c>
      <c r="G630" s="1240" t="s">
        <v>44</v>
      </c>
      <c r="H630" s="1241">
        <f>VLOOKUP(G630,'CP FACTORS'!$A$26:$B$38,2,FALSE)</f>
        <v>1.379439E-4</v>
      </c>
      <c r="I630" s="1354">
        <f>H630*F630</f>
        <v>8.9801478899999995E-2</v>
      </c>
      <c r="J630" s="375">
        <v>15</v>
      </c>
      <c r="K630" s="1270">
        <v>1200</v>
      </c>
      <c r="L630" s="1340" t="s">
        <v>31</v>
      </c>
      <c r="V630" s="52" t="s">
        <v>19</v>
      </c>
      <c r="W630" s="59">
        <v>651</v>
      </c>
      <c r="X630" s="59">
        <v>651</v>
      </c>
      <c r="Y630" s="55"/>
      <c r="Z630" s="55"/>
      <c r="AA630" s="55"/>
      <c r="AB630" s="55"/>
      <c r="AC630" s="55"/>
      <c r="AD630" s="55"/>
      <c r="AE630" s="55"/>
      <c r="AF630" s="55"/>
      <c r="AG630" s="55"/>
      <c r="AH630" s="56"/>
      <c r="AI630" s="52" t="s">
        <v>23</v>
      </c>
      <c r="AJ630" s="57">
        <v>15</v>
      </c>
      <c r="AK630" s="57">
        <v>15</v>
      </c>
      <c r="AL630" s="55"/>
      <c r="AM630" s="55"/>
      <c r="AN630" s="55"/>
      <c r="AO630" s="55"/>
      <c r="AP630" s="55"/>
      <c r="AQ630" s="55"/>
      <c r="AR630" s="55"/>
      <c r="AS630" s="55"/>
      <c r="AT630" s="24"/>
      <c r="AU630" s="52" t="s">
        <v>24</v>
      </c>
      <c r="AV630" s="58">
        <v>1200</v>
      </c>
      <c r="AW630" s="58">
        <v>1200</v>
      </c>
      <c r="AX630" s="55"/>
      <c r="AY630" s="55"/>
      <c r="AZ630" s="55"/>
      <c r="BA630" s="55"/>
      <c r="BB630" s="55"/>
      <c r="BC630" s="55"/>
      <c r="BD630" s="55"/>
      <c r="BE630" s="55"/>
    </row>
    <row r="631" spans="2:57" outlineLevel="1" x14ac:dyDescent="0.25">
      <c r="E631" s="1227"/>
      <c r="F631" s="1227"/>
      <c r="G631" s="1227"/>
      <c r="H631" s="1251"/>
      <c r="I631" s="1227"/>
      <c r="J631" s="1227"/>
    </row>
    <row r="632" spans="2:57" outlineLevel="1" x14ac:dyDescent="0.25">
      <c r="D632" s="1227" t="s">
        <v>52</v>
      </c>
      <c r="E632" s="175"/>
      <c r="F632" s="1227"/>
      <c r="G632" s="1227"/>
      <c r="H632" s="1251"/>
      <c r="I632" s="1227"/>
      <c r="J632" s="1227"/>
      <c r="K632" s="175"/>
    </row>
    <row r="633" spans="2:57" outlineLevel="1" x14ac:dyDescent="0.25">
      <c r="D633" s="1252"/>
      <c r="E633" s="175"/>
      <c r="F633" s="175"/>
      <c r="G633" s="1285"/>
      <c r="H633" s="1286"/>
    </row>
    <row r="634" spans="2:57" outlineLevel="1" x14ac:dyDescent="0.25">
      <c r="D634" s="1252"/>
      <c r="G634" s="1285"/>
      <c r="H634" s="1286"/>
      <c r="P634" s="1988"/>
      <c r="Q634" s="1988"/>
    </row>
    <row r="635" spans="2:57" outlineLevel="1" x14ac:dyDescent="0.25">
      <c r="D635" s="1252"/>
      <c r="G635" s="1222"/>
      <c r="H635" s="1253"/>
      <c r="M635" s="1227"/>
      <c r="P635" s="1988"/>
      <c r="Q635" s="1988"/>
    </row>
    <row r="636" spans="2:57" outlineLevel="1" x14ac:dyDescent="0.25">
      <c r="D636" s="1252"/>
      <c r="G636" s="1222"/>
      <c r="H636" s="1253"/>
      <c r="M636" s="1227"/>
      <c r="P636" s="1988"/>
      <c r="Q636" s="1988"/>
    </row>
    <row r="637" spans="2:57" outlineLevel="1" x14ac:dyDescent="0.25">
      <c r="D637" s="1252"/>
      <c r="G637" s="1222"/>
      <c r="H637" s="1253"/>
      <c r="M637" s="1227"/>
    </row>
    <row r="638" spans="2:57" outlineLevel="1" x14ac:dyDescent="0.25">
      <c r="D638" s="1252"/>
      <c r="G638" s="1222"/>
      <c r="H638" s="1253"/>
    </row>
    <row r="639" spans="2:57" s="61" customFormat="1" ht="30" outlineLevel="1" x14ac:dyDescent="0.2">
      <c r="B639" s="1258"/>
      <c r="C639" s="1258"/>
      <c r="D639" s="91" t="s">
        <v>16</v>
      </c>
      <c r="E639" s="91" t="s">
        <v>89</v>
      </c>
      <c r="F639" s="1258"/>
      <c r="G639" s="1258"/>
      <c r="H639" s="1258"/>
      <c r="I639" s="1258"/>
      <c r="J639" s="1258"/>
      <c r="K639" s="1258"/>
      <c r="L639" s="1258"/>
      <c r="M639" s="1258"/>
      <c r="N639" s="1258"/>
      <c r="O639" s="1258"/>
      <c r="P639" s="1258"/>
      <c r="Q639" s="1258"/>
      <c r="R639" s="1258"/>
      <c r="S639" s="1258"/>
      <c r="T639" s="1258"/>
      <c r="U639" s="1258"/>
    </row>
    <row r="640" spans="2:57" outlineLevel="1" x14ac:dyDescent="0.2">
      <c r="D640" s="1259"/>
      <c r="E640" s="1259" t="str">
        <f>E630</f>
        <v>Circulator Pump</v>
      </c>
      <c r="G640" s="1222"/>
      <c r="H640" s="1222"/>
    </row>
    <row r="643" spans="2:57" s="39" customFormat="1" x14ac:dyDescent="0.25">
      <c r="B643" s="1989" t="s">
        <v>383</v>
      </c>
      <c r="C643" s="1990"/>
      <c r="D643" s="1990"/>
      <c r="E643" s="1990"/>
      <c r="F643" s="1990"/>
      <c r="G643" s="1990"/>
      <c r="H643" s="1990"/>
      <c r="I643" s="1991"/>
      <c r="J643" s="1991"/>
      <c r="K643" s="1991"/>
      <c r="L643" s="1991"/>
      <c r="M643" s="1992"/>
      <c r="N643" s="1992"/>
      <c r="O643" s="1993"/>
      <c r="V643" s="40" t="str">
        <f>B643</f>
        <v>Small Commercial Programmable Thermostats</v>
      </c>
      <c r="W643" s="41"/>
      <c r="X643" s="41"/>
      <c r="Y643" s="41"/>
      <c r="Z643" s="41"/>
      <c r="AA643" s="41"/>
      <c r="AB643" s="41"/>
      <c r="AC643" s="41"/>
      <c r="AD643" s="41"/>
      <c r="AE643" s="41"/>
      <c r="AF643" s="41"/>
      <c r="AG643" s="41"/>
      <c r="AH643" s="41"/>
      <c r="AI643" s="42"/>
      <c r="AJ643" s="22"/>
      <c r="AK643" s="22"/>
      <c r="AL643" s="22"/>
      <c r="AM643" s="22"/>
      <c r="AN643" s="22"/>
      <c r="AO643" s="22"/>
      <c r="AP643" s="22"/>
      <c r="AQ643" s="22"/>
      <c r="AR643" s="22"/>
      <c r="AS643" s="22"/>
      <c r="AT643" s="22"/>
      <c r="AU643" s="22"/>
    </row>
    <row r="644" spans="2:57" x14ac:dyDescent="0.25">
      <c r="D644" s="1234"/>
      <c r="E644" s="1227"/>
      <c r="F644" s="1227"/>
      <c r="G644" s="1227"/>
      <c r="H644" s="1235"/>
      <c r="I644" s="1227"/>
      <c r="J644" s="1227"/>
      <c r="K644" s="1227"/>
      <c r="L644" s="1227"/>
      <c r="P644" s="1227"/>
      <c r="Q644" s="1227"/>
      <c r="R644" s="1227"/>
      <c r="S644" s="1227"/>
      <c r="T644" s="1227"/>
      <c r="U644" s="1227"/>
      <c r="V644"/>
      <c r="W644"/>
      <c r="X644"/>
      <c r="Y644"/>
      <c r="Z644"/>
      <c r="AA644"/>
      <c r="AB644"/>
      <c r="AC644"/>
      <c r="AD644"/>
      <c r="AE644"/>
      <c r="AF644"/>
      <c r="AG644"/>
      <c r="AH644"/>
      <c r="AI644"/>
      <c r="AJ644" s="38"/>
      <c r="AK644" s="38"/>
      <c r="AL644" s="38"/>
      <c r="AM644" s="38"/>
      <c r="AN644" s="38"/>
      <c r="AO644" s="38"/>
      <c r="AP644" s="38"/>
      <c r="AQ644" s="38"/>
      <c r="AR644" s="38"/>
      <c r="AS644" s="38"/>
      <c r="AT644" s="38"/>
      <c r="AU644" s="38"/>
    </row>
    <row r="645" spans="2:57" s="43" customFormat="1" ht="30" x14ac:dyDescent="0.25">
      <c r="B645" s="1236"/>
      <c r="C645" s="44" t="s">
        <v>16</v>
      </c>
      <c r="D645" s="44" t="s">
        <v>17</v>
      </c>
      <c r="E645" s="131" t="s">
        <v>18</v>
      </c>
      <c r="F645" s="131" t="s">
        <v>384</v>
      </c>
      <c r="G645" s="131" t="s">
        <v>20</v>
      </c>
      <c r="H645" s="46" t="s">
        <v>21</v>
      </c>
      <c r="I645" s="131" t="s">
        <v>22</v>
      </c>
      <c r="J645" s="131" t="s">
        <v>23</v>
      </c>
      <c r="K645" s="44" t="s">
        <v>148</v>
      </c>
      <c r="L645" s="44" t="s">
        <v>25</v>
      </c>
      <c r="M645" s="1222"/>
      <c r="N645" s="1222"/>
      <c r="O645" s="1222"/>
      <c r="P645" s="1139"/>
      <c r="Q645" s="1139"/>
      <c r="R645" s="1139"/>
      <c r="S645" s="1139"/>
      <c r="T645" s="1139"/>
      <c r="U645" s="1139"/>
      <c r="V645" s="48" t="s">
        <v>26</v>
      </c>
      <c r="W645" s="49">
        <v>43252</v>
      </c>
      <c r="X645" s="49">
        <v>43465</v>
      </c>
      <c r="Y645" s="49" t="s">
        <v>27</v>
      </c>
      <c r="Z645" s="49" t="s">
        <v>27</v>
      </c>
      <c r="AA645" s="49" t="s">
        <v>27</v>
      </c>
      <c r="AB645" s="49" t="s">
        <v>27</v>
      </c>
      <c r="AC645" s="49" t="s">
        <v>27</v>
      </c>
      <c r="AD645" s="49" t="s">
        <v>27</v>
      </c>
      <c r="AE645" s="49" t="s">
        <v>27</v>
      </c>
      <c r="AF645" s="49" t="s">
        <v>27</v>
      </c>
      <c r="AG645" s="49" t="s">
        <v>27</v>
      </c>
      <c r="AH645"/>
      <c r="AI645" s="48" t="s">
        <v>26</v>
      </c>
      <c r="AJ645" s="49">
        <v>43252</v>
      </c>
      <c r="AK645" s="49">
        <v>43465</v>
      </c>
      <c r="AL645" s="49" t="s">
        <v>27</v>
      </c>
      <c r="AM645" s="49" t="s">
        <v>27</v>
      </c>
      <c r="AN645" s="49" t="s">
        <v>27</v>
      </c>
      <c r="AO645" s="49" t="s">
        <v>27</v>
      </c>
      <c r="AP645" s="49" t="s">
        <v>27</v>
      </c>
      <c r="AQ645" s="49" t="s">
        <v>27</v>
      </c>
      <c r="AR645" s="49" t="s">
        <v>27</v>
      </c>
      <c r="AS645" s="49" t="s">
        <v>27</v>
      </c>
      <c r="AT645" s="24"/>
      <c r="AU645" s="48" t="s">
        <v>26</v>
      </c>
      <c r="AV645" s="49">
        <v>43252</v>
      </c>
      <c r="AW645" s="49">
        <v>43465</v>
      </c>
      <c r="AX645" s="49" t="s">
        <v>27</v>
      </c>
      <c r="AY645" s="49" t="s">
        <v>27</v>
      </c>
      <c r="AZ645" s="49" t="s">
        <v>27</v>
      </c>
      <c r="BA645" s="49" t="s">
        <v>27</v>
      </c>
      <c r="BB645" s="49" t="s">
        <v>27</v>
      </c>
      <c r="BC645" s="49" t="s">
        <v>27</v>
      </c>
      <c r="BD645" s="49" t="s">
        <v>27</v>
      </c>
      <c r="BE645" s="49" t="s">
        <v>27</v>
      </c>
    </row>
    <row r="646" spans="2:57" x14ac:dyDescent="0.25">
      <c r="C646" s="1237"/>
      <c r="D646" s="1329" t="s">
        <v>28</v>
      </c>
      <c r="E646" s="1268" t="s">
        <v>383</v>
      </c>
      <c r="F646" s="1387">
        <f>(F656*H656*I656)/G656</f>
        <v>2.8899999999999999E-2</v>
      </c>
      <c r="G646" s="1240" t="s">
        <v>197</v>
      </c>
      <c r="H646" s="1241">
        <f>VLOOKUP(G646,'CP FACTORS'!$A$26:$B$38,2,FALSE)</f>
        <v>9.1068400000000004E-4</v>
      </c>
      <c r="I646" s="1354">
        <f>H646*F646</f>
        <v>2.6318767599999999E-5</v>
      </c>
      <c r="J646" s="375">
        <v>8</v>
      </c>
      <c r="K646" s="1294">
        <v>181</v>
      </c>
      <c r="L646" s="1340" t="s">
        <v>31</v>
      </c>
      <c r="V646" s="52" t="str">
        <f>F645</f>
        <v>kWh Annual Savings (per sqft)</v>
      </c>
      <c r="W646" s="59">
        <v>2.8899999999999999E-2</v>
      </c>
      <c r="X646" s="59">
        <v>2.8899999999999999E-2</v>
      </c>
      <c r="Y646" s="55"/>
      <c r="Z646" s="55"/>
      <c r="AA646" s="55"/>
      <c r="AB646" s="55"/>
      <c r="AC646" s="55"/>
      <c r="AD646" s="55"/>
      <c r="AE646" s="55"/>
      <c r="AF646" s="55"/>
      <c r="AG646" s="55"/>
      <c r="AH646" s="56"/>
      <c r="AI646" s="52" t="s">
        <v>23</v>
      </c>
      <c r="AJ646" s="57">
        <v>8</v>
      </c>
      <c r="AK646" s="57">
        <v>8</v>
      </c>
      <c r="AL646" s="55"/>
      <c r="AM646" s="55"/>
      <c r="AN646" s="55"/>
      <c r="AO646" s="55"/>
      <c r="AP646" s="55"/>
      <c r="AQ646" s="55"/>
      <c r="AR646" s="55"/>
      <c r="AS646" s="55"/>
      <c r="AT646" s="24"/>
      <c r="AU646" s="52" t="s">
        <v>24</v>
      </c>
      <c r="AV646" s="58">
        <v>181</v>
      </c>
      <c r="AW646" s="58">
        <v>181</v>
      </c>
      <c r="AX646" s="55"/>
      <c r="AY646" s="55"/>
      <c r="AZ646" s="55"/>
      <c r="BA646" s="55"/>
      <c r="BB646" s="55"/>
      <c r="BC646" s="55"/>
      <c r="BD646" s="55"/>
      <c r="BE646" s="55"/>
    </row>
    <row r="647" spans="2:57" outlineLevel="1" x14ac:dyDescent="0.25">
      <c r="E647" s="1227"/>
      <c r="F647" s="1227"/>
      <c r="G647" s="1227"/>
      <c r="H647" s="1251"/>
      <c r="I647" s="1227"/>
      <c r="J647" s="1227"/>
      <c r="K647" s="1227"/>
    </row>
    <row r="648" spans="2:57" outlineLevel="1" x14ac:dyDescent="0.25">
      <c r="D648" s="1227" t="s">
        <v>52</v>
      </c>
      <c r="E648" s="175"/>
      <c r="F648" s="1227"/>
      <c r="G648" s="1227"/>
      <c r="H648" s="1251"/>
      <c r="I648" s="1227"/>
      <c r="J648" s="1227"/>
      <c r="K648" s="175"/>
    </row>
    <row r="649" spans="2:57" outlineLevel="1" x14ac:dyDescent="0.25">
      <c r="D649" s="1252"/>
      <c r="E649" s="175"/>
      <c r="F649" s="175"/>
      <c r="G649" s="1285"/>
      <c r="H649" s="1286"/>
    </row>
    <row r="650" spans="2:57" outlineLevel="1" x14ac:dyDescent="0.25">
      <c r="D650" s="1252"/>
      <c r="G650" s="1285"/>
      <c r="H650" s="1286"/>
      <c r="P650" s="1988"/>
      <c r="Q650" s="1988"/>
    </row>
    <row r="651" spans="2:57" outlineLevel="1" x14ac:dyDescent="0.25">
      <c r="D651" s="1252"/>
      <c r="G651" s="1222"/>
      <c r="H651" s="1253"/>
      <c r="M651" s="1227"/>
      <c r="P651" s="1988"/>
      <c r="Q651" s="1988"/>
    </row>
    <row r="652" spans="2:57" outlineLevel="1" x14ac:dyDescent="0.25">
      <c r="D652" s="1252"/>
      <c r="G652" s="1222"/>
      <c r="H652" s="1253"/>
      <c r="M652" s="1227"/>
      <c r="P652" s="1988"/>
      <c r="Q652" s="1988"/>
    </row>
    <row r="653" spans="2:57" outlineLevel="1" x14ac:dyDescent="0.25">
      <c r="D653" s="1252"/>
      <c r="G653" s="1222"/>
      <c r="H653" s="1253"/>
      <c r="M653" s="1227"/>
    </row>
    <row r="654" spans="2:57" outlineLevel="1" x14ac:dyDescent="0.25">
      <c r="D654" s="1252"/>
      <c r="G654" s="1222"/>
      <c r="H654" s="1253"/>
    </row>
    <row r="655" spans="2:57" s="61" customFormat="1" ht="30" outlineLevel="1" x14ac:dyDescent="0.2">
      <c r="B655" s="1258"/>
      <c r="C655" s="1258"/>
      <c r="D655" s="91" t="s">
        <v>16</v>
      </c>
      <c r="E655" s="91" t="s">
        <v>89</v>
      </c>
      <c r="F655" s="99" t="s">
        <v>385</v>
      </c>
      <c r="G655" s="91" t="s">
        <v>386</v>
      </c>
      <c r="H655" s="91" t="s">
        <v>387</v>
      </c>
      <c r="I655" s="91" t="s">
        <v>388</v>
      </c>
      <c r="J655" s="1258"/>
      <c r="K655" s="1258"/>
      <c r="L655" s="1258"/>
      <c r="M655" s="1258"/>
      <c r="N655" s="1258"/>
      <c r="O655" s="1258"/>
      <c r="P655" s="1258"/>
      <c r="Q655" s="1258"/>
      <c r="R655" s="1258"/>
      <c r="S655" s="1258"/>
      <c r="T655" s="1258"/>
      <c r="U655" s="1258"/>
    </row>
    <row r="656" spans="2:57" outlineLevel="1" x14ac:dyDescent="0.2">
      <c r="D656" s="1259"/>
      <c r="E656" s="1259" t="str">
        <f>E646</f>
        <v>Small Commercial Programmable Thermostats</v>
      </c>
      <c r="F656" s="1322">
        <v>1</v>
      </c>
      <c r="G656" s="1326">
        <v>10</v>
      </c>
      <c r="H656" s="1367">
        <v>0.57799999999999996</v>
      </c>
      <c r="I656" s="1388">
        <v>0.5</v>
      </c>
    </row>
    <row r="659" spans="2:57" s="39" customFormat="1" x14ac:dyDescent="0.25">
      <c r="B659" s="1989" t="s">
        <v>389</v>
      </c>
      <c r="C659" s="1990"/>
      <c r="D659" s="1990"/>
      <c r="E659" s="1990"/>
      <c r="F659" s="1990"/>
      <c r="G659" s="1990"/>
      <c r="H659" s="1990"/>
      <c r="I659" s="1991"/>
      <c r="J659" s="1991"/>
      <c r="K659" s="1991"/>
      <c r="L659" s="1991"/>
      <c r="M659" s="1992"/>
      <c r="N659" s="1992"/>
      <c r="O659" s="1993"/>
      <c r="V659" s="40" t="str">
        <f>B659</f>
        <v>Demand Controlled Ventillation</v>
      </c>
      <c r="W659" s="41"/>
      <c r="X659" s="41"/>
      <c r="Y659" s="41"/>
      <c r="Z659" s="41"/>
      <c r="AA659" s="41"/>
      <c r="AB659" s="41"/>
      <c r="AC659" s="41"/>
      <c r="AD659" s="41"/>
      <c r="AE659" s="41"/>
      <c r="AF659" s="41"/>
      <c r="AG659" s="41"/>
      <c r="AH659" s="41"/>
      <c r="AI659" s="42"/>
      <c r="AJ659" s="22"/>
      <c r="AK659" s="22"/>
      <c r="AL659" s="22"/>
      <c r="AM659" s="22"/>
      <c r="AN659" s="22"/>
      <c r="AO659" s="22"/>
      <c r="AP659" s="22"/>
      <c r="AQ659" s="22"/>
      <c r="AR659" s="22"/>
      <c r="AS659" s="22"/>
      <c r="AT659" s="22"/>
      <c r="AU659" s="22"/>
    </row>
    <row r="660" spans="2:57" x14ac:dyDescent="0.25">
      <c r="D660" s="1234"/>
      <c r="E660" s="1227"/>
      <c r="F660" s="1227"/>
      <c r="G660" s="1227"/>
      <c r="H660" s="1235"/>
      <c r="I660" s="1227"/>
      <c r="J660" s="1227"/>
      <c r="K660" s="1227"/>
      <c r="L660" s="1227"/>
      <c r="P660" s="1227"/>
      <c r="Q660" s="1227"/>
      <c r="R660" s="1227"/>
      <c r="S660" s="1227"/>
      <c r="T660" s="1227"/>
      <c r="U660" s="1227"/>
      <c r="V660"/>
      <c r="W660"/>
      <c r="X660"/>
      <c r="Y660"/>
      <c r="Z660"/>
      <c r="AA660"/>
      <c r="AB660"/>
      <c r="AC660"/>
      <c r="AD660"/>
      <c r="AE660"/>
      <c r="AF660"/>
      <c r="AG660"/>
      <c r="AH660"/>
      <c r="AI660"/>
      <c r="AJ660" s="38"/>
      <c r="AK660" s="38"/>
      <c r="AL660" s="38"/>
      <c r="AM660" s="38"/>
      <c r="AN660" s="38"/>
      <c r="AO660" s="38"/>
      <c r="AP660" s="38"/>
      <c r="AQ660" s="38"/>
      <c r="AR660" s="38"/>
      <c r="AS660" s="38"/>
      <c r="AT660" s="38"/>
      <c r="AU660" s="38"/>
    </row>
    <row r="661" spans="2:57" s="43" customFormat="1" ht="30" x14ac:dyDescent="0.25">
      <c r="B661" s="1236"/>
      <c r="C661" s="44" t="s">
        <v>16</v>
      </c>
      <c r="D661" s="44" t="s">
        <v>17</v>
      </c>
      <c r="E661" s="131" t="s">
        <v>18</v>
      </c>
      <c r="F661" s="131" t="s">
        <v>384</v>
      </c>
      <c r="G661" s="131" t="s">
        <v>20</v>
      </c>
      <c r="H661" s="46" t="s">
        <v>21</v>
      </c>
      <c r="I661" s="131" t="s">
        <v>22</v>
      </c>
      <c r="J661" s="131" t="s">
        <v>23</v>
      </c>
      <c r="K661" s="44" t="s">
        <v>24</v>
      </c>
      <c r="L661" s="44" t="s">
        <v>25</v>
      </c>
      <c r="M661" s="1222"/>
      <c r="N661" s="1360"/>
      <c r="O661" s="1333"/>
      <c r="P661" s="1334"/>
      <c r="Q661" s="1139"/>
      <c r="R661" s="1139"/>
      <c r="S661" s="1139"/>
      <c r="T661" s="1139"/>
      <c r="U661" s="1139"/>
      <c r="V661" s="48" t="s">
        <v>26</v>
      </c>
      <c r="W661" s="49">
        <v>43252</v>
      </c>
      <c r="X661" s="49">
        <v>43465</v>
      </c>
      <c r="Y661" s="49" t="s">
        <v>27</v>
      </c>
      <c r="Z661" s="49" t="s">
        <v>27</v>
      </c>
      <c r="AA661" s="49" t="s">
        <v>27</v>
      </c>
      <c r="AB661" s="49" t="s">
        <v>27</v>
      </c>
      <c r="AC661" s="49" t="s">
        <v>27</v>
      </c>
      <c r="AD661" s="49" t="s">
        <v>27</v>
      </c>
      <c r="AE661" s="49" t="s">
        <v>27</v>
      </c>
      <c r="AF661" s="49" t="s">
        <v>27</v>
      </c>
      <c r="AG661" s="49" t="s">
        <v>27</v>
      </c>
      <c r="AH661"/>
      <c r="AI661" s="48" t="s">
        <v>26</v>
      </c>
      <c r="AJ661" s="49">
        <v>43252</v>
      </c>
      <c r="AK661" s="49">
        <v>43465</v>
      </c>
      <c r="AL661" s="49" t="s">
        <v>27</v>
      </c>
      <c r="AM661" s="49" t="s">
        <v>27</v>
      </c>
      <c r="AN661" s="49" t="s">
        <v>27</v>
      </c>
      <c r="AO661" s="49" t="s">
        <v>27</v>
      </c>
      <c r="AP661" s="49" t="s">
        <v>27</v>
      </c>
      <c r="AQ661" s="49" t="s">
        <v>27</v>
      </c>
      <c r="AR661" s="49" t="s">
        <v>27</v>
      </c>
      <c r="AS661" s="49" t="s">
        <v>27</v>
      </c>
      <c r="AT661" s="24"/>
      <c r="AU661" s="48" t="s">
        <v>26</v>
      </c>
      <c r="AV661" s="49">
        <v>43252</v>
      </c>
      <c r="AW661" s="49">
        <v>43465</v>
      </c>
      <c r="AX661" s="49" t="s">
        <v>27</v>
      </c>
      <c r="AY661" s="49" t="s">
        <v>27</v>
      </c>
      <c r="AZ661" s="49" t="s">
        <v>27</v>
      </c>
      <c r="BA661" s="49" t="s">
        <v>27</v>
      </c>
      <c r="BB661" s="49" t="s">
        <v>27</v>
      </c>
      <c r="BC661" s="49" t="s">
        <v>27</v>
      </c>
      <c r="BD661" s="49" t="s">
        <v>27</v>
      </c>
      <c r="BE661" s="49" t="s">
        <v>27</v>
      </c>
    </row>
    <row r="662" spans="2:57" x14ac:dyDescent="0.25">
      <c r="C662" s="1277"/>
      <c r="D662" s="1329" t="s">
        <v>28</v>
      </c>
      <c r="E662" s="1268" t="s">
        <v>390</v>
      </c>
      <c r="F662" s="72">
        <f>(F674/1000)*G674+(F674/1000)*H674</f>
        <v>0.66500000000000004</v>
      </c>
      <c r="G662" s="1240" t="s">
        <v>197</v>
      </c>
      <c r="H662" s="1241">
        <f>VLOOKUP(G662,'CP FACTORS'!$A$26:$B$38,2,FALSE)</f>
        <v>9.1068400000000004E-4</v>
      </c>
      <c r="I662" s="1242">
        <f>H662*F662</f>
        <v>6.0560486000000007E-4</v>
      </c>
      <c r="J662" s="1319">
        <v>10</v>
      </c>
      <c r="K662" s="1270" t="s">
        <v>391</v>
      </c>
      <c r="L662" s="1340" t="s">
        <v>392</v>
      </c>
      <c r="V662" s="52" t="str">
        <f>F661</f>
        <v>kWh Annual Savings (per sqft)</v>
      </c>
      <c r="W662" s="59">
        <v>0.66500000000000004</v>
      </c>
      <c r="X662" s="59">
        <v>0.66500000000000004</v>
      </c>
      <c r="Y662" s="55"/>
      <c r="Z662" s="55"/>
      <c r="AA662" s="55"/>
      <c r="AB662" s="55"/>
      <c r="AC662" s="55"/>
      <c r="AD662" s="55"/>
      <c r="AE662" s="55"/>
      <c r="AF662" s="55"/>
      <c r="AG662" s="55"/>
      <c r="AH662" s="56"/>
      <c r="AI662" s="52" t="s">
        <v>23</v>
      </c>
      <c r="AJ662" s="57">
        <v>10</v>
      </c>
      <c r="AK662" s="57">
        <v>10</v>
      </c>
      <c r="AL662" s="55"/>
      <c r="AM662" s="55"/>
      <c r="AN662" s="55"/>
      <c r="AO662" s="55"/>
      <c r="AP662" s="55"/>
      <c r="AQ662" s="55"/>
      <c r="AR662" s="55"/>
      <c r="AS662" s="55"/>
      <c r="AT662" s="24"/>
      <c r="AU662" s="52" t="s">
        <v>24</v>
      </c>
      <c r="AV662" s="58" t="s">
        <v>391</v>
      </c>
      <c r="AW662" s="58" t="s">
        <v>391</v>
      </c>
      <c r="AX662" s="55"/>
      <c r="AY662" s="55"/>
      <c r="AZ662" s="55"/>
      <c r="BA662" s="55"/>
      <c r="BB662" s="55"/>
      <c r="BC662" s="55"/>
      <c r="BD662" s="55"/>
      <c r="BE662" s="55"/>
    </row>
    <row r="663" spans="2:57" x14ac:dyDescent="0.25">
      <c r="C663" s="1277"/>
      <c r="D663" s="1329" t="s">
        <v>28</v>
      </c>
      <c r="E663" s="1268" t="s">
        <v>393</v>
      </c>
      <c r="F663" s="72">
        <f>(F675/1000)*G675+(F675/1000)*H675</f>
        <v>1.895</v>
      </c>
      <c r="G663" s="1240" t="s">
        <v>197</v>
      </c>
      <c r="H663" s="1241">
        <f>VLOOKUP(G663,'CP FACTORS'!$A$26:$B$38,2,FALSE)</f>
        <v>9.1068400000000004E-4</v>
      </c>
      <c r="I663" s="1242">
        <f>H663*F663</f>
        <v>1.7257461800000002E-3</v>
      </c>
      <c r="J663" s="1319">
        <v>10</v>
      </c>
      <c r="K663" s="1270" t="s">
        <v>391</v>
      </c>
      <c r="L663" s="1340" t="s">
        <v>392</v>
      </c>
      <c r="V663" s="52" t="str">
        <f>V662</f>
        <v>kWh Annual Savings (per sqft)</v>
      </c>
      <c r="W663" s="59">
        <v>1.895</v>
      </c>
      <c r="X663" s="59">
        <v>1.895</v>
      </c>
      <c r="Y663" s="55"/>
      <c r="Z663" s="55"/>
      <c r="AA663" s="55"/>
      <c r="AB663" s="55"/>
      <c r="AC663" s="55"/>
      <c r="AD663" s="55"/>
      <c r="AE663" s="55"/>
      <c r="AF663" s="55"/>
      <c r="AG663" s="55"/>
      <c r="AH663" s="56"/>
      <c r="AI663" s="52" t="s">
        <v>23</v>
      </c>
      <c r="AJ663" s="57">
        <v>10</v>
      </c>
      <c r="AK663" s="57">
        <v>10</v>
      </c>
      <c r="AL663" s="55"/>
      <c r="AM663" s="55"/>
      <c r="AN663" s="55"/>
      <c r="AO663" s="55"/>
      <c r="AP663" s="55"/>
      <c r="AQ663" s="55"/>
      <c r="AR663" s="55"/>
      <c r="AS663" s="55"/>
      <c r="AT663" s="24"/>
      <c r="AU663" s="52" t="s">
        <v>24</v>
      </c>
      <c r="AV663" s="58" t="s">
        <v>391</v>
      </c>
      <c r="AW663" s="58" t="s">
        <v>391</v>
      </c>
      <c r="AX663" s="55"/>
      <c r="AY663" s="55"/>
      <c r="AZ663" s="55"/>
      <c r="BA663" s="55"/>
      <c r="BB663" s="55"/>
      <c r="BC663" s="55"/>
      <c r="BD663" s="55"/>
      <c r="BE663" s="55"/>
    </row>
    <row r="664" spans="2:57" x14ac:dyDescent="0.25">
      <c r="C664" s="1277"/>
      <c r="D664" s="1329" t="s">
        <v>28</v>
      </c>
      <c r="E664" s="1268" t="s">
        <v>394</v>
      </c>
      <c r="F664" s="72">
        <f>(F676/1000)*G676+(F676/1000)*H676</f>
        <v>1.0750000000000002</v>
      </c>
      <c r="G664" s="1240" t="s">
        <v>197</v>
      </c>
      <c r="H664" s="1241">
        <f>VLOOKUP(G664,'CP FACTORS'!$A$26:$B$38,2,FALSE)</f>
        <v>9.1068400000000004E-4</v>
      </c>
      <c r="I664" s="1242">
        <f>H664*F664</f>
        <v>9.7898530000000024E-4</v>
      </c>
      <c r="J664" s="1319">
        <v>10</v>
      </c>
      <c r="K664" s="1270" t="s">
        <v>391</v>
      </c>
      <c r="L664" s="1340" t="s">
        <v>392</v>
      </c>
      <c r="V664" s="52" t="str">
        <f>V663</f>
        <v>kWh Annual Savings (per sqft)</v>
      </c>
      <c r="W664" s="59">
        <v>1.0750000000000002</v>
      </c>
      <c r="X664" s="59">
        <v>1.0750000000000002</v>
      </c>
      <c r="Y664" s="55"/>
      <c r="Z664" s="55"/>
      <c r="AA664" s="55"/>
      <c r="AB664" s="55"/>
      <c r="AC664" s="55"/>
      <c r="AD664" s="55"/>
      <c r="AE664" s="55"/>
      <c r="AF664" s="55"/>
      <c r="AG664" s="55"/>
      <c r="AH664" s="56"/>
      <c r="AI664" s="52" t="s">
        <v>23</v>
      </c>
      <c r="AJ664" s="57">
        <v>10</v>
      </c>
      <c r="AK664" s="57">
        <v>10</v>
      </c>
      <c r="AL664" s="55"/>
      <c r="AM664" s="55"/>
      <c r="AN664" s="55"/>
      <c r="AO664" s="55"/>
      <c r="AP664" s="55"/>
      <c r="AQ664" s="55"/>
      <c r="AR664" s="55"/>
      <c r="AS664" s="55"/>
      <c r="AT664" s="24"/>
      <c r="AU664" s="52" t="s">
        <v>24</v>
      </c>
      <c r="AV664" s="58" t="s">
        <v>391</v>
      </c>
      <c r="AW664" s="58" t="s">
        <v>391</v>
      </c>
      <c r="AX664" s="55"/>
      <c r="AY664" s="55"/>
      <c r="AZ664" s="55"/>
      <c r="BA664" s="55"/>
      <c r="BB664" s="55"/>
      <c r="BC664" s="55"/>
      <c r="BD664" s="55"/>
      <c r="BE664" s="55"/>
    </row>
    <row r="665" spans="2:57" outlineLevel="1" x14ac:dyDescent="0.25">
      <c r="E665" s="1227"/>
      <c r="F665" s="1227"/>
      <c r="G665" s="1227"/>
      <c r="H665" s="1251"/>
      <c r="I665" s="1227"/>
      <c r="J665" s="1227"/>
      <c r="K665" s="1227"/>
    </row>
    <row r="666" spans="2:57" outlineLevel="1" x14ac:dyDescent="0.25">
      <c r="D666" s="1227" t="s">
        <v>52</v>
      </c>
      <c r="E666" s="1227"/>
      <c r="F666" s="1227"/>
      <c r="G666" s="1227"/>
      <c r="H666" s="1251"/>
      <c r="I666" s="1227"/>
      <c r="J666" s="1227"/>
      <c r="K666" s="1227"/>
    </row>
    <row r="667" spans="2:57" outlineLevel="1" x14ac:dyDescent="0.25">
      <c r="D667" s="1389"/>
      <c r="G667" s="1285"/>
      <c r="H667" s="1286"/>
    </row>
    <row r="668" spans="2:57" outlineLevel="1" x14ac:dyDescent="0.25">
      <c r="D668" s="1389"/>
      <c r="E668" s="1223"/>
      <c r="G668" s="1285"/>
      <c r="H668" s="1286"/>
    </row>
    <row r="669" spans="2:57" outlineLevel="1" x14ac:dyDescent="0.25">
      <c r="D669" s="1389"/>
      <c r="E669" s="1223"/>
      <c r="G669" s="1222"/>
      <c r="H669" s="1253"/>
      <c r="M669" s="1227"/>
    </row>
    <row r="670" spans="2:57" outlineLevel="1" x14ac:dyDescent="0.25">
      <c r="D670" s="1389"/>
      <c r="G670" s="1222"/>
      <c r="H670" s="1253"/>
      <c r="M670" s="1227"/>
    </row>
    <row r="671" spans="2:57" outlineLevel="1" x14ac:dyDescent="0.25">
      <c r="D671" s="1252"/>
      <c r="G671" s="1222"/>
      <c r="H671" s="1253"/>
      <c r="M671" s="1227"/>
    </row>
    <row r="672" spans="2:57" outlineLevel="1" x14ac:dyDescent="0.25">
      <c r="D672" s="1252"/>
      <c r="G672" s="1222"/>
      <c r="H672" s="1253"/>
    </row>
    <row r="673" spans="2:57" s="61" customFormat="1" ht="30" outlineLevel="1" x14ac:dyDescent="0.2">
      <c r="B673" s="1258"/>
      <c r="C673" s="1258"/>
      <c r="D673" s="91" t="s">
        <v>16</v>
      </c>
      <c r="E673" s="91" t="s">
        <v>89</v>
      </c>
      <c r="F673" s="101" t="s">
        <v>395</v>
      </c>
      <c r="G673" s="91" t="s">
        <v>396</v>
      </c>
      <c r="H673" s="91" t="s">
        <v>397</v>
      </c>
      <c r="I673" s="1258"/>
      <c r="J673" s="1258"/>
      <c r="K673" s="1258"/>
      <c r="L673" s="1258"/>
      <c r="M673" s="1258"/>
      <c r="N673" s="1258"/>
      <c r="O673" s="1258"/>
      <c r="P673" s="1258"/>
      <c r="Q673" s="1258"/>
      <c r="R673" s="1258"/>
      <c r="S673" s="1258"/>
      <c r="T673" s="1258"/>
      <c r="U673" s="1258"/>
    </row>
    <row r="674" spans="2:57" outlineLevel="1" x14ac:dyDescent="0.2">
      <c r="D674" s="1259"/>
      <c r="E674" s="1259" t="str">
        <f>E662</f>
        <v>Demand Controlled Ventillation (Gas Heat)</v>
      </c>
      <c r="F674" s="1322">
        <v>1</v>
      </c>
      <c r="G674" s="103">
        <v>665</v>
      </c>
      <c r="H674" s="1362">
        <v>0</v>
      </c>
    </row>
    <row r="675" spans="2:57" outlineLevel="1" x14ac:dyDescent="0.2">
      <c r="D675" s="1259"/>
      <c r="E675" s="1259" t="str">
        <f>E663</f>
        <v>Demand Controlled Ventillation (Electric Heat)</v>
      </c>
      <c r="F675" s="1322">
        <v>1</v>
      </c>
      <c r="G675" s="103">
        <v>665</v>
      </c>
      <c r="H675" s="1362">
        <v>1230</v>
      </c>
    </row>
    <row r="676" spans="2:57" outlineLevel="1" x14ac:dyDescent="0.2">
      <c r="D676" s="1259"/>
      <c r="E676" s="1259" t="str">
        <f>E664</f>
        <v>Demand Controlled Ventillation (Heat Pump)</v>
      </c>
      <c r="F676" s="1322">
        <v>1</v>
      </c>
      <c r="G676" s="103">
        <v>665</v>
      </c>
      <c r="H676" s="1362">
        <v>410</v>
      </c>
    </row>
    <row r="679" spans="2:57" s="39" customFormat="1" x14ac:dyDescent="0.25">
      <c r="B679" s="1989" t="s">
        <v>398</v>
      </c>
      <c r="C679" s="1990"/>
      <c r="D679" s="1990"/>
      <c r="E679" s="1990"/>
      <c r="F679" s="1990"/>
      <c r="G679" s="1990"/>
      <c r="H679" s="1990"/>
      <c r="I679" s="1991"/>
      <c r="J679" s="1991"/>
      <c r="K679" s="1991"/>
      <c r="L679" s="1991"/>
      <c r="M679" s="1992"/>
      <c r="N679" s="1992"/>
      <c r="O679" s="1993"/>
      <c r="V679" s="40" t="str">
        <f>B679</f>
        <v>Advanced RTU Controls</v>
      </c>
      <c r="W679" s="41"/>
      <c r="X679" s="41"/>
      <c r="Y679" s="41"/>
      <c r="Z679" s="41"/>
      <c r="AA679" s="41"/>
      <c r="AB679" s="41"/>
      <c r="AC679" s="41"/>
      <c r="AD679" s="41"/>
      <c r="AE679" s="41"/>
      <c r="AF679" s="41"/>
      <c r="AG679" s="41"/>
      <c r="AH679" s="41"/>
      <c r="AI679" s="42"/>
      <c r="AJ679" s="22"/>
      <c r="AK679" s="22"/>
      <c r="AL679" s="22"/>
      <c r="AM679" s="22"/>
      <c r="AN679" s="22"/>
      <c r="AO679" s="22"/>
      <c r="AP679" s="22"/>
      <c r="AQ679" s="22"/>
      <c r="AR679" s="22"/>
      <c r="AS679" s="22"/>
      <c r="AT679" s="22"/>
      <c r="AU679" s="22"/>
    </row>
    <row r="680" spans="2:57" x14ac:dyDescent="0.25">
      <c r="D680" s="1234"/>
      <c r="E680" s="1227"/>
      <c r="F680" s="1227"/>
      <c r="G680" s="1227"/>
      <c r="H680" s="1235"/>
      <c r="I680" s="1227"/>
      <c r="J680" s="1227"/>
      <c r="K680" s="1227"/>
      <c r="L680" s="1227"/>
      <c r="P680" s="1227"/>
      <c r="Q680" s="1227"/>
      <c r="R680" s="1227"/>
      <c r="S680" s="1227"/>
      <c r="T680" s="1227"/>
      <c r="U680" s="1227"/>
      <c r="V680"/>
      <c r="W680"/>
      <c r="X680"/>
      <c r="Y680"/>
      <c r="Z680"/>
      <c r="AA680"/>
      <c r="AB680"/>
      <c r="AC680"/>
      <c r="AD680"/>
      <c r="AE680"/>
      <c r="AF680"/>
      <c r="AG680"/>
      <c r="AH680"/>
      <c r="AI680"/>
      <c r="AJ680" s="38"/>
      <c r="AK680" s="38"/>
      <c r="AL680" s="38"/>
      <c r="AM680" s="38"/>
      <c r="AN680" s="38"/>
      <c r="AO680" s="38"/>
      <c r="AP680" s="38"/>
      <c r="AQ680" s="38"/>
      <c r="AR680" s="38"/>
      <c r="AS680" s="38"/>
      <c r="AT680" s="38"/>
      <c r="AU680" s="38"/>
    </row>
    <row r="681" spans="2:57" s="43" customFormat="1" ht="30" x14ac:dyDescent="0.25">
      <c r="B681" s="1236"/>
      <c r="C681" s="44" t="s">
        <v>16</v>
      </c>
      <c r="D681" s="44" t="s">
        <v>17</v>
      </c>
      <c r="E681" s="131" t="s">
        <v>18</v>
      </c>
      <c r="F681" s="131" t="s">
        <v>158</v>
      </c>
      <c r="G681" s="131" t="s">
        <v>20</v>
      </c>
      <c r="H681" s="46" t="s">
        <v>21</v>
      </c>
      <c r="I681" s="131" t="s">
        <v>22</v>
      </c>
      <c r="J681" s="131" t="s">
        <v>23</v>
      </c>
      <c r="K681" s="44" t="s">
        <v>148</v>
      </c>
      <c r="L681" s="44" t="s">
        <v>25</v>
      </c>
      <c r="M681" s="1222"/>
      <c r="N681" s="1222"/>
      <c r="O681" s="1222"/>
      <c r="P681" s="1139"/>
      <c r="Q681" s="1139"/>
      <c r="R681" s="1139"/>
      <c r="S681" s="1139"/>
      <c r="T681" s="1139"/>
      <c r="U681" s="1139"/>
      <c r="V681" s="48" t="s">
        <v>26</v>
      </c>
      <c r="W681" s="49">
        <v>43252</v>
      </c>
      <c r="X681" s="49">
        <v>43465</v>
      </c>
      <c r="Y681" s="49" t="s">
        <v>27</v>
      </c>
      <c r="Z681" s="49" t="s">
        <v>27</v>
      </c>
      <c r="AA681" s="49" t="s">
        <v>27</v>
      </c>
      <c r="AB681" s="49" t="s">
        <v>27</v>
      </c>
      <c r="AC681" s="49" t="s">
        <v>27</v>
      </c>
      <c r="AD681" s="49" t="s">
        <v>27</v>
      </c>
      <c r="AE681" s="49" t="s">
        <v>27</v>
      </c>
      <c r="AF681" s="49" t="s">
        <v>27</v>
      </c>
      <c r="AG681" s="49" t="s">
        <v>27</v>
      </c>
      <c r="AH681"/>
      <c r="AI681" s="48" t="s">
        <v>26</v>
      </c>
      <c r="AJ681" s="49">
        <v>43252</v>
      </c>
      <c r="AK681" s="49">
        <v>43465</v>
      </c>
      <c r="AL681" s="49" t="s">
        <v>27</v>
      </c>
      <c r="AM681" s="49" t="s">
        <v>27</v>
      </c>
      <c r="AN681" s="49" t="s">
        <v>27</v>
      </c>
      <c r="AO681" s="49" t="s">
        <v>27</v>
      </c>
      <c r="AP681" s="49" t="s">
        <v>27</v>
      </c>
      <c r="AQ681" s="49" t="s">
        <v>27</v>
      </c>
      <c r="AR681" s="49" t="s">
        <v>27</v>
      </c>
      <c r="AS681" s="49" t="s">
        <v>27</v>
      </c>
      <c r="AT681" s="24"/>
      <c r="AU681" s="48" t="s">
        <v>26</v>
      </c>
      <c r="AV681" s="49">
        <v>43252</v>
      </c>
      <c r="AW681" s="49">
        <v>43465</v>
      </c>
      <c r="AX681" s="49" t="s">
        <v>27</v>
      </c>
      <c r="AY681" s="49" t="s">
        <v>27</v>
      </c>
      <c r="AZ681" s="49" t="s">
        <v>27</v>
      </c>
      <c r="BA681" s="49" t="s">
        <v>27</v>
      </c>
      <c r="BB681" s="49" t="s">
        <v>27</v>
      </c>
      <c r="BC681" s="49" t="s">
        <v>27</v>
      </c>
      <c r="BD681" s="49" t="s">
        <v>27</v>
      </c>
      <c r="BE681" s="49" t="s">
        <v>27</v>
      </c>
    </row>
    <row r="682" spans="2:57" x14ac:dyDescent="0.25">
      <c r="C682" s="1237"/>
      <c r="D682" s="1329" t="s">
        <v>28</v>
      </c>
      <c r="E682" s="1268" t="s">
        <v>398</v>
      </c>
      <c r="F682" s="72">
        <f>F692*G692*H692</f>
        <v>3779.3340000000003</v>
      </c>
      <c r="G682" s="1240" t="s">
        <v>211</v>
      </c>
      <c r="H682" s="1241">
        <f>VLOOKUP(G682,'CP FACTORS'!$A$26:$B$38,2,FALSE)</f>
        <v>4.4398300000000001E-4</v>
      </c>
      <c r="I682" s="1354">
        <f>H682*F682</f>
        <v>1.6779600473220002</v>
      </c>
      <c r="J682" s="375">
        <v>15</v>
      </c>
      <c r="K682" s="1294">
        <v>4038</v>
      </c>
      <c r="L682" s="1340" t="s">
        <v>31</v>
      </c>
      <c r="V682" s="52" t="str">
        <f>F681</f>
        <v>kWh Annual Savings (per HP)</v>
      </c>
      <c r="W682" s="59">
        <v>3779.3340000000003</v>
      </c>
      <c r="X682" s="59">
        <v>3779.3340000000003</v>
      </c>
      <c r="Y682" s="55"/>
      <c r="Z682" s="55"/>
      <c r="AA682" s="55"/>
      <c r="AB682" s="55"/>
      <c r="AC682" s="55"/>
      <c r="AD682" s="55"/>
      <c r="AE682" s="55"/>
      <c r="AF682" s="55"/>
      <c r="AG682" s="55"/>
      <c r="AH682" s="56"/>
      <c r="AI682" s="52" t="s">
        <v>23</v>
      </c>
      <c r="AJ682" s="57">
        <v>15</v>
      </c>
      <c r="AK682" s="57">
        <v>15</v>
      </c>
      <c r="AL682" s="55"/>
      <c r="AM682" s="55"/>
      <c r="AN682" s="55"/>
      <c r="AO682" s="55"/>
      <c r="AP682" s="55"/>
      <c r="AQ682" s="55"/>
      <c r="AR682" s="55"/>
      <c r="AS682" s="55"/>
      <c r="AT682" s="24"/>
      <c r="AU682" s="52" t="s">
        <v>24</v>
      </c>
      <c r="AV682" s="58">
        <v>4038</v>
      </c>
      <c r="AW682" s="58">
        <v>4038</v>
      </c>
      <c r="AX682" s="55"/>
      <c r="AY682" s="55"/>
      <c r="AZ682" s="55"/>
      <c r="BA682" s="55"/>
      <c r="BB682" s="55"/>
      <c r="BC682" s="55"/>
      <c r="BD682" s="55"/>
      <c r="BE682" s="55"/>
    </row>
    <row r="683" spans="2:57" outlineLevel="1" x14ac:dyDescent="0.25">
      <c r="E683" s="1227"/>
      <c r="F683" s="1227"/>
      <c r="G683" s="1227"/>
      <c r="H683" s="1251"/>
      <c r="I683" s="1227"/>
      <c r="J683" s="1227"/>
      <c r="K683" s="1227"/>
      <c r="V683" s="52" t="str">
        <f>V682</f>
        <v>kWh Annual Savings (per HP)</v>
      </c>
      <c r="W683" s="59">
        <v>3779.3340000000003</v>
      </c>
      <c r="X683" s="59">
        <v>3779.3340000000003</v>
      </c>
      <c r="Y683" s="55"/>
      <c r="Z683" s="55"/>
      <c r="AA683" s="55"/>
      <c r="AB683" s="55"/>
      <c r="AC683" s="55"/>
      <c r="AD683" s="55"/>
      <c r="AE683" s="55"/>
      <c r="AF683" s="55"/>
      <c r="AG683" s="55"/>
      <c r="AH683" s="56"/>
      <c r="AI683" s="52" t="s">
        <v>23</v>
      </c>
      <c r="AJ683" s="57">
        <v>15</v>
      </c>
      <c r="AK683" s="57">
        <v>15</v>
      </c>
      <c r="AL683" s="55"/>
      <c r="AM683" s="55"/>
      <c r="AN683" s="55"/>
      <c r="AO683" s="55"/>
      <c r="AP683" s="55"/>
      <c r="AQ683" s="55"/>
      <c r="AR683" s="55"/>
      <c r="AS683" s="55"/>
      <c r="AT683" s="24"/>
      <c r="AU683" s="52" t="s">
        <v>24</v>
      </c>
      <c r="AV683" s="58">
        <v>4038</v>
      </c>
      <c r="AW683" s="58">
        <v>4038</v>
      </c>
      <c r="AX683" s="55"/>
      <c r="AY683" s="55"/>
      <c r="AZ683" s="55"/>
      <c r="BA683" s="55"/>
      <c r="BB683" s="55"/>
      <c r="BC683" s="55"/>
      <c r="BD683" s="55"/>
      <c r="BE683" s="55"/>
    </row>
    <row r="684" spans="2:57" outlineLevel="1" x14ac:dyDescent="0.25">
      <c r="D684" s="1227" t="s">
        <v>52</v>
      </c>
      <c r="E684" s="175"/>
      <c r="F684" s="1227"/>
      <c r="G684" s="1227"/>
      <c r="H684" s="1251"/>
      <c r="I684" s="1227"/>
      <c r="J684" s="1227"/>
      <c r="K684" s="175"/>
    </row>
    <row r="685" spans="2:57" ht="18" customHeight="1" outlineLevel="1" x14ac:dyDescent="0.25">
      <c r="D685" s="1252"/>
      <c r="E685" s="175"/>
      <c r="F685" s="175"/>
      <c r="G685" s="1285"/>
      <c r="H685" s="1286"/>
    </row>
    <row r="686" spans="2:57" outlineLevel="1" x14ac:dyDescent="0.25">
      <c r="D686" s="1252"/>
      <c r="G686" s="1285"/>
      <c r="H686" s="1286"/>
      <c r="P686" s="1988"/>
      <c r="Q686" s="1988"/>
    </row>
    <row r="687" spans="2:57" outlineLevel="1" x14ac:dyDescent="0.25">
      <c r="D687" s="1252"/>
      <c r="G687" s="1222"/>
      <c r="H687" s="1253"/>
      <c r="M687" s="1227"/>
      <c r="P687" s="1988"/>
      <c r="Q687" s="1988"/>
    </row>
    <row r="688" spans="2:57" outlineLevel="1" x14ac:dyDescent="0.25">
      <c r="D688" s="1252"/>
      <c r="G688" s="1222"/>
      <c r="H688" s="1253"/>
      <c r="M688" s="1227"/>
      <c r="P688" s="1988"/>
      <c r="Q688" s="1988"/>
    </row>
    <row r="689" spans="2:69" outlineLevel="1" x14ac:dyDescent="0.25">
      <c r="D689" s="1252"/>
      <c r="G689" s="1222"/>
      <c r="H689" s="1253"/>
      <c r="M689" s="1227"/>
    </row>
    <row r="690" spans="2:69" outlineLevel="1" x14ac:dyDescent="0.25">
      <c r="D690" s="1252"/>
      <c r="G690" s="1222"/>
      <c r="H690" s="1253"/>
    </row>
    <row r="691" spans="2:69" s="61" customFormat="1" ht="30" outlineLevel="1" x14ac:dyDescent="0.2">
      <c r="B691" s="1258"/>
      <c r="C691" s="1258"/>
      <c r="D691" s="91" t="s">
        <v>16</v>
      </c>
      <c r="E691" s="91" t="s">
        <v>89</v>
      </c>
      <c r="F691" s="99" t="s">
        <v>399</v>
      </c>
      <c r="G691" s="91" t="s">
        <v>400</v>
      </c>
      <c r="H691" s="91" t="s">
        <v>401</v>
      </c>
      <c r="I691" s="1258"/>
      <c r="J691" s="1258"/>
      <c r="K691" s="1258"/>
      <c r="L691" s="1258"/>
      <c r="M691" s="1258"/>
      <c r="N691" s="1258"/>
      <c r="O691" s="1258"/>
      <c r="P691" s="1258"/>
      <c r="Q691" s="1258"/>
      <c r="R691" s="1258"/>
      <c r="S691" s="1258"/>
      <c r="T691" s="1258"/>
      <c r="U691" s="1258"/>
    </row>
    <row r="692" spans="2:69" outlineLevel="1" x14ac:dyDescent="0.2">
      <c r="D692" s="1259"/>
      <c r="E692" s="1259" t="str">
        <f>E682</f>
        <v>Advanced RTU Controls</v>
      </c>
      <c r="F692" s="1322">
        <v>1</v>
      </c>
      <c r="G692" s="1390">
        <v>0.55800000000000005</v>
      </c>
      <c r="H692" s="106">
        <v>6773</v>
      </c>
    </row>
    <row r="695" spans="2:69" s="39" customFormat="1" x14ac:dyDescent="0.25">
      <c r="B695" s="1989" t="s">
        <v>402</v>
      </c>
      <c r="C695" s="1990"/>
      <c r="D695" s="1990"/>
      <c r="E695" s="1990"/>
      <c r="F695" s="1990"/>
      <c r="G695" s="1990"/>
      <c r="H695" s="1990"/>
      <c r="I695" s="1991"/>
      <c r="J695" s="1991"/>
      <c r="K695" s="1991"/>
      <c r="L695" s="1991"/>
      <c r="M695" s="1992"/>
      <c r="N695" s="1992"/>
      <c r="O695" s="1993"/>
      <c r="V695" s="40" t="str">
        <f>B695</f>
        <v>PTAC &amp; PTHP</v>
      </c>
      <c r="W695" s="41"/>
      <c r="X695" s="41"/>
      <c r="Y695" s="41"/>
      <c r="Z695" s="41"/>
      <c r="AA695" s="41"/>
      <c r="AB695" s="41"/>
      <c r="AC695" s="41"/>
      <c r="AD695" s="41"/>
      <c r="AE695" s="41"/>
      <c r="AF695" s="41"/>
      <c r="AG695" s="41"/>
      <c r="AH695" s="41"/>
      <c r="AI695" s="42"/>
      <c r="AJ695" s="22"/>
      <c r="AK695" s="22"/>
      <c r="AL695" s="22"/>
      <c r="AM695" s="22"/>
      <c r="AN695" s="22"/>
      <c r="AO695" s="22"/>
      <c r="AP695" s="22"/>
      <c r="AQ695" s="22"/>
      <c r="AR695" s="22"/>
      <c r="AS695" s="22"/>
      <c r="AT695" s="22"/>
      <c r="AU695" s="22"/>
    </row>
    <row r="696" spans="2:69" x14ac:dyDescent="0.25">
      <c r="D696" s="1234"/>
      <c r="E696" s="1227"/>
      <c r="F696" s="1227"/>
      <c r="G696" s="1227"/>
      <c r="H696" s="1235"/>
      <c r="I696" s="1227"/>
      <c r="J696" s="1227"/>
      <c r="K696" s="1227"/>
      <c r="L696" s="1227"/>
      <c r="P696" s="1227"/>
      <c r="Q696" s="1227"/>
      <c r="R696" s="1227"/>
      <c r="S696" s="1227"/>
      <c r="T696" s="1227"/>
      <c r="U696" s="1227"/>
      <c r="V696"/>
      <c r="W696"/>
      <c r="X696"/>
      <c r="Y696"/>
      <c r="Z696"/>
      <c r="AA696"/>
      <c r="AB696"/>
      <c r="AC696"/>
      <c r="AD696"/>
      <c r="AE696"/>
      <c r="AF696"/>
      <c r="AG696"/>
      <c r="AH696"/>
      <c r="AI696"/>
      <c r="AJ696" s="38"/>
      <c r="AK696" s="38"/>
      <c r="AL696" s="38"/>
      <c r="AM696" s="38"/>
      <c r="AN696" s="38"/>
      <c r="AO696" s="38"/>
      <c r="AP696" s="38"/>
      <c r="AQ696" s="38"/>
      <c r="AR696" s="38"/>
      <c r="AS696" s="38"/>
      <c r="AT696" s="38"/>
      <c r="AU696" s="38"/>
    </row>
    <row r="697" spans="2:69" s="43" customFormat="1" ht="45" x14ac:dyDescent="0.25">
      <c r="B697" s="1236"/>
      <c r="C697" s="44" t="s">
        <v>16</v>
      </c>
      <c r="D697" s="44" t="s">
        <v>17</v>
      </c>
      <c r="E697" s="131" t="s">
        <v>18</v>
      </c>
      <c r="F697" s="131" t="s">
        <v>403</v>
      </c>
      <c r="G697" s="131" t="s">
        <v>404</v>
      </c>
      <c r="H697" s="131" t="s">
        <v>20</v>
      </c>
      <c r="I697" s="46" t="s">
        <v>21</v>
      </c>
      <c r="J697" s="131" t="s">
        <v>405</v>
      </c>
      <c r="K697" s="131" t="s">
        <v>405</v>
      </c>
      <c r="L697" s="131" t="s">
        <v>23</v>
      </c>
      <c r="M697" s="44" t="s">
        <v>249</v>
      </c>
      <c r="N697" s="44" t="s">
        <v>25</v>
      </c>
      <c r="O697" s="1222"/>
      <c r="P697" s="1222"/>
      <c r="Q697" s="1222"/>
      <c r="R697" s="1139"/>
      <c r="S697" s="1139"/>
      <c r="T697" s="1139"/>
      <c r="U697" s="1139"/>
      <c r="V697" s="48" t="s">
        <v>26</v>
      </c>
      <c r="W697" s="49">
        <v>43252</v>
      </c>
      <c r="X697" s="49">
        <v>43465</v>
      </c>
      <c r="Y697" s="49" t="s">
        <v>27</v>
      </c>
      <c r="Z697" s="49" t="s">
        <v>27</v>
      </c>
      <c r="AA697" s="49" t="s">
        <v>27</v>
      </c>
      <c r="AB697" s="49" t="s">
        <v>27</v>
      </c>
      <c r="AC697" s="49" t="s">
        <v>27</v>
      </c>
      <c r="AD697" s="49" t="s">
        <v>27</v>
      </c>
      <c r="AE697" s="49" t="s">
        <v>27</v>
      </c>
      <c r="AF697" s="49" t="s">
        <v>27</v>
      </c>
      <c r="AG697" s="49" t="s">
        <v>27</v>
      </c>
      <c r="AH697"/>
      <c r="AI697" s="48" t="s">
        <v>26</v>
      </c>
      <c r="AJ697" s="49">
        <v>43252</v>
      </c>
      <c r="AK697" s="49">
        <v>43465</v>
      </c>
      <c r="AL697" s="49" t="s">
        <v>27</v>
      </c>
      <c r="AM697" s="49" t="s">
        <v>27</v>
      </c>
      <c r="AN697" s="49" t="s">
        <v>27</v>
      </c>
      <c r="AO697" s="49" t="s">
        <v>27</v>
      </c>
      <c r="AP697" s="49" t="s">
        <v>27</v>
      </c>
      <c r="AQ697" s="49" t="s">
        <v>27</v>
      </c>
      <c r="AR697" s="49" t="s">
        <v>27</v>
      </c>
      <c r="AS697" s="49" t="s">
        <v>27</v>
      </c>
      <c r="AT697"/>
      <c r="AU697" s="48" t="s">
        <v>26</v>
      </c>
      <c r="AV697" s="49">
        <v>43252</v>
      </c>
      <c r="AW697" s="49">
        <v>43465</v>
      </c>
      <c r="AX697" s="49" t="s">
        <v>27</v>
      </c>
      <c r="AY697" s="49" t="s">
        <v>27</v>
      </c>
      <c r="AZ697" s="49" t="s">
        <v>27</v>
      </c>
      <c r="BA697" s="49" t="s">
        <v>27</v>
      </c>
      <c r="BB697" s="49" t="s">
        <v>27</v>
      </c>
      <c r="BC697" s="49" t="s">
        <v>27</v>
      </c>
      <c r="BD697" s="49" t="s">
        <v>27</v>
      </c>
      <c r="BE697" s="49" t="s">
        <v>27</v>
      </c>
      <c r="BF697" s="24"/>
      <c r="BG697" s="48" t="s">
        <v>26</v>
      </c>
      <c r="BH697" s="49">
        <v>43252</v>
      </c>
      <c r="BI697" s="49">
        <v>43465</v>
      </c>
      <c r="BJ697" s="49" t="s">
        <v>27</v>
      </c>
      <c r="BK697" s="49" t="s">
        <v>27</v>
      </c>
      <c r="BL697" s="49" t="s">
        <v>27</v>
      </c>
      <c r="BM697" s="49" t="s">
        <v>27</v>
      </c>
      <c r="BN697" s="49" t="s">
        <v>27</v>
      </c>
      <c r="BO697" s="49" t="s">
        <v>27</v>
      </c>
      <c r="BP697" s="49" t="s">
        <v>27</v>
      </c>
      <c r="BQ697" s="49" t="s">
        <v>27</v>
      </c>
    </row>
    <row r="698" spans="2:69" x14ac:dyDescent="0.25">
      <c r="C698" s="1237"/>
      <c r="D698" s="1329" t="s">
        <v>28</v>
      </c>
      <c r="E698" s="1268" t="s">
        <v>406</v>
      </c>
      <c r="F698" s="72">
        <f>(F709*(1/I709-1/K709)*G709)+((L709/3.412)*(1/M709-1/O709)*H709)</f>
        <v>411.27272727272731</v>
      </c>
      <c r="G698" s="72">
        <f>(F709*(1/J709-1/K709)*G709)+((L709/3.412)*(1/N709-1/O709)*H709)</f>
        <v>10.53878231859869</v>
      </c>
      <c r="H698" s="1240" t="s">
        <v>197</v>
      </c>
      <c r="I698" s="1241">
        <v>9.1068395835808389E-4</v>
      </c>
      <c r="J698" s="1354">
        <f>I698*(F698-((L709/3.412)*(1/M709-1/O709)*H709))</f>
        <v>0.37453947523745201</v>
      </c>
      <c r="K698" s="1391">
        <f>I698*(G698-((L709/3.412)*(1/N709-1/O709)*H709))</f>
        <v>9.59749999817564E-3</v>
      </c>
      <c r="L698" s="1368">
        <v>15</v>
      </c>
      <c r="M698" s="1270">
        <v>1047</v>
      </c>
      <c r="N698" s="1340" t="s">
        <v>236</v>
      </c>
      <c r="V698" s="52" t="str">
        <f>F697</f>
        <v>kWh Annual Savings (per ton) first 5 years</v>
      </c>
      <c r="W698" s="59">
        <v>411.27272727272731</v>
      </c>
      <c r="X698" s="59">
        <v>411.27272727272731</v>
      </c>
      <c r="Y698" s="55"/>
      <c r="Z698" s="55"/>
      <c r="AA698" s="55"/>
      <c r="AB698" s="55"/>
      <c r="AC698" s="55"/>
      <c r="AD698" s="55"/>
      <c r="AE698" s="55"/>
      <c r="AF698" s="55"/>
      <c r="AG698" s="55"/>
      <c r="AH698" s="56"/>
      <c r="AI698" s="52" t="str">
        <f>G697</f>
        <v>kWh Annual Savings (per ton) next ten years</v>
      </c>
      <c r="AJ698" s="59">
        <v>10.53878231859869</v>
      </c>
      <c r="AK698" s="59">
        <v>10.53878231859869</v>
      </c>
      <c r="AL698" s="55"/>
      <c r="AM698" s="55"/>
      <c r="AN698" s="55"/>
      <c r="AO698" s="55"/>
      <c r="AP698" s="55"/>
      <c r="AQ698" s="55"/>
      <c r="AR698" s="55"/>
      <c r="AS698" s="55"/>
      <c r="AT698" s="56"/>
      <c r="AU698" s="52" t="s">
        <v>23</v>
      </c>
      <c r="AV698" s="57"/>
      <c r="AW698" s="57"/>
      <c r="AX698" s="55"/>
      <c r="AY698" s="55"/>
      <c r="AZ698" s="55"/>
      <c r="BA698" s="55"/>
      <c r="BB698" s="55"/>
      <c r="BC698" s="55"/>
      <c r="BD698" s="55"/>
      <c r="BE698" s="55"/>
      <c r="BF698" s="24"/>
      <c r="BG698" s="52" t="s">
        <v>24</v>
      </c>
      <c r="BH698" s="58"/>
      <c r="BI698" s="58"/>
      <c r="BJ698" s="55"/>
      <c r="BK698" s="55"/>
      <c r="BL698" s="55"/>
      <c r="BM698" s="55"/>
      <c r="BN698" s="55"/>
      <c r="BO698" s="55"/>
      <c r="BP698" s="55"/>
      <c r="BQ698" s="55"/>
    </row>
    <row r="699" spans="2:69" x14ac:dyDescent="0.25">
      <c r="C699" s="1237"/>
      <c r="D699" s="1329" t="s">
        <v>28</v>
      </c>
      <c r="E699" s="1268" t="s">
        <v>407</v>
      </c>
      <c r="F699" s="72">
        <f>(F710*(1/I710-1/K710)*G710)+((L710/3.412)*(1/M710-1/O710)*H710)</f>
        <v>715.42344173997162</v>
      </c>
      <c r="G699" s="72">
        <f>(F710*(1/J710-1/K710)*G710)+((L710/3.412)*(1/N710-1/O710)*H710)</f>
        <v>177.09378296037951</v>
      </c>
      <c r="H699" s="1240" t="s">
        <v>197</v>
      </c>
      <c r="I699" s="1241">
        <v>9.1068395835808389E-4</v>
      </c>
      <c r="J699" s="1354">
        <f>I699*(F699-((L710/3.412)*(1/M710-1/O710)*H710))</f>
        <v>0.37453947523745201</v>
      </c>
      <c r="K699" s="1391">
        <f>I699*(G699-((L710/3.412)*(1/N710-1/O710)*H710))</f>
        <v>1.9372731477799141E-2</v>
      </c>
      <c r="L699" s="375">
        <v>15</v>
      </c>
      <c r="M699" s="1270">
        <v>1047</v>
      </c>
      <c r="N699" s="1340" t="s">
        <v>236</v>
      </c>
      <c r="V699" s="52" t="str">
        <f>F697</f>
        <v>kWh Annual Savings (per ton) first 5 years</v>
      </c>
      <c r="W699" s="59">
        <v>715.42344173997162</v>
      </c>
      <c r="X699" s="59">
        <v>715.42344173997162</v>
      </c>
      <c r="Y699" s="55"/>
      <c r="Z699" s="55"/>
      <c r="AA699" s="55"/>
      <c r="AB699" s="55"/>
      <c r="AC699" s="55"/>
      <c r="AD699" s="55"/>
      <c r="AE699" s="55"/>
      <c r="AF699" s="55"/>
      <c r="AG699" s="55"/>
      <c r="AH699" s="56"/>
      <c r="AI699" s="52" t="str">
        <f>AI698</f>
        <v>kWh Annual Savings (per ton) next ten years</v>
      </c>
      <c r="AJ699" s="59">
        <v>177.09378296037951</v>
      </c>
      <c r="AK699" s="59">
        <v>177.09378296037951</v>
      </c>
      <c r="AL699" s="55"/>
      <c r="AM699" s="55"/>
      <c r="AN699" s="55"/>
      <c r="AO699" s="55"/>
      <c r="AP699" s="55"/>
      <c r="AQ699" s="55"/>
      <c r="AR699" s="55"/>
      <c r="AS699" s="55"/>
      <c r="AT699" s="56"/>
      <c r="AU699" s="52" t="s">
        <v>23</v>
      </c>
      <c r="AV699" s="57"/>
      <c r="AW699" s="57"/>
      <c r="AX699" s="55"/>
      <c r="AY699" s="55"/>
      <c r="AZ699" s="55"/>
      <c r="BA699" s="55"/>
      <c r="BB699" s="55"/>
      <c r="BC699" s="55"/>
      <c r="BD699" s="55"/>
      <c r="BE699" s="55"/>
      <c r="BF699" s="24"/>
      <c r="BG699" s="52" t="s">
        <v>24</v>
      </c>
      <c r="BH699" s="58"/>
      <c r="BI699" s="58"/>
      <c r="BJ699" s="55"/>
      <c r="BK699" s="55"/>
      <c r="BL699" s="55"/>
      <c r="BM699" s="55"/>
      <c r="BN699" s="55"/>
      <c r="BO699" s="55"/>
      <c r="BP699" s="55"/>
      <c r="BQ699" s="55"/>
    </row>
    <row r="700" spans="2:69" outlineLevel="1" x14ac:dyDescent="0.25">
      <c r="E700" s="1227"/>
      <c r="F700" s="1227"/>
      <c r="G700" s="1227"/>
      <c r="H700" s="1251"/>
      <c r="I700" s="1227"/>
      <c r="J700" s="1227"/>
      <c r="K700" s="1227"/>
    </row>
    <row r="701" spans="2:69" outlineLevel="1" x14ac:dyDescent="0.25">
      <c r="D701" s="1227" t="s">
        <v>52</v>
      </c>
      <c r="E701" s="175"/>
      <c r="F701" s="1227"/>
      <c r="G701" s="1227"/>
      <c r="H701" s="1251"/>
      <c r="I701" s="1227"/>
      <c r="J701" s="1227"/>
      <c r="K701" s="175"/>
    </row>
    <row r="702" spans="2:69" outlineLevel="1" x14ac:dyDescent="0.25">
      <c r="D702" s="1252"/>
      <c r="E702" s="175"/>
      <c r="F702" s="175"/>
      <c r="G702" s="1285"/>
      <c r="H702" s="1286"/>
    </row>
    <row r="703" spans="2:69" outlineLevel="1" x14ac:dyDescent="0.25">
      <c r="D703" s="1252"/>
      <c r="G703" s="1285"/>
      <c r="H703" s="1286"/>
      <c r="P703" s="1988"/>
      <c r="Q703" s="1988"/>
    </row>
    <row r="704" spans="2:69" outlineLevel="1" x14ac:dyDescent="0.25">
      <c r="D704" s="1252"/>
      <c r="G704" s="1222"/>
      <c r="H704" s="1253"/>
      <c r="M704" s="1227"/>
      <c r="P704" s="1988"/>
      <c r="Q704" s="1988"/>
    </row>
    <row r="705" spans="2:57" outlineLevel="1" x14ac:dyDescent="0.25">
      <c r="D705" s="1252"/>
      <c r="G705" s="1222"/>
      <c r="H705" s="1253"/>
      <c r="M705" s="1227"/>
      <c r="P705" s="1988"/>
      <c r="Q705" s="1988"/>
    </row>
    <row r="706" spans="2:57" outlineLevel="1" x14ac:dyDescent="0.25">
      <c r="D706" s="1252"/>
      <c r="G706" s="1222"/>
      <c r="H706" s="1253"/>
      <c r="M706" s="1227"/>
    </row>
    <row r="707" spans="2:57" outlineLevel="1" x14ac:dyDescent="0.25">
      <c r="D707" s="1252"/>
      <c r="G707" s="1222"/>
      <c r="H707" s="1253"/>
    </row>
    <row r="708" spans="2:57" s="61" customFormat="1" ht="30" outlineLevel="1" x14ac:dyDescent="0.2">
      <c r="B708" s="1258"/>
      <c r="C708" s="1258"/>
      <c r="D708" s="91" t="s">
        <v>16</v>
      </c>
      <c r="E708" s="91" t="s">
        <v>89</v>
      </c>
      <c r="F708" s="99" t="s">
        <v>408</v>
      </c>
      <c r="G708" s="91" t="s">
        <v>409</v>
      </c>
      <c r="H708" s="91" t="s">
        <v>410</v>
      </c>
      <c r="I708" s="91" t="s">
        <v>386</v>
      </c>
      <c r="J708" s="91" t="s">
        <v>411</v>
      </c>
      <c r="K708" s="91" t="s">
        <v>244</v>
      </c>
      <c r="L708" s="91" t="s">
        <v>412</v>
      </c>
      <c r="M708" s="91" t="s">
        <v>413</v>
      </c>
      <c r="N708" s="95" t="s">
        <v>256</v>
      </c>
      <c r="O708" s="95" t="s">
        <v>257</v>
      </c>
      <c r="P708" s="1258"/>
      <c r="Q708" s="1258"/>
      <c r="R708" s="1258"/>
      <c r="S708" s="1258"/>
      <c r="T708" s="1258"/>
      <c r="U708" s="1258"/>
    </row>
    <row r="709" spans="2:57" outlineLevel="1" x14ac:dyDescent="0.25">
      <c r="D709" s="1259"/>
      <c r="E709" s="1259" t="str">
        <f>E698</f>
        <v>PTAC</v>
      </c>
      <c r="F709" s="1322">
        <v>12</v>
      </c>
      <c r="G709" s="1327">
        <v>1053</v>
      </c>
      <c r="H709" s="1381">
        <v>0</v>
      </c>
      <c r="I709" s="1392">
        <v>8.1</v>
      </c>
      <c r="J709" s="1370">
        <v>10.9</v>
      </c>
      <c r="K709" s="106">
        <v>11</v>
      </c>
      <c r="L709" s="106">
        <v>12</v>
      </c>
      <c r="M709" s="1392">
        <v>2.6</v>
      </c>
      <c r="N709" s="876">
        <v>2.9</v>
      </c>
      <c r="O709" s="1393">
        <v>3.3</v>
      </c>
    </row>
    <row r="710" spans="2:57" outlineLevel="1" x14ac:dyDescent="0.25">
      <c r="D710" s="1259"/>
      <c r="E710" s="1259" t="str">
        <f>E699</f>
        <v>PTHP</v>
      </c>
      <c r="F710" s="1322">
        <v>12</v>
      </c>
      <c r="G710" s="1327">
        <v>1053</v>
      </c>
      <c r="H710" s="1381">
        <v>1060</v>
      </c>
      <c r="I710" s="1392">
        <v>8.1</v>
      </c>
      <c r="J710" s="1381">
        <v>10.8</v>
      </c>
      <c r="K710" s="106">
        <v>11</v>
      </c>
      <c r="L710" s="106">
        <v>12</v>
      </c>
      <c r="M710" s="1392">
        <v>2.6</v>
      </c>
      <c r="N710" s="876">
        <v>2.9</v>
      </c>
      <c r="O710" s="1393">
        <v>3.3</v>
      </c>
    </row>
    <row r="713" spans="2:57" s="39" customFormat="1" x14ac:dyDescent="0.25">
      <c r="B713" s="1989" t="s">
        <v>414</v>
      </c>
      <c r="C713" s="1990"/>
      <c r="D713" s="1990"/>
      <c r="E713" s="1990"/>
      <c r="F713" s="1990"/>
      <c r="G713" s="1990"/>
      <c r="H713" s="1990"/>
      <c r="I713" s="1991"/>
      <c r="J713" s="1991"/>
      <c r="K713" s="1991"/>
      <c r="L713" s="1991"/>
      <c r="M713" s="1992"/>
      <c r="N713" s="1992"/>
      <c r="O713" s="1993"/>
      <c r="V713" s="40" t="str">
        <f>B713</f>
        <v>Refrigerated Beverage Vending Machine</v>
      </c>
      <c r="W713" s="41"/>
      <c r="X713" s="41"/>
      <c r="Y713" s="41"/>
      <c r="Z713" s="41"/>
      <c r="AA713" s="41"/>
      <c r="AB713" s="41"/>
      <c r="AC713" s="41"/>
      <c r="AD713" s="41"/>
      <c r="AE713" s="41"/>
      <c r="AF713" s="41"/>
      <c r="AG713" s="41"/>
      <c r="AH713" s="41"/>
      <c r="AI713" s="42"/>
      <c r="AJ713" s="22"/>
      <c r="AK713" s="22"/>
      <c r="AL713" s="22"/>
      <c r="AM713" s="22"/>
      <c r="AN713" s="22"/>
      <c r="AO713" s="22"/>
      <c r="AP713" s="22"/>
      <c r="AQ713" s="22"/>
      <c r="AR713" s="22"/>
      <c r="AS713" s="22"/>
      <c r="AT713" s="22"/>
      <c r="AU713" s="22"/>
    </row>
    <row r="714" spans="2:57" x14ac:dyDescent="0.25">
      <c r="D714" s="1234"/>
      <c r="E714" s="1227"/>
      <c r="F714" s="1227"/>
      <c r="G714" s="1227"/>
      <c r="H714" s="1235"/>
      <c r="I714" s="1227"/>
      <c r="J714" s="1227"/>
      <c r="K714" s="1227"/>
      <c r="L714" s="1227"/>
      <c r="P714" s="1227"/>
      <c r="Q714" s="1227"/>
      <c r="R714" s="1227"/>
      <c r="S714" s="1227"/>
      <c r="T714" s="1227"/>
      <c r="U714" s="1227"/>
      <c r="V714"/>
      <c r="W714"/>
      <c r="X714"/>
      <c r="Y714"/>
      <c r="Z714"/>
      <c r="AA714"/>
      <c r="AB714"/>
      <c r="AC714"/>
      <c r="AD714"/>
      <c r="AE714"/>
      <c r="AF714"/>
      <c r="AG714"/>
      <c r="AH714"/>
      <c r="AI714"/>
      <c r="AJ714" s="38"/>
      <c r="AK714" s="38"/>
      <c r="AL714" s="38"/>
      <c r="AM714" s="38"/>
      <c r="AN714" s="38"/>
      <c r="AO714" s="38"/>
      <c r="AP714" s="38"/>
      <c r="AQ714" s="38"/>
      <c r="AR714" s="38"/>
      <c r="AS714" s="38"/>
      <c r="AT714" s="38"/>
      <c r="AU714" s="38"/>
    </row>
    <row r="715" spans="2:57" s="43" customFormat="1" ht="45" x14ac:dyDescent="0.25">
      <c r="B715" s="1236"/>
      <c r="C715" s="44" t="s">
        <v>16</v>
      </c>
      <c r="D715" s="44" t="s">
        <v>17</v>
      </c>
      <c r="E715" s="131" t="s">
        <v>18</v>
      </c>
      <c r="F715" s="131" t="s">
        <v>415</v>
      </c>
      <c r="G715" s="131" t="s">
        <v>20</v>
      </c>
      <c r="H715" s="46" t="s">
        <v>21</v>
      </c>
      <c r="I715" s="131" t="s">
        <v>22</v>
      </c>
      <c r="J715" s="131" t="s">
        <v>23</v>
      </c>
      <c r="K715" s="44" t="s">
        <v>24</v>
      </c>
      <c r="L715" s="44" t="s">
        <v>25</v>
      </c>
      <c r="M715" s="1222"/>
      <c r="N715" s="1222"/>
      <c r="O715" s="1222"/>
      <c r="P715" s="1139"/>
      <c r="Q715" s="1139"/>
      <c r="R715" s="1139"/>
      <c r="S715" s="1139"/>
      <c r="T715" s="1139"/>
      <c r="U715" s="1139"/>
      <c r="V715" s="48" t="s">
        <v>26</v>
      </c>
      <c r="W715" s="49">
        <v>43252</v>
      </c>
      <c r="X715" s="49">
        <v>43465</v>
      </c>
      <c r="Y715" s="49" t="s">
        <v>27</v>
      </c>
      <c r="Z715" s="49" t="s">
        <v>27</v>
      </c>
      <c r="AA715" s="49" t="s">
        <v>27</v>
      </c>
      <c r="AB715" s="49" t="s">
        <v>27</v>
      </c>
      <c r="AC715" s="49" t="s">
        <v>27</v>
      </c>
      <c r="AD715" s="49" t="s">
        <v>27</v>
      </c>
      <c r="AE715" s="49" t="s">
        <v>27</v>
      </c>
      <c r="AF715" s="49" t="s">
        <v>27</v>
      </c>
      <c r="AG715" s="49" t="s">
        <v>27</v>
      </c>
      <c r="AH715"/>
      <c r="AI715" s="48" t="s">
        <v>26</v>
      </c>
      <c r="AJ715" s="49">
        <v>43252</v>
      </c>
      <c r="AK715" s="49">
        <v>43465</v>
      </c>
      <c r="AL715" s="49" t="s">
        <v>27</v>
      </c>
      <c r="AM715" s="49" t="s">
        <v>27</v>
      </c>
      <c r="AN715" s="49" t="s">
        <v>27</v>
      </c>
      <c r="AO715" s="49" t="s">
        <v>27</v>
      </c>
      <c r="AP715" s="49" t="s">
        <v>27</v>
      </c>
      <c r="AQ715" s="49" t="s">
        <v>27</v>
      </c>
      <c r="AR715" s="49" t="s">
        <v>27</v>
      </c>
      <c r="AS715" s="49" t="s">
        <v>27</v>
      </c>
      <c r="AT715" s="24"/>
      <c r="AU715" s="48" t="s">
        <v>26</v>
      </c>
      <c r="AV715" s="49">
        <v>43252</v>
      </c>
      <c r="AW715" s="49">
        <v>43465</v>
      </c>
      <c r="AX715" s="49" t="s">
        <v>27</v>
      </c>
      <c r="AY715" s="49" t="s">
        <v>27</v>
      </c>
      <c r="AZ715" s="49" t="s">
        <v>27</v>
      </c>
      <c r="BA715" s="49" t="s">
        <v>27</v>
      </c>
      <c r="BB715" s="49" t="s">
        <v>27</v>
      </c>
      <c r="BC715" s="49" t="s">
        <v>27</v>
      </c>
      <c r="BD715" s="49" t="s">
        <v>27</v>
      </c>
      <c r="BE715" s="49" t="s">
        <v>27</v>
      </c>
    </row>
    <row r="716" spans="2:57" x14ac:dyDescent="0.25">
      <c r="C716" s="1237"/>
      <c r="D716" s="1329" t="s">
        <v>28</v>
      </c>
      <c r="E716" s="1268" t="s">
        <v>416</v>
      </c>
      <c r="F716" s="1387">
        <f>(F727-G727)*H727</f>
        <v>0.13070000000000048</v>
      </c>
      <c r="G716" s="1240" t="s">
        <v>70</v>
      </c>
      <c r="H716" s="1241">
        <f>VLOOKUP(G716,'CP FACTORS'!$A$26:$B$38,2,FALSE)</f>
        <v>1.3573829999999999E-4</v>
      </c>
      <c r="I716" s="1394">
        <f>H716*F716</f>
        <v>1.7740995810000065E-5</v>
      </c>
      <c r="J716" s="1368">
        <v>12</v>
      </c>
      <c r="K716" s="1270">
        <v>140</v>
      </c>
      <c r="L716" s="1340" t="s">
        <v>31</v>
      </c>
      <c r="V716" s="52" t="s">
        <v>415</v>
      </c>
      <c r="W716" s="59">
        <v>0.13070000000000048</v>
      </c>
      <c r="X716" s="59">
        <v>0.13070000000000048</v>
      </c>
      <c r="Y716" s="55"/>
      <c r="Z716" s="55"/>
      <c r="AA716" s="55"/>
      <c r="AB716" s="55"/>
      <c r="AC716" s="55"/>
      <c r="AD716" s="55"/>
      <c r="AE716" s="55"/>
      <c r="AF716" s="55"/>
      <c r="AG716" s="55"/>
      <c r="AH716" s="56"/>
      <c r="AI716" s="52" t="s">
        <v>23</v>
      </c>
      <c r="AJ716" s="57">
        <v>12</v>
      </c>
      <c r="AK716" s="57">
        <v>12</v>
      </c>
      <c r="AL716" s="55"/>
      <c r="AM716" s="55"/>
      <c r="AN716" s="55"/>
      <c r="AO716" s="55"/>
      <c r="AP716" s="55"/>
      <c r="AQ716" s="55"/>
      <c r="AR716" s="55"/>
      <c r="AS716" s="55"/>
      <c r="AT716" s="24"/>
      <c r="AU716" s="52" t="s">
        <v>24</v>
      </c>
      <c r="AV716" s="58">
        <v>140</v>
      </c>
      <c r="AW716" s="58">
        <v>140</v>
      </c>
      <c r="AX716" s="55"/>
      <c r="AY716" s="55"/>
      <c r="AZ716" s="55"/>
      <c r="BA716" s="55"/>
      <c r="BB716" s="55"/>
      <c r="BC716" s="55"/>
      <c r="BD716" s="55"/>
      <c r="BE716" s="55"/>
    </row>
    <row r="717" spans="2:57" x14ac:dyDescent="0.25">
      <c r="C717" s="1237"/>
      <c r="D717" s="1329" t="s">
        <v>28</v>
      </c>
      <c r="E717" s="1268" t="s">
        <v>417</v>
      </c>
      <c r="F717" s="1387">
        <f>(F728-G728)*H728</f>
        <v>0.32330000000000014</v>
      </c>
      <c r="G717" s="1240" t="s">
        <v>70</v>
      </c>
      <c r="H717" s="1241">
        <f>VLOOKUP(G717,'CP FACTORS'!$A$26:$B$38,2,FALSE)</f>
        <v>1.3573829999999999E-4</v>
      </c>
      <c r="I717" s="1394">
        <f>H717*F717</f>
        <v>4.3884192390000017E-5</v>
      </c>
      <c r="J717" s="375">
        <v>12</v>
      </c>
      <c r="K717" s="1270">
        <v>140</v>
      </c>
      <c r="L717" s="1340" t="s">
        <v>31</v>
      </c>
      <c r="V717" s="52" t="s">
        <v>415</v>
      </c>
      <c r="W717" s="59">
        <v>0.32330000000000014</v>
      </c>
      <c r="X717" s="59">
        <v>0.32330000000000014</v>
      </c>
      <c r="Y717" s="55"/>
      <c r="Z717" s="55"/>
      <c r="AA717" s="55"/>
      <c r="AB717" s="55"/>
      <c r="AC717" s="55"/>
      <c r="AD717" s="55"/>
      <c r="AE717" s="55"/>
      <c r="AF717" s="55"/>
      <c r="AG717" s="55"/>
      <c r="AH717" s="56"/>
      <c r="AI717" s="52" t="s">
        <v>23</v>
      </c>
      <c r="AJ717" s="57">
        <v>12</v>
      </c>
      <c r="AK717" s="57">
        <v>12</v>
      </c>
      <c r="AL717" s="55"/>
      <c r="AM717" s="55"/>
      <c r="AN717" s="55"/>
      <c r="AO717" s="55"/>
      <c r="AP717" s="55"/>
      <c r="AQ717" s="55"/>
      <c r="AR717" s="55"/>
      <c r="AS717" s="55"/>
      <c r="AT717" s="24"/>
      <c r="AU717" s="52" t="s">
        <v>24</v>
      </c>
      <c r="AV717" s="58">
        <v>140</v>
      </c>
      <c r="AW717" s="58">
        <v>140</v>
      </c>
      <c r="AX717" s="55"/>
      <c r="AY717" s="55"/>
      <c r="AZ717" s="55"/>
      <c r="BA717" s="55"/>
      <c r="BB717" s="55"/>
      <c r="BC717" s="55"/>
      <c r="BD717" s="55"/>
      <c r="BE717" s="55"/>
    </row>
    <row r="718" spans="2:57" outlineLevel="1" x14ac:dyDescent="0.25">
      <c r="B718" s="1223"/>
      <c r="C718" s="1223"/>
      <c r="D718" s="1395"/>
      <c r="E718" s="1395"/>
      <c r="F718" s="1227"/>
      <c r="G718" s="1227"/>
      <c r="H718" s="1251"/>
      <c r="I718" s="1227"/>
      <c r="J718" s="1227"/>
      <c r="K718" s="1227"/>
    </row>
    <row r="719" spans="2:57" outlineLevel="1" x14ac:dyDescent="0.25">
      <c r="B719" s="1223"/>
      <c r="C719" s="1223"/>
      <c r="D719" s="1395" t="s">
        <v>52</v>
      </c>
      <c r="E719" s="313"/>
      <c r="F719" s="1227"/>
      <c r="G719" s="1227"/>
      <c r="H719" s="1251"/>
      <c r="I719" s="1227"/>
      <c r="J719" s="1227"/>
      <c r="K719" s="175"/>
    </row>
    <row r="720" spans="2:57" outlineLevel="1" x14ac:dyDescent="0.25">
      <c r="B720" s="1223"/>
      <c r="C720" s="1223"/>
      <c r="D720" s="1320"/>
      <c r="E720" s="313"/>
      <c r="F720" s="175"/>
      <c r="G720" s="1285"/>
      <c r="H720" s="1286"/>
    </row>
    <row r="721" spans="2:57" outlineLevel="1" x14ac:dyDescent="0.25">
      <c r="B721" s="1223"/>
      <c r="C721" s="1223"/>
      <c r="D721" s="1320"/>
      <c r="E721" s="1223"/>
      <c r="G721" s="1285"/>
      <c r="H721" s="1286"/>
      <c r="P721" s="1988"/>
      <c r="Q721" s="1988"/>
    </row>
    <row r="722" spans="2:57" outlineLevel="1" x14ac:dyDescent="0.25">
      <c r="B722" s="1223"/>
      <c r="C722" s="1223"/>
      <c r="D722" s="1320"/>
      <c r="E722" s="1223"/>
      <c r="G722" s="1222"/>
      <c r="H722" s="1253"/>
      <c r="M722" s="1227"/>
      <c r="P722" s="1988"/>
      <c r="Q722" s="1988"/>
    </row>
    <row r="723" spans="2:57" outlineLevel="1" x14ac:dyDescent="0.25">
      <c r="B723" s="1223"/>
      <c r="C723" s="1223"/>
      <c r="D723" s="1320"/>
      <c r="E723" s="1223"/>
      <c r="G723" s="1222"/>
      <c r="H723" s="1253"/>
      <c r="M723" s="1227"/>
      <c r="P723" s="1988"/>
      <c r="Q723" s="1988"/>
    </row>
    <row r="724" spans="2:57" outlineLevel="1" x14ac:dyDescent="0.25">
      <c r="B724" s="1223"/>
      <c r="C724" s="1223"/>
      <c r="D724" s="1320"/>
      <c r="E724" s="1223"/>
      <c r="G724" s="1222"/>
      <c r="H724" s="1253"/>
      <c r="M724" s="1227"/>
    </row>
    <row r="725" spans="2:57" outlineLevel="1" x14ac:dyDescent="0.25">
      <c r="B725" s="1223"/>
      <c r="C725" s="1223"/>
      <c r="D725" s="1320"/>
      <c r="E725" s="1223"/>
      <c r="G725" s="1222"/>
      <c r="H725" s="1253"/>
    </row>
    <row r="726" spans="2:57" s="61" customFormat="1" ht="30" outlineLevel="1" x14ac:dyDescent="0.2">
      <c r="B726" s="1258"/>
      <c r="C726" s="1258"/>
      <c r="D726" s="91" t="s">
        <v>16</v>
      </c>
      <c r="E726" s="91" t="s">
        <v>89</v>
      </c>
      <c r="F726" s="99" t="s">
        <v>101</v>
      </c>
      <c r="G726" s="91" t="s">
        <v>106</v>
      </c>
      <c r="H726" s="91" t="s">
        <v>96</v>
      </c>
      <c r="I726" s="91" t="s">
        <v>173</v>
      </c>
      <c r="J726" s="1258"/>
      <c r="K726" s="1258"/>
      <c r="L726" s="1258"/>
      <c r="M726" s="1258"/>
      <c r="N726" s="1258"/>
      <c r="O726" s="1258"/>
      <c r="P726" s="1258"/>
      <c r="Q726" s="1258"/>
      <c r="R726" s="1258"/>
      <c r="S726" s="1258"/>
      <c r="T726" s="1258"/>
      <c r="U726" s="1258"/>
    </row>
    <row r="727" spans="2:57" outlineLevel="1" x14ac:dyDescent="0.2">
      <c r="D727" s="1259"/>
      <c r="E727" s="1259" t="str">
        <f>E716</f>
        <v>Refrigerated Beverage Vending Machine (Class A)</v>
      </c>
      <c r="F727" s="1315">
        <f>0.055*H727+2.56</f>
        <v>2.6150000000000002</v>
      </c>
      <c r="G727" s="1396">
        <f>0.0523*H727+2.432</f>
        <v>2.4842999999999997</v>
      </c>
      <c r="H727" s="106">
        <v>1</v>
      </c>
      <c r="I727" s="1370">
        <v>365.25</v>
      </c>
    </row>
    <row r="728" spans="2:57" outlineLevel="1" x14ac:dyDescent="0.2">
      <c r="D728" s="1259"/>
      <c r="E728" s="1259" t="str">
        <f>E717</f>
        <v>Refrigerated Beverage Vending Machine (Class B)</v>
      </c>
      <c r="F728" s="1315">
        <f>0.073*H728+3.16</f>
        <v>3.2330000000000001</v>
      </c>
      <c r="G728" s="1396">
        <f>0.0657*H728+2.844</f>
        <v>2.9097</v>
      </c>
      <c r="H728" s="106">
        <v>1</v>
      </c>
      <c r="I728" s="1370">
        <v>365.25</v>
      </c>
    </row>
    <row r="731" spans="2:57" s="39" customFormat="1" x14ac:dyDescent="0.25">
      <c r="B731" s="1989" t="s">
        <v>418</v>
      </c>
      <c r="C731" s="1990"/>
      <c r="D731" s="1990"/>
      <c r="E731" s="1990"/>
      <c r="F731" s="1990"/>
      <c r="G731" s="1990"/>
      <c r="H731" s="1990"/>
      <c r="I731" s="1991"/>
      <c r="J731" s="1991"/>
      <c r="K731" s="1991"/>
      <c r="L731" s="1991"/>
      <c r="M731" s="1992"/>
      <c r="N731" s="1992"/>
      <c r="O731" s="1993"/>
      <c r="V731" s="40" t="str">
        <f>B731</f>
        <v>ECM for Walk-in &amp; Reach-in Coolers/Freezers</v>
      </c>
      <c r="W731" s="41"/>
      <c r="X731" s="41"/>
      <c r="Y731" s="41"/>
      <c r="Z731" s="41"/>
      <c r="AA731" s="41"/>
      <c r="AB731" s="41"/>
      <c r="AC731" s="41"/>
      <c r="AD731" s="41"/>
      <c r="AE731" s="41"/>
      <c r="AF731" s="41"/>
      <c r="AG731" s="41"/>
      <c r="AH731" s="41"/>
      <c r="AI731" s="42"/>
      <c r="AJ731" s="22"/>
      <c r="AK731" s="22"/>
      <c r="AL731" s="22"/>
      <c r="AM731" s="22"/>
      <c r="AN731" s="22"/>
      <c r="AO731" s="22"/>
      <c r="AP731" s="22"/>
      <c r="AQ731" s="22"/>
      <c r="AR731" s="22"/>
      <c r="AS731" s="22"/>
      <c r="AT731" s="22"/>
      <c r="AU731" s="22"/>
    </row>
    <row r="732" spans="2:57" x14ac:dyDescent="0.25">
      <c r="D732" s="1234"/>
      <c r="E732" s="1227"/>
      <c r="F732" s="1227"/>
      <c r="G732" s="1227"/>
      <c r="H732" s="1235"/>
      <c r="I732" s="1227"/>
      <c r="J732" s="1227"/>
      <c r="K732" s="1227"/>
      <c r="L732" s="1227"/>
      <c r="P732" s="1227"/>
      <c r="Q732" s="1227"/>
      <c r="R732" s="1227"/>
      <c r="S732" s="1227"/>
      <c r="T732" s="1227"/>
      <c r="U732" s="1227"/>
      <c r="V732"/>
      <c r="W732"/>
      <c r="X732"/>
      <c r="Y732"/>
      <c r="Z732"/>
      <c r="AA732"/>
      <c r="AB732"/>
      <c r="AC732"/>
      <c r="AD732"/>
      <c r="AE732"/>
      <c r="AF732"/>
      <c r="AG732"/>
      <c r="AH732"/>
      <c r="AI732"/>
      <c r="AJ732" s="38"/>
      <c r="AK732" s="38"/>
      <c r="AL732" s="38"/>
      <c r="AM732" s="38"/>
      <c r="AN732" s="38"/>
      <c r="AO732" s="38"/>
      <c r="AP732" s="38"/>
      <c r="AQ732" s="38"/>
      <c r="AR732" s="38"/>
      <c r="AS732" s="38"/>
      <c r="AT732" s="38"/>
      <c r="AU732" s="38"/>
    </row>
    <row r="733" spans="2:57" s="43" customFormat="1" ht="30" x14ac:dyDescent="0.25">
      <c r="B733" s="1236"/>
      <c r="C733" s="44" t="s">
        <v>16</v>
      </c>
      <c r="D733" s="44" t="s">
        <v>17</v>
      </c>
      <c r="E733" s="131" t="s">
        <v>18</v>
      </c>
      <c r="F733" s="131" t="s">
        <v>419</v>
      </c>
      <c r="G733" s="131" t="s">
        <v>20</v>
      </c>
      <c r="H733" s="46" t="s">
        <v>21</v>
      </c>
      <c r="I733" s="131" t="s">
        <v>22</v>
      </c>
      <c r="J733" s="131" t="s">
        <v>23</v>
      </c>
      <c r="K733" s="44" t="s">
        <v>420</v>
      </c>
      <c r="L733" s="44" t="s">
        <v>25</v>
      </c>
      <c r="M733" s="1222"/>
      <c r="N733" s="1222"/>
      <c r="O733" s="1222"/>
      <c r="P733" s="1139"/>
      <c r="Q733" s="1139"/>
      <c r="R733" s="1139"/>
      <c r="S733" s="1139"/>
      <c r="T733" s="1139"/>
      <c r="U733" s="1139"/>
      <c r="V733" s="48" t="s">
        <v>26</v>
      </c>
      <c r="W733" s="49">
        <v>43252</v>
      </c>
      <c r="X733" s="49">
        <v>43465</v>
      </c>
      <c r="Y733" s="49" t="s">
        <v>27</v>
      </c>
      <c r="Z733" s="49" t="s">
        <v>27</v>
      </c>
      <c r="AA733" s="49" t="s">
        <v>27</v>
      </c>
      <c r="AB733" s="49" t="s">
        <v>27</v>
      </c>
      <c r="AC733" s="49" t="s">
        <v>27</v>
      </c>
      <c r="AD733" s="49" t="s">
        <v>27</v>
      </c>
      <c r="AE733" s="49" t="s">
        <v>27</v>
      </c>
      <c r="AF733" s="49" t="s">
        <v>27</v>
      </c>
      <c r="AG733" s="49" t="s">
        <v>27</v>
      </c>
      <c r="AH733"/>
      <c r="AI733" s="48" t="s">
        <v>26</v>
      </c>
      <c r="AJ733" s="49">
        <v>43252</v>
      </c>
      <c r="AK733" s="49">
        <v>43465</v>
      </c>
      <c r="AL733" s="49" t="s">
        <v>27</v>
      </c>
      <c r="AM733" s="49" t="s">
        <v>27</v>
      </c>
      <c r="AN733" s="49" t="s">
        <v>27</v>
      </c>
      <c r="AO733" s="49" t="s">
        <v>27</v>
      </c>
      <c r="AP733" s="49" t="s">
        <v>27</v>
      </c>
      <c r="AQ733" s="49" t="s">
        <v>27</v>
      </c>
      <c r="AR733" s="49" t="s">
        <v>27</v>
      </c>
      <c r="AS733" s="49" t="s">
        <v>27</v>
      </c>
      <c r="AT733" s="24"/>
      <c r="AU733" s="48" t="s">
        <v>26</v>
      </c>
      <c r="AV733" s="49">
        <v>43252</v>
      </c>
      <c r="AW733" s="49">
        <v>43465</v>
      </c>
      <c r="AX733" s="49" t="s">
        <v>27</v>
      </c>
      <c r="AY733" s="49" t="s">
        <v>27</v>
      </c>
      <c r="AZ733" s="49" t="s">
        <v>27</v>
      </c>
      <c r="BA733" s="49" t="s">
        <v>27</v>
      </c>
      <c r="BB733" s="49" t="s">
        <v>27</v>
      </c>
      <c r="BC733" s="49" t="s">
        <v>27</v>
      </c>
      <c r="BD733" s="49" t="s">
        <v>27</v>
      </c>
      <c r="BE733" s="49" t="s">
        <v>27</v>
      </c>
    </row>
    <row r="734" spans="2:57" x14ac:dyDescent="0.25">
      <c r="C734" s="1237"/>
      <c r="D734" s="1329" t="s">
        <v>28</v>
      </c>
      <c r="E734" s="1268" t="s">
        <v>418</v>
      </c>
      <c r="F734" s="72">
        <f>F744*G744</f>
        <v>1409</v>
      </c>
      <c r="G734" s="1240" t="s">
        <v>44</v>
      </c>
      <c r="H734" s="1241">
        <f>VLOOKUP(G734,'CP FACTORS'!$A$26:$B$38,2,FALSE)</f>
        <v>1.379439E-4</v>
      </c>
      <c r="I734" s="1354">
        <f>H734*F734</f>
        <v>0.19436295510000001</v>
      </c>
      <c r="J734" s="375">
        <v>15</v>
      </c>
      <c r="K734" s="1270">
        <v>177</v>
      </c>
      <c r="L734" s="1340" t="s">
        <v>421</v>
      </c>
      <c r="V734" s="52" t="s">
        <v>19</v>
      </c>
      <c r="W734" s="59">
        <v>1409</v>
      </c>
      <c r="X734" s="59">
        <v>1409</v>
      </c>
      <c r="Y734" s="55"/>
      <c r="Z734" s="55"/>
      <c r="AA734" s="55"/>
      <c r="AB734" s="55"/>
      <c r="AC734" s="55"/>
      <c r="AD734" s="55"/>
      <c r="AE734" s="55"/>
      <c r="AF734" s="55"/>
      <c r="AG734" s="55"/>
      <c r="AH734" s="56"/>
      <c r="AI734" s="52" t="s">
        <v>23</v>
      </c>
      <c r="AJ734" s="57">
        <v>15</v>
      </c>
      <c r="AK734" s="57">
        <v>15</v>
      </c>
      <c r="AL734" s="55"/>
      <c r="AM734" s="55"/>
      <c r="AN734" s="55"/>
      <c r="AO734" s="55"/>
      <c r="AP734" s="55"/>
      <c r="AQ734" s="55"/>
      <c r="AR734" s="55"/>
      <c r="AS734" s="55"/>
      <c r="AT734" s="24"/>
      <c r="AU734" s="52" t="s">
        <v>24</v>
      </c>
      <c r="AV734" s="58">
        <v>177</v>
      </c>
      <c r="AW734" s="58">
        <v>177</v>
      </c>
      <c r="AX734" s="55"/>
      <c r="AY734" s="55"/>
      <c r="AZ734" s="55"/>
      <c r="BA734" s="55"/>
      <c r="BB734" s="55"/>
      <c r="BC734" s="55"/>
      <c r="BD734" s="55"/>
      <c r="BE734" s="55"/>
    </row>
    <row r="735" spans="2:57" outlineLevel="1" x14ac:dyDescent="0.25">
      <c r="E735" s="1227"/>
      <c r="F735" s="1227"/>
      <c r="G735" s="1227"/>
      <c r="H735" s="1251"/>
      <c r="I735" s="1227"/>
      <c r="J735" s="1227"/>
    </row>
    <row r="736" spans="2:57" outlineLevel="1" x14ac:dyDescent="0.25">
      <c r="D736" s="1227" t="s">
        <v>52</v>
      </c>
      <c r="E736" s="175"/>
      <c r="F736" s="1227"/>
      <c r="G736" s="1227"/>
      <c r="H736" s="1251"/>
      <c r="I736" s="1227"/>
      <c r="J736" s="1227"/>
      <c r="K736" s="175"/>
    </row>
    <row r="737" spans="2:21" outlineLevel="1" x14ac:dyDescent="0.25">
      <c r="D737" s="1252"/>
      <c r="E737" s="175"/>
      <c r="F737" s="175"/>
      <c r="G737" s="1285"/>
      <c r="H737" s="1286"/>
    </row>
    <row r="738" spans="2:21" outlineLevel="1" x14ac:dyDescent="0.25">
      <c r="D738" s="1252"/>
      <c r="G738" s="1285"/>
      <c r="H738" s="1286"/>
      <c r="P738" s="1988"/>
      <c r="Q738" s="1988"/>
    </row>
    <row r="739" spans="2:21" outlineLevel="1" x14ac:dyDescent="0.25">
      <c r="D739" s="1252"/>
      <c r="G739" s="1222"/>
      <c r="H739" s="1253"/>
      <c r="M739" s="1227"/>
      <c r="P739" s="1988"/>
      <c r="Q739" s="1988"/>
    </row>
    <row r="740" spans="2:21" outlineLevel="1" x14ac:dyDescent="0.25">
      <c r="D740" s="1252"/>
      <c r="G740" s="1222"/>
      <c r="H740" s="1253"/>
      <c r="M740" s="1227"/>
      <c r="P740" s="1988"/>
      <c r="Q740" s="1988"/>
    </row>
    <row r="741" spans="2:21" outlineLevel="1" x14ac:dyDescent="0.25">
      <c r="D741" s="1252"/>
      <c r="G741" s="1222"/>
      <c r="H741" s="1253"/>
      <c r="M741" s="1227"/>
    </row>
    <row r="742" spans="2:21" outlineLevel="1" x14ac:dyDescent="0.25">
      <c r="D742" s="1252"/>
      <c r="G742" s="1222"/>
      <c r="H742" s="1253"/>
    </row>
    <row r="743" spans="2:21" s="61" customFormat="1" ht="30" outlineLevel="1" x14ac:dyDescent="0.2">
      <c r="B743" s="1258"/>
      <c r="C743" s="1258"/>
      <c r="D743" s="91" t="s">
        <v>16</v>
      </c>
      <c r="E743" s="91" t="s">
        <v>89</v>
      </c>
      <c r="F743" s="99" t="s">
        <v>422</v>
      </c>
      <c r="G743" s="91" t="s">
        <v>423</v>
      </c>
      <c r="H743" s="1258"/>
      <c r="I743" s="1258"/>
      <c r="J743" s="1258"/>
      <c r="K743" s="1258"/>
      <c r="L743" s="1258"/>
      <c r="M743" s="1258"/>
      <c r="N743" s="1258"/>
      <c r="O743" s="1258"/>
      <c r="P743" s="1258"/>
      <c r="Q743" s="1258"/>
      <c r="R743" s="1258"/>
      <c r="S743" s="1258"/>
      <c r="T743" s="1258"/>
      <c r="U743" s="1258"/>
    </row>
    <row r="744" spans="2:21" outlineLevel="1" x14ac:dyDescent="0.2">
      <c r="D744" s="1259"/>
      <c r="E744" s="1259" t="str">
        <f>E734</f>
        <v>ECM for Walk-in &amp; Reach-in Coolers/Freezers</v>
      </c>
      <c r="F744" s="1322">
        <v>1409</v>
      </c>
      <c r="G744" s="1327">
        <v>1</v>
      </c>
      <c r="H744" s="1222"/>
    </row>
  </sheetData>
  <mergeCells count="55">
    <mergeCell ref="B136:O136"/>
    <mergeCell ref="E1:Q1"/>
    <mergeCell ref="E3:G3"/>
    <mergeCell ref="H3:J3"/>
    <mergeCell ref="D4:J4"/>
    <mergeCell ref="B6:O6"/>
    <mergeCell ref="B84:O84"/>
    <mergeCell ref="H119:I119"/>
    <mergeCell ref="J119:K119"/>
    <mergeCell ref="H120:I120"/>
    <mergeCell ref="J120:K120"/>
    <mergeCell ref="L130:N133"/>
    <mergeCell ref="M304:P308"/>
    <mergeCell ref="M139:O143"/>
    <mergeCell ref="B156:O156"/>
    <mergeCell ref="B180:O180"/>
    <mergeCell ref="M183:O187"/>
    <mergeCell ref="B198:O198"/>
    <mergeCell ref="M201:O205"/>
    <mergeCell ref="M215:O219"/>
    <mergeCell ref="B228:O228"/>
    <mergeCell ref="P238:Q240"/>
    <mergeCell ref="B250:O250"/>
    <mergeCell ref="B270:O270"/>
    <mergeCell ref="P570:Q572"/>
    <mergeCell ref="M335:P339"/>
    <mergeCell ref="M379:O381"/>
    <mergeCell ref="B392:O392"/>
    <mergeCell ref="B436:O436"/>
    <mergeCell ref="B504:O504"/>
    <mergeCell ref="P514:Q516"/>
    <mergeCell ref="B527:O527"/>
    <mergeCell ref="P535:Q537"/>
    <mergeCell ref="B545:O545"/>
    <mergeCell ref="P553:Q555"/>
    <mergeCell ref="B563:O563"/>
    <mergeCell ref="B679:O679"/>
    <mergeCell ref="B579:O579"/>
    <mergeCell ref="P586:Q588"/>
    <mergeCell ref="B595:O595"/>
    <mergeCell ref="P602:Q604"/>
    <mergeCell ref="B611:O611"/>
    <mergeCell ref="P618:Q620"/>
    <mergeCell ref="B627:O627"/>
    <mergeCell ref="P634:Q636"/>
    <mergeCell ref="B643:O643"/>
    <mergeCell ref="P650:Q652"/>
    <mergeCell ref="B659:O659"/>
    <mergeCell ref="P738:Q740"/>
    <mergeCell ref="P686:Q688"/>
    <mergeCell ref="B695:O695"/>
    <mergeCell ref="P703:Q705"/>
    <mergeCell ref="B713:O713"/>
    <mergeCell ref="P721:Q723"/>
    <mergeCell ref="B731:O731"/>
  </mergeCells>
  <pageMargins left="0.7" right="0.7" top="0.75" bottom="0.75" header="0.3" footer="0.3"/>
  <pageSetup scale="12" fitToHeight="0" orientation="portrait" r:id="rId1"/>
  <rowBreaks count="7" manualBreakCount="7">
    <brk id="118" max="94" man="1"/>
    <brk id="148" max="16383" man="1"/>
    <brk id="249" max="16383" man="1"/>
    <brk id="377" max="16383" man="1"/>
    <brk id="525" max="16383" man="1"/>
    <brk id="625" max="94" man="1"/>
    <brk id="677" max="16383"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I90"/>
  <sheetViews>
    <sheetView view="pageBreakPreview" topLeftCell="A73" zoomScale="55" zoomScaleNormal="70" zoomScaleSheetLayoutView="55" workbookViewId="0">
      <selection activeCell="B2" sqref="B1:U1048576"/>
    </sheetView>
  </sheetViews>
  <sheetFormatPr defaultRowHeight="15" outlineLevelRow="1" x14ac:dyDescent="0.25"/>
  <cols>
    <col min="1" max="1" width="5.85546875" customWidth="1"/>
    <col min="2" max="2" width="9.140625" style="130"/>
    <col min="3" max="3" width="13" style="616" customWidth="1"/>
    <col min="4" max="4" width="14" style="130" customWidth="1"/>
    <col min="5" max="5" width="70.42578125" style="130" customWidth="1"/>
    <col min="6" max="6" width="32.140625" style="130" customWidth="1"/>
    <col min="7" max="7" width="15.5703125" style="130" customWidth="1"/>
    <col min="8" max="8" width="15" style="130" customWidth="1"/>
    <col min="9" max="9" width="16.85546875" style="130" bestFit="1" customWidth="1"/>
    <col min="10" max="10" width="15.28515625" style="130" bestFit="1" customWidth="1"/>
    <col min="11" max="11" width="18" style="130" bestFit="1" customWidth="1"/>
    <col min="12" max="12" width="11.140625" style="130" customWidth="1"/>
    <col min="13" max="13" width="12.42578125" style="130" bestFit="1" customWidth="1"/>
    <col min="14" max="14" width="11.7109375" style="130" customWidth="1"/>
    <col min="15" max="15" width="11.42578125" style="130" customWidth="1"/>
    <col min="16" max="17" width="9.140625" style="130"/>
    <col min="18" max="18" width="15.42578125" style="130" customWidth="1"/>
    <col min="19" max="19" width="21" style="130" customWidth="1"/>
    <col min="20" max="21" width="9.140625" style="130"/>
    <col min="22" max="22" width="23.85546875" customWidth="1"/>
    <col min="23" max="23" width="14.5703125" customWidth="1"/>
    <col min="24" max="24" width="19.7109375" customWidth="1"/>
    <col min="25" max="25" width="12" customWidth="1"/>
    <col min="35" max="35" width="22.5703125" bestFit="1" customWidth="1"/>
    <col min="36" max="36" width="11.140625" bestFit="1" customWidth="1"/>
    <col min="37" max="37" width="14" bestFit="1" customWidth="1"/>
    <col min="48" max="48" width="22.5703125" bestFit="1" customWidth="1"/>
    <col min="49" max="49" width="11.140625" bestFit="1" customWidth="1"/>
    <col min="50" max="50" width="14" bestFit="1" customWidth="1"/>
    <col min="61" max="61" width="29.85546875" customWidth="1"/>
    <col min="62" max="62" width="11.140625" bestFit="1" customWidth="1"/>
    <col min="63" max="63" width="14" bestFit="1" customWidth="1"/>
  </cols>
  <sheetData>
    <row r="1" spans="1:35" s="22" customFormat="1" ht="18.75" x14ac:dyDescent="0.3">
      <c r="A1" s="2028" t="s">
        <v>424</v>
      </c>
      <c r="B1" s="2029"/>
      <c r="C1" s="2029"/>
      <c r="D1" s="2029"/>
      <c r="E1" s="2029"/>
      <c r="F1" s="2029"/>
      <c r="G1" s="2029"/>
      <c r="H1" s="2029"/>
      <c r="I1" s="2029"/>
      <c r="J1" s="2029"/>
      <c r="K1" s="2029"/>
      <c r="L1" s="2029"/>
      <c r="M1" s="2029"/>
      <c r="N1" s="2029"/>
      <c r="O1" s="2029"/>
      <c r="P1" s="2029"/>
      <c r="Q1" s="2030"/>
      <c r="R1" s="2031"/>
      <c r="S1" s="2031"/>
      <c r="T1" s="1222"/>
      <c r="U1" s="1222"/>
      <c r="V1" s="27"/>
      <c r="W1" s="28"/>
      <c r="X1" s="28"/>
      <c r="Y1" s="29"/>
      <c r="Z1" s="29"/>
      <c r="AA1" s="29"/>
      <c r="AB1" s="29"/>
      <c r="AC1" s="29"/>
      <c r="AD1" s="29"/>
      <c r="AE1" s="29"/>
      <c r="AF1" s="29"/>
      <c r="AG1" s="29"/>
      <c r="AH1" s="29"/>
    </row>
    <row r="2" spans="1:35" s="22" customFormat="1" ht="30" customHeight="1" outlineLevel="1" x14ac:dyDescent="0.35">
      <c r="B2" s="1226"/>
      <c r="C2" s="1229"/>
      <c r="D2" s="2002" t="s">
        <v>1858</v>
      </c>
      <c r="E2" s="2032"/>
      <c r="F2" s="2033"/>
      <c r="G2" s="2033"/>
      <c r="H2" s="2033"/>
      <c r="I2" s="2033"/>
      <c r="J2" s="2033"/>
      <c r="K2" s="1228"/>
      <c r="L2" s="1228"/>
      <c r="M2" s="1222"/>
      <c r="N2" s="1222"/>
      <c r="O2" s="1222"/>
      <c r="P2" s="1222"/>
      <c r="Q2" s="1222"/>
      <c r="R2" s="1222"/>
      <c r="S2" s="1222"/>
      <c r="T2" s="1222"/>
      <c r="U2" s="1222"/>
    </row>
    <row r="3" spans="1:35" s="24" customFormat="1" ht="33.75" customHeight="1" x14ac:dyDescent="0.25">
      <c r="B3" s="1223"/>
      <c r="C3" s="1224"/>
      <c r="D3" s="1224"/>
      <c r="E3" s="1224"/>
      <c r="F3" s="1224"/>
      <c r="G3" s="1224"/>
      <c r="H3" s="1224"/>
      <c r="I3" s="1224"/>
      <c r="J3" s="1224"/>
      <c r="K3" s="1223"/>
      <c r="L3" s="1223"/>
      <c r="M3" s="1223"/>
      <c r="N3" s="1223"/>
      <c r="O3" s="1223"/>
      <c r="P3" s="1223"/>
      <c r="Q3" s="1223"/>
      <c r="R3" s="1223"/>
      <c r="S3" s="1223"/>
      <c r="T3" s="1223"/>
      <c r="U3" s="1223"/>
    </row>
    <row r="4" spans="1:35" x14ac:dyDescent="0.25">
      <c r="B4" s="2022" t="s">
        <v>425</v>
      </c>
      <c r="C4" s="2023"/>
      <c r="D4" s="2023"/>
      <c r="E4" s="2023"/>
      <c r="F4" s="2023"/>
      <c r="G4" s="2023"/>
      <c r="H4" s="2023"/>
      <c r="I4" s="1992"/>
      <c r="J4" s="1992"/>
      <c r="K4" s="1992"/>
      <c r="L4" s="1992"/>
      <c r="M4" s="1992"/>
      <c r="N4" s="1992"/>
      <c r="O4" s="1992"/>
      <c r="P4" s="1992"/>
      <c r="Q4" s="1992"/>
      <c r="R4" s="1992"/>
      <c r="S4" s="1993"/>
      <c r="V4" s="2022" t="str">
        <f>B4</f>
        <v>Lighting Program</v>
      </c>
      <c r="W4" s="2023"/>
      <c r="X4" s="2023"/>
      <c r="Y4" s="2023"/>
      <c r="Z4" s="2023"/>
      <c r="AA4" s="2023"/>
      <c r="AB4" s="2023"/>
      <c r="AC4" s="2024"/>
      <c r="AD4" s="2024"/>
      <c r="AE4" s="2024"/>
      <c r="AF4" s="2024"/>
      <c r="AG4" s="2024"/>
      <c r="AH4" s="2024"/>
      <c r="AI4" s="2025"/>
    </row>
    <row r="5" spans="1:35" x14ac:dyDescent="0.25">
      <c r="E5" s="130" t="s">
        <v>426</v>
      </c>
    </row>
    <row r="6" spans="1:35" ht="45" x14ac:dyDescent="0.25">
      <c r="C6" s="184" t="s">
        <v>16</v>
      </c>
      <c r="D6" s="184" t="s">
        <v>17</v>
      </c>
      <c r="E6" s="184" t="s">
        <v>18</v>
      </c>
      <c r="F6" s="184" t="s">
        <v>19</v>
      </c>
      <c r="G6" s="184" t="s">
        <v>22</v>
      </c>
      <c r="H6" s="184" t="s">
        <v>427</v>
      </c>
      <c r="I6" s="184" t="s">
        <v>428</v>
      </c>
      <c r="J6" s="184" t="s">
        <v>429</v>
      </c>
      <c r="K6" s="184" t="s">
        <v>430</v>
      </c>
      <c r="L6" s="184" t="s">
        <v>431</v>
      </c>
      <c r="M6" s="184" t="s">
        <v>432</v>
      </c>
      <c r="N6" s="184" t="s">
        <v>433</v>
      </c>
      <c r="O6" s="184" t="s">
        <v>434</v>
      </c>
      <c r="P6" s="184" t="s">
        <v>435</v>
      </c>
      <c r="Q6" s="184" t="s">
        <v>436</v>
      </c>
      <c r="R6" s="184" t="s">
        <v>437</v>
      </c>
      <c r="S6" s="184" t="s">
        <v>25</v>
      </c>
      <c r="V6" s="48" t="s">
        <v>26</v>
      </c>
      <c r="W6" s="49">
        <v>43252</v>
      </c>
      <c r="X6" s="49" t="s">
        <v>27</v>
      </c>
      <c r="Y6" s="49" t="s">
        <v>27</v>
      </c>
      <c r="Z6" s="49" t="s">
        <v>27</v>
      </c>
      <c r="AA6" s="49" t="s">
        <v>27</v>
      </c>
      <c r="AB6" s="49" t="s">
        <v>27</v>
      </c>
      <c r="AC6" s="49" t="s">
        <v>27</v>
      </c>
      <c r="AD6" s="49" t="s">
        <v>27</v>
      </c>
      <c r="AE6" s="49" t="s">
        <v>27</v>
      </c>
      <c r="AF6" s="49" t="s">
        <v>27</v>
      </c>
      <c r="AG6" s="49" t="s">
        <v>27</v>
      </c>
    </row>
    <row r="7" spans="1:35" s="56" customFormat="1" x14ac:dyDescent="0.25">
      <c r="B7" s="130"/>
      <c r="C7" s="115"/>
      <c r="D7" s="1150" t="s">
        <v>15</v>
      </c>
      <c r="E7" s="321" t="s">
        <v>438</v>
      </c>
      <c r="F7" s="160">
        <f>L7+M7</f>
        <v>12.018748359511475</v>
      </c>
      <c r="G7" s="1397">
        <f t="shared" ref="G7:G27" si="0">((L7/F7)*I7+(M7/F7)*K7)*F7</f>
        <v>1.8085336864882226E-3</v>
      </c>
      <c r="H7" s="119" t="s">
        <v>439</v>
      </c>
      <c r="I7" s="170">
        <f>VLOOKUP(H7,'CP FACTORS'!$A$3:$B$38, 2, FALSE)</f>
        <v>1.4925290000000001E-4</v>
      </c>
      <c r="J7" s="119" t="s">
        <v>30</v>
      </c>
      <c r="K7" s="170">
        <f>VLOOKUP(J7,'CP FACTORS'!$A$3:$B$38, 2, FALSE)</f>
        <v>1.899635E-4</v>
      </c>
      <c r="L7" s="121">
        <f>((G39-G60)*$G$87*$G$81*(1-$G$82)*($G$83*$G$84)/1000)</f>
        <v>11.657647332729935</v>
      </c>
      <c r="M7" s="1398">
        <f t="shared" ref="M7:M24" si="1">((G39-G60)*(1-$G$87)*$G$81*(1-$G$82)*($G$85*$G$86)/1000)</f>
        <v>0.36110102678153971</v>
      </c>
      <c r="N7" s="1399">
        <f>L7*I7</f>
        <v>1.7399376715872079E-3</v>
      </c>
      <c r="O7" s="1399">
        <f>M7*K7</f>
        <v>6.8596014901015025E-5</v>
      </c>
      <c r="P7" s="122">
        <f>$G$88</f>
        <v>19</v>
      </c>
      <c r="Q7" s="123">
        <f>$G$89</f>
        <v>6</v>
      </c>
      <c r="R7" s="1400">
        <v>9.9999999999999995E-7</v>
      </c>
      <c r="S7" s="115" t="s">
        <v>440</v>
      </c>
      <c r="T7" s="130"/>
      <c r="U7" s="130"/>
      <c r="V7" s="52" t="s">
        <v>19</v>
      </c>
      <c r="W7" s="53">
        <v>12.91958407191729</v>
      </c>
      <c r="X7" s="54">
        <v>12.018748359511475</v>
      </c>
      <c r="Y7" s="55"/>
      <c r="Z7" s="55"/>
      <c r="AA7" s="55"/>
      <c r="AB7" s="55"/>
      <c r="AC7" s="55"/>
      <c r="AD7" s="55"/>
      <c r="AE7" s="55"/>
      <c r="AF7" s="55"/>
      <c r="AG7" s="55"/>
    </row>
    <row r="8" spans="1:35" s="56" customFormat="1" x14ac:dyDescent="0.25">
      <c r="B8" s="130"/>
      <c r="C8" s="115"/>
      <c r="D8" s="1150" t="s">
        <v>15</v>
      </c>
      <c r="E8" s="321" t="s">
        <v>441</v>
      </c>
      <c r="F8" s="160">
        <f t="shared" ref="F8:F27" si="2">L8+M8</f>
        <v>25.609179196805226</v>
      </c>
      <c r="G8" s="1397">
        <f t="shared" si="0"/>
        <v>3.8535679319787529E-3</v>
      </c>
      <c r="H8" s="119" t="s">
        <v>439</v>
      </c>
      <c r="I8" s="170">
        <f>VLOOKUP(H8,'CP FACTORS'!$A$3:$B$38, 2, FALSE)</f>
        <v>1.4925290000000001E-4</v>
      </c>
      <c r="J8" s="119" t="s">
        <v>30</v>
      </c>
      <c r="K8" s="170">
        <f>VLOOKUP(J8,'CP FACTORS'!$A$3:$B$38, 2, FALSE)</f>
        <v>1.899635E-4</v>
      </c>
      <c r="L8" s="121">
        <f>((G40-G61)*$G$87*$G$81*(1-$G$82)*($G$83*$G$84)/1000)</f>
        <v>24.839756239739945</v>
      </c>
      <c r="M8" s="1398">
        <f t="shared" si="1"/>
        <v>0.76942295706528074</v>
      </c>
      <c r="N8" s="1399">
        <f t="shared" ref="N8:N27" si="3">L8*I8</f>
        <v>3.7074056540742821E-3</v>
      </c>
      <c r="O8" s="1399">
        <f t="shared" ref="O8:O27" si="4">M8*K8</f>
        <v>1.4616227790447046E-4</v>
      </c>
      <c r="P8" s="122">
        <f t="shared" ref="P8:P27" si="5">$G$88</f>
        <v>19</v>
      </c>
      <c r="Q8" s="123">
        <f t="shared" ref="Q8:Q27" si="6">$G$89</f>
        <v>6</v>
      </c>
      <c r="R8" s="1400">
        <v>9.9999999999999995E-7</v>
      </c>
      <c r="S8" s="115" t="s">
        <v>440</v>
      </c>
      <c r="T8" s="130"/>
      <c r="U8" s="130"/>
      <c r="V8" s="52" t="s">
        <v>19</v>
      </c>
      <c r="W8" s="53">
        <v>33.221787613501611</v>
      </c>
      <c r="X8" s="86">
        <v>25.609179196805226</v>
      </c>
      <c r="Y8" s="55"/>
      <c r="Z8" s="55"/>
      <c r="AA8" s="55"/>
      <c r="AB8" s="55"/>
      <c r="AC8" s="55"/>
      <c r="AD8" s="55"/>
      <c r="AE8" s="55"/>
      <c r="AF8" s="55"/>
      <c r="AG8" s="55"/>
    </row>
    <row r="9" spans="1:35" s="56" customFormat="1" x14ac:dyDescent="0.25">
      <c r="B9" s="130"/>
      <c r="C9" s="115"/>
      <c r="D9" s="1150" t="s">
        <v>15</v>
      </c>
      <c r="E9" s="321" t="s">
        <v>442</v>
      </c>
      <c r="F9" s="160">
        <f t="shared" si="2"/>
        <v>3.9754321496845653</v>
      </c>
      <c r="G9" s="1397">
        <f t="shared" si="0"/>
        <v>5.9820729629995063E-4</v>
      </c>
      <c r="H9" s="119" t="s">
        <v>439</v>
      </c>
      <c r="I9" s="170">
        <f>VLOOKUP(H9,'CP FACTORS'!$A$3:$B$38, 2, FALSE)</f>
        <v>1.4925290000000001E-4</v>
      </c>
      <c r="J9" s="119" t="s">
        <v>30</v>
      </c>
      <c r="K9" s="170">
        <f>VLOOKUP(J9,'CP FACTORS'!$A$3:$B$38, 2, FALSE)</f>
        <v>1.899635E-4</v>
      </c>
      <c r="L9" s="121">
        <f>((G41-G62)*$G$87*$G$81*(1-$G$82)*($G$83*$G$84)/1000)</f>
        <v>3.8559910408260558</v>
      </c>
      <c r="M9" s="1398">
        <f t="shared" si="1"/>
        <v>0.11944110885850931</v>
      </c>
      <c r="N9" s="1399">
        <f t="shared" si="3"/>
        <v>5.7551784521730728E-4</v>
      </c>
      <c r="O9" s="1399">
        <f t="shared" si="4"/>
        <v>2.2689451082643435E-5</v>
      </c>
      <c r="P9" s="122">
        <f t="shared" si="5"/>
        <v>19</v>
      </c>
      <c r="Q9" s="123">
        <f t="shared" si="6"/>
        <v>6</v>
      </c>
      <c r="R9" s="1400">
        <v>9.9999999999999995E-7</v>
      </c>
      <c r="S9" s="115" t="s">
        <v>440</v>
      </c>
      <c r="T9" s="130"/>
      <c r="U9" s="130"/>
      <c r="V9" s="52" t="s">
        <v>19</v>
      </c>
      <c r="W9" s="53">
        <v>3.9681579649460259</v>
      </c>
      <c r="X9" s="54">
        <v>3.9754321496845653</v>
      </c>
      <c r="Y9" s="55"/>
      <c r="Z9" s="55"/>
      <c r="AA9" s="55"/>
      <c r="AB9" s="55"/>
      <c r="AC9" s="55"/>
      <c r="AD9" s="55"/>
      <c r="AE9" s="55"/>
      <c r="AF9" s="55"/>
      <c r="AG9" s="55"/>
    </row>
    <row r="10" spans="1:35" s="56" customFormat="1" x14ac:dyDescent="0.25">
      <c r="B10" s="130"/>
      <c r="C10" s="115"/>
      <c r="D10" s="1150" t="s">
        <v>15</v>
      </c>
      <c r="E10" s="321" t="s">
        <v>443</v>
      </c>
      <c r="F10" s="160">
        <f t="shared" si="2"/>
        <v>29.677063256947569</v>
      </c>
      <c r="G10" s="1397">
        <f t="shared" si="0"/>
        <v>4.4656870258670744E-3</v>
      </c>
      <c r="H10" s="119" t="s">
        <v>439</v>
      </c>
      <c r="I10" s="170">
        <f>VLOOKUP(H10,'CP FACTORS'!$A$3:$B$38, 2, FALSE)</f>
        <v>1.4925290000000001E-4</v>
      </c>
      <c r="J10" s="119" t="s">
        <v>30</v>
      </c>
      <c r="K10" s="170">
        <f>VLOOKUP(J10,'CP FACTORS'!$A$3:$B$38, 2, FALSE)</f>
        <v>1.899635E-4</v>
      </c>
      <c r="L10" s="121">
        <f>(($G$42-$G$63)*$G$87*$G$81*(1-$G$82)*($G$83*$G$84)/1000)</f>
        <v>28.785421490817768</v>
      </c>
      <c r="M10" s="1398">
        <f t="shared" si="1"/>
        <v>0.89164176612980195</v>
      </c>
      <c r="N10" s="1399">
        <f t="shared" si="3"/>
        <v>4.2963076352268755E-3</v>
      </c>
      <c r="O10" s="1399">
        <f t="shared" si="4"/>
        <v>1.6937939064019865E-4</v>
      </c>
      <c r="P10" s="122">
        <f t="shared" si="5"/>
        <v>19</v>
      </c>
      <c r="Q10" s="123">
        <f t="shared" si="6"/>
        <v>6</v>
      </c>
      <c r="R10" s="1400">
        <v>9.9999999999999995E-7</v>
      </c>
      <c r="S10" s="115" t="s">
        <v>440</v>
      </c>
      <c r="T10" s="130"/>
      <c r="U10" s="130"/>
      <c r="V10" s="52" t="s">
        <v>19</v>
      </c>
      <c r="W10" s="53">
        <v>29.733499914083939</v>
      </c>
      <c r="X10" s="54">
        <v>29.677063256947569</v>
      </c>
      <c r="Y10" s="55"/>
      <c r="Z10" s="55"/>
      <c r="AA10" s="55"/>
      <c r="AB10" s="55"/>
      <c r="AC10" s="55"/>
      <c r="AD10" s="55"/>
      <c r="AE10" s="55"/>
      <c r="AF10" s="55"/>
      <c r="AG10" s="55"/>
    </row>
    <row r="11" spans="1:35" s="56" customFormat="1" x14ac:dyDescent="0.25">
      <c r="B11" s="130"/>
      <c r="C11" s="115"/>
      <c r="D11" s="1150" t="s">
        <v>15</v>
      </c>
      <c r="E11" s="321" t="s">
        <v>444</v>
      </c>
      <c r="F11" s="160">
        <f t="shared" si="2"/>
        <v>7.8584123889113489</v>
      </c>
      <c r="G11" s="1397">
        <f t="shared" si="0"/>
        <v>1.1825027950115303E-3</v>
      </c>
      <c r="H11" s="119" t="s">
        <v>439</v>
      </c>
      <c r="I11" s="170">
        <f>VLOOKUP(H11,'CP FACTORS'!$A$3:$B$38, 2, FALSE)</f>
        <v>1.4925290000000001E-4</v>
      </c>
      <c r="J11" s="119" t="s">
        <v>30</v>
      </c>
      <c r="K11" s="170">
        <f>VLOOKUP(J11,'CP FACTORS'!$A$3:$B$38, 2, FALSE)</f>
        <v>1.899635E-4</v>
      </c>
      <c r="L11" s="121">
        <f t="shared" ref="L11:L24" si="7">((G43-G64)*$G$87*$G$81*(1-$G$82)*($G$83*$G$84)/1000)</f>
        <v>7.6223078714003423</v>
      </c>
      <c r="M11" s="1398">
        <f t="shared" si="1"/>
        <v>0.23610451751100675</v>
      </c>
      <c r="N11" s="1399">
        <f t="shared" si="3"/>
        <v>1.1376515544993281E-3</v>
      </c>
      <c r="O11" s="1399">
        <f t="shared" si="4"/>
        <v>4.4851240512202129E-5</v>
      </c>
      <c r="P11" s="122">
        <f t="shared" si="5"/>
        <v>19</v>
      </c>
      <c r="Q11" s="123">
        <f t="shared" si="6"/>
        <v>6</v>
      </c>
      <c r="R11" s="1400">
        <v>9.9999999999999995E-7</v>
      </c>
      <c r="S11" s="115" t="s">
        <v>440</v>
      </c>
      <c r="T11" s="130"/>
      <c r="U11" s="130"/>
      <c r="V11" s="52" t="s">
        <v>19</v>
      </c>
      <c r="W11" s="53">
        <v>7.8440331865212132</v>
      </c>
      <c r="X11" s="54">
        <v>7.8584123889113489</v>
      </c>
      <c r="Y11" s="55"/>
      <c r="Z11" s="55"/>
      <c r="AA11" s="55"/>
      <c r="AB11" s="55"/>
      <c r="AC11" s="55"/>
      <c r="AD11" s="55"/>
      <c r="AE11" s="55"/>
      <c r="AF11" s="55"/>
      <c r="AG11" s="55"/>
    </row>
    <row r="12" spans="1:35" s="56" customFormat="1" x14ac:dyDescent="0.25">
      <c r="B12" s="130"/>
      <c r="C12" s="115"/>
      <c r="D12" s="1150" t="s">
        <v>15</v>
      </c>
      <c r="E12" s="321" t="s">
        <v>445</v>
      </c>
      <c r="F12" s="160">
        <f t="shared" si="2"/>
        <v>47.335378154383655</v>
      </c>
      <c r="G12" s="1397">
        <f t="shared" si="0"/>
        <v>7.1228403652459239E-3</v>
      </c>
      <c r="H12" s="119" t="s">
        <v>439</v>
      </c>
      <c r="I12" s="170">
        <f>VLOOKUP(H12,'CP FACTORS'!$A$3:$B$38, 2, FALSE)</f>
        <v>1.4925290000000001E-4</v>
      </c>
      <c r="J12" s="119" t="s">
        <v>30</v>
      </c>
      <c r="K12" s="170">
        <f>VLOOKUP(J12,'CP FACTORS'!$A$3:$B$38, 2, FALSE)</f>
        <v>1.899635E-4</v>
      </c>
      <c r="L12" s="121">
        <f>((G44-G65)*$G$87*$G$81*(1-$G$82)*($G$83*$G$84)/1000)</f>
        <v>45.913195648905592</v>
      </c>
      <c r="M12" s="1398">
        <f t="shared" si="1"/>
        <v>1.4221825054780644</v>
      </c>
      <c r="N12" s="1399">
        <f t="shared" si="3"/>
        <v>6.852677598866542E-3</v>
      </c>
      <c r="O12" s="1399">
        <f t="shared" si="4"/>
        <v>2.7016276637938227E-4</v>
      </c>
      <c r="P12" s="122">
        <f t="shared" si="5"/>
        <v>19</v>
      </c>
      <c r="Q12" s="123">
        <f t="shared" si="6"/>
        <v>6</v>
      </c>
      <c r="R12" s="1400">
        <v>9.9999999999999995E-7</v>
      </c>
      <c r="S12" s="115" t="s">
        <v>440</v>
      </c>
      <c r="T12" s="130"/>
      <c r="U12" s="130"/>
      <c r="V12" s="52" t="s">
        <v>19</v>
      </c>
      <c r="W12" s="53">
        <v>61.59873120003423</v>
      </c>
      <c r="X12" s="86">
        <v>47.335378154383655</v>
      </c>
      <c r="Y12" s="55"/>
      <c r="Z12" s="55"/>
      <c r="AA12" s="55"/>
      <c r="AB12" s="55"/>
      <c r="AC12" s="55"/>
      <c r="AD12" s="55"/>
      <c r="AE12" s="55"/>
      <c r="AF12" s="55"/>
      <c r="AG12" s="55"/>
    </row>
    <row r="13" spans="1:35" s="56" customFormat="1" x14ac:dyDescent="0.25">
      <c r="B13" s="130"/>
      <c r="C13" s="115"/>
      <c r="D13" s="1150" t="s">
        <v>15</v>
      </c>
      <c r="E13" s="321" t="s">
        <v>446</v>
      </c>
      <c r="F13" s="160">
        <f t="shared" si="2"/>
        <v>38.275090929521156</v>
      </c>
      <c r="G13" s="1397">
        <f t="shared" si="0"/>
        <v>5.7594842015855708E-3</v>
      </c>
      <c r="H13" s="119" t="s">
        <v>439</v>
      </c>
      <c r="I13" s="170">
        <f>VLOOKUP(H13,'CP FACTORS'!$A$3:$B$38, 2, FALSE)</f>
        <v>1.4925290000000001E-4</v>
      </c>
      <c r="J13" s="119" t="s">
        <v>30</v>
      </c>
      <c r="K13" s="170">
        <f>VLOOKUP(J13,'CP FACTORS'!$A$3:$B$38, 2, FALSE)</f>
        <v>1.899635E-4</v>
      </c>
      <c r="L13" s="121">
        <f t="shared" si="7"/>
        <v>37.125123044232254</v>
      </c>
      <c r="M13" s="1398">
        <f t="shared" si="1"/>
        <v>1.1499678852889033</v>
      </c>
      <c r="N13" s="1399">
        <f t="shared" si="3"/>
        <v>5.5410322772084927E-3</v>
      </c>
      <c r="O13" s="1399">
        <f t="shared" si="4"/>
        <v>2.1845192437707858E-4</v>
      </c>
      <c r="P13" s="122">
        <f t="shared" si="5"/>
        <v>19</v>
      </c>
      <c r="Q13" s="123">
        <f t="shared" si="6"/>
        <v>6</v>
      </c>
      <c r="R13" s="1400">
        <v>9.9999999999999995E-7</v>
      </c>
      <c r="S13" s="115" t="s">
        <v>440</v>
      </c>
      <c r="T13" s="130"/>
      <c r="U13" s="130"/>
      <c r="V13" s="52" t="s">
        <v>19</v>
      </c>
      <c r="W13" s="53">
        <v>39.127883189235227</v>
      </c>
      <c r="X13" s="54">
        <v>38.275090929521156</v>
      </c>
      <c r="Y13" s="55"/>
      <c r="Z13" s="55"/>
      <c r="AA13" s="55"/>
      <c r="AB13" s="55"/>
      <c r="AC13" s="55"/>
      <c r="AD13" s="55"/>
      <c r="AE13" s="55"/>
      <c r="AF13" s="55"/>
      <c r="AG13" s="55"/>
    </row>
    <row r="14" spans="1:35" s="56" customFormat="1" x14ac:dyDescent="0.25">
      <c r="B14" s="130"/>
      <c r="C14" s="115"/>
      <c r="D14" s="1150" t="s">
        <v>15</v>
      </c>
      <c r="E14" s="321" t="s">
        <v>447</v>
      </c>
      <c r="F14" s="160">
        <f t="shared" si="2"/>
        <v>7.6735085679957855</v>
      </c>
      <c r="G14" s="1397">
        <f t="shared" si="0"/>
        <v>1.1546791998347881E-3</v>
      </c>
      <c r="H14" s="119" t="s">
        <v>439</v>
      </c>
      <c r="I14" s="170">
        <f>VLOOKUP(H14,'CP FACTORS'!$A$3:$B$38, 2, FALSE)</f>
        <v>1.4925290000000001E-4</v>
      </c>
      <c r="J14" s="119" t="s">
        <v>30</v>
      </c>
      <c r="K14" s="170">
        <f>VLOOKUP(J14,'CP FACTORS'!$A$3:$B$38, 2, FALSE)</f>
        <v>1.899635E-4</v>
      </c>
      <c r="L14" s="121">
        <f>((G46-G67)*$G$87*$G$81*(1-$G$82)*($G$83*$G$84)/1000)</f>
        <v>7.4429594508968027</v>
      </c>
      <c r="M14" s="1398">
        <f t="shared" si="1"/>
        <v>0.23054911709898307</v>
      </c>
      <c r="N14" s="1399">
        <f t="shared" si="3"/>
        <v>1.1108832826287555E-3</v>
      </c>
      <c r="O14" s="1399">
        <f t="shared" si="4"/>
        <v>4.3795917206032672E-5</v>
      </c>
      <c r="P14" s="122">
        <f t="shared" si="5"/>
        <v>19</v>
      </c>
      <c r="Q14" s="123">
        <f t="shared" si="6"/>
        <v>6</v>
      </c>
      <c r="R14" s="1400">
        <v>9.9999999999999995E-7</v>
      </c>
      <c r="S14" s="115" t="s">
        <v>440</v>
      </c>
      <c r="T14" s="130"/>
      <c r="U14" s="130"/>
      <c r="V14" s="52" t="s">
        <v>19</v>
      </c>
      <c r="W14" s="53">
        <v>7.6594676997795368</v>
      </c>
      <c r="X14" s="54">
        <v>7.6735085679957855</v>
      </c>
      <c r="Y14" s="55"/>
      <c r="Z14" s="55"/>
      <c r="AA14" s="55"/>
      <c r="AB14" s="55"/>
      <c r="AC14" s="55"/>
      <c r="AD14" s="55"/>
      <c r="AE14" s="55"/>
      <c r="AF14" s="55"/>
      <c r="AG14" s="55"/>
    </row>
    <row r="15" spans="1:35" s="56" customFormat="1" x14ac:dyDescent="0.25">
      <c r="B15" s="130"/>
      <c r="C15" s="115"/>
      <c r="D15" s="1150" t="s">
        <v>15</v>
      </c>
      <c r="E15" s="321" t="s">
        <v>448</v>
      </c>
      <c r="F15" s="160">
        <f t="shared" si="2"/>
        <v>4.4376917019734679</v>
      </c>
      <c r="G15" s="1397">
        <f t="shared" si="0"/>
        <v>6.6776628424180531E-4</v>
      </c>
      <c r="H15" s="119" t="s">
        <v>439</v>
      </c>
      <c r="I15" s="170">
        <f>VLOOKUP(H15,'CP FACTORS'!$A$3:$B$38, 2, FALSE)</f>
        <v>1.4925290000000001E-4</v>
      </c>
      <c r="J15" s="119" t="s">
        <v>30</v>
      </c>
      <c r="K15" s="170">
        <f>VLOOKUP(J15,'CP FACTORS'!$A$3:$B$38, 2, FALSE)</f>
        <v>1.899635E-4</v>
      </c>
      <c r="L15" s="121">
        <f t="shared" si="7"/>
        <v>4.3043620920848991</v>
      </c>
      <c r="M15" s="1398">
        <f t="shared" si="1"/>
        <v>0.13332960988856851</v>
      </c>
      <c r="N15" s="1399">
        <f t="shared" si="3"/>
        <v>6.4243852489373823E-4</v>
      </c>
      <c r="O15" s="1399">
        <f t="shared" si="4"/>
        <v>2.5327759348067084E-5</v>
      </c>
      <c r="P15" s="122">
        <f t="shared" si="5"/>
        <v>19</v>
      </c>
      <c r="Q15" s="123">
        <f t="shared" si="6"/>
        <v>6</v>
      </c>
      <c r="R15" s="1400">
        <v>9.9999999999999995E-7</v>
      </c>
      <c r="S15" s="115" t="s">
        <v>440</v>
      </c>
      <c r="T15" s="130"/>
      <c r="U15" s="130"/>
      <c r="V15" s="52" t="s">
        <v>19</v>
      </c>
      <c r="W15" s="53">
        <v>4.4295716818002155</v>
      </c>
      <c r="X15" s="54">
        <v>4.4376917019734679</v>
      </c>
      <c r="Y15" s="55"/>
      <c r="Z15" s="55"/>
      <c r="AA15" s="55"/>
      <c r="AB15" s="55"/>
      <c r="AC15" s="55"/>
      <c r="AD15" s="55"/>
      <c r="AE15" s="55"/>
      <c r="AF15" s="55"/>
      <c r="AG15" s="55"/>
    </row>
    <row r="16" spans="1:35" s="56" customFormat="1" x14ac:dyDescent="0.25">
      <c r="B16" s="130"/>
      <c r="C16" s="115"/>
      <c r="D16" s="1150" t="s">
        <v>15</v>
      </c>
      <c r="E16" s="321" t="s">
        <v>449</v>
      </c>
      <c r="F16" s="160">
        <f t="shared" si="2"/>
        <v>46.503310960263626</v>
      </c>
      <c r="G16" s="1397">
        <f t="shared" si="0"/>
        <v>6.9976341869505835E-3</v>
      </c>
      <c r="H16" s="119" t="s">
        <v>439</v>
      </c>
      <c r="I16" s="170">
        <f>VLOOKUP(H16,'CP FACTORS'!$A$3:$B$38, 2, FALSE)</f>
        <v>1.4925290000000001E-4</v>
      </c>
      <c r="J16" s="119" t="s">
        <v>30</v>
      </c>
      <c r="K16" s="170">
        <f>VLOOKUP(J16,'CP FACTORS'!$A$3:$B$38, 2, FALSE)</f>
        <v>1.899635E-4</v>
      </c>
      <c r="L16" s="121">
        <f t="shared" si="7"/>
        <v>45.106127756639665</v>
      </c>
      <c r="M16" s="1398">
        <f t="shared" si="1"/>
        <v>1.3971832036239573</v>
      </c>
      <c r="N16" s="1399">
        <f t="shared" si="3"/>
        <v>6.732220375448965E-3</v>
      </c>
      <c r="O16" s="1399">
        <f t="shared" si="4"/>
        <v>2.6541381150161963E-4</v>
      </c>
      <c r="P16" s="122">
        <f t="shared" si="5"/>
        <v>19</v>
      </c>
      <c r="Q16" s="123">
        <f t="shared" si="6"/>
        <v>6</v>
      </c>
      <c r="R16" s="1400">
        <v>9.9999999999999995E-7</v>
      </c>
      <c r="S16" s="115" t="s">
        <v>440</v>
      </c>
      <c r="T16" s="130"/>
      <c r="U16" s="130"/>
      <c r="V16" s="52" t="s">
        <v>19</v>
      </c>
      <c r="W16" s="53">
        <v>46.971916375756443</v>
      </c>
      <c r="X16" s="54">
        <v>46.503310960263626</v>
      </c>
      <c r="Y16" s="55"/>
      <c r="Z16" s="55"/>
      <c r="AA16" s="55"/>
      <c r="AB16" s="55"/>
      <c r="AC16" s="55"/>
      <c r="AD16" s="55"/>
      <c r="AE16" s="55"/>
      <c r="AF16" s="55"/>
      <c r="AG16" s="55"/>
    </row>
    <row r="17" spans="2:33" s="56" customFormat="1" x14ac:dyDescent="0.25">
      <c r="B17" s="130"/>
      <c r="C17" s="115"/>
      <c r="D17" s="1150" t="s">
        <v>15</v>
      </c>
      <c r="E17" s="321" t="s">
        <v>450</v>
      </c>
      <c r="F17" s="160">
        <f t="shared" si="2"/>
        <v>4.6225955228890285</v>
      </c>
      <c r="G17" s="1397">
        <f t="shared" si="0"/>
        <v>6.9558987941854714E-4</v>
      </c>
      <c r="H17" s="119" t="s">
        <v>439</v>
      </c>
      <c r="I17" s="170">
        <f>VLOOKUP(H17,'CP FACTORS'!$A$3:$B$38, 2, FALSE)</f>
        <v>1.4925290000000001E-4</v>
      </c>
      <c r="J17" s="119" t="s">
        <v>30</v>
      </c>
      <c r="K17" s="170">
        <f>VLOOKUP(J17,'CP FACTORS'!$A$3:$B$38, 2, FALSE)</f>
        <v>1.899635E-4</v>
      </c>
      <c r="L17" s="121">
        <f t="shared" si="7"/>
        <v>4.483710512588436</v>
      </c>
      <c r="M17" s="1398">
        <f t="shared" si="1"/>
        <v>0.13888501030059219</v>
      </c>
      <c r="N17" s="1399">
        <f t="shared" si="3"/>
        <v>6.6920679676431066E-4</v>
      </c>
      <c r="O17" s="1399">
        <f t="shared" si="4"/>
        <v>2.6383082654236545E-5</v>
      </c>
      <c r="P17" s="122">
        <f t="shared" si="5"/>
        <v>19</v>
      </c>
      <c r="Q17" s="123">
        <f t="shared" si="6"/>
        <v>6</v>
      </c>
      <c r="R17" s="1400">
        <v>9.9999999999999995E-7</v>
      </c>
      <c r="S17" s="115" t="s">
        <v>440</v>
      </c>
      <c r="T17" s="130"/>
      <c r="U17" s="130"/>
      <c r="V17" s="52" t="s">
        <v>19</v>
      </c>
      <c r="W17" s="53">
        <v>4.6141371685418902</v>
      </c>
      <c r="X17" s="54">
        <v>4.6225955228890285</v>
      </c>
      <c r="Y17" s="55"/>
      <c r="Z17" s="55"/>
      <c r="AA17" s="55"/>
      <c r="AB17" s="55"/>
      <c r="AC17" s="55"/>
      <c r="AD17" s="55"/>
      <c r="AE17" s="55"/>
      <c r="AF17" s="55"/>
      <c r="AG17" s="55"/>
    </row>
    <row r="18" spans="2:33" s="56" customFormat="1" x14ac:dyDescent="0.25">
      <c r="B18" s="130"/>
      <c r="C18" s="115"/>
      <c r="D18" s="1150" t="s">
        <v>15</v>
      </c>
      <c r="E18" s="321" t="s">
        <v>451</v>
      </c>
      <c r="F18" s="160">
        <f t="shared" si="2"/>
        <v>75.810566575380079</v>
      </c>
      <c r="G18" s="1397">
        <f t="shared" si="0"/>
        <v>1.1407674022464174E-2</v>
      </c>
      <c r="H18" s="119" t="s">
        <v>439</v>
      </c>
      <c r="I18" s="170">
        <f>VLOOKUP(H18,'CP FACTORS'!$A$3:$B$38, 2, FALSE)</f>
        <v>1.4925290000000001E-4</v>
      </c>
      <c r="J18" s="119" t="s">
        <v>30</v>
      </c>
      <c r="K18" s="170">
        <f>VLOOKUP(J18,'CP FACTORS'!$A$3:$B$38, 2, FALSE)</f>
        <v>1.899635E-4</v>
      </c>
      <c r="L18" s="121">
        <f t="shared" si="7"/>
        <v>73.53285240645036</v>
      </c>
      <c r="M18" s="1398">
        <f t="shared" si="1"/>
        <v>2.2777141689297125</v>
      </c>
      <c r="N18" s="1399">
        <f t="shared" si="3"/>
        <v>1.0974991466934696E-2</v>
      </c>
      <c r="O18" s="1399">
        <f t="shared" si="4"/>
        <v>4.3268255552947945E-4</v>
      </c>
      <c r="P18" s="122">
        <f t="shared" si="5"/>
        <v>19</v>
      </c>
      <c r="Q18" s="123">
        <f t="shared" si="6"/>
        <v>6</v>
      </c>
      <c r="R18" s="1400">
        <v>9.9999999999999995E-7</v>
      </c>
      <c r="S18" s="115" t="s">
        <v>440</v>
      </c>
      <c r="T18" s="130"/>
      <c r="U18" s="130"/>
      <c r="V18" s="52" t="s">
        <v>19</v>
      </c>
      <c r="W18" s="53">
        <v>75.671849564086983</v>
      </c>
      <c r="X18" s="54">
        <v>75.810566575380079</v>
      </c>
      <c r="Y18" s="55"/>
      <c r="Z18" s="55"/>
      <c r="AA18" s="55"/>
      <c r="AB18" s="55"/>
      <c r="AC18" s="55"/>
      <c r="AD18" s="55"/>
      <c r="AE18" s="55"/>
      <c r="AF18" s="55"/>
      <c r="AG18" s="55"/>
    </row>
    <row r="19" spans="2:33" s="56" customFormat="1" x14ac:dyDescent="0.25">
      <c r="B19" s="130"/>
      <c r="C19" s="115"/>
      <c r="D19" s="1150" t="s">
        <v>15</v>
      </c>
      <c r="E19" s="321" t="s">
        <v>452</v>
      </c>
      <c r="F19" s="160">
        <f t="shared" si="2"/>
        <v>9.0602872248624973</v>
      </c>
      <c r="G19" s="1397">
        <f t="shared" si="0"/>
        <v>1.3633561636603529E-3</v>
      </c>
      <c r="H19" s="119" t="s">
        <v>439</v>
      </c>
      <c r="I19" s="170">
        <f>VLOOKUP(H19,'CP FACTORS'!$A$3:$B$38, 2, FALSE)</f>
        <v>1.4925290000000001E-4</v>
      </c>
      <c r="J19" s="119" t="s">
        <v>30</v>
      </c>
      <c r="K19" s="170">
        <f>VLOOKUP(J19,'CP FACTORS'!$A$3:$B$38, 2, FALSE)</f>
        <v>1.899635E-4</v>
      </c>
      <c r="L19" s="121">
        <f t="shared" si="7"/>
        <v>8.7880726046733368</v>
      </c>
      <c r="M19" s="1398">
        <f t="shared" si="1"/>
        <v>0.27221462018916076</v>
      </c>
      <c r="N19" s="1399">
        <f t="shared" si="3"/>
        <v>1.3116453216580491E-3</v>
      </c>
      <c r="O19" s="1399">
        <f t="shared" si="4"/>
        <v>5.1710842002303639E-5</v>
      </c>
      <c r="P19" s="122">
        <f t="shared" si="5"/>
        <v>19</v>
      </c>
      <c r="Q19" s="123">
        <f t="shared" si="6"/>
        <v>6</v>
      </c>
      <c r="R19" s="1400">
        <v>9.9999999999999995E-7</v>
      </c>
      <c r="S19" s="115" t="s">
        <v>440</v>
      </c>
      <c r="T19" s="130"/>
      <c r="U19" s="130"/>
      <c r="V19" s="52" t="s">
        <v>19</v>
      </c>
      <c r="W19" s="53">
        <v>9.043708850342103</v>
      </c>
      <c r="X19" s="54">
        <v>9.0602872248624973</v>
      </c>
      <c r="Y19" s="55"/>
      <c r="Z19" s="55"/>
      <c r="AA19" s="55"/>
      <c r="AB19" s="55"/>
      <c r="AC19" s="55"/>
      <c r="AD19" s="55"/>
      <c r="AE19" s="55"/>
      <c r="AF19" s="55"/>
      <c r="AG19" s="55"/>
    </row>
    <row r="20" spans="2:33" s="56" customFormat="1" x14ac:dyDescent="0.25">
      <c r="B20" s="130"/>
      <c r="C20" s="115"/>
      <c r="D20" s="1150" t="s">
        <v>15</v>
      </c>
      <c r="E20" s="321" t="s">
        <v>453</v>
      </c>
      <c r="F20" s="160">
        <f t="shared" si="2"/>
        <v>52.512685140019379</v>
      </c>
      <c r="G20" s="1397">
        <f t="shared" si="0"/>
        <v>7.9019010301946968E-3</v>
      </c>
      <c r="H20" s="119" t="s">
        <v>439</v>
      </c>
      <c r="I20" s="170">
        <f>VLOOKUP(H20,'CP FACTORS'!$A$3:$B$38, 2, FALSE)</f>
        <v>1.4925290000000001E-4</v>
      </c>
      <c r="J20" s="119" t="s">
        <v>30</v>
      </c>
      <c r="K20" s="170">
        <f>VLOOKUP(J20,'CP FACTORS'!$A$3:$B$38, 2, FALSE)</f>
        <v>1.899635E-4</v>
      </c>
      <c r="L20" s="121">
        <f t="shared" si="7"/>
        <v>50.934951423004648</v>
      </c>
      <c r="M20" s="1398">
        <f t="shared" si="1"/>
        <v>1.5777337170147274</v>
      </c>
      <c r="N20" s="1399">
        <f t="shared" si="3"/>
        <v>7.6021892112425708E-3</v>
      </c>
      <c r="O20" s="1399">
        <f t="shared" si="4"/>
        <v>2.9971181895212717E-4</v>
      </c>
      <c r="P20" s="122">
        <f t="shared" si="5"/>
        <v>19</v>
      </c>
      <c r="Q20" s="123">
        <f t="shared" si="6"/>
        <v>6</v>
      </c>
      <c r="R20" s="1400">
        <v>9.9999999999999995E-7</v>
      </c>
      <c r="S20" s="115" t="s">
        <v>440</v>
      </c>
      <c r="T20" s="130"/>
      <c r="U20" s="130"/>
      <c r="V20" s="52" t="s">
        <v>19</v>
      </c>
      <c r="W20" s="53">
        <v>52.601163721377539</v>
      </c>
      <c r="X20" s="54">
        <v>52.512685140019379</v>
      </c>
      <c r="Y20" s="55"/>
      <c r="Z20" s="55"/>
      <c r="AA20" s="55"/>
      <c r="AB20" s="55"/>
      <c r="AC20" s="55"/>
      <c r="AD20" s="55"/>
      <c r="AE20" s="55"/>
      <c r="AF20" s="55"/>
      <c r="AG20" s="55"/>
    </row>
    <row r="21" spans="2:33" s="56" customFormat="1" x14ac:dyDescent="0.25">
      <c r="B21" s="130"/>
      <c r="C21" s="115"/>
      <c r="D21" s="1150" t="s">
        <v>15</v>
      </c>
      <c r="E21" s="321" t="s">
        <v>454</v>
      </c>
      <c r="F21" s="160">
        <f t="shared" si="2"/>
        <v>4.1603359706001255</v>
      </c>
      <c r="G21" s="1397">
        <f t="shared" si="0"/>
        <v>6.2603089147669246E-4</v>
      </c>
      <c r="H21" s="119" t="s">
        <v>439</v>
      </c>
      <c r="I21" s="170">
        <f>VLOOKUP(H21,'CP FACTORS'!$A$3:$B$38, 2, FALSE)</f>
        <v>1.4925290000000001E-4</v>
      </c>
      <c r="J21" s="119" t="s">
        <v>30</v>
      </c>
      <c r="K21" s="170">
        <f>VLOOKUP(J21,'CP FACTORS'!$A$3:$B$38, 2, FALSE)</f>
        <v>1.899635E-4</v>
      </c>
      <c r="L21" s="121">
        <f t="shared" si="7"/>
        <v>4.0353394613295928</v>
      </c>
      <c r="M21" s="1398">
        <f t="shared" si="1"/>
        <v>0.12499650927053299</v>
      </c>
      <c r="N21" s="1399">
        <f t="shared" si="3"/>
        <v>6.0228611708787959E-4</v>
      </c>
      <c r="O21" s="1399">
        <f t="shared" si="4"/>
        <v>2.3744774388812896E-5</v>
      </c>
      <c r="P21" s="122">
        <f t="shared" si="5"/>
        <v>19</v>
      </c>
      <c r="Q21" s="123">
        <f t="shared" si="6"/>
        <v>6</v>
      </c>
      <c r="R21" s="1400">
        <v>9.9999999999999995E-7</v>
      </c>
      <c r="S21" s="115" t="s">
        <v>440</v>
      </c>
      <c r="T21" s="130"/>
      <c r="U21" s="130"/>
      <c r="V21" s="52" t="s">
        <v>19</v>
      </c>
      <c r="W21" s="53">
        <v>4.1527234516877014</v>
      </c>
      <c r="X21" s="54">
        <v>4.1603359706001255</v>
      </c>
      <c r="Y21" s="55"/>
      <c r="Z21" s="55"/>
      <c r="AA21" s="55"/>
      <c r="AB21" s="55"/>
      <c r="AC21" s="55"/>
      <c r="AD21" s="55"/>
      <c r="AE21" s="55"/>
      <c r="AF21" s="55"/>
      <c r="AG21" s="55"/>
    </row>
    <row r="22" spans="2:33" s="56" customFormat="1" x14ac:dyDescent="0.25">
      <c r="B22" s="130"/>
      <c r="C22" s="115"/>
      <c r="D22" s="1150" t="s">
        <v>15</v>
      </c>
      <c r="E22" s="321" t="s">
        <v>455</v>
      </c>
      <c r="F22" s="160">
        <f t="shared" si="2"/>
        <v>33.652495406632127</v>
      </c>
      <c r="G22" s="1397">
        <f t="shared" si="0"/>
        <v>5.0638943221670242E-3</v>
      </c>
      <c r="H22" s="119" t="s">
        <v>439</v>
      </c>
      <c r="I22" s="170">
        <f>VLOOKUP(H22,'CP FACTORS'!$A$3:$B$38, 2, FALSE)</f>
        <v>1.4925290000000001E-4</v>
      </c>
      <c r="J22" s="119" t="s">
        <v>30</v>
      </c>
      <c r="K22" s="170">
        <f>VLOOKUP(J22,'CP FACTORS'!$A$3:$B$38, 2, FALSE)</f>
        <v>1.899635E-4</v>
      </c>
      <c r="L22" s="121">
        <f t="shared" si="7"/>
        <v>32.641412531643816</v>
      </c>
      <c r="M22" s="1398">
        <f t="shared" si="1"/>
        <v>1.0110828749883112</v>
      </c>
      <c r="N22" s="1399">
        <f t="shared" si="3"/>
        <v>4.8718254804441816E-3</v>
      </c>
      <c r="O22" s="1399">
        <f t="shared" si="4"/>
        <v>1.9206884172284205E-4</v>
      </c>
      <c r="P22" s="122">
        <f t="shared" si="5"/>
        <v>19</v>
      </c>
      <c r="Q22" s="123">
        <f t="shared" si="6"/>
        <v>6</v>
      </c>
      <c r="R22" s="1400">
        <v>9.9999999999999995E-7</v>
      </c>
      <c r="S22" s="115" t="s">
        <v>440</v>
      </c>
      <c r="T22" s="130"/>
      <c r="U22" s="130"/>
      <c r="V22" s="52" t="s">
        <v>19</v>
      </c>
      <c r="W22" s="53">
        <v>33.138733144467849</v>
      </c>
      <c r="X22" s="54">
        <v>33.652495406632127</v>
      </c>
      <c r="Y22" s="55"/>
      <c r="Z22" s="55"/>
      <c r="AA22" s="55"/>
      <c r="AB22" s="55"/>
      <c r="AC22" s="55"/>
      <c r="AD22" s="55"/>
      <c r="AE22" s="55"/>
      <c r="AF22" s="55"/>
      <c r="AG22" s="55"/>
    </row>
    <row r="23" spans="2:33" s="56" customFormat="1" x14ac:dyDescent="0.25">
      <c r="B23" s="130"/>
      <c r="C23" s="115"/>
      <c r="D23" s="1150" t="s">
        <v>15</v>
      </c>
      <c r="E23" s="321" t="s">
        <v>456</v>
      </c>
      <c r="F23" s="160">
        <f t="shared" si="2"/>
        <v>4.7150474333468093</v>
      </c>
      <c r="G23" s="1397">
        <f t="shared" si="0"/>
        <v>7.0950167700691827E-4</v>
      </c>
      <c r="H23" s="119" t="s">
        <v>439</v>
      </c>
      <c r="I23" s="170">
        <f>VLOOKUP(H23,'CP FACTORS'!$A$3:$B$38, 2, FALSE)</f>
        <v>1.4925290000000001E-4</v>
      </c>
      <c r="J23" s="119" t="s">
        <v>30</v>
      </c>
      <c r="K23" s="170">
        <f>VLOOKUP(J23,'CP FACTORS'!$A$3:$B$38, 2, FALSE)</f>
        <v>1.899635E-4</v>
      </c>
      <c r="L23" s="121">
        <f t="shared" si="7"/>
        <v>4.5733847228402054</v>
      </c>
      <c r="M23" s="1398">
        <f t="shared" si="1"/>
        <v>0.14166271050660401</v>
      </c>
      <c r="N23" s="1399">
        <f t="shared" si="3"/>
        <v>6.8259093269959698E-4</v>
      </c>
      <c r="O23" s="1399">
        <f t="shared" si="4"/>
        <v>2.691074430732127E-5</v>
      </c>
      <c r="P23" s="122">
        <f t="shared" si="5"/>
        <v>19</v>
      </c>
      <c r="Q23" s="123">
        <f t="shared" si="6"/>
        <v>6</v>
      </c>
      <c r="R23" s="1400">
        <v>9.9999999999999995E-7</v>
      </c>
      <c r="S23" s="115" t="s">
        <v>440</v>
      </c>
      <c r="T23" s="130"/>
      <c r="U23" s="130"/>
      <c r="V23" s="52" t="s">
        <v>19</v>
      </c>
      <c r="W23" s="53">
        <v>4.706419911912727</v>
      </c>
      <c r="X23" s="54">
        <v>4.7150474333468093</v>
      </c>
      <c r="Y23" s="55"/>
      <c r="Z23" s="55"/>
      <c r="AA23" s="55"/>
      <c r="AB23" s="55"/>
      <c r="AC23" s="55"/>
      <c r="AD23" s="55"/>
      <c r="AE23" s="55"/>
      <c r="AF23" s="55"/>
      <c r="AG23" s="55"/>
    </row>
    <row r="24" spans="2:33" s="56" customFormat="1" x14ac:dyDescent="0.25">
      <c r="B24" s="130"/>
      <c r="C24" s="115"/>
      <c r="D24" s="1150" t="s">
        <v>15</v>
      </c>
      <c r="E24" s="321" t="s">
        <v>457</v>
      </c>
      <c r="F24" s="160">
        <f t="shared" si="2"/>
        <v>32.173264839307649</v>
      </c>
      <c r="G24" s="1397">
        <f t="shared" si="0"/>
        <v>4.8413055607530895E-3</v>
      </c>
      <c r="H24" s="119" t="s">
        <v>439</v>
      </c>
      <c r="I24" s="170">
        <f>VLOOKUP(H24,'CP FACTORS'!$A$3:$B$38, 2, FALSE)</f>
        <v>1.4925290000000001E-4</v>
      </c>
      <c r="J24" s="119" t="s">
        <v>30</v>
      </c>
      <c r="K24" s="170">
        <f>VLOOKUP(J24,'CP FACTORS'!$A$3:$B$38, 2, FALSE)</f>
        <v>1.899635E-4</v>
      </c>
      <c r="L24" s="121">
        <f t="shared" si="7"/>
        <v>31.206625167615524</v>
      </c>
      <c r="M24" s="1398">
        <f t="shared" si="1"/>
        <v>0.96663967169212184</v>
      </c>
      <c r="N24" s="1399">
        <f t="shared" si="3"/>
        <v>4.6576793054796031E-3</v>
      </c>
      <c r="O24" s="1399">
        <f t="shared" si="4"/>
        <v>1.836262552734864E-4</v>
      </c>
      <c r="P24" s="122">
        <f t="shared" si="5"/>
        <v>19</v>
      </c>
      <c r="Q24" s="123">
        <f t="shared" si="6"/>
        <v>6</v>
      </c>
      <c r="R24" s="1400">
        <v>9.9999999999999995E-7</v>
      </c>
      <c r="S24" s="115" t="s">
        <v>440</v>
      </c>
      <c r="T24" s="130"/>
      <c r="U24" s="130"/>
      <c r="V24" s="52" t="s">
        <v>19</v>
      </c>
      <c r="W24" s="53">
        <v>33.350983454220781</v>
      </c>
      <c r="X24" s="54">
        <v>32.173264839307649</v>
      </c>
      <c r="Y24" s="55"/>
      <c r="Z24" s="55"/>
      <c r="AA24" s="55"/>
      <c r="AB24" s="55"/>
      <c r="AC24" s="55"/>
      <c r="AD24" s="55"/>
      <c r="AE24" s="55"/>
      <c r="AF24" s="55"/>
      <c r="AG24" s="55"/>
    </row>
    <row r="25" spans="2:33" s="56" customFormat="1" x14ac:dyDescent="0.25">
      <c r="B25" s="130"/>
      <c r="C25" s="115"/>
      <c r="D25" s="1150" t="s">
        <v>15</v>
      </c>
      <c r="E25" s="321" t="s">
        <v>458</v>
      </c>
      <c r="F25" s="160">
        <f t="shared" si="2"/>
        <v>29.677063256947569</v>
      </c>
      <c r="G25" s="1397">
        <f t="shared" si="0"/>
        <v>4.4656870258670744E-3</v>
      </c>
      <c r="H25" s="119" t="s">
        <v>439</v>
      </c>
      <c r="I25" s="170">
        <f>VLOOKUP(H25,'CP FACTORS'!$A$3:$B$38, 2, FALSE)</f>
        <v>1.4925290000000001E-4</v>
      </c>
      <c r="J25" s="119" t="s">
        <v>30</v>
      </c>
      <c r="K25" s="170">
        <f>VLOOKUP(J25,'CP FACTORS'!$A$3:$B$38, 2, FALSE)</f>
        <v>1.899635E-4</v>
      </c>
      <c r="L25" s="121">
        <f>((G57-G78)*$G$87*$G$81*(1-$G$82)*($G$83*$G$84)/1000)</f>
        <v>28.785421490817768</v>
      </c>
      <c r="M25" s="1398">
        <f>((G57-G78)*(1-$G$87)*$G$81*(1-$G$82)*($G$85*$G$86)/1000)</f>
        <v>0.89164176612980195</v>
      </c>
      <c r="N25" s="1399">
        <f t="shared" si="3"/>
        <v>4.2963076352268755E-3</v>
      </c>
      <c r="O25" s="1399">
        <f t="shared" si="4"/>
        <v>1.6937939064019865E-4</v>
      </c>
      <c r="P25" s="122">
        <f t="shared" si="5"/>
        <v>19</v>
      </c>
      <c r="Q25" s="123">
        <f t="shared" si="6"/>
        <v>6</v>
      </c>
      <c r="R25" s="1400">
        <v>9.9999999999999995E-7</v>
      </c>
      <c r="S25" s="115" t="s">
        <v>440</v>
      </c>
      <c r="T25" s="130"/>
      <c r="U25" s="130"/>
      <c r="V25" s="52" t="s">
        <v>19</v>
      </c>
      <c r="W25" s="53">
        <v>29.733499914083939</v>
      </c>
      <c r="X25" s="54">
        <v>29.677063256947569</v>
      </c>
      <c r="Y25" s="55"/>
      <c r="Z25" s="55"/>
      <c r="AA25" s="55"/>
      <c r="AB25" s="55"/>
      <c r="AC25" s="55"/>
      <c r="AD25" s="55"/>
      <c r="AE25" s="55"/>
      <c r="AF25" s="55"/>
      <c r="AG25" s="55"/>
    </row>
    <row r="26" spans="2:33" s="56" customFormat="1" x14ac:dyDescent="0.25">
      <c r="B26" s="130"/>
      <c r="C26" s="115"/>
      <c r="D26" s="1150" t="s">
        <v>15</v>
      </c>
      <c r="E26" s="321" t="s">
        <v>459</v>
      </c>
      <c r="F26" s="160">
        <f t="shared" si="2"/>
        <v>38.275090929521156</v>
      </c>
      <c r="G26" s="1397">
        <f t="shared" si="0"/>
        <v>5.7594842015855708E-3</v>
      </c>
      <c r="H26" s="119" t="s">
        <v>439</v>
      </c>
      <c r="I26" s="170">
        <f>VLOOKUP(H26,'CP FACTORS'!$A$3:$B$38, 2, FALSE)</f>
        <v>1.4925290000000001E-4</v>
      </c>
      <c r="J26" s="119" t="s">
        <v>30</v>
      </c>
      <c r="K26" s="170">
        <f>VLOOKUP(J26,'CP FACTORS'!$A$3:$B$38, 2, FALSE)</f>
        <v>1.899635E-4</v>
      </c>
      <c r="L26" s="121">
        <f>((G58-G79)*$G$87*$G$81*(1-$G$82)*($G$83*$G$84)/1000)</f>
        <v>37.125123044232254</v>
      </c>
      <c r="M26" s="1398">
        <f>((G58-G79)*(1-$G$87)*$G$81*(1-$G$82)*($G$85*$G$86)/1000)</f>
        <v>1.1499678852889033</v>
      </c>
      <c r="N26" s="1399">
        <f t="shared" si="3"/>
        <v>5.5410322772084927E-3</v>
      </c>
      <c r="O26" s="1399">
        <f t="shared" si="4"/>
        <v>2.1845192437707858E-4</v>
      </c>
      <c r="P26" s="122">
        <f t="shared" si="5"/>
        <v>19</v>
      </c>
      <c r="Q26" s="123">
        <f t="shared" si="6"/>
        <v>6</v>
      </c>
      <c r="R26" s="1400">
        <v>9.9999999999999995E-7</v>
      </c>
      <c r="S26" s="115" t="s">
        <v>440</v>
      </c>
      <c r="T26" s="130"/>
      <c r="U26" s="130"/>
      <c r="V26" s="52" t="s">
        <v>19</v>
      </c>
      <c r="W26" s="53">
        <v>39.127883189235227</v>
      </c>
      <c r="X26" s="54">
        <v>38.275090929521156</v>
      </c>
      <c r="Y26" s="55"/>
      <c r="Z26" s="55"/>
      <c r="AA26" s="55"/>
      <c r="AB26" s="55"/>
      <c r="AC26" s="55"/>
      <c r="AD26" s="55"/>
      <c r="AE26" s="55"/>
      <c r="AF26" s="55"/>
      <c r="AG26" s="55"/>
    </row>
    <row r="27" spans="2:33" s="56" customFormat="1" ht="30" x14ac:dyDescent="0.25">
      <c r="B27" s="130"/>
      <c r="C27" s="115"/>
      <c r="D27" s="1150" t="s">
        <v>15</v>
      </c>
      <c r="E27" s="321" t="s">
        <v>460</v>
      </c>
      <c r="F27" s="160">
        <f t="shared" si="2"/>
        <v>46.503310960263626</v>
      </c>
      <c r="G27" s="1397">
        <f t="shared" si="0"/>
        <v>6.9976341869505835E-3</v>
      </c>
      <c r="H27" s="119" t="s">
        <v>439</v>
      </c>
      <c r="I27" s="170">
        <f>VLOOKUP(H27,'CP FACTORS'!$A$3:$B$38, 2, FALSE)</f>
        <v>1.4925290000000001E-4</v>
      </c>
      <c r="J27" s="119" t="s">
        <v>30</v>
      </c>
      <c r="K27" s="170">
        <f>VLOOKUP(J27,'CP FACTORS'!$A$3:$B$38, 2, FALSE)</f>
        <v>1.899635E-4</v>
      </c>
      <c r="L27" s="121">
        <f>((G59-G80)*$G$87*$G$81*(1-$G$82)*($G$83*$G$84)/1000)</f>
        <v>45.106127756639665</v>
      </c>
      <c r="M27" s="1398">
        <f>((G59-G80)*(1-$G$87)*$G$81*(1-$G$82)*($G$85*$G$86)/1000)</f>
        <v>1.3971832036239573</v>
      </c>
      <c r="N27" s="1399">
        <f t="shared" si="3"/>
        <v>6.732220375448965E-3</v>
      </c>
      <c r="O27" s="1399">
        <f t="shared" si="4"/>
        <v>2.6541381150161963E-4</v>
      </c>
      <c r="P27" s="122">
        <f t="shared" si="5"/>
        <v>19</v>
      </c>
      <c r="Q27" s="123">
        <f t="shared" si="6"/>
        <v>6</v>
      </c>
      <c r="R27" s="1400">
        <v>9.9999999999999995E-7</v>
      </c>
      <c r="S27" s="115" t="s">
        <v>440</v>
      </c>
      <c r="T27" s="130"/>
      <c r="U27" s="130"/>
      <c r="V27" s="52" t="s">
        <v>19</v>
      </c>
      <c r="W27" s="53">
        <v>46.971916375756443</v>
      </c>
      <c r="X27" s="54">
        <v>46.503310960263626</v>
      </c>
      <c r="Y27" s="55"/>
      <c r="Z27" s="55"/>
      <c r="AA27" s="55"/>
      <c r="AB27" s="55"/>
      <c r="AC27" s="55"/>
      <c r="AD27" s="55"/>
      <c r="AE27" s="55"/>
      <c r="AF27" s="55"/>
      <c r="AG27" s="55"/>
    </row>
    <row r="28" spans="2:33" ht="31.5" customHeight="1" x14ac:dyDescent="0.25">
      <c r="C28" s="124"/>
      <c r="D28" s="125"/>
      <c r="E28" s="986"/>
      <c r="F28" s="126" t="s">
        <v>461</v>
      </c>
      <c r="H28" s="1401"/>
      <c r="I28" s="1401"/>
      <c r="J28" s="1401"/>
      <c r="K28" s="1401"/>
      <c r="L28" s="1401"/>
      <c r="M28" s="1401"/>
      <c r="N28" s="1401"/>
      <c r="O28" s="1401"/>
      <c r="P28" s="1401"/>
      <c r="Q28" s="1401"/>
      <c r="R28" s="1401"/>
      <c r="S28" s="658"/>
      <c r="U28" s="1402"/>
      <c r="V28" s="128"/>
    </row>
    <row r="29" spans="2:33" x14ac:dyDescent="0.25">
      <c r="C29" s="124"/>
      <c r="E29" s="986"/>
      <c r="F29" s="129" t="s">
        <v>462</v>
      </c>
    </row>
    <row r="30" spans="2:33" outlineLevel="1" x14ac:dyDescent="0.25">
      <c r="D30" s="1403" t="s">
        <v>463</v>
      </c>
      <c r="H30" s="2027"/>
      <c r="I30" s="2027"/>
      <c r="J30" s="2027"/>
      <c r="K30" s="2027"/>
      <c r="L30" s="2027"/>
      <c r="M30" s="2027"/>
      <c r="N30" s="2027"/>
      <c r="O30" s="2027"/>
      <c r="P30" s="2027"/>
      <c r="Q30" s="2027"/>
      <c r="R30" s="2027"/>
      <c r="S30" s="2027"/>
    </row>
    <row r="31" spans="2:33" outlineLevel="1" x14ac:dyDescent="0.25"/>
    <row r="32" spans="2:33" outlineLevel="1" x14ac:dyDescent="0.25"/>
    <row r="33" spans="4:33" outlineLevel="1" x14ac:dyDescent="0.25"/>
    <row r="34" spans="4:33" outlineLevel="1" x14ac:dyDescent="0.25"/>
    <row r="35" spans="4:33" outlineLevel="1" x14ac:dyDescent="0.25">
      <c r="W35" t="s">
        <v>464</v>
      </c>
    </row>
    <row r="36" spans="4:33" outlineLevel="1" x14ac:dyDescent="0.25"/>
    <row r="37" spans="4:33" outlineLevel="1" x14ac:dyDescent="0.25"/>
    <row r="38" spans="4:33" ht="48.75" customHeight="1" outlineLevel="1" x14ac:dyDescent="0.25">
      <c r="D38" s="131" t="s">
        <v>465</v>
      </c>
      <c r="E38" s="91" t="s">
        <v>466</v>
      </c>
      <c r="F38" s="131" t="s">
        <v>53</v>
      </c>
      <c r="G38" s="131" t="s">
        <v>467</v>
      </c>
      <c r="H38" s="131" t="str">
        <f>C6</f>
        <v>Measure Reference No.</v>
      </c>
      <c r="I38" s="2026" t="s">
        <v>468</v>
      </c>
      <c r="J38" s="2026"/>
      <c r="K38" s="2026"/>
      <c r="L38" s="2026"/>
      <c r="V38" s="48" t="s">
        <v>26</v>
      </c>
      <c r="W38" s="49">
        <v>43252</v>
      </c>
      <c r="X38" s="49" t="str">
        <f>$Y$6</f>
        <v>-</v>
      </c>
      <c r="Y38" s="49" t="str">
        <f>$Y$6</f>
        <v>-</v>
      </c>
      <c r="Z38" s="49" t="str">
        <f>$Z$6</f>
        <v>-</v>
      </c>
      <c r="AA38" s="49" t="str">
        <f>$AA$6</f>
        <v>-</v>
      </c>
      <c r="AB38" s="49" t="str">
        <f>$AB$6</f>
        <v>-</v>
      </c>
      <c r="AC38" s="49" t="str">
        <f>$AC$6</f>
        <v>-</v>
      </c>
      <c r="AD38" s="49" t="str">
        <f>$AD$6</f>
        <v>-</v>
      </c>
      <c r="AE38" s="49" t="str">
        <f>$AE$6</f>
        <v>-</v>
      </c>
      <c r="AF38" s="49" t="str">
        <f>$AF$6</f>
        <v>-</v>
      </c>
      <c r="AG38" s="49" t="str">
        <f>$AG$6</f>
        <v>-</v>
      </c>
    </row>
    <row r="39" spans="4:33" ht="30" outlineLevel="1" x14ac:dyDescent="0.25">
      <c r="D39" s="2011" t="s">
        <v>469</v>
      </c>
      <c r="E39" s="2015" t="s">
        <v>470</v>
      </c>
      <c r="F39" s="1404" t="str">
        <f t="shared" ref="F39:F56" si="8">E7</f>
        <v>LED - 10.5W Downlight E26 (CFL baseline)</v>
      </c>
      <c r="G39" s="87">
        <v>21</v>
      </c>
      <c r="H39" s="59">
        <f>C7</f>
        <v>0</v>
      </c>
      <c r="I39" s="2009"/>
      <c r="J39" s="2009"/>
      <c r="K39" s="2009"/>
      <c r="L39" s="2009"/>
      <c r="V39" s="2017" t="s">
        <v>469</v>
      </c>
      <c r="W39" s="87">
        <v>21</v>
      </c>
      <c r="X39" s="134">
        <v>21</v>
      </c>
      <c r="Y39" s="134"/>
      <c r="Z39" s="134"/>
      <c r="AA39" s="134"/>
      <c r="AB39" s="134"/>
      <c r="AC39" s="134"/>
      <c r="AD39" s="134"/>
      <c r="AE39" s="134"/>
      <c r="AF39" s="134"/>
      <c r="AG39" s="134"/>
    </row>
    <row r="40" spans="4:33" ht="30" outlineLevel="1" x14ac:dyDescent="0.25">
      <c r="D40" s="2012"/>
      <c r="E40" s="2013"/>
      <c r="F40" s="1404" t="str">
        <f t="shared" si="8"/>
        <v>LED - 10.5W Downlight E26 (Halogen baseline)</v>
      </c>
      <c r="G40" s="87">
        <v>34.200000000000003</v>
      </c>
      <c r="H40" s="59">
        <f t="shared" ref="H40:H56" si="9">C8</f>
        <v>0</v>
      </c>
      <c r="I40" s="2010" t="s">
        <v>1825</v>
      </c>
      <c r="J40" s="2010"/>
      <c r="K40" s="2010"/>
      <c r="L40" s="2010"/>
      <c r="V40" s="2018"/>
      <c r="W40" s="87">
        <v>43</v>
      </c>
      <c r="X40" s="54">
        <v>34.200000000000003</v>
      </c>
      <c r="Y40" s="133"/>
      <c r="Z40" s="133"/>
      <c r="AA40" s="133"/>
      <c r="AB40" s="133"/>
      <c r="AC40" s="133"/>
      <c r="AD40" s="133"/>
      <c r="AE40" s="133"/>
      <c r="AF40" s="133"/>
      <c r="AG40" s="133"/>
    </row>
    <row r="41" spans="4:33" outlineLevel="1" x14ac:dyDescent="0.25">
      <c r="D41" s="2012"/>
      <c r="E41" s="2013"/>
      <c r="F41" s="1404" t="str">
        <f t="shared" si="8"/>
        <v>LED - 10W (CFL baseline)</v>
      </c>
      <c r="G41" s="87">
        <v>13.4</v>
      </c>
      <c r="H41" s="59">
        <f t="shared" si="9"/>
        <v>0</v>
      </c>
      <c r="I41" s="2009" t="s">
        <v>472</v>
      </c>
      <c r="J41" s="2009"/>
      <c r="K41" s="2009"/>
      <c r="L41" s="2009"/>
      <c r="V41" s="2018"/>
      <c r="W41" s="87">
        <v>13.4</v>
      </c>
      <c r="X41" s="133">
        <v>13.4</v>
      </c>
      <c r="Y41" s="133"/>
      <c r="Z41" s="133"/>
      <c r="AA41" s="133"/>
      <c r="AB41" s="133"/>
      <c r="AC41" s="133"/>
      <c r="AD41" s="133"/>
      <c r="AE41" s="133"/>
      <c r="AF41" s="133"/>
      <c r="AG41" s="133"/>
    </row>
    <row r="42" spans="4:33" ht="15" customHeight="1" outlineLevel="1" x14ac:dyDescent="0.25">
      <c r="D42" s="2012"/>
      <c r="E42" s="2013"/>
      <c r="F42" s="1404" t="str">
        <f t="shared" si="8"/>
        <v>LED - 10W (Halogen baseline)</v>
      </c>
      <c r="G42" s="87">
        <v>41.1</v>
      </c>
      <c r="H42" s="59">
        <f t="shared" si="9"/>
        <v>0</v>
      </c>
      <c r="I42" s="2010" t="s">
        <v>1825</v>
      </c>
      <c r="J42" s="2010"/>
      <c r="K42" s="2010"/>
      <c r="L42" s="2010"/>
      <c r="V42" s="2018"/>
      <c r="W42" s="87">
        <v>41.32</v>
      </c>
      <c r="X42" s="135">
        <v>41.1</v>
      </c>
      <c r="Y42" s="133"/>
      <c r="Z42" s="133"/>
      <c r="AA42" s="133"/>
      <c r="AB42" s="133"/>
      <c r="AC42" s="133"/>
      <c r="AD42" s="133"/>
      <c r="AE42" s="133"/>
      <c r="AF42" s="133"/>
      <c r="AG42" s="133"/>
    </row>
    <row r="43" spans="4:33" ht="30" outlineLevel="1" x14ac:dyDescent="0.25">
      <c r="D43" s="2012"/>
      <c r="E43" s="2013"/>
      <c r="F43" s="1404" t="str">
        <f t="shared" si="8"/>
        <v>LED - 12W Dimmable Light Bulb (Replacing CFL)</v>
      </c>
      <c r="G43" s="87">
        <v>18</v>
      </c>
      <c r="H43" s="59">
        <f t="shared" si="9"/>
        <v>0</v>
      </c>
      <c r="I43" s="2009"/>
      <c r="J43" s="2009"/>
      <c r="K43" s="2009"/>
      <c r="L43" s="2009"/>
      <c r="V43" s="2018"/>
      <c r="W43" s="87">
        <v>18</v>
      </c>
      <c r="X43" s="132">
        <v>18</v>
      </c>
      <c r="Y43" s="132"/>
      <c r="Z43" s="132"/>
      <c r="AA43" s="132"/>
      <c r="AB43" s="132"/>
      <c r="AC43" s="132"/>
      <c r="AD43" s="132"/>
      <c r="AE43" s="132"/>
      <c r="AF43" s="132"/>
      <c r="AG43" s="132"/>
    </row>
    <row r="44" spans="4:33" ht="45" customHeight="1" outlineLevel="1" x14ac:dyDescent="0.25">
      <c r="D44" s="2012"/>
      <c r="E44" s="2013"/>
      <c r="F44" s="1404" t="str">
        <f t="shared" si="8"/>
        <v>LED - 12W Dimmable Light Bulb (Replacing Specialty Incandescent) LI DI</v>
      </c>
      <c r="G44" s="87">
        <v>60</v>
      </c>
      <c r="H44" s="59">
        <f t="shared" si="9"/>
        <v>0</v>
      </c>
      <c r="I44" s="2010" t="s">
        <v>1825</v>
      </c>
      <c r="J44" s="2010"/>
      <c r="K44" s="2010"/>
      <c r="L44" s="2010"/>
      <c r="V44" s="2018"/>
      <c r="W44" s="87">
        <v>76.25</v>
      </c>
      <c r="X44" s="86">
        <v>60</v>
      </c>
      <c r="Y44" s="132"/>
      <c r="Z44" s="132"/>
      <c r="AA44" s="132"/>
      <c r="AB44" s="132"/>
      <c r="AC44" s="132"/>
      <c r="AD44" s="132"/>
      <c r="AE44" s="132"/>
      <c r="AF44" s="132"/>
      <c r="AG44" s="132"/>
    </row>
    <row r="45" spans="4:33" outlineLevel="1" x14ac:dyDescent="0.25">
      <c r="D45" s="2012"/>
      <c r="E45" s="2013"/>
      <c r="F45" s="1404" t="str">
        <f t="shared" si="8"/>
        <v>LED - 15W (Halogen baseline)</v>
      </c>
      <c r="G45" s="87">
        <v>53</v>
      </c>
      <c r="H45" s="59">
        <f t="shared" si="9"/>
        <v>0</v>
      </c>
      <c r="I45" s="2009" t="s">
        <v>1825</v>
      </c>
      <c r="J45" s="2009"/>
      <c r="K45" s="2009"/>
      <c r="L45" s="2009"/>
      <c r="V45" s="2018"/>
      <c r="W45" s="87">
        <v>53</v>
      </c>
      <c r="X45" s="136">
        <v>53</v>
      </c>
      <c r="Y45" s="136"/>
      <c r="Z45" s="136"/>
      <c r="AA45" s="136"/>
      <c r="AB45" s="136"/>
      <c r="AC45" s="136"/>
      <c r="AD45" s="136"/>
      <c r="AE45" s="136"/>
      <c r="AF45" s="136"/>
      <c r="AG45" s="136"/>
    </row>
    <row r="46" spans="4:33" outlineLevel="1" x14ac:dyDescent="0.25">
      <c r="D46" s="2012"/>
      <c r="E46" s="2013"/>
      <c r="F46" s="1404" t="str">
        <f t="shared" si="8"/>
        <v>LED - 15W (CFL baseline)</v>
      </c>
      <c r="G46" s="87">
        <v>18.899999999999999</v>
      </c>
      <c r="H46" s="59">
        <f t="shared" si="9"/>
        <v>0</v>
      </c>
      <c r="I46" s="2009" t="s">
        <v>474</v>
      </c>
      <c r="J46" s="2009"/>
      <c r="K46" s="2009"/>
      <c r="L46" s="2009"/>
      <c r="V46" s="2018"/>
      <c r="W46" s="87">
        <v>18.899999999999999</v>
      </c>
      <c r="X46" s="136">
        <v>18.899999999999999</v>
      </c>
      <c r="Y46" s="136"/>
      <c r="Z46" s="136"/>
      <c r="AA46" s="136"/>
      <c r="AB46" s="136"/>
      <c r="AC46" s="136"/>
      <c r="AD46" s="136"/>
      <c r="AE46" s="136"/>
      <c r="AF46" s="136"/>
      <c r="AG46" s="136"/>
    </row>
    <row r="47" spans="4:33" ht="30" outlineLevel="1" x14ac:dyDescent="0.25">
      <c r="D47" s="2012"/>
      <c r="E47" s="2013"/>
      <c r="F47" s="1404" t="str">
        <f t="shared" si="8"/>
        <v>LED - 15W Flood Light PAR30 Bulb (CFL baseline)</v>
      </c>
      <c r="G47" s="137">
        <v>16</v>
      </c>
      <c r="H47" s="59">
        <f t="shared" si="9"/>
        <v>0</v>
      </c>
      <c r="I47" s="2009"/>
      <c r="J47" s="2009"/>
      <c r="K47" s="2009"/>
      <c r="L47" s="2009"/>
      <c r="V47" s="2018"/>
      <c r="W47" s="137">
        <v>16</v>
      </c>
      <c r="X47" s="137">
        <v>16</v>
      </c>
      <c r="Y47" s="137"/>
      <c r="Z47" s="137"/>
      <c r="AA47" s="137"/>
      <c r="AB47" s="137"/>
      <c r="AC47" s="137"/>
      <c r="AD47" s="137"/>
      <c r="AE47" s="137"/>
      <c r="AF47" s="137"/>
      <c r="AG47" s="137"/>
    </row>
    <row r="48" spans="4:33" ht="30" customHeight="1" outlineLevel="1" x14ac:dyDescent="0.25">
      <c r="D48" s="2012"/>
      <c r="E48" s="2013"/>
      <c r="F48" s="1404" t="str">
        <f t="shared" si="8"/>
        <v>LED - 15W Flood Light PAR30 Bulb (Halogen baseline)</v>
      </c>
      <c r="G48" s="87">
        <v>60.9</v>
      </c>
      <c r="H48" s="59">
        <f t="shared" si="9"/>
        <v>0</v>
      </c>
      <c r="I48" s="2010" t="s">
        <v>1825</v>
      </c>
      <c r="J48" s="2010"/>
      <c r="K48" s="2010"/>
      <c r="L48" s="2010"/>
      <c r="V48" s="2018"/>
      <c r="W48" s="87">
        <v>62.1</v>
      </c>
      <c r="X48" s="54">
        <v>60.9</v>
      </c>
      <c r="Y48" s="133"/>
      <c r="Z48" s="133"/>
      <c r="AA48" s="133"/>
      <c r="AB48" s="133"/>
      <c r="AC48" s="133"/>
      <c r="AD48" s="133"/>
      <c r="AE48" s="133"/>
      <c r="AF48" s="133"/>
      <c r="AG48" s="133"/>
    </row>
    <row r="49" spans="4:33" ht="30" outlineLevel="1" x14ac:dyDescent="0.25">
      <c r="D49" s="2012"/>
      <c r="E49" s="2013"/>
      <c r="F49" s="1404" t="str">
        <f t="shared" si="8"/>
        <v>LED - 18W Flood Light PAR30 Bulb (CFL baseline)</v>
      </c>
      <c r="G49" s="137">
        <v>23</v>
      </c>
      <c r="H49" s="59">
        <f t="shared" si="9"/>
        <v>0</v>
      </c>
      <c r="I49" s="2009" t="s">
        <v>475</v>
      </c>
      <c r="J49" s="2009"/>
      <c r="K49" s="2009"/>
      <c r="L49" s="2009"/>
      <c r="V49" s="2018"/>
      <c r="W49" s="137">
        <v>23</v>
      </c>
      <c r="X49" s="138">
        <v>23</v>
      </c>
      <c r="Y49" s="138"/>
      <c r="Z49" s="138"/>
      <c r="AA49" s="138"/>
      <c r="AB49" s="138"/>
      <c r="AC49" s="138"/>
      <c r="AD49" s="138"/>
      <c r="AE49" s="138"/>
      <c r="AF49" s="138"/>
      <c r="AG49" s="138"/>
    </row>
    <row r="50" spans="4:33" ht="30" outlineLevel="1" x14ac:dyDescent="0.25">
      <c r="D50" s="2012"/>
      <c r="E50" s="2013"/>
      <c r="F50" s="1404" t="str">
        <f t="shared" si="8"/>
        <v>LED - 18W Flood Light PAR38 Bulb (Halogen baseline)</v>
      </c>
      <c r="G50" s="87">
        <v>100</v>
      </c>
      <c r="H50" s="59">
        <f t="shared" si="9"/>
        <v>0</v>
      </c>
      <c r="I50" s="2010" t="s">
        <v>471</v>
      </c>
      <c r="J50" s="2010"/>
      <c r="K50" s="2010"/>
      <c r="L50" s="2010"/>
      <c r="V50" s="2018"/>
      <c r="W50" s="87">
        <v>100</v>
      </c>
      <c r="X50" s="133">
        <v>100</v>
      </c>
      <c r="Y50" s="133"/>
      <c r="Z50" s="133"/>
      <c r="AA50" s="133"/>
      <c r="AB50" s="133"/>
      <c r="AC50" s="133"/>
      <c r="AD50" s="133"/>
      <c r="AE50" s="133"/>
      <c r="AF50" s="133"/>
      <c r="AG50" s="133"/>
    </row>
    <row r="51" spans="4:33" outlineLevel="1" x14ac:dyDescent="0.25">
      <c r="D51" s="2012"/>
      <c r="E51" s="2013"/>
      <c r="F51" s="1404" t="str">
        <f t="shared" si="8"/>
        <v>LED - 20W (CFL baseline)</v>
      </c>
      <c r="G51" s="87">
        <v>24.8</v>
      </c>
      <c r="H51" s="59">
        <f t="shared" si="9"/>
        <v>0</v>
      </c>
      <c r="I51" s="2009" t="s">
        <v>476</v>
      </c>
      <c r="J51" s="2009"/>
      <c r="K51" s="2009"/>
      <c r="L51" s="2009"/>
      <c r="V51" s="2018"/>
      <c r="W51" s="87">
        <v>24.8</v>
      </c>
      <c r="X51" s="133">
        <v>24.8</v>
      </c>
      <c r="Y51" s="133"/>
      <c r="Z51" s="133"/>
      <c r="AA51" s="133"/>
      <c r="AB51" s="133"/>
      <c r="AC51" s="133"/>
      <c r="AD51" s="133"/>
      <c r="AE51" s="133"/>
      <c r="AF51" s="133"/>
      <c r="AG51" s="133"/>
    </row>
    <row r="52" spans="4:33" ht="15" customHeight="1" outlineLevel="1" x14ac:dyDescent="0.25">
      <c r="D52" s="2012"/>
      <c r="E52" s="2013"/>
      <c r="F52" s="1404" t="str">
        <f t="shared" si="8"/>
        <v>LED - 20W (Halogen baseline)</v>
      </c>
      <c r="G52" s="87">
        <v>71.7</v>
      </c>
      <c r="H52" s="59">
        <f t="shared" si="9"/>
        <v>0</v>
      </c>
      <c r="I52" s="2010" t="s">
        <v>1825</v>
      </c>
      <c r="J52" s="2010"/>
      <c r="K52" s="2010"/>
      <c r="L52" s="2010"/>
      <c r="V52" s="2018"/>
      <c r="W52" s="87">
        <v>72</v>
      </c>
      <c r="X52" s="54">
        <v>71.7</v>
      </c>
      <c r="Y52" s="133"/>
      <c r="Z52" s="133"/>
      <c r="AA52" s="133"/>
      <c r="AB52" s="133"/>
      <c r="AC52" s="133"/>
      <c r="AD52" s="133"/>
      <c r="AE52" s="133"/>
      <c r="AF52" s="133"/>
      <c r="AG52" s="133"/>
    </row>
    <row r="53" spans="4:33" ht="30" outlineLevel="1" x14ac:dyDescent="0.25">
      <c r="D53" s="2012"/>
      <c r="E53" s="2013"/>
      <c r="F53" s="1404" t="str">
        <f t="shared" si="8"/>
        <v>LED - 4W Candelabra (CFL baseline)</v>
      </c>
      <c r="G53" s="87">
        <v>9</v>
      </c>
      <c r="H53" s="59">
        <f t="shared" si="9"/>
        <v>0</v>
      </c>
      <c r="I53" s="2009" t="s">
        <v>477</v>
      </c>
      <c r="J53" s="2009"/>
      <c r="K53" s="2009"/>
      <c r="L53" s="2009"/>
      <c r="V53" s="2018"/>
      <c r="W53" s="87">
        <v>9</v>
      </c>
      <c r="X53" s="133">
        <v>9</v>
      </c>
      <c r="Y53" s="133"/>
      <c r="Z53" s="133"/>
      <c r="AA53" s="133"/>
      <c r="AB53" s="133"/>
      <c r="AC53" s="133"/>
      <c r="AD53" s="133"/>
      <c r="AE53" s="133"/>
      <c r="AF53" s="133"/>
      <c r="AG53" s="133"/>
    </row>
    <row r="54" spans="4:33" ht="30" customHeight="1" outlineLevel="1" x14ac:dyDescent="0.25">
      <c r="D54" s="2012"/>
      <c r="E54" s="2013"/>
      <c r="F54" s="1404" t="str">
        <f t="shared" si="8"/>
        <v>LED - 4W Candelabra (Replacing Specialty Incandescent)</v>
      </c>
      <c r="G54" s="87">
        <v>41</v>
      </c>
      <c r="H54" s="59">
        <f t="shared" si="9"/>
        <v>0</v>
      </c>
      <c r="I54" s="2010" t="s">
        <v>1825</v>
      </c>
      <c r="J54" s="2010"/>
      <c r="K54" s="2010"/>
      <c r="L54" s="2010"/>
      <c r="V54" s="2018"/>
      <c r="W54" s="87">
        <v>40.409999999999997</v>
      </c>
      <c r="X54" s="54">
        <v>41</v>
      </c>
      <c r="Y54" s="59"/>
      <c r="Z54" s="59"/>
      <c r="AA54" s="59"/>
      <c r="AB54" s="59"/>
      <c r="AC54" s="59"/>
      <c r="AD54" s="59"/>
      <c r="AE54" s="59"/>
      <c r="AF54" s="59"/>
      <c r="AG54" s="59"/>
    </row>
    <row r="55" spans="4:33" ht="30" outlineLevel="1" x14ac:dyDescent="0.25">
      <c r="D55" s="2012"/>
      <c r="E55" s="2013"/>
      <c r="F55" s="1404" t="str">
        <f t="shared" si="8"/>
        <v>LED - 8W Globe Light G25 Bulb (Replacing CFL)</v>
      </c>
      <c r="G55" s="87">
        <v>11</v>
      </c>
      <c r="H55" s="59">
        <f t="shared" si="9"/>
        <v>0</v>
      </c>
      <c r="I55" s="2009" t="s">
        <v>478</v>
      </c>
      <c r="J55" s="2009"/>
      <c r="K55" s="2009"/>
      <c r="L55" s="2009"/>
      <c r="V55" s="2018"/>
      <c r="W55" s="87">
        <v>11</v>
      </c>
      <c r="X55" s="59">
        <v>11</v>
      </c>
      <c r="Y55" s="59"/>
      <c r="Z55" s="59"/>
      <c r="AA55" s="59"/>
      <c r="AB55" s="59"/>
      <c r="AC55" s="59"/>
      <c r="AD55" s="59"/>
      <c r="AE55" s="59"/>
      <c r="AF55" s="59"/>
      <c r="AG55" s="59"/>
    </row>
    <row r="56" spans="4:33" ht="45" customHeight="1" outlineLevel="1" x14ac:dyDescent="0.25">
      <c r="D56" s="2012"/>
      <c r="E56" s="2013"/>
      <c r="F56" s="1404" t="str">
        <f t="shared" si="8"/>
        <v>LED - 8W Globe Light G25 Bulb (Replacing Specialty Incandescent)</v>
      </c>
      <c r="G56" s="87">
        <v>40.6</v>
      </c>
      <c r="H56" s="59">
        <f t="shared" si="9"/>
        <v>0</v>
      </c>
      <c r="I56" s="2010" t="s">
        <v>1825</v>
      </c>
      <c r="J56" s="2010"/>
      <c r="K56" s="2010"/>
      <c r="L56" s="2010"/>
      <c r="V56" s="2018"/>
      <c r="W56" s="87">
        <v>42.04</v>
      </c>
      <c r="X56" s="54">
        <v>40.6</v>
      </c>
      <c r="Y56" s="59"/>
      <c r="Z56" s="59"/>
      <c r="AA56" s="59"/>
      <c r="AB56" s="59"/>
      <c r="AC56" s="59"/>
      <c r="AD56" s="59"/>
      <c r="AE56" s="59"/>
      <c r="AF56" s="59"/>
      <c r="AG56" s="59"/>
    </row>
    <row r="57" spans="4:33" ht="30" outlineLevel="1" x14ac:dyDescent="0.25">
      <c r="D57" s="2013"/>
      <c r="E57" s="2013"/>
      <c r="F57" s="1404" t="str">
        <f>E25</f>
        <v>LED - 10W (Halogen baseline)  - Specialty Connected Light</v>
      </c>
      <c r="G57" s="87">
        <v>41.1</v>
      </c>
      <c r="H57" s="59">
        <f>H42</f>
        <v>0</v>
      </c>
      <c r="I57" s="59" t="str">
        <f>I42</f>
        <v>Ameren Missouri Lighting Evaluation PY2017</v>
      </c>
      <c r="J57" s="139"/>
      <c r="K57" s="139"/>
      <c r="L57" s="139"/>
      <c r="V57" s="2019"/>
      <c r="W57" s="87">
        <f>W42</f>
        <v>41.32</v>
      </c>
      <c r="X57" s="59">
        <f>X42</f>
        <v>41.1</v>
      </c>
      <c r="Y57" s="59"/>
      <c r="Z57" s="59"/>
      <c r="AA57" s="59"/>
      <c r="AB57" s="59"/>
      <c r="AC57" s="59"/>
      <c r="AD57" s="59"/>
      <c r="AE57" s="59"/>
      <c r="AF57" s="59"/>
      <c r="AG57" s="59"/>
    </row>
    <row r="58" spans="4:33" ht="30" outlineLevel="1" x14ac:dyDescent="0.25">
      <c r="D58" s="2013"/>
      <c r="E58" s="2013"/>
      <c r="F58" s="1404" t="str">
        <f>E26</f>
        <v>LED - 15W (Halogen baseline)  - Specialty Connected Light</v>
      </c>
      <c r="G58" s="87">
        <v>53</v>
      </c>
      <c r="H58" s="59">
        <f>H45</f>
        <v>0</v>
      </c>
      <c r="I58" s="59" t="str">
        <f>I45</f>
        <v>Ameren Missouri Lighting Evaluation PY2017</v>
      </c>
      <c r="J58" s="139"/>
      <c r="K58" s="139"/>
      <c r="L58" s="139"/>
      <c r="V58" s="2019"/>
      <c r="W58" s="87">
        <f>W45</f>
        <v>53</v>
      </c>
      <c r="X58" s="59">
        <f>X45</f>
        <v>53</v>
      </c>
      <c r="Y58" s="59"/>
      <c r="Z58" s="59"/>
      <c r="AA58" s="59"/>
      <c r="AB58" s="59"/>
      <c r="AC58" s="59"/>
      <c r="AD58" s="59"/>
      <c r="AE58" s="59"/>
      <c r="AF58" s="59"/>
      <c r="AG58" s="59"/>
    </row>
    <row r="59" spans="4:33" ht="45" outlineLevel="1" x14ac:dyDescent="0.25">
      <c r="D59" s="2014"/>
      <c r="E59" s="2014"/>
      <c r="F59" s="1404" t="str">
        <f>E27</f>
        <v>LED - 15W Flood Light PAR30 Bulb (Halogen baseline) - Specialty Connected Light</v>
      </c>
      <c r="G59" s="87">
        <v>60.9</v>
      </c>
      <c r="H59" s="59">
        <f>H47</f>
        <v>0</v>
      </c>
      <c r="I59" s="2021"/>
      <c r="J59" s="1992"/>
      <c r="K59" s="1992"/>
      <c r="L59" s="1993"/>
      <c r="V59" s="2020"/>
      <c r="W59" s="87">
        <f>W48</f>
        <v>62.1</v>
      </c>
      <c r="X59" s="59">
        <f>X48</f>
        <v>60.9</v>
      </c>
      <c r="Y59" s="59"/>
      <c r="Z59" s="59"/>
      <c r="AA59" s="59"/>
      <c r="AB59" s="59"/>
      <c r="AC59" s="59"/>
      <c r="AD59" s="59"/>
      <c r="AE59" s="59"/>
      <c r="AF59" s="59"/>
      <c r="AG59" s="59"/>
    </row>
    <row r="60" spans="4:33" ht="30" outlineLevel="1" x14ac:dyDescent="0.25">
      <c r="D60" s="2011" t="s">
        <v>479</v>
      </c>
      <c r="E60" s="2015" t="s">
        <v>480</v>
      </c>
      <c r="F60" s="1404" t="str">
        <f t="shared" ref="F60:F80" si="10">E7</f>
        <v>LED - 10.5W Downlight E26 (CFL baseline)</v>
      </c>
      <c r="G60" s="87">
        <v>8</v>
      </c>
      <c r="H60" s="59">
        <f>C7</f>
        <v>0</v>
      </c>
      <c r="I60" s="2009" t="s">
        <v>481</v>
      </c>
      <c r="J60" s="2009"/>
      <c r="K60" s="2009"/>
      <c r="L60" s="2009"/>
      <c r="V60" s="2017" t="s">
        <v>479</v>
      </c>
      <c r="W60" s="87">
        <v>7</v>
      </c>
      <c r="X60" s="59">
        <v>8</v>
      </c>
      <c r="Y60" s="59"/>
      <c r="Z60" s="59"/>
      <c r="AA60" s="59"/>
      <c r="AB60" s="59"/>
      <c r="AC60" s="59"/>
      <c r="AD60" s="59"/>
      <c r="AE60" s="59"/>
      <c r="AF60" s="59"/>
      <c r="AG60" s="59"/>
    </row>
    <row r="61" spans="4:33" ht="30" outlineLevel="1" x14ac:dyDescent="0.25">
      <c r="D61" s="2012"/>
      <c r="E61" s="2013"/>
      <c r="F61" s="1404" t="str">
        <f t="shared" si="10"/>
        <v>LED - 10.5W Downlight E26 (Halogen baseline)</v>
      </c>
      <c r="G61" s="87">
        <v>6.5</v>
      </c>
      <c r="H61" s="59">
        <f t="shared" ref="H61:H77" si="11">C8</f>
        <v>0</v>
      </c>
      <c r="I61" s="2010" t="s">
        <v>1825</v>
      </c>
      <c r="J61" s="2010"/>
      <c r="K61" s="2010"/>
      <c r="L61" s="2010"/>
      <c r="P61" s="1405"/>
      <c r="V61" s="2018"/>
      <c r="W61" s="87">
        <v>7</v>
      </c>
      <c r="X61" s="54">
        <v>6.5</v>
      </c>
      <c r="Y61" s="59"/>
      <c r="Z61" s="59"/>
      <c r="AA61" s="59"/>
      <c r="AB61" s="59"/>
      <c r="AC61" s="59"/>
      <c r="AD61" s="59"/>
      <c r="AE61" s="59"/>
      <c r="AF61" s="59"/>
      <c r="AG61" s="59"/>
    </row>
    <row r="62" spans="4:33" outlineLevel="1" x14ac:dyDescent="0.25">
      <c r="D62" s="2012"/>
      <c r="E62" s="2013"/>
      <c r="F62" s="1404" t="str">
        <f t="shared" si="10"/>
        <v>LED - 10W (CFL baseline)</v>
      </c>
      <c r="G62" s="137">
        <v>9.1</v>
      </c>
      <c r="H62" s="59">
        <f t="shared" si="11"/>
        <v>0</v>
      </c>
      <c r="I62" s="2016" t="s">
        <v>481</v>
      </c>
      <c r="J62" s="2016"/>
      <c r="K62" s="2016"/>
      <c r="L62" s="2016"/>
      <c r="V62" s="2018"/>
      <c r="W62" s="137">
        <v>9.1</v>
      </c>
      <c r="X62" s="137">
        <v>9.1</v>
      </c>
      <c r="Y62" s="137"/>
      <c r="Z62" s="137"/>
      <c r="AA62" s="137"/>
      <c r="AB62" s="137"/>
      <c r="AC62" s="137"/>
      <c r="AD62" s="137"/>
      <c r="AE62" s="137"/>
      <c r="AF62" s="137"/>
      <c r="AG62" s="137"/>
    </row>
    <row r="63" spans="4:33" outlineLevel="1" x14ac:dyDescent="0.25">
      <c r="D63" s="2012"/>
      <c r="E63" s="2013"/>
      <c r="F63" s="1404" t="str">
        <f t="shared" si="10"/>
        <v>LED - 10W (Halogen baseline)</v>
      </c>
      <c r="G63" s="137">
        <v>9</v>
      </c>
      <c r="H63" s="59">
        <f t="shared" si="11"/>
        <v>0</v>
      </c>
      <c r="I63" s="2010" t="s">
        <v>1825</v>
      </c>
      <c r="J63" s="2010"/>
      <c r="K63" s="2010"/>
      <c r="L63" s="2010"/>
      <c r="V63" s="2018"/>
      <c r="W63" s="137">
        <v>9.1</v>
      </c>
      <c r="X63" s="140">
        <v>9</v>
      </c>
      <c r="Y63" s="137"/>
      <c r="Z63" s="137"/>
      <c r="AA63" s="137"/>
      <c r="AB63" s="137"/>
      <c r="AC63" s="137"/>
      <c r="AD63" s="137"/>
      <c r="AE63" s="137"/>
      <c r="AF63" s="137"/>
      <c r="AG63" s="137"/>
    </row>
    <row r="64" spans="4:33" ht="30" outlineLevel="1" x14ac:dyDescent="0.25">
      <c r="D64" s="2012"/>
      <c r="E64" s="2013"/>
      <c r="F64" s="1404" t="str">
        <f t="shared" si="10"/>
        <v>LED - 12W Dimmable Light Bulb (Replacing CFL)</v>
      </c>
      <c r="G64" s="87">
        <v>9.5</v>
      </c>
      <c r="H64" s="59">
        <f t="shared" si="11"/>
        <v>0</v>
      </c>
      <c r="I64" s="2008" t="s">
        <v>481</v>
      </c>
      <c r="J64" s="2008"/>
      <c r="K64" s="2008"/>
      <c r="L64" s="2008"/>
      <c r="V64" s="2018"/>
      <c r="W64" s="87">
        <v>9.5</v>
      </c>
      <c r="X64" s="87">
        <v>9.5</v>
      </c>
      <c r="Y64" s="87"/>
      <c r="Z64" s="87"/>
      <c r="AA64" s="87"/>
      <c r="AB64" s="87"/>
      <c r="AC64" s="87"/>
      <c r="AD64" s="87"/>
      <c r="AE64" s="87"/>
      <c r="AF64" s="87"/>
      <c r="AG64" s="87"/>
    </row>
    <row r="65" spans="4:33" ht="45" outlineLevel="1" x14ac:dyDescent="0.25">
      <c r="D65" s="2012"/>
      <c r="E65" s="2013"/>
      <c r="F65" s="1404" t="str">
        <f t="shared" si="10"/>
        <v>LED - 12W Dimmable Light Bulb (Replacing Specialty Incandescent) LI DI</v>
      </c>
      <c r="G65" s="87">
        <v>8.8000000000000007</v>
      </c>
      <c r="H65" s="59">
        <f t="shared" si="11"/>
        <v>0</v>
      </c>
      <c r="I65" s="2010" t="s">
        <v>1825</v>
      </c>
      <c r="J65" s="2010"/>
      <c r="K65" s="2010"/>
      <c r="L65" s="2010"/>
      <c r="V65" s="2018"/>
      <c r="W65" s="87">
        <v>9.5</v>
      </c>
      <c r="X65" s="86">
        <v>8.8000000000000007</v>
      </c>
      <c r="Y65" s="87"/>
      <c r="Z65" s="87"/>
      <c r="AA65" s="87"/>
      <c r="AB65" s="87"/>
      <c r="AC65" s="87"/>
      <c r="AD65" s="87"/>
      <c r="AE65" s="87"/>
      <c r="AF65" s="87"/>
      <c r="AG65" s="87"/>
    </row>
    <row r="66" spans="4:33" outlineLevel="1" x14ac:dyDescent="0.25">
      <c r="D66" s="2012"/>
      <c r="E66" s="2013"/>
      <c r="F66" s="1404" t="str">
        <f t="shared" si="10"/>
        <v>LED - 15W (Halogen baseline)</v>
      </c>
      <c r="G66" s="137">
        <v>11.6</v>
      </c>
      <c r="H66" s="59">
        <f t="shared" si="11"/>
        <v>0</v>
      </c>
      <c r="I66" s="2010" t="s">
        <v>1825</v>
      </c>
      <c r="J66" s="2010"/>
      <c r="K66" s="2010"/>
      <c r="L66" s="2010"/>
      <c r="V66" s="2018"/>
      <c r="W66" s="137">
        <v>10.6</v>
      </c>
      <c r="X66" s="140">
        <v>11.6</v>
      </c>
      <c r="Y66" s="137"/>
      <c r="Z66" s="137"/>
      <c r="AA66" s="137"/>
      <c r="AB66" s="137"/>
      <c r="AC66" s="137"/>
      <c r="AD66" s="137"/>
      <c r="AE66" s="137"/>
      <c r="AF66" s="137"/>
      <c r="AG66" s="137"/>
    </row>
    <row r="67" spans="4:33" outlineLevel="1" x14ac:dyDescent="0.25">
      <c r="D67" s="2012"/>
      <c r="E67" s="2013"/>
      <c r="F67" s="1404" t="str">
        <f t="shared" si="10"/>
        <v>LED - 15W (CFL baseline)</v>
      </c>
      <c r="G67" s="137">
        <v>10.6</v>
      </c>
      <c r="H67" s="59">
        <f t="shared" si="11"/>
        <v>0</v>
      </c>
      <c r="I67" s="2016" t="s">
        <v>481</v>
      </c>
      <c r="J67" s="2016"/>
      <c r="K67" s="2016"/>
      <c r="L67" s="2016"/>
      <c r="V67" s="2018"/>
      <c r="W67" s="137">
        <v>10.6</v>
      </c>
      <c r="X67" s="137">
        <v>10.6</v>
      </c>
      <c r="Y67" s="137"/>
      <c r="Z67" s="137"/>
      <c r="AA67" s="137"/>
      <c r="AB67" s="137"/>
      <c r="AC67" s="137"/>
      <c r="AD67" s="137"/>
      <c r="AE67" s="137"/>
      <c r="AF67" s="137"/>
      <c r="AG67" s="137"/>
    </row>
    <row r="68" spans="4:33" ht="30" outlineLevel="1" x14ac:dyDescent="0.25">
      <c r="D68" s="2012"/>
      <c r="E68" s="2013"/>
      <c r="F68" s="1404" t="str">
        <f t="shared" si="10"/>
        <v>LED - 15W Flood Light PAR30 Bulb (CFL baseline)</v>
      </c>
      <c r="G68" s="87">
        <v>11.2</v>
      </c>
      <c r="H68" s="59">
        <f t="shared" si="11"/>
        <v>0</v>
      </c>
      <c r="I68" s="2009" t="s">
        <v>481</v>
      </c>
      <c r="J68" s="2009"/>
      <c r="K68" s="2009"/>
      <c r="L68" s="2009"/>
      <c r="V68" s="2018"/>
      <c r="W68" s="87">
        <v>11.2</v>
      </c>
      <c r="X68" s="59">
        <v>11.2</v>
      </c>
      <c r="Y68" s="59"/>
      <c r="Z68" s="59"/>
      <c r="AA68" s="59"/>
      <c r="AB68" s="59"/>
      <c r="AC68" s="59"/>
      <c r="AD68" s="59"/>
      <c r="AE68" s="59"/>
      <c r="AF68" s="59"/>
      <c r="AG68" s="59"/>
    </row>
    <row r="69" spans="4:33" ht="30" outlineLevel="1" x14ac:dyDescent="0.25">
      <c r="D69" s="2012"/>
      <c r="E69" s="2013"/>
      <c r="F69" s="1404" t="str">
        <f t="shared" si="10"/>
        <v>LED - 15W Flood Light PAR30 Bulb (Halogen baseline)</v>
      </c>
      <c r="G69" s="87">
        <v>10.6</v>
      </c>
      <c r="H69" s="59">
        <f t="shared" si="11"/>
        <v>0</v>
      </c>
      <c r="I69" s="2010" t="s">
        <v>1825</v>
      </c>
      <c r="J69" s="2010"/>
      <c r="K69" s="2010"/>
      <c r="L69" s="2010"/>
      <c r="V69" s="2018"/>
      <c r="W69" s="87">
        <v>11.2</v>
      </c>
      <c r="X69" s="54">
        <v>10.6</v>
      </c>
      <c r="Y69" s="59"/>
      <c r="Z69" s="59"/>
      <c r="AA69" s="59"/>
      <c r="AB69" s="59"/>
      <c r="AC69" s="59"/>
      <c r="AD69" s="59"/>
      <c r="AE69" s="59"/>
      <c r="AF69" s="59"/>
      <c r="AG69" s="59"/>
    </row>
    <row r="70" spans="4:33" ht="30" outlineLevel="1" x14ac:dyDescent="0.25">
      <c r="D70" s="2012"/>
      <c r="E70" s="2013"/>
      <c r="F70" s="1404" t="str">
        <f t="shared" si="10"/>
        <v>LED - 18W Flood Light PAR30 Bulb (CFL baseline)</v>
      </c>
      <c r="G70" s="87">
        <v>18</v>
      </c>
      <c r="H70" s="59">
        <f t="shared" si="11"/>
        <v>0</v>
      </c>
      <c r="I70" s="2010" t="s">
        <v>471</v>
      </c>
      <c r="J70" s="2010"/>
      <c r="K70" s="2010"/>
      <c r="L70" s="2010"/>
      <c r="V70" s="2018"/>
      <c r="W70" s="87">
        <v>18</v>
      </c>
      <c r="X70" s="59">
        <v>18</v>
      </c>
      <c r="Y70" s="59"/>
      <c r="Z70" s="59"/>
      <c r="AA70" s="59"/>
      <c r="AB70" s="59"/>
      <c r="AC70" s="59"/>
      <c r="AD70" s="59"/>
      <c r="AE70" s="59"/>
      <c r="AF70" s="59"/>
      <c r="AG70" s="59"/>
    </row>
    <row r="71" spans="4:33" ht="30" outlineLevel="1" x14ac:dyDescent="0.25">
      <c r="D71" s="2012"/>
      <c r="E71" s="2013"/>
      <c r="F71" s="1404" t="str">
        <f t="shared" si="10"/>
        <v>LED - 18W Flood Light PAR38 Bulb (Halogen baseline)</v>
      </c>
      <c r="G71" s="87">
        <v>18</v>
      </c>
      <c r="H71" s="59">
        <f t="shared" si="11"/>
        <v>0</v>
      </c>
      <c r="I71" s="2010" t="s">
        <v>471</v>
      </c>
      <c r="J71" s="2010"/>
      <c r="K71" s="2010"/>
      <c r="L71" s="2010"/>
      <c r="V71" s="2018"/>
      <c r="W71" s="87">
        <v>18</v>
      </c>
      <c r="X71" s="59">
        <v>18</v>
      </c>
      <c r="Y71" s="59"/>
      <c r="Z71" s="59"/>
      <c r="AA71" s="59"/>
      <c r="AB71" s="59"/>
      <c r="AC71" s="59"/>
      <c r="AD71" s="59"/>
      <c r="AE71" s="59"/>
      <c r="AF71" s="59"/>
      <c r="AG71" s="59"/>
    </row>
    <row r="72" spans="4:33" outlineLevel="1" x14ac:dyDescent="0.25">
      <c r="D72" s="2012"/>
      <c r="E72" s="2013"/>
      <c r="F72" s="1404" t="str">
        <f t="shared" si="10"/>
        <v>LED - 20W (CFL baseline)</v>
      </c>
      <c r="G72" s="87">
        <v>15</v>
      </c>
      <c r="H72" s="59">
        <f t="shared" si="11"/>
        <v>0</v>
      </c>
      <c r="I72" s="2009" t="s">
        <v>481</v>
      </c>
      <c r="J72" s="2009"/>
      <c r="K72" s="2009"/>
      <c r="L72" s="2009"/>
      <c r="V72" s="2018"/>
      <c r="W72" s="87">
        <v>15</v>
      </c>
      <c r="X72" s="59">
        <v>15</v>
      </c>
      <c r="Y72" s="59"/>
      <c r="Z72" s="59"/>
      <c r="AA72" s="59"/>
      <c r="AB72" s="59"/>
      <c r="AC72" s="59"/>
      <c r="AD72" s="59"/>
      <c r="AE72" s="59"/>
      <c r="AF72" s="59"/>
      <c r="AG72" s="59"/>
    </row>
    <row r="73" spans="4:33" outlineLevel="1" x14ac:dyDescent="0.25">
      <c r="D73" s="2012"/>
      <c r="E73" s="2013"/>
      <c r="F73" s="1404" t="str">
        <f t="shared" si="10"/>
        <v>LED - 20W (Halogen baseline)</v>
      </c>
      <c r="G73" s="87">
        <v>14.9</v>
      </c>
      <c r="H73" s="59">
        <f t="shared" si="11"/>
        <v>0</v>
      </c>
      <c r="I73" s="2010" t="s">
        <v>1825</v>
      </c>
      <c r="J73" s="2010"/>
      <c r="K73" s="2010"/>
      <c r="L73" s="2010"/>
      <c r="V73" s="2018"/>
      <c r="W73" s="87">
        <v>15</v>
      </c>
      <c r="X73" s="54">
        <v>14.9</v>
      </c>
      <c r="Y73" s="59"/>
      <c r="Z73" s="59"/>
      <c r="AA73" s="59"/>
      <c r="AB73" s="59"/>
      <c r="AC73" s="59"/>
      <c r="AD73" s="59"/>
      <c r="AE73" s="59"/>
      <c r="AF73" s="59"/>
      <c r="AG73" s="59"/>
    </row>
    <row r="74" spans="4:33" ht="30" outlineLevel="1" x14ac:dyDescent="0.25">
      <c r="D74" s="2012"/>
      <c r="E74" s="2013"/>
      <c r="F74" s="1404" t="str">
        <f t="shared" si="10"/>
        <v>LED - 4W Candelabra (CFL baseline)</v>
      </c>
      <c r="G74" s="87">
        <v>4.5</v>
      </c>
      <c r="H74" s="59">
        <f t="shared" si="11"/>
        <v>0</v>
      </c>
      <c r="I74" s="2009" t="s">
        <v>481</v>
      </c>
      <c r="J74" s="2009"/>
      <c r="K74" s="2009"/>
      <c r="L74" s="2009"/>
      <c r="V74" s="2018"/>
      <c r="W74" s="87">
        <v>4.5</v>
      </c>
      <c r="X74" s="59">
        <v>4.5</v>
      </c>
      <c r="Y74" s="59"/>
      <c r="Z74" s="59"/>
      <c r="AA74" s="59"/>
      <c r="AB74" s="59"/>
      <c r="AC74" s="59"/>
      <c r="AD74" s="59"/>
      <c r="AE74" s="59"/>
      <c r="AF74" s="59"/>
      <c r="AG74" s="59"/>
    </row>
    <row r="75" spans="4:33" ht="30" outlineLevel="1" x14ac:dyDescent="0.25">
      <c r="D75" s="2012"/>
      <c r="E75" s="2013"/>
      <c r="F75" s="1404" t="str">
        <f t="shared" si="10"/>
        <v>LED - 4W Candelabra (Replacing Specialty Incandescent)</v>
      </c>
      <c r="G75" s="87">
        <v>4.5999999999999996</v>
      </c>
      <c r="H75" s="59">
        <f t="shared" si="11"/>
        <v>0</v>
      </c>
      <c r="I75" s="2010" t="s">
        <v>1825</v>
      </c>
      <c r="J75" s="2010"/>
      <c r="K75" s="2010"/>
      <c r="L75" s="2010"/>
      <c r="V75" s="2018"/>
      <c r="W75" s="87">
        <v>4.5</v>
      </c>
      <c r="X75" s="54">
        <v>4.5999999999999996</v>
      </c>
      <c r="Y75" s="59"/>
      <c r="Z75" s="59"/>
      <c r="AA75" s="59"/>
      <c r="AB75" s="59"/>
      <c r="AC75" s="59"/>
      <c r="AD75" s="59"/>
      <c r="AE75" s="59"/>
      <c r="AF75" s="59"/>
      <c r="AG75" s="59"/>
    </row>
    <row r="76" spans="4:33" ht="30" outlineLevel="1" x14ac:dyDescent="0.25">
      <c r="D76" s="2012"/>
      <c r="E76" s="2013"/>
      <c r="F76" s="1404" t="str">
        <f t="shared" si="10"/>
        <v>LED - 8W Globe Light G25 Bulb (Replacing CFL)</v>
      </c>
      <c r="G76" s="87">
        <v>5.9</v>
      </c>
      <c r="H76" s="59">
        <f t="shared" si="11"/>
        <v>0</v>
      </c>
      <c r="I76" s="2009" t="s">
        <v>481</v>
      </c>
      <c r="J76" s="2009"/>
      <c r="K76" s="2009"/>
      <c r="L76" s="2009"/>
      <c r="V76" s="2018"/>
      <c r="W76" s="87">
        <v>5.9</v>
      </c>
      <c r="X76" s="59">
        <v>5.9</v>
      </c>
      <c r="Y76" s="59"/>
      <c r="Z76" s="59"/>
      <c r="AA76" s="59"/>
      <c r="AB76" s="59"/>
      <c r="AC76" s="59"/>
      <c r="AD76" s="59"/>
      <c r="AE76" s="59"/>
      <c r="AF76" s="59"/>
      <c r="AG76" s="59"/>
    </row>
    <row r="77" spans="4:33" ht="45" outlineLevel="1" x14ac:dyDescent="0.25">
      <c r="D77" s="2012"/>
      <c r="E77" s="2013"/>
      <c r="F77" s="1404" t="str">
        <f t="shared" si="10"/>
        <v>LED - 8W Globe Light G25 Bulb (Replacing Specialty Incandescent)</v>
      </c>
      <c r="G77" s="87">
        <v>5.8</v>
      </c>
      <c r="H77" s="59">
        <f t="shared" si="11"/>
        <v>0</v>
      </c>
      <c r="I77" s="2010" t="s">
        <v>1825</v>
      </c>
      <c r="J77" s="2010"/>
      <c r="K77" s="2010"/>
      <c r="L77" s="2010"/>
      <c r="V77" s="2018"/>
      <c r="W77" s="87">
        <v>5.9</v>
      </c>
      <c r="X77" s="54">
        <v>5.8</v>
      </c>
      <c r="Y77" s="59"/>
      <c r="Z77" s="59"/>
      <c r="AA77" s="59"/>
      <c r="AB77" s="59"/>
      <c r="AC77" s="59"/>
      <c r="AD77" s="59"/>
      <c r="AE77" s="59"/>
      <c r="AF77" s="59"/>
      <c r="AG77" s="59"/>
    </row>
    <row r="78" spans="4:33" ht="30" outlineLevel="1" x14ac:dyDescent="0.25">
      <c r="D78" s="2013"/>
      <c r="E78" s="2013"/>
      <c r="F78" s="1404" t="str">
        <f t="shared" si="10"/>
        <v>LED - 10W (Halogen baseline)  - Specialty Connected Light</v>
      </c>
      <c r="G78" s="87">
        <v>9</v>
      </c>
      <c r="H78" s="59">
        <f>H63</f>
        <v>0</v>
      </c>
      <c r="I78" s="2009" t="str">
        <f>I63</f>
        <v>Ameren Missouri Lighting Evaluation PY2017</v>
      </c>
      <c r="J78" s="2009"/>
      <c r="K78" s="2009"/>
      <c r="L78" s="2009"/>
      <c r="V78" s="2019"/>
      <c r="W78" s="87">
        <f>W63</f>
        <v>9.1</v>
      </c>
      <c r="X78" s="59">
        <f>X63</f>
        <v>9</v>
      </c>
      <c r="Y78" s="59"/>
      <c r="Z78" s="59"/>
      <c r="AA78" s="59"/>
      <c r="AB78" s="59"/>
      <c r="AC78" s="59"/>
      <c r="AD78" s="59"/>
      <c r="AE78" s="59"/>
      <c r="AF78" s="59"/>
      <c r="AG78" s="59"/>
    </row>
    <row r="79" spans="4:33" ht="30" outlineLevel="1" x14ac:dyDescent="0.25">
      <c r="D79" s="2013"/>
      <c r="E79" s="2013"/>
      <c r="F79" s="1404" t="str">
        <f t="shared" si="10"/>
        <v>LED - 15W (Halogen baseline)  - Specialty Connected Light</v>
      </c>
      <c r="G79" s="87">
        <v>11.6</v>
      </c>
      <c r="H79" s="59">
        <f>H66</f>
        <v>0</v>
      </c>
      <c r="I79" s="2009" t="str">
        <f>I66</f>
        <v>Ameren Missouri Lighting Evaluation PY2017</v>
      </c>
      <c r="J79" s="2009"/>
      <c r="K79" s="2009"/>
      <c r="L79" s="2009"/>
      <c r="V79" s="2019"/>
      <c r="W79" s="87">
        <f>W66</f>
        <v>10.6</v>
      </c>
      <c r="X79" s="59">
        <f>X66</f>
        <v>11.6</v>
      </c>
      <c r="Y79" s="59"/>
      <c r="Z79" s="59"/>
      <c r="AA79" s="59"/>
      <c r="AB79" s="59"/>
      <c r="AC79" s="59"/>
      <c r="AD79" s="59"/>
      <c r="AE79" s="59"/>
      <c r="AF79" s="59"/>
      <c r="AG79" s="59"/>
    </row>
    <row r="80" spans="4:33" ht="45" outlineLevel="1" x14ac:dyDescent="0.25">
      <c r="D80" s="2014"/>
      <c r="E80" s="2014"/>
      <c r="F80" s="1404" t="str">
        <f t="shared" si="10"/>
        <v>LED - 15W Flood Light PAR30 Bulb (Halogen baseline) - Specialty Connected Light</v>
      </c>
      <c r="G80" s="87">
        <v>10.6</v>
      </c>
      <c r="H80" s="59">
        <f>H68</f>
        <v>0</v>
      </c>
      <c r="I80" s="2009" t="str">
        <f>I68</f>
        <v>Program Wattage</v>
      </c>
      <c r="J80" s="2009"/>
      <c r="K80" s="2009"/>
      <c r="L80" s="2009"/>
      <c r="V80" s="2020"/>
      <c r="W80" s="87">
        <f>W69</f>
        <v>11.2</v>
      </c>
      <c r="X80" s="59">
        <f>X69</f>
        <v>10.6</v>
      </c>
      <c r="Y80" s="59"/>
      <c r="Z80" s="59"/>
      <c r="AA80" s="59"/>
      <c r="AB80" s="59"/>
      <c r="AC80" s="59"/>
      <c r="AD80" s="59"/>
      <c r="AE80" s="59"/>
      <c r="AF80" s="59"/>
      <c r="AG80" s="59"/>
    </row>
    <row r="81" spans="4:33" ht="35.25" customHeight="1" outlineLevel="1" x14ac:dyDescent="0.25">
      <c r="D81" s="152" t="s">
        <v>58</v>
      </c>
      <c r="E81" s="153" t="s">
        <v>482</v>
      </c>
      <c r="F81" s="154" t="s">
        <v>483</v>
      </c>
      <c r="G81" s="143">
        <v>0.91918787238999333</v>
      </c>
      <c r="H81" s="146"/>
      <c r="I81" s="2009" t="s">
        <v>484</v>
      </c>
      <c r="J81" s="2009"/>
      <c r="K81" s="2009"/>
      <c r="L81" s="2009"/>
      <c r="V81" s="142" t="s">
        <v>58</v>
      </c>
      <c r="W81" s="143">
        <v>0.95118909047730049</v>
      </c>
      <c r="X81" s="145">
        <v>0.91918787238999333</v>
      </c>
      <c r="Y81" s="146"/>
      <c r="Z81" s="146"/>
      <c r="AA81" s="146"/>
      <c r="AB81" s="146"/>
      <c r="AC81" s="146"/>
      <c r="AD81" s="146"/>
      <c r="AE81" s="146"/>
      <c r="AF81" s="146"/>
      <c r="AG81" s="146"/>
    </row>
    <row r="82" spans="4:33" ht="15" customHeight="1" outlineLevel="1" x14ac:dyDescent="0.25">
      <c r="D82" s="152" t="s">
        <v>485</v>
      </c>
      <c r="E82" s="153" t="s">
        <v>486</v>
      </c>
      <c r="F82" s="154" t="s">
        <v>483</v>
      </c>
      <c r="G82" s="143">
        <v>2.1860522990637464E-3</v>
      </c>
      <c r="H82" s="146"/>
      <c r="I82" s="2010" t="s">
        <v>1825</v>
      </c>
      <c r="J82" s="2010"/>
      <c r="K82" s="2010"/>
      <c r="L82" s="2010"/>
      <c r="V82" s="142" t="s">
        <v>485</v>
      </c>
      <c r="W82" s="143">
        <v>1.6525893496695268E-2</v>
      </c>
      <c r="X82" s="145">
        <v>2.1860522990637464E-3</v>
      </c>
      <c r="Y82" s="144"/>
      <c r="Z82" s="144"/>
      <c r="AA82" s="144"/>
      <c r="AB82" s="144"/>
      <c r="AC82" s="144"/>
      <c r="AD82" s="144"/>
      <c r="AE82" s="144"/>
      <c r="AF82" s="144"/>
      <c r="AG82" s="144"/>
    </row>
    <row r="83" spans="4:33" ht="15" customHeight="1" outlineLevel="1" x14ac:dyDescent="0.25">
      <c r="D83" s="152" t="s">
        <v>488</v>
      </c>
      <c r="E83" s="153" t="s">
        <v>489</v>
      </c>
      <c r="F83" s="154" t="s">
        <v>490</v>
      </c>
      <c r="G83" s="149">
        <v>995.17979999999989</v>
      </c>
      <c r="H83" s="1406"/>
      <c r="I83" s="2010" t="s">
        <v>1825</v>
      </c>
      <c r="J83" s="2010"/>
      <c r="K83" s="2010"/>
      <c r="L83" s="2010"/>
      <c r="V83" s="142" t="s">
        <v>488</v>
      </c>
      <c r="W83" s="149">
        <f>2.73*365</f>
        <v>996.45</v>
      </c>
      <c r="X83" s="150">
        <f>2.72652*365</f>
        <v>995.17979999999989</v>
      </c>
      <c r="Y83" s="148"/>
      <c r="Z83" s="148"/>
      <c r="AA83" s="148"/>
      <c r="AB83" s="148"/>
      <c r="AC83" s="148"/>
      <c r="AD83" s="148"/>
      <c r="AE83" s="148"/>
      <c r="AF83" s="148"/>
      <c r="AG83" s="148"/>
    </row>
    <row r="84" spans="4:33" ht="45" outlineLevel="1" x14ac:dyDescent="0.25">
      <c r="D84" s="152" t="s">
        <v>491</v>
      </c>
      <c r="E84" s="1407" t="s">
        <v>492</v>
      </c>
      <c r="F84" s="154" t="s">
        <v>493</v>
      </c>
      <c r="G84" s="149">
        <v>0.99</v>
      </c>
      <c r="H84" s="1406"/>
      <c r="I84" s="2009" t="s">
        <v>494</v>
      </c>
      <c r="J84" s="2009"/>
      <c r="K84" s="2009"/>
      <c r="L84" s="2009"/>
      <c r="V84" s="142" t="s">
        <v>491</v>
      </c>
      <c r="W84" s="149">
        <v>0.99</v>
      </c>
      <c r="X84" s="151">
        <v>0.99</v>
      </c>
      <c r="Y84" s="151"/>
      <c r="Z84" s="151"/>
      <c r="AA84" s="151"/>
      <c r="AB84" s="151"/>
      <c r="AC84" s="151"/>
      <c r="AD84" s="151"/>
      <c r="AE84" s="151"/>
      <c r="AF84" s="151"/>
      <c r="AG84" s="151"/>
    </row>
    <row r="85" spans="4:33" ht="93.75" customHeight="1" outlineLevel="1" x14ac:dyDescent="0.25">
      <c r="D85" s="152" t="s">
        <v>495</v>
      </c>
      <c r="E85" s="153" t="s">
        <v>496</v>
      </c>
      <c r="F85" s="154" t="s">
        <v>497</v>
      </c>
      <c r="G85" s="149">
        <v>3612</v>
      </c>
      <c r="H85" s="1406"/>
      <c r="I85" s="2009" t="s">
        <v>498</v>
      </c>
      <c r="J85" s="2009"/>
      <c r="K85" s="2009"/>
      <c r="L85" s="2009"/>
      <c r="V85" s="142" t="s">
        <v>495</v>
      </c>
      <c r="W85" s="149">
        <v>3613</v>
      </c>
      <c r="X85" s="150">
        <v>3612</v>
      </c>
      <c r="Y85" s="151"/>
      <c r="Z85" s="151"/>
      <c r="AA85" s="151"/>
      <c r="AB85" s="151"/>
      <c r="AC85" s="151"/>
      <c r="AD85" s="151"/>
      <c r="AE85" s="151"/>
      <c r="AF85" s="151"/>
      <c r="AG85" s="151"/>
    </row>
    <row r="86" spans="4:33" ht="45" outlineLevel="1" x14ac:dyDescent="0.25">
      <c r="D86" s="152" t="s">
        <v>499</v>
      </c>
      <c r="E86" s="1407" t="s">
        <v>492</v>
      </c>
      <c r="F86" s="154" t="s">
        <v>490</v>
      </c>
      <c r="G86" s="149">
        <v>1.1000000000000001</v>
      </c>
      <c r="H86" s="1406"/>
      <c r="I86" s="2009" t="s">
        <v>500</v>
      </c>
      <c r="J86" s="2009"/>
      <c r="K86" s="2009"/>
      <c r="L86" s="2009"/>
      <c r="V86" s="142" t="s">
        <v>499</v>
      </c>
      <c r="W86" s="149">
        <v>1.1000000000000001</v>
      </c>
      <c r="X86" s="151">
        <v>1.1000000000000001</v>
      </c>
      <c r="Y86" s="151"/>
      <c r="Z86" s="151"/>
      <c r="AA86" s="151"/>
      <c r="AB86" s="151"/>
      <c r="AC86" s="151"/>
      <c r="AD86" s="151"/>
      <c r="AE86" s="151"/>
      <c r="AF86" s="151"/>
      <c r="AG86" s="151"/>
    </row>
    <row r="87" spans="4:33" ht="15" customHeight="1" outlineLevel="1" x14ac:dyDescent="0.25">
      <c r="D87" s="152" t="s">
        <v>501</v>
      </c>
      <c r="E87" s="153" t="s">
        <v>502</v>
      </c>
      <c r="F87" s="154" t="s">
        <v>483</v>
      </c>
      <c r="G87" s="155">
        <v>0.99237761136046199</v>
      </c>
      <c r="H87" s="156"/>
      <c r="I87" s="2010" t="s">
        <v>1825</v>
      </c>
      <c r="J87" s="2010"/>
      <c r="K87" s="2010"/>
      <c r="L87" s="2010"/>
      <c r="V87" s="142" t="s">
        <v>501</v>
      </c>
      <c r="W87" s="155">
        <v>1</v>
      </c>
      <c r="X87" s="157">
        <v>0.99237761136046199</v>
      </c>
      <c r="Y87" s="156"/>
      <c r="Z87" s="156"/>
      <c r="AA87" s="156"/>
      <c r="AB87" s="156"/>
      <c r="AC87" s="156"/>
      <c r="AD87" s="156"/>
      <c r="AE87" s="156"/>
      <c r="AF87" s="156"/>
      <c r="AG87" s="156"/>
    </row>
    <row r="88" spans="4:33" x14ac:dyDescent="0.25">
      <c r="D88" s="158" t="s">
        <v>503</v>
      </c>
      <c r="E88" s="158" t="s">
        <v>504</v>
      </c>
      <c r="F88" s="159" t="s">
        <v>483</v>
      </c>
      <c r="G88" s="160">
        <v>19</v>
      </c>
      <c r="H88" s="155"/>
      <c r="I88" s="2008"/>
      <c r="J88" s="2008"/>
      <c r="K88" s="2008"/>
      <c r="L88" s="2008"/>
      <c r="V88" s="158" t="s">
        <v>503</v>
      </c>
      <c r="W88" s="160">
        <v>19</v>
      </c>
      <c r="X88" s="160">
        <v>19</v>
      </c>
      <c r="Y88" s="160"/>
      <c r="Z88" s="160"/>
      <c r="AA88" s="160"/>
      <c r="AB88" s="160"/>
      <c r="AC88" s="160"/>
      <c r="AD88" s="160"/>
      <c r="AE88" s="160"/>
      <c r="AF88" s="160"/>
      <c r="AG88" s="160"/>
    </row>
    <row r="89" spans="4:33" x14ac:dyDescent="0.25">
      <c r="D89" s="158" t="s">
        <v>505</v>
      </c>
      <c r="E89" s="158" t="s">
        <v>504</v>
      </c>
      <c r="F89" s="159" t="s">
        <v>483</v>
      </c>
      <c r="G89" s="160">
        <v>6</v>
      </c>
      <c r="H89" s="155"/>
      <c r="I89" s="2008"/>
      <c r="J89" s="2008"/>
      <c r="K89" s="2008"/>
      <c r="L89" s="2008"/>
      <c r="V89" s="158" t="s">
        <v>505</v>
      </c>
      <c r="W89" s="160">
        <v>6</v>
      </c>
      <c r="X89" s="160">
        <v>6</v>
      </c>
      <c r="Y89" s="160"/>
      <c r="Z89" s="160"/>
      <c r="AA89" s="160"/>
      <c r="AB89" s="160"/>
      <c r="AC89" s="160"/>
      <c r="AD89" s="160"/>
      <c r="AE89" s="160"/>
      <c r="AF89" s="160"/>
      <c r="AG89" s="160"/>
    </row>
    <row r="90" spans="4:33" x14ac:dyDescent="0.25">
      <c r="D90" s="162" t="s">
        <v>24</v>
      </c>
      <c r="E90" s="158" t="s">
        <v>506</v>
      </c>
      <c r="F90" s="159" t="s">
        <v>483</v>
      </c>
      <c r="G90" s="163">
        <v>9.9999999999999995E-7</v>
      </c>
      <c r="H90" s="155"/>
      <c r="I90" s="2008"/>
      <c r="J90" s="2008"/>
      <c r="K90" s="2008"/>
      <c r="L90" s="2008"/>
      <c r="V90" s="162" t="s">
        <v>24</v>
      </c>
      <c r="W90" s="163">
        <v>9.9999999999999995E-7</v>
      </c>
      <c r="X90" s="163">
        <v>9.9999999999999995E-7</v>
      </c>
      <c r="Y90" s="163"/>
      <c r="Z90" s="163"/>
      <c r="AA90" s="163"/>
      <c r="AB90" s="163"/>
      <c r="AC90" s="163"/>
      <c r="AD90" s="163"/>
      <c r="AE90" s="163"/>
      <c r="AF90" s="163"/>
      <c r="AG90" s="163"/>
    </row>
  </sheetData>
  <mergeCells count="63">
    <mergeCell ref="H30:S30"/>
    <mergeCell ref="A1:P1"/>
    <mergeCell ref="Q1:S1"/>
    <mergeCell ref="D2:J2"/>
    <mergeCell ref="B4:S4"/>
    <mergeCell ref="V4:AI4"/>
    <mergeCell ref="I38:L38"/>
    <mergeCell ref="D39:D59"/>
    <mergeCell ref="E39:E59"/>
    <mergeCell ref="I39:L39"/>
    <mergeCell ref="V39:V59"/>
    <mergeCell ref="I40:L40"/>
    <mergeCell ref="I41:L41"/>
    <mergeCell ref="I42:L42"/>
    <mergeCell ref="I43:L43"/>
    <mergeCell ref="I44:L44"/>
    <mergeCell ref="I56:L56"/>
    <mergeCell ref="I45:L45"/>
    <mergeCell ref="I46:L46"/>
    <mergeCell ref="I47:L47"/>
    <mergeCell ref="I48:L48"/>
    <mergeCell ref="I49:L49"/>
    <mergeCell ref="I50:L50"/>
    <mergeCell ref="I51:L51"/>
    <mergeCell ref="I52:L52"/>
    <mergeCell ref="I53:L53"/>
    <mergeCell ref="I54:L54"/>
    <mergeCell ref="I55:L55"/>
    <mergeCell ref="V60:V80"/>
    <mergeCell ref="I61:L61"/>
    <mergeCell ref="I62:L62"/>
    <mergeCell ref="I63:L63"/>
    <mergeCell ref="I64:L64"/>
    <mergeCell ref="I65:L65"/>
    <mergeCell ref="I71:L71"/>
    <mergeCell ref="I59:L59"/>
    <mergeCell ref="D60:D80"/>
    <mergeCell ref="E60:E80"/>
    <mergeCell ref="I60:L60"/>
    <mergeCell ref="I66:L66"/>
    <mergeCell ref="I67:L67"/>
    <mergeCell ref="I68:L68"/>
    <mergeCell ref="I69:L69"/>
    <mergeCell ref="I70:L70"/>
    <mergeCell ref="I83:L83"/>
    <mergeCell ref="I72:L72"/>
    <mergeCell ref="I73:L73"/>
    <mergeCell ref="I74:L74"/>
    <mergeCell ref="I75:L75"/>
    <mergeCell ref="I76:L76"/>
    <mergeCell ref="I77:L77"/>
    <mergeCell ref="I78:L78"/>
    <mergeCell ref="I79:L79"/>
    <mergeCell ref="I80:L80"/>
    <mergeCell ref="I81:L81"/>
    <mergeCell ref="I82:L82"/>
    <mergeCell ref="I90:L90"/>
    <mergeCell ref="I84:L84"/>
    <mergeCell ref="I85:L85"/>
    <mergeCell ref="I86:L86"/>
    <mergeCell ref="I87:L87"/>
    <mergeCell ref="I88:L88"/>
    <mergeCell ref="I89:L89"/>
  </mergeCells>
  <pageMargins left="0.7" right="0.7" top="0.75" bottom="0.75" header="0.3" footer="0.3"/>
  <pageSetup scale="11" fitToHeight="0"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U307"/>
  <sheetViews>
    <sheetView view="pageBreakPreview" zoomScale="55" zoomScaleNormal="70" zoomScaleSheetLayoutView="55" workbookViewId="0">
      <selection sqref="A1:P1"/>
    </sheetView>
  </sheetViews>
  <sheetFormatPr defaultColWidth="9.140625" defaultRowHeight="15" outlineLevelRow="1" x14ac:dyDescent="0.25"/>
  <cols>
    <col min="1" max="1" width="4.42578125" style="110" customWidth="1"/>
    <col min="2" max="2" width="9.140625" style="313"/>
    <col min="3" max="3" width="12.5703125" style="1425" customWidth="1"/>
    <col min="4" max="4" width="39.28515625" style="1433" customWidth="1"/>
    <col min="5" max="5" width="63" style="1433" customWidth="1"/>
    <col min="6" max="6" width="22.28515625" style="313" customWidth="1"/>
    <col min="7" max="7" width="20.28515625" style="313" customWidth="1"/>
    <col min="8" max="8" width="28.42578125" style="313" customWidth="1"/>
    <col min="9" max="9" width="47.28515625" style="313" customWidth="1"/>
    <col min="10" max="10" width="15" style="313" customWidth="1"/>
    <col min="11" max="12" width="14.5703125" style="313" customWidth="1"/>
    <col min="13" max="13" width="11.140625" style="313" customWidth="1"/>
    <col min="14" max="14" width="10.5703125" style="313" customWidth="1"/>
    <col min="15" max="15" width="62.28515625" style="313" customWidth="1"/>
    <col min="16" max="16" width="14.140625" style="313" customWidth="1"/>
    <col min="17" max="17" width="21.140625" style="313" customWidth="1"/>
    <col min="18" max="21" width="9.140625" style="313" customWidth="1"/>
    <col min="22" max="22" width="26.5703125" style="110" customWidth="1"/>
    <col min="23" max="23" width="13.85546875" style="110" customWidth="1"/>
    <col min="24" max="24" width="18.42578125" style="110" customWidth="1"/>
    <col min="25" max="33" width="13.85546875" style="110" customWidth="1"/>
    <col min="34" max="34" width="9.140625" style="110"/>
    <col min="35" max="45" width="15.5703125" style="110" customWidth="1"/>
    <col min="46" max="16384" width="9.140625" style="110"/>
  </cols>
  <sheetData>
    <row r="1" spans="1:47" s="22" customFormat="1" ht="18.75" x14ac:dyDescent="0.3">
      <c r="A1" s="2028" t="s">
        <v>507</v>
      </c>
      <c r="B1" s="2029"/>
      <c r="C1" s="2029"/>
      <c r="D1" s="2029"/>
      <c r="E1" s="2029"/>
      <c r="F1" s="2029"/>
      <c r="G1" s="2029"/>
      <c r="H1" s="2029"/>
      <c r="I1" s="2029"/>
      <c r="J1" s="2029"/>
      <c r="K1" s="2029"/>
      <c r="L1" s="2029"/>
      <c r="M1" s="2029"/>
      <c r="N1" s="2029"/>
      <c r="O1" s="2029"/>
      <c r="P1" s="2029"/>
      <c r="Q1" s="1408"/>
      <c r="R1" s="1222"/>
      <c r="S1" s="1222"/>
      <c r="T1" s="1222"/>
      <c r="U1" s="1222"/>
      <c r="V1" s="27"/>
      <c r="W1" s="28"/>
      <c r="X1" s="28"/>
      <c r="Y1" s="29"/>
      <c r="Z1" s="29"/>
      <c r="AA1" s="29"/>
      <c r="AB1" s="29"/>
      <c r="AC1" s="29"/>
      <c r="AD1" s="29"/>
      <c r="AE1" s="29"/>
      <c r="AF1" s="29"/>
      <c r="AG1" s="29"/>
      <c r="AH1" s="29"/>
    </row>
    <row r="2" spans="1:47" s="22" customFormat="1" ht="30" customHeight="1" outlineLevel="1" x14ac:dyDescent="0.35">
      <c r="B2" s="1226"/>
      <c r="C2" s="1229"/>
      <c r="D2" s="2002" t="s">
        <v>1858</v>
      </c>
      <c r="E2" s="2032"/>
      <c r="F2" s="2033"/>
      <c r="G2" s="2033"/>
      <c r="H2" s="2033"/>
      <c r="I2" s="2033"/>
      <c r="J2" s="2033"/>
      <c r="K2" s="1228"/>
      <c r="L2" s="1228"/>
      <c r="M2" s="1222"/>
      <c r="N2" s="1222"/>
      <c r="O2" s="1222"/>
      <c r="P2" s="1222"/>
      <c r="Q2" s="1222"/>
      <c r="R2" s="1222"/>
      <c r="S2" s="1222"/>
      <c r="T2" s="1222"/>
      <c r="U2" s="1222"/>
      <c r="V2" s="60"/>
      <c r="W2" s="60"/>
      <c r="X2" s="60"/>
      <c r="Y2" s="60"/>
      <c r="Z2" s="60"/>
      <c r="AA2" s="60"/>
      <c r="AB2" s="60"/>
      <c r="AC2" s="60"/>
      <c r="AD2" s="60"/>
      <c r="AE2" s="60"/>
      <c r="AF2" s="60"/>
      <c r="AG2" s="60"/>
      <c r="AH2" s="60"/>
      <c r="AI2" s="60"/>
    </row>
    <row r="3" spans="1:47" s="24" customFormat="1" ht="33.75" customHeight="1" x14ac:dyDescent="0.25">
      <c r="B3" s="1223"/>
      <c r="C3" s="1224"/>
      <c r="D3" s="1409"/>
      <c r="E3" s="1409"/>
      <c r="F3" s="1224"/>
      <c r="G3" s="1224"/>
      <c r="H3" s="1224"/>
      <c r="I3" s="1224"/>
      <c r="J3" s="1224"/>
      <c r="K3" s="1223"/>
      <c r="L3" s="1223"/>
      <c r="M3" s="1223"/>
      <c r="N3" s="1223"/>
      <c r="O3" s="1223"/>
      <c r="P3" s="1223"/>
      <c r="Q3" s="1223"/>
      <c r="R3" s="1223"/>
      <c r="S3" s="1223"/>
      <c r="T3" s="1223"/>
      <c r="U3" s="1223"/>
      <c r="V3" s="60"/>
      <c r="W3" s="60"/>
      <c r="X3" s="60"/>
      <c r="Y3" s="60"/>
      <c r="Z3" s="60"/>
      <c r="AA3" s="60"/>
      <c r="AB3" s="60"/>
      <c r="AC3" s="60"/>
      <c r="AD3" s="60"/>
      <c r="AE3" s="60"/>
      <c r="AF3" s="60"/>
      <c r="AG3" s="60"/>
      <c r="AH3" s="60"/>
      <c r="AI3" s="60"/>
    </row>
    <row r="4" spans="1:47" s="165" customFormat="1" x14ac:dyDescent="0.25">
      <c r="B4" s="2022" t="s">
        <v>508</v>
      </c>
      <c r="C4" s="2023"/>
      <c r="D4" s="2023"/>
      <c r="E4" s="2023"/>
      <c r="F4" s="2023"/>
      <c r="G4" s="2023"/>
      <c r="H4" s="2023"/>
      <c r="I4" s="1992"/>
      <c r="J4" s="1992"/>
      <c r="K4" s="1992"/>
      <c r="L4" s="1992"/>
      <c r="M4" s="1992"/>
      <c r="N4" s="1992"/>
      <c r="O4" s="1993"/>
      <c r="V4" s="2022" t="str">
        <f>B4</f>
        <v>Heat Pump Hot Water Heater</v>
      </c>
      <c r="W4" s="2023"/>
      <c r="X4" s="2023"/>
      <c r="Y4" s="2023"/>
      <c r="Z4" s="2023"/>
      <c r="AA4" s="2023"/>
      <c r="AB4" s="2023"/>
      <c r="AC4" s="2024"/>
      <c r="AD4" s="2024"/>
      <c r="AE4" s="2024"/>
      <c r="AF4" s="2024"/>
      <c r="AG4" s="2024"/>
      <c r="AH4" s="2024"/>
      <c r="AI4" s="2025"/>
    </row>
    <row r="5" spans="1:47" s="37" customFormat="1" x14ac:dyDescent="0.25">
      <c r="B5" s="175"/>
      <c r="C5" s="1410"/>
      <c r="D5" s="1411"/>
      <c r="E5" s="1411"/>
      <c r="F5" s="175"/>
      <c r="G5" s="175"/>
      <c r="H5" s="175"/>
      <c r="I5" s="175"/>
      <c r="J5" s="175"/>
      <c r="K5" s="175"/>
      <c r="L5" s="175"/>
      <c r="M5" s="175"/>
      <c r="N5" s="175"/>
      <c r="O5" s="175"/>
      <c r="P5" s="175"/>
      <c r="Q5" s="175"/>
      <c r="R5" s="175"/>
      <c r="S5" s="175"/>
      <c r="T5" s="175"/>
      <c r="U5" s="175"/>
    </row>
    <row r="6" spans="1:47" s="43" customFormat="1" ht="48.75" customHeight="1" x14ac:dyDescent="0.25">
      <c r="B6" s="1139"/>
      <c r="C6" s="184" t="s">
        <v>16</v>
      </c>
      <c r="D6" s="184" t="s">
        <v>509</v>
      </c>
      <c r="E6" s="184" t="s">
        <v>18</v>
      </c>
      <c r="F6" s="184" t="s">
        <v>19</v>
      </c>
      <c r="G6" s="184" t="s">
        <v>20</v>
      </c>
      <c r="H6" s="184" t="s">
        <v>21</v>
      </c>
      <c r="I6" s="184" t="s">
        <v>510</v>
      </c>
      <c r="J6" s="184" t="s">
        <v>511</v>
      </c>
      <c r="K6" s="184" t="s">
        <v>512</v>
      </c>
      <c r="L6" s="184" t="s">
        <v>22</v>
      </c>
      <c r="M6" s="184" t="s">
        <v>23</v>
      </c>
      <c r="N6" s="184" t="s">
        <v>24</v>
      </c>
      <c r="O6" s="184" t="s">
        <v>25</v>
      </c>
      <c r="P6" s="1139"/>
      <c r="Q6" s="1139"/>
      <c r="R6" s="1139"/>
      <c r="S6" s="1139"/>
      <c r="T6" s="1139"/>
      <c r="U6" s="1139"/>
      <c r="V6" s="48" t="s">
        <v>26</v>
      </c>
      <c r="W6" s="49">
        <v>43252</v>
      </c>
      <c r="X6" s="49">
        <v>43465</v>
      </c>
      <c r="Y6" s="49" t="s">
        <v>27</v>
      </c>
      <c r="Z6" s="49" t="s">
        <v>27</v>
      </c>
      <c r="AA6" s="49" t="s">
        <v>27</v>
      </c>
      <c r="AB6" s="49" t="s">
        <v>27</v>
      </c>
      <c r="AC6" s="49" t="s">
        <v>27</v>
      </c>
      <c r="AD6" s="49" t="s">
        <v>27</v>
      </c>
      <c r="AE6" s="49" t="s">
        <v>27</v>
      </c>
      <c r="AF6" s="49" t="s">
        <v>27</v>
      </c>
      <c r="AG6" s="49" t="s">
        <v>27</v>
      </c>
    </row>
    <row r="7" spans="1:47" s="37" customFormat="1" ht="15.75" customHeight="1" x14ac:dyDescent="0.25">
      <c r="B7" s="175"/>
      <c r="C7" s="1412"/>
      <c r="D7" s="168" t="s">
        <v>1830</v>
      </c>
      <c r="E7" s="168" t="s">
        <v>508</v>
      </c>
      <c r="F7" s="821">
        <f>(((((1/F27)-(1/F28))*F29*F30*F31*F32*(F33-F34)*F35)/F36)-(J7+K7)+I7)*F51</f>
        <v>2506.58000131569</v>
      </c>
      <c r="G7" s="52" t="s">
        <v>513</v>
      </c>
      <c r="H7" s="170">
        <f>VLOOKUP(G7,'CP FACTORS'!$A$3:$B$38, 2, FALSE)</f>
        <v>8.8731800000000003E-5</v>
      </c>
      <c r="I7" s="171">
        <f>(((1-1/F28)*F29*F30*F31*F32*(F33-F34)*F35)*F37*F38*F45/(F40*F36))*F46</f>
        <v>646.5932869526082</v>
      </c>
      <c r="J7" s="171">
        <f>(((1-1/F28)*F29*F30*F31*F32*(F33-F34)*F35)*F37*F39/(F41*F36))*F48</f>
        <v>156.46678781655538</v>
      </c>
      <c r="K7" s="171">
        <f>(((1-1/F28)*F29*F30*F31*F32*(F33-F34)*F35)*F37*F39/(F43*F36)*F49)</f>
        <v>91.706922859147738</v>
      </c>
      <c r="L7" s="172">
        <f>F7*H7</f>
        <v>0.22241335536074355</v>
      </c>
      <c r="M7" s="169">
        <f>F52</f>
        <v>13</v>
      </c>
      <c r="N7" s="173">
        <f>F53</f>
        <v>588</v>
      </c>
      <c r="O7" s="174" t="s">
        <v>31</v>
      </c>
      <c r="P7" s="175"/>
      <c r="Q7" s="175"/>
      <c r="R7" s="1413"/>
      <c r="S7" s="175"/>
      <c r="T7" s="175"/>
      <c r="U7" s="175"/>
      <c r="V7" s="176" t="str">
        <f>F6</f>
        <v>kWh Annual Savings</v>
      </c>
      <c r="W7" s="1186">
        <v>3736.4662164914935</v>
      </c>
      <c r="X7" s="1187">
        <v>2506.58000131569</v>
      </c>
      <c r="Y7" s="176"/>
      <c r="Z7" s="176"/>
      <c r="AA7" s="176"/>
      <c r="AB7" s="176"/>
      <c r="AC7" s="176"/>
      <c r="AD7" s="176"/>
      <c r="AE7" s="176"/>
      <c r="AF7" s="176"/>
      <c r="AG7" s="176"/>
      <c r="AU7" s="178"/>
    </row>
    <row r="8" spans="1:47" s="37" customFormat="1" outlineLevel="1" x14ac:dyDescent="0.25">
      <c r="B8" s="175"/>
      <c r="C8" s="1410"/>
      <c r="D8" s="803"/>
      <c r="E8" s="1414"/>
      <c r="F8" s="1415"/>
      <c r="G8" s="175"/>
      <c r="H8" s="1236"/>
      <c r="I8" s="175"/>
      <c r="J8" s="175"/>
      <c r="K8" s="175"/>
      <c r="L8" s="1258"/>
      <c r="M8" s="175"/>
      <c r="N8" s="175"/>
      <c r="O8" s="175"/>
      <c r="P8" s="175"/>
      <c r="Q8" s="175"/>
      <c r="R8" s="175"/>
      <c r="S8" s="175"/>
      <c r="T8" s="175"/>
      <c r="U8" s="175"/>
      <c r="AU8" s="178"/>
    </row>
    <row r="9" spans="1:47" s="37" customFormat="1" outlineLevel="1" x14ac:dyDescent="0.25">
      <c r="A9" s="179"/>
      <c r="B9" s="1416"/>
      <c r="C9" s="1417"/>
      <c r="D9" s="1418" t="s">
        <v>463</v>
      </c>
      <c r="E9" s="1418"/>
      <c r="F9" s="1419"/>
      <c r="G9" s="1416"/>
      <c r="H9" s="1420"/>
      <c r="I9" s="130"/>
      <c r="J9" s="130"/>
      <c r="K9" s="130"/>
      <c r="L9" s="1258"/>
      <c r="M9" s="175"/>
      <c r="N9" s="175"/>
      <c r="O9" s="175"/>
      <c r="P9" s="175"/>
      <c r="Q9" s="175"/>
      <c r="R9" s="175"/>
      <c r="S9" s="175"/>
      <c r="T9" s="175"/>
      <c r="U9" s="175"/>
      <c r="AU9" s="178"/>
    </row>
    <row r="10" spans="1:47" s="37" customFormat="1" outlineLevel="1" x14ac:dyDescent="0.25">
      <c r="A10" s="179"/>
      <c r="B10" s="1416"/>
      <c r="C10" s="1417"/>
      <c r="D10" s="1420"/>
      <c r="E10" s="1421"/>
      <c r="F10" s="1419"/>
      <c r="G10" s="1416"/>
      <c r="H10" s="1416"/>
      <c r="I10" s="1416"/>
      <c r="J10" s="175"/>
      <c r="K10" s="175"/>
      <c r="L10" s="1422"/>
      <c r="M10" s="175"/>
      <c r="N10" s="175"/>
      <c r="O10" s="175"/>
      <c r="P10" s="175"/>
      <c r="Q10" s="175"/>
      <c r="R10" s="175"/>
      <c r="S10" s="175"/>
      <c r="T10" s="175"/>
      <c r="U10" s="175"/>
      <c r="AU10" s="178"/>
    </row>
    <row r="11" spans="1:47" s="37" customFormat="1" outlineLevel="1" x14ac:dyDescent="0.25">
      <c r="A11" s="179"/>
      <c r="B11" s="1416"/>
      <c r="C11" s="1417"/>
      <c r="D11" s="1423"/>
      <c r="E11" s="1421"/>
      <c r="F11" s="1419"/>
      <c r="G11" s="1416"/>
      <c r="H11" s="1416"/>
      <c r="I11" s="1416"/>
      <c r="J11" s="175"/>
      <c r="K11" s="175"/>
      <c r="L11" s="1258"/>
      <c r="M11" s="175"/>
      <c r="N11" s="175"/>
      <c r="O11" s="175"/>
      <c r="P11" s="175"/>
      <c r="Q11" s="175"/>
      <c r="R11" s="175"/>
      <c r="S11" s="175"/>
      <c r="T11" s="175"/>
      <c r="U11" s="175"/>
      <c r="AU11" s="178"/>
    </row>
    <row r="12" spans="1:47" s="37" customFormat="1" outlineLevel="1" x14ac:dyDescent="0.25">
      <c r="A12" s="179"/>
      <c r="B12" s="1416"/>
      <c r="C12" s="1417"/>
      <c r="D12" s="1423"/>
      <c r="E12" s="1421"/>
      <c r="F12" s="1419"/>
      <c r="G12" s="1416"/>
      <c r="H12" s="1416"/>
      <c r="I12" s="1416"/>
      <c r="J12" s="175"/>
      <c r="K12" s="175"/>
      <c r="L12" s="1258"/>
      <c r="M12" s="175"/>
      <c r="N12" s="175"/>
      <c r="O12" s="175"/>
      <c r="P12" s="175"/>
      <c r="Q12" s="175"/>
      <c r="R12" s="175"/>
      <c r="S12" s="175"/>
      <c r="T12" s="175"/>
      <c r="U12" s="175"/>
      <c r="AU12" s="178"/>
    </row>
    <row r="13" spans="1:47" s="37" customFormat="1" outlineLevel="1" x14ac:dyDescent="0.25">
      <c r="A13" s="179"/>
      <c r="B13" s="1416"/>
      <c r="C13" s="1417"/>
      <c r="D13" s="1423"/>
      <c r="E13" s="1421"/>
      <c r="F13" s="1419"/>
      <c r="G13" s="1416"/>
      <c r="H13" s="1416"/>
      <c r="I13" s="1416"/>
      <c r="J13" s="175"/>
      <c r="K13" s="175"/>
      <c r="L13" s="1258"/>
      <c r="M13" s="175"/>
      <c r="N13" s="175"/>
      <c r="O13" s="175"/>
      <c r="P13" s="175"/>
      <c r="Q13" s="175"/>
      <c r="R13" s="175"/>
      <c r="S13" s="175"/>
      <c r="T13" s="175"/>
      <c r="U13" s="175"/>
      <c r="AU13" s="178"/>
    </row>
    <row r="14" spans="1:47" s="37" customFormat="1" outlineLevel="1" x14ac:dyDescent="0.25">
      <c r="A14" s="179"/>
      <c r="B14" s="1416"/>
      <c r="C14" s="1417"/>
      <c r="D14" s="1421"/>
      <c r="E14" s="1421"/>
      <c r="F14" s="1419"/>
      <c r="G14" s="1416"/>
      <c r="H14" s="1416"/>
      <c r="I14" s="1416"/>
      <c r="J14" s="175"/>
      <c r="K14" s="175"/>
      <c r="L14" s="1258"/>
      <c r="M14" s="175"/>
      <c r="N14" s="175"/>
      <c r="O14" s="175"/>
      <c r="P14" s="175"/>
      <c r="Q14" s="175"/>
      <c r="R14" s="175"/>
      <c r="S14" s="175"/>
      <c r="T14" s="175"/>
      <c r="U14" s="175"/>
      <c r="AU14" s="178"/>
    </row>
    <row r="15" spans="1:47" s="37" customFormat="1" outlineLevel="1" x14ac:dyDescent="0.25">
      <c r="A15" s="179"/>
      <c r="B15" s="1416"/>
      <c r="C15" s="1417"/>
      <c r="D15" s="1421"/>
      <c r="E15" s="1421"/>
      <c r="F15" s="1419"/>
      <c r="G15" s="1416"/>
      <c r="H15" s="1416"/>
      <c r="I15" s="1416"/>
      <c r="J15" s="175"/>
      <c r="K15" s="175"/>
      <c r="L15" s="1258"/>
      <c r="M15" s="175"/>
      <c r="N15" s="175"/>
      <c r="O15" s="175"/>
      <c r="P15" s="175"/>
      <c r="Q15" s="175"/>
      <c r="R15" s="175"/>
      <c r="S15" s="175"/>
      <c r="T15" s="175"/>
      <c r="U15" s="175"/>
      <c r="AU15" s="178"/>
    </row>
    <row r="16" spans="1:47" s="37" customFormat="1" outlineLevel="1" x14ac:dyDescent="0.25">
      <c r="A16" s="179"/>
      <c r="B16" s="1416"/>
      <c r="C16" s="1417"/>
      <c r="D16" s="1421"/>
      <c r="E16" s="1421"/>
      <c r="F16" s="1419"/>
      <c r="G16" s="1416"/>
      <c r="H16" s="1416"/>
      <c r="I16" s="1416"/>
      <c r="J16" s="175"/>
      <c r="K16" s="175"/>
      <c r="L16" s="1258"/>
      <c r="M16" s="175"/>
      <c r="N16" s="175"/>
      <c r="O16" s="175"/>
      <c r="P16" s="175"/>
      <c r="Q16" s="175"/>
      <c r="R16" s="175"/>
      <c r="S16" s="175"/>
      <c r="T16" s="175"/>
      <c r="U16" s="175"/>
      <c r="AU16" s="178"/>
    </row>
    <row r="17" spans="1:47" s="37" customFormat="1" outlineLevel="1" x14ac:dyDescent="0.25">
      <c r="A17" s="179"/>
      <c r="B17" s="1416"/>
      <c r="C17" s="1417"/>
      <c r="D17" s="1421"/>
      <c r="E17" s="1421"/>
      <c r="F17" s="1419"/>
      <c r="G17" s="1416"/>
      <c r="H17" s="1416"/>
      <c r="I17" s="1416"/>
      <c r="J17" s="175"/>
      <c r="K17" s="175"/>
      <c r="L17" s="1258"/>
      <c r="M17" s="175"/>
      <c r="N17" s="175"/>
      <c r="O17" s="175"/>
      <c r="P17" s="175"/>
      <c r="Q17" s="175"/>
      <c r="R17" s="175"/>
      <c r="S17" s="175"/>
      <c r="T17" s="175"/>
      <c r="U17" s="175"/>
      <c r="AU17" s="178"/>
    </row>
    <row r="18" spans="1:47" s="37" customFormat="1" outlineLevel="1" x14ac:dyDescent="0.25">
      <c r="A18" s="179"/>
      <c r="B18" s="1416"/>
      <c r="C18" s="1417"/>
      <c r="D18" s="1421"/>
      <c r="E18" s="1421"/>
      <c r="F18" s="1419"/>
      <c r="G18" s="1416"/>
      <c r="H18" s="1416"/>
      <c r="I18" s="1416"/>
      <c r="J18" s="175"/>
      <c r="K18" s="175"/>
      <c r="L18" s="1258"/>
      <c r="M18" s="175"/>
      <c r="N18" s="175"/>
      <c r="O18" s="175"/>
      <c r="P18" s="175"/>
      <c r="Q18" s="175"/>
      <c r="R18" s="175"/>
      <c r="S18" s="175"/>
      <c r="T18" s="175"/>
      <c r="U18" s="175"/>
      <c r="AU18" s="178"/>
    </row>
    <row r="19" spans="1:47" s="37" customFormat="1" outlineLevel="1" x14ac:dyDescent="0.25">
      <c r="A19" s="179"/>
      <c r="B19" s="1416"/>
      <c r="C19" s="1417"/>
      <c r="D19" s="1421"/>
      <c r="E19" s="1421"/>
      <c r="F19" s="1419"/>
      <c r="G19" s="1416"/>
      <c r="H19" s="1416"/>
      <c r="I19" s="1416"/>
      <c r="J19" s="175"/>
      <c r="K19" s="175"/>
      <c r="L19" s="1258"/>
      <c r="M19" s="175"/>
      <c r="N19" s="175"/>
      <c r="O19" s="175"/>
      <c r="P19" s="175"/>
      <c r="Q19" s="175"/>
      <c r="R19" s="175"/>
      <c r="S19" s="175"/>
      <c r="T19" s="175"/>
      <c r="U19" s="175"/>
      <c r="AU19" s="178"/>
    </row>
    <row r="20" spans="1:47" s="37" customFormat="1" outlineLevel="1" x14ac:dyDescent="0.25">
      <c r="A20" s="179"/>
      <c r="B20" s="1416"/>
      <c r="C20" s="1417"/>
      <c r="D20" s="1421"/>
      <c r="E20" s="1421"/>
      <c r="F20" s="1419"/>
      <c r="G20" s="1416"/>
      <c r="H20" s="1416"/>
      <c r="I20" s="1416"/>
      <c r="J20" s="175"/>
      <c r="K20" s="175"/>
      <c r="L20" s="1258"/>
      <c r="M20" s="175"/>
      <c r="N20" s="175"/>
      <c r="O20" s="175"/>
      <c r="P20" s="175"/>
      <c r="Q20" s="175"/>
      <c r="R20" s="175"/>
      <c r="S20" s="175"/>
      <c r="T20" s="175"/>
      <c r="U20" s="175"/>
      <c r="AU20" s="178"/>
    </row>
    <row r="21" spans="1:47" s="37" customFormat="1" outlineLevel="1" x14ac:dyDescent="0.25">
      <c r="A21" s="179"/>
      <c r="B21" s="1416"/>
      <c r="C21" s="1417"/>
      <c r="D21" s="1421"/>
      <c r="E21" s="1421"/>
      <c r="F21" s="1419"/>
      <c r="G21" s="1416"/>
      <c r="H21" s="1416"/>
      <c r="I21" s="1416"/>
      <c r="J21" s="175"/>
      <c r="K21" s="175"/>
      <c r="L21" s="1258"/>
      <c r="M21" s="175"/>
      <c r="N21" s="175"/>
      <c r="O21" s="175"/>
      <c r="P21" s="175"/>
      <c r="Q21" s="175"/>
      <c r="R21" s="175"/>
      <c r="S21" s="175"/>
      <c r="T21" s="175"/>
      <c r="U21" s="175"/>
      <c r="AU21" s="178"/>
    </row>
    <row r="22" spans="1:47" s="37" customFormat="1" outlineLevel="1" x14ac:dyDescent="0.25">
      <c r="A22" s="179"/>
      <c r="B22" s="1416"/>
      <c r="C22" s="1417"/>
      <c r="D22" s="1421"/>
      <c r="E22" s="1421"/>
      <c r="F22" s="1419"/>
      <c r="G22" s="1416"/>
      <c r="H22" s="1416"/>
      <c r="I22" s="1416"/>
      <c r="J22" s="175"/>
      <c r="K22" s="175"/>
      <c r="L22" s="1258"/>
      <c r="M22" s="175"/>
      <c r="N22" s="175"/>
      <c r="O22" s="175"/>
      <c r="P22" s="175"/>
      <c r="Q22" s="175"/>
      <c r="R22" s="175"/>
      <c r="S22" s="175"/>
      <c r="T22" s="175"/>
      <c r="U22" s="175"/>
      <c r="W22" s="166"/>
      <c r="AU22" s="178"/>
    </row>
    <row r="23" spans="1:47" s="37" customFormat="1" outlineLevel="1" x14ac:dyDescent="0.25">
      <c r="A23" s="179"/>
      <c r="B23" s="1416"/>
      <c r="C23" s="1417"/>
      <c r="D23" s="1421"/>
      <c r="E23" s="1421"/>
      <c r="F23" s="1419"/>
      <c r="G23" s="1416"/>
      <c r="H23" s="1416"/>
      <c r="I23" s="1416"/>
      <c r="J23" s="175"/>
      <c r="K23" s="175"/>
      <c r="L23" s="1258"/>
      <c r="M23" s="175"/>
      <c r="N23" s="175"/>
      <c r="O23" s="175"/>
      <c r="P23" s="175"/>
      <c r="Q23" s="175"/>
      <c r="R23" s="175"/>
      <c r="S23" s="175"/>
      <c r="T23" s="175"/>
      <c r="U23" s="175"/>
      <c r="AU23" s="178"/>
    </row>
    <row r="24" spans="1:47" s="37" customFormat="1" outlineLevel="1" x14ac:dyDescent="0.25">
      <c r="A24" s="179"/>
      <c r="B24" s="1416"/>
      <c r="C24" s="1417"/>
      <c r="D24" s="1421"/>
      <c r="E24" s="1421"/>
      <c r="F24" s="1419"/>
      <c r="G24" s="1416"/>
      <c r="H24" s="1416"/>
      <c r="I24" s="1416"/>
      <c r="J24" s="175"/>
      <c r="K24" s="175"/>
      <c r="L24" s="1258"/>
      <c r="M24" s="175"/>
      <c r="N24" s="175"/>
      <c r="O24" s="175"/>
      <c r="P24" s="175"/>
      <c r="Q24" s="175"/>
      <c r="R24" s="175"/>
      <c r="S24" s="175"/>
      <c r="T24" s="175"/>
      <c r="U24" s="175"/>
      <c r="AU24" s="178"/>
    </row>
    <row r="25" spans="1:47" s="37" customFormat="1" outlineLevel="1" x14ac:dyDescent="0.25">
      <c r="A25" s="179"/>
      <c r="B25" s="1416"/>
      <c r="C25" s="1417"/>
      <c r="D25" s="1421"/>
      <c r="E25" s="1421"/>
      <c r="F25" s="1419"/>
      <c r="G25" s="1416"/>
      <c r="H25" s="1416"/>
      <c r="I25" s="1416"/>
      <c r="J25" s="175"/>
      <c r="K25" s="175"/>
      <c r="L25" s="1258"/>
      <c r="M25" s="175"/>
      <c r="N25" s="175"/>
      <c r="O25" s="175"/>
      <c r="P25" s="175"/>
      <c r="Q25" s="175"/>
      <c r="R25" s="175"/>
      <c r="S25" s="175"/>
      <c r="T25" s="175"/>
      <c r="U25" s="175"/>
      <c r="AU25" s="178"/>
    </row>
    <row r="26" spans="1:47" s="61" customFormat="1" ht="15" customHeight="1" outlineLevel="1" x14ac:dyDescent="0.25">
      <c r="B26" s="1258"/>
      <c r="C26" s="1410"/>
      <c r="D26" s="1098" t="s">
        <v>466</v>
      </c>
      <c r="E26" s="1098" t="s">
        <v>514</v>
      </c>
      <c r="F26" s="184" t="s">
        <v>467</v>
      </c>
      <c r="G26" s="2050" t="s">
        <v>515</v>
      </c>
      <c r="H26" s="2050"/>
      <c r="I26" s="954" t="s">
        <v>468</v>
      </c>
      <c r="J26" s="1424"/>
      <c r="K26" s="1258"/>
      <c r="L26" s="1258"/>
      <c r="M26" s="1258"/>
      <c r="N26" s="1258"/>
      <c r="O26" s="1258"/>
      <c r="P26" s="1258"/>
      <c r="Q26" s="1258"/>
      <c r="R26" s="1258"/>
      <c r="S26" s="1258"/>
      <c r="T26" s="1258"/>
      <c r="U26" s="1258"/>
      <c r="V26" s="48" t="s">
        <v>26</v>
      </c>
      <c r="W26" s="49">
        <v>43252</v>
      </c>
      <c r="X26" s="49">
        <f>$X$6</f>
        <v>43465</v>
      </c>
      <c r="Y26" s="49" t="str">
        <f>$Y$6</f>
        <v>-</v>
      </c>
      <c r="Z26" s="49" t="str">
        <f>$Z$6</f>
        <v>-</v>
      </c>
      <c r="AA26" s="49" t="str">
        <f>$AA$6</f>
        <v>-</v>
      </c>
      <c r="AB26" s="49" t="str">
        <f>$AB$6</f>
        <v>-</v>
      </c>
      <c r="AC26" s="49" t="str">
        <f>$AC$6</f>
        <v>-</v>
      </c>
      <c r="AD26" s="49" t="str">
        <f>$AD$6</f>
        <v>-</v>
      </c>
      <c r="AE26" s="49" t="str">
        <f>$AE$6</f>
        <v>-</v>
      </c>
      <c r="AF26" s="49" t="str">
        <f>$AF$6</f>
        <v>-</v>
      </c>
      <c r="AG26" s="49" t="str">
        <f>$AG$6</f>
        <v>-</v>
      </c>
      <c r="AU26" s="178"/>
    </row>
    <row r="27" spans="1:47" ht="45" outlineLevel="1" x14ac:dyDescent="0.25">
      <c r="D27" s="185" t="s">
        <v>516</v>
      </c>
      <c r="E27" s="185" t="s">
        <v>517</v>
      </c>
      <c r="F27" s="189">
        <v>0.94358243626061789</v>
      </c>
      <c r="G27" s="2061" t="s">
        <v>518</v>
      </c>
      <c r="H27" s="2061"/>
      <c r="I27" s="186" t="s">
        <v>519</v>
      </c>
      <c r="V27" s="188" t="str">
        <f>D27</f>
        <v>EFBASE</v>
      </c>
      <c r="W27" s="189">
        <v>0.9</v>
      </c>
      <c r="X27" s="190">
        <v>0.94358243626061789</v>
      </c>
      <c r="Y27" s="189"/>
      <c r="Z27" s="189"/>
      <c r="AA27" s="189"/>
      <c r="AB27" s="191"/>
      <c r="AC27" s="191"/>
      <c r="AD27" s="191"/>
      <c r="AE27" s="191"/>
      <c r="AF27" s="191"/>
      <c r="AG27" s="191"/>
      <c r="AU27" s="178"/>
    </row>
    <row r="28" spans="1:47" ht="18" outlineLevel="1" x14ac:dyDescent="0.25">
      <c r="D28" s="185" t="s">
        <v>520</v>
      </c>
      <c r="E28" s="185" t="s">
        <v>521</v>
      </c>
      <c r="F28" s="195">
        <v>3.255169603721936</v>
      </c>
      <c r="G28" s="2061" t="s">
        <v>522</v>
      </c>
      <c r="H28" s="2061"/>
      <c r="I28" s="186" t="s">
        <v>523</v>
      </c>
      <c r="J28" s="1424"/>
      <c r="V28" s="188" t="str">
        <f t="shared" ref="V28:V53" si="0">D28</f>
        <v>EFEE</v>
      </c>
      <c r="W28" s="192">
        <v>3.14</v>
      </c>
      <c r="X28" s="193">
        <v>3.255169603721936</v>
      </c>
      <c r="Y28" s="192"/>
      <c r="Z28" s="192"/>
      <c r="AA28" s="192"/>
      <c r="AB28" s="194"/>
      <c r="AC28" s="194"/>
      <c r="AD28" s="194"/>
      <c r="AE28" s="194"/>
      <c r="AF28" s="194"/>
      <c r="AG28" s="194"/>
      <c r="AU28" s="178"/>
    </row>
    <row r="29" spans="1:47" ht="45" outlineLevel="1" x14ac:dyDescent="0.25">
      <c r="D29" s="185" t="s">
        <v>524</v>
      </c>
      <c r="E29" s="185" t="s">
        <v>525</v>
      </c>
      <c r="F29" s="195">
        <v>17.600000000000001</v>
      </c>
      <c r="G29" s="2061" t="s">
        <v>526</v>
      </c>
      <c r="H29" s="2061"/>
      <c r="I29" s="186" t="s">
        <v>527</v>
      </c>
      <c r="J29" s="1424"/>
      <c r="V29" s="188" t="str">
        <f t="shared" si="0"/>
        <v>GPD</v>
      </c>
      <c r="W29" s="195">
        <f>64/W30</f>
        <v>23.970037453183522</v>
      </c>
      <c r="X29" s="193">
        <v>17.600000000000001</v>
      </c>
      <c r="Y29" s="195"/>
      <c r="Z29" s="195"/>
      <c r="AA29" s="195"/>
      <c r="AB29" s="196"/>
      <c r="AC29" s="196"/>
      <c r="AD29" s="196"/>
      <c r="AE29" s="196"/>
      <c r="AF29" s="196"/>
      <c r="AG29" s="196"/>
      <c r="AU29" s="178"/>
    </row>
    <row r="30" spans="1:47" outlineLevel="1" x14ac:dyDescent="0.25">
      <c r="D30" s="185" t="s">
        <v>528</v>
      </c>
      <c r="E30" s="185" t="s">
        <v>529</v>
      </c>
      <c r="F30" s="195">
        <v>2.6599441340781969</v>
      </c>
      <c r="G30" s="2061" t="s">
        <v>530</v>
      </c>
      <c r="H30" s="2061"/>
      <c r="I30" s="186" t="s">
        <v>531</v>
      </c>
      <c r="J30" s="1424"/>
      <c r="V30" s="188" t="str">
        <f t="shared" si="0"/>
        <v>Household</v>
      </c>
      <c r="W30" s="195">
        <v>2.67</v>
      </c>
      <c r="X30" s="193">
        <v>2.6599441340781969</v>
      </c>
      <c r="Y30" s="195"/>
      <c r="Z30" s="195"/>
      <c r="AA30" s="195"/>
      <c r="AB30" s="196"/>
      <c r="AC30" s="196"/>
      <c r="AD30" s="196"/>
      <c r="AE30" s="196"/>
      <c r="AF30" s="196"/>
      <c r="AG30" s="196"/>
      <c r="AU30" s="178"/>
    </row>
    <row r="31" spans="1:47" outlineLevel="1" x14ac:dyDescent="0.25">
      <c r="D31" s="197">
        <v>365.25</v>
      </c>
      <c r="E31" s="185" t="s">
        <v>532</v>
      </c>
      <c r="F31" s="202">
        <v>365.25</v>
      </c>
      <c r="G31" s="2061" t="s">
        <v>533</v>
      </c>
      <c r="H31" s="2061"/>
      <c r="I31" s="186" t="s">
        <v>523</v>
      </c>
      <c r="J31" s="1424"/>
      <c r="V31" s="188">
        <f t="shared" si="0"/>
        <v>365.25</v>
      </c>
      <c r="W31" s="198">
        <v>365</v>
      </c>
      <c r="X31" s="199">
        <v>365.25</v>
      </c>
      <c r="Y31" s="198"/>
      <c r="Z31" s="198"/>
      <c r="AA31" s="198"/>
      <c r="AB31" s="200"/>
      <c r="AC31" s="200"/>
      <c r="AD31" s="200"/>
      <c r="AE31" s="200"/>
      <c r="AF31" s="200"/>
      <c r="AG31" s="200"/>
      <c r="AU31" s="178"/>
    </row>
    <row r="32" spans="1:47" outlineLevel="1" x14ac:dyDescent="0.25">
      <c r="D32" s="185" t="s">
        <v>534</v>
      </c>
      <c r="E32" s="185" t="s">
        <v>535</v>
      </c>
      <c r="F32" s="195">
        <v>8.33</v>
      </c>
      <c r="G32" s="2061" t="s">
        <v>536</v>
      </c>
      <c r="H32" s="2061"/>
      <c r="I32" s="186" t="s">
        <v>523</v>
      </c>
      <c r="J32" s="1425"/>
      <c r="V32" s="188" t="str">
        <f t="shared" si="0"/>
        <v>Den</v>
      </c>
      <c r="W32" s="192">
        <v>8.33</v>
      </c>
      <c r="X32" s="200">
        <v>8.33</v>
      </c>
      <c r="Y32" s="192"/>
      <c r="Z32" s="192"/>
      <c r="AA32" s="192"/>
      <c r="AB32" s="194"/>
      <c r="AC32" s="194"/>
      <c r="AD32" s="194"/>
      <c r="AE32" s="194"/>
      <c r="AF32" s="194"/>
      <c r="AG32" s="194"/>
      <c r="AU32" s="178"/>
    </row>
    <row r="33" spans="4:47" outlineLevel="1" x14ac:dyDescent="0.25">
      <c r="D33" s="185" t="s">
        <v>537</v>
      </c>
      <c r="E33" s="185" t="s">
        <v>538</v>
      </c>
      <c r="F33" s="202">
        <v>125</v>
      </c>
      <c r="G33" s="2061" t="s">
        <v>539</v>
      </c>
      <c r="H33" s="2061"/>
      <c r="I33" s="186" t="s">
        <v>523</v>
      </c>
      <c r="J33" s="1425"/>
      <c r="V33" s="188" t="str">
        <f t="shared" si="0"/>
        <v>HWT</v>
      </c>
      <c r="W33" s="198">
        <v>135</v>
      </c>
      <c r="X33" s="203">
        <v>125</v>
      </c>
      <c r="Y33" s="204"/>
      <c r="Z33" s="198"/>
      <c r="AA33" s="198"/>
      <c r="AB33" s="200"/>
      <c r="AC33" s="200"/>
      <c r="AD33" s="200"/>
      <c r="AE33" s="200"/>
      <c r="AF33" s="200"/>
      <c r="AG33" s="200"/>
      <c r="AU33" s="178"/>
    </row>
    <row r="34" spans="4:47" outlineLevel="1" x14ac:dyDescent="0.25">
      <c r="D34" s="185" t="s">
        <v>540</v>
      </c>
      <c r="E34" s="185" t="s">
        <v>541</v>
      </c>
      <c r="F34" s="202">
        <v>57.898000000000003</v>
      </c>
      <c r="G34" s="2061" t="s">
        <v>542</v>
      </c>
      <c r="H34" s="2061"/>
      <c r="I34" s="186" t="s">
        <v>523</v>
      </c>
      <c r="J34" s="1425"/>
      <c r="V34" s="188" t="str">
        <f t="shared" si="0"/>
        <v>CWT</v>
      </c>
      <c r="W34" s="198">
        <v>61.3</v>
      </c>
      <c r="X34" s="203">
        <v>57.898000000000003</v>
      </c>
      <c r="Y34" s="198"/>
      <c r="Z34" s="198"/>
      <c r="AA34" s="198"/>
      <c r="AB34" s="200"/>
      <c r="AC34" s="200"/>
      <c r="AD34" s="200"/>
      <c r="AE34" s="200"/>
      <c r="AF34" s="200"/>
      <c r="AG34" s="200"/>
      <c r="AU34" s="178"/>
    </row>
    <row r="35" spans="4:47" ht="18" outlineLevel="1" x14ac:dyDescent="0.25">
      <c r="D35" s="185" t="s">
        <v>543</v>
      </c>
      <c r="E35" s="185" t="s">
        <v>544</v>
      </c>
      <c r="F35" s="202">
        <v>1</v>
      </c>
      <c r="G35" s="2061" t="s">
        <v>545</v>
      </c>
      <c r="H35" s="2061"/>
      <c r="I35" s="186" t="s">
        <v>523</v>
      </c>
      <c r="V35" s="188" t="str">
        <f t="shared" si="0"/>
        <v>CP</v>
      </c>
      <c r="W35" s="198">
        <v>1</v>
      </c>
      <c r="X35" s="200">
        <v>1</v>
      </c>
      <c r="Y35" s="198"/>
      <c r="Z35" s="198"/>
      <c r="AA35" s="198"/>
      <c r="AB35" s="200"/>
      <c r="AC35" s="200"/>
      <c r="AD35" s="200"/>
      <c r="AE35" s="200"/>
      <c r="AF35" s="200"/>
      <c r="AG35" s="200"/>
      <c r="AU35" s="178"/>
    </row>
    <row r="36" spans="4:47" outlineLevel="1" x14ac:dyDescent="0.25">
      <c r="D36" s="185">
        <v>3412</v>
      </c>
      <c r="E36" s="185"/>
      <c r="F36" s="205">
        <v>3412</v>
      </c>
      <c r="G36" s="2061" t="s">
        <v>546</v>
      </c>
      <c r="H36" s="2061"/>
      <c r="I36" s="186" t="s">
        <v>547</v>
      </c>
      <c r="V36" s="188">
        <f t="shared" si="0"/>
        <v>3412</v>
      </c>
      <c r="W36" s="206">
        <v>3412</v>
      </c>
      <c r="X36" s="207">
        <v>3412</v>
      </c>
      <c r="Y36" s="206"/>
      <c r="Z36" s="206"/>
      <c r="AA36" s="206"/>
      <c r="AB36" s="207"/>
      <c r="AC36" s="207"/>
      <c r="AD36" s="207"/>
      <c r="AE36" s="207"/>
      <c r="AF36" s="207"/>
      <c r="AG36" s="207"/>
      <c r="AU36" s="178"/>
    </row>
    <row r="37" spans="4:47" outlineLevel="1" x14ac:dyDescent="0.25">
      <c r="D37" s="208" t="s">
        <v>228</v>
      </c>
      <c r="E37" s="185" t="s">
        <v>548</v>
      </c>
      <c r="F37" s="209">
        <v>0.5</v>
      </c>
      <c r="G37" s="2061" t="s">
        <v>549</v>
      </c>
      <c r="H37" s="2061"/>
      <c r="I37" s="186"/>
      <c r="V37" s="188" t="str">
        <f t="shared" si="0"/>
        <v>LF</v>
      </c>
      <c r="W37" s="210">
        <v>1</v>
      </c>
      <c r="X37" s="211">
        <v>0.5</v>
      </c>
      <c r="Y37" s="212"/>
      <c r="Z37" s="210"/>
      <c r="AA37" s="210"/>
      <c r="AB37" s="213"/>
      <c r="AC37" s="213"/>
      <c r="AD37" s="213"/>
      <c r="AE37" s="213"/>
      <c r="AF37" s="213"/>
      <c r="AG37" s="213"/>
      <c r="AU37" s="178"/>
    </row>
    <row r="38" spans="4:47" ht="45" outlineLevel="1" x14ac:dyDescent="0.25">
      <c r="D38" s="214" t="s">
        <v>550</v>
      </c>
      <c r="E38" s="185" t="s">
        <v>551</v>
      </c>
      <c r="F38" s="1426">
        <v>0.53</v>
      </c>
      <c r="G38" s="2061" t="s">
        <v>552</v>
      </c>
      <c r="H38" s="2061"/>
      <c r="I38" s="186" t="s">
        <v>553</v>
      </c>
      <c r="J38" s="1233"/>
      <c r="K38" s="1233"/>
      <c r="L38" s="1233"/>
      <c r="M38" s="1233"/>
      <c r="N38" s="1233"/>
      <c r="O38" s="1233"/>
      <c r="P38" s="1233"/>
      <c r="Q38" s="1233"/>
      <c r="R38" s="1233"/>
      <c r="S38" s="1233"/>
      <c r="T38" s="1233"/>
      <c r="U38" s="1233"/>
      <c r="V38" s="188" t="str">
        <f t="shared" si="0"/>
        <v>% Reduced Waste Heat Reducing Cool Load</v>
      </c>
      <c r="W38" s="215">
        <v>0.4</v>
      </c>
      <c r="X38" s="216">
        <v>0.53</v>
      </c>
      <c r="Y38" s="215"/>
      <c r="Z38" s="215"/>
      <c r="AA38" s="215"/>
      <c r="AB38" s="217"/>
      <c r="AC38" s="217"/>
      <c r="AD38" s="217"/>
      <c r="AE38" s="217"/>
      <c r="AF38" s="217"/>
      <c r="AG38" s="217"/>
      <c r="AU38" s="178"/>
    </row>
    <row r="39" spans="4:47" ht="45" outlineLevel="1" x14ac:dyDescent="0.25">
      <c r="D39" s="218" t="s">
        <v>554</v>
      </c>
      <c r="E39" s="185" t="s">
        <v>555</v>
      </c>
      <c r="F39" s="1426">
        <v>0.43</v>
      </c>
      <c r="G39" s="2061" t="s">
        <v>552</v>
      </c>
      <c r="H39" s="2061"/>
      <c r="I39" s="185" t="s">
        <v>1776</v>
      </c>
      <c r="J39" s="1233"/>
      <c r="K39" s="1233"/>
      <c r="L39" s="1233"/>
      <c r="M39" s="1233"/>
      <c r="N39" s="1233"/>
      <c r="O39" s="1233"/>
      <c r="P39" s="1233"/>
      <c r="Q39" s="1233"/>
      <c r="R39" s="1233"/>
      <c r="S39" s="1233"/>
      <c r="T39" s="1233"/>
      <c r="U39" s="1233"/>
      <c r="V39" s="188" t="str">
        <f t="shared" si="0"/>
        <v>% Reduced Waste Heat Increasing Heat Load</v>
      </c>
      <c r="W39" s="215">
        <v>0.57999999999999996</v>
      </c>
      <c r="X39" s="216">
        <v>0.43</v>
      </c>
      <c r="Y39" s="215"/>
      <c r="Z39" s="215"/>
      <c r="AA39" s="215"/>
      <c r="AB39" s="217"/>
      <c r="AC39" s="217"/>
      <c r="AD39" s="217"/>
      <c r="AE39" s="217"/>
      <c r="AF39" s="217"/>
      <c r="AG39" s="217"/>
      <c r="AU39" s="178"/>
    </row>
    <row r="40" spans="4:47" ht="120" outlineLevel="1" x14ac:dyDescent="0.25">
      <c r="D40" s="219" t="s">
        <v>556</v>
      </c>
      <c r="E40" s="185" t="s">
        <v>557</v>
      </c>
      <c r="F40" s="220">
        <v>2.8</v>
      </c>
      <c r="G40" s="2061" t="s">
        <v>552</v>
      </c>
      <c r="H40" s="2061"/>
      <c r="I40" s="185" t="s">
        <v>558</v>
      </c>
      <c r="J40" s="1233"/>
      <c r="K40" s="1233"/>
      <c r="L40" s="1233"/>
      <c r="M40" s="1233"/>
      <c r="N40" s="1233"/>
      <c r="O40" s="1233"/>
      <c r="P40" s="1233"/>
      <c r="Q40" s="1233"/>
      <c r="R40" s="1233"/>
      <c r="S40" s="1233"/>
      <c r="T40" s="1233"/>
      <c r="U40" s="1233"/>
      <c r="V40" s="188" t="str">
        <f t="shared" si="0"/>
        <v>COPcool</v>
      </c>
      <c r="W40" s="210">
        <v>2.8</v>
      </c>
      <c r="X40" s="213">
        <v>2.8</v>
      </c>
      <c r="Y40" s="210"/>
      <c r="Z40" s="210"/>
      <c r="AA40" s="210"/>
      <c r="AB40" s="213"/>
      <c r="AC40" s="213"/>
      <c r="AD40" s="213"/>
      <c r="AE40" s="213"/>
      <c r="AF40" s="213"/>
      <c r="AG40" s="213"/>
      <c r="AU40" s="178"/>
    </row>
    <row r="41" spans="4:47" outlineLevel="1" x14ac:dyDescent="0.25">
      <c r="D41" s="2069" t="s">
        <v>559</v>
      </c>
      <c r="E41" s="218" t="s">
        <v>560</v>
      </c>
      <c r="F41" s="209">
        <v>1</v>
      </c>
      <c r="G41" s="2061" t="s">
        <v>552</v>
      </c>
      <c r="H41" s="2061"/>
      <c r="I41" s="2062" t="s">
        <v>561</v>
      </c>
      <c r="J41" s="1427"/>
      <c r="K41" s="1233"/>
      <c r="L41" s="1233"/>
      <c r="M41" s="1233"/>
      <c r="N41" s="1233"/>
      <c r="O41" s="1233"/>
      <c r="P41" s="1233"/>
      <c r="Q41" s="1233"/>
      <c r="R41" s="1233"/>
      <c r="S41" s="1233"/>
      <c r="T41" s="1233"/>
      <c r="U41" s="1233"/>
      <c r="V41" s="2065" t="str">
        <f t="shared" si="0"/>
        <v>COPheat</v>
      </c>
      <c r="W41" s="210">
        <v>1</v>
      </c>
      <c r="X41" s="213">
        <v>1</v>
      </c>
      <c r="Y41" s="210"/>
      <c r="Z41" s="210"/>
      <c r="AA41" s="210"/>
      <c r="AB41" s="213"/>
      <c r="AC41" s="213"/>
      <c r="AD41" s="213"/>
      <c r="AE41" s="213"/>
      <c r="AF41" s="213"/>
      <c r="AG41" s="213"/>
      <c r="AU41" s="178"/>
    </row>
    <row r="42" spans="4:47" outlineLevel="1" x14ac:dyDescent="0.25">
      <c r="D42" s="2070"/>
      <c r="E42" s="218" t="s">
        <v>562</v>
      </c>
      <c r="F42" s="221">
        <v>1.7</v>
      </c>
      <c r="G42" s="2061" t="s">
        <v>552</v>
      </c>
      <c r="H42" s="2061"/>
      <c r="I42" s="2063"/>
      <c r="J42" s="1427"/>
      <c r="K42" s="1233"/>
      <c r="L42" s="1233"/>
      <c r="M42" s="1233"/>
      <c r="N42" s="1233"/>
      <c r="O42" s="1233"/>
      <c r="P42" s="1233"/>
      <c r="Q42" s="1233"/>
      <c r="R42" s="1233"/>
      <c r="S42" s="1233"/>
      <c r="T42" s="1233"/>
      <c r="U42" s="1233"/>
      <c r="V42" s="2066">
        <f t="shared" si="0"/>
        <v>0</v>
      </c>
      <c r="W42" s="222">
        <v>1.7</v>
      </c>
      <c r="X42" s="222">
        <v>1.7</v>
      </c>
      <c r="Y42" s="222"/>
      <c r="Z42" s="222"/>
      <c r="AA42" s="222"/>
      <c r="AB42" s="222"/>
      <c r="AC42" s="222"/>
      <c r="AD42" s="222"/>
      <c r="AE42" s="222"/>
      <c r="AF42" s="222"/>
      <c r="AG42" s="222"/>
      <c r="AU42" s="178"/>
    </row>
    <row r="43" spans="4:47" ht="15" customHeight="1" outlineLevel="1" x14ac:dyDescent="0.25">
      <c r="D43" s="2070"/>
      <c r="E43" s="218" t="s">
        <v>563</v>
      </c>
      <c r="F43" s="221">
        <v>1.92</v>
      </c>
      <c r="G43" s="2061" t="s">
        <v>552</v>
      </c>
      <c r="H43" s="2061"/>
      <c r="I43" s="2063"/>
      <c r="J43" s="1427"/>
      <c r="K43" s="1233"/>
      <c r="L43" s="1233"/>
      <c r="M43" s="1233"/>
      <c r="N43" s="1233"/>
      <c r="O43" s="1233"/>
      <c r="P43" s="1233"/>
      <c r="Q43" s="1233"/>
      <c r="R43" s="1233"/>
      <c r="S43" s="1233"/>
      <c r="T43" s="1233"/>
      <c r="U43" s="1233"/>
      <c r="V43" s="2066">
        <f t="shared" si="0"/>
        <v>0</v>
      </c>
      <c r="W43" s="222">
        <v>1.92</v>
      </c>
      <c r="X43" s="223">
        <v>1.92</v>
      </c>
      <c r="Y43" s="222"/>
      <c r="Z43" s="222"/>
      <c r="AA43" s="222"/>
      <c r="AB43" s="224"/>
      <c r="AC43" s="224"/>
      <c r="AD43" s="224"/>
      <c r="AE43" s="224"/>
      <c r="AF43" s="224"/>
      <c r="AG43" s="224"/>
      <c r="AU43" s="178"/>
    </row>
    <row r="44" spans="4:47" ht="15" customHeight="1" outlineLevel="1" thickBot="1" x14ac:dyDescent="0.3">
      <c r="D44" s="2071"/>
      <c r="E44" s="225" t="s">
        <v>564</v>
      </c>
      <c r="F44" s="226">
        <v>2.04</v>
      </c>
      <c r="G44" s="2068" t="s">
        <v>552</v>
      </c>
      <c r="H44" s="2068"/>
      <c r="I44" s="2064"/>
      <c r="J44" s="1427"/>
      <c r="K44" s="1233"/>
      <c r="L44" s="1233"/>
      <c r="M44" s="1233"/>
      <c r="N44" s="1233"/>
      <c r="O44" s="1233"/>
      <c r="P44" s="1233"/>
      <c r="Q44" s="1233"/>
      <c r="R44" s="1233"/>
      <c r="S44" s="1233"/>
      <c r="T44" s="1233"/>
      <c r="U44" s="1233"/>
      <c r="V44" s="2067">
        <f t="shared" si="0"/>
        <v>0</v>
      </c>
      <c r="W44" s="222">
        <v>2.04</v>
      </c>
      <c r="X44" s="224">
        <v>2.04</v>
      </c>
      <c r="Y44" s="222"/>
      <c r="Z44" s="222"/>
      <c r="AA44" s="222"/>
      <c r="AB44" s="224"/>
      <c r="AC44" s="224"/>
      <c r="AD44" s="224"/>
      <c r="AE44" s="224"/>
      <c r="AF44" s="224"/>
      <c r="AG44" s="224"/>
      <c r="AU44" s="178"/>
    </row>
    <row r="45" spans="4:47" ht="54.75" customHeight="1" outlineLevel="1" x14ac:dyDescent="0.25">
      <c r="D45" s="227" t="s">
        <v>565</v>
      </c>
      <c r="E45" s="228" t="s">
        <v>566</v>
      </c>
      <c r="F45" s="1428">
        <v>3.52039106145252</v>
      </c>
      <c r="G45" s="2073"/>
      <c r="H45" s="2073"/>
      <c r="I45" s="1429" t="s">
        <v>1777</v>
      </c>
      <c r="J45" s="1427"/>
      <c r="K45" s="1233"/>
      <c r="L45" s="1233"/>
      <c r="M45" s="1233"/>
      <c r="N45" s="1233"/>
      <c r="O45" s="1233"/>
      <c r="P45" s="1233"/>
      <c r="Q45" s="1233"/>
      <c r="R45" s="1233"/>
      <c r="S45" s="1233"/>
      <c r="T45" s="1233"/>
      <c r="U45" s="1233"/>
      <c r="V45" s="188" t="str">
        <f t="shared" si="0"/>
        <v>LM</v>
      </c>
      <c r="W45" s="210">
        <v>3</v>
      </c>
      <c r="X45" s="229">
        <v>3.52039106145252</v>
      </c>
      <c r="Y45" s="210"/>
      <c r="Z45" s="210"/>
      <c r="AA45" s="210"/>
      <c r="AB45" s="213"/>
      <c r="AC45" s="213"/>
      <c r="AD45" s="213"/>
      <c r="AE45" s="213"/>
      <c r="AF45" s="213"/>
      <c r="AG45" s="213"/>
      <c r="AU45" s="178"/>
    </row>
    <row r="46" spans="4:47" ht="15" customHeight="1" outlineLevel="1" x14ac:dyDescent="0.25">
      <c r="D46" s="208" t="s">
        <v>145</v>
      </c>
      <c r="E46" s="185" t="s">
        <v>567</v>
      </c>
      <c r="F46" s="230">
        <v>1</v>
      </c>
      <c r="G46" s="2061" t="s">
        <v>552</v>
      </c>
      <c r="H46" s="2061"/>
      <c r="I46" s="186" t="s">
        <v>568</v>
      </c>
      <c r="J46" s="1427"/>
      <c r="K46" s="1233"/>
      <c r="L46" s="1233"/>
      <c r="M46" s="1233"/>
      <c r="N46" s="1233"/>
      <c r="O46" s="1233"/>
      <c r="P46" s="1233"/>
      <c r="Q46" s="1233"/>
      <c r="R46" s="1233"/>
      <c r="S46" s="1233"/>
      <c r="T46" s="1233"/>
      <c r="U46" s="1233"/>
      <c r="V46" s="188" t="str">
        <f t="shared" si="0"/>
        <v>%Cool</v>
      </c>
      <c r="W46" s="231">
        <v>0.91</v>
      </c>
      <c r="X46" s="232">
        <v>1</v>
      </c>
      <c r="Y46" s="231"/>
      <c r="Z46" s="231"/>
      <c r="AA46" s="231"/>
      <c r="AB46" s="232"/>
      <c r="AC46" s="232"/>
      <c r="AD46" s="232"/>
      <c r="AE46" s="232"/>
      <c r="AF46" s="232"/>
      <c r="AG46" s="232"/>
      <c r="AU46" s="178"/>
    </row>
    <row r="47" spans="4:47" ht="15" customHeight="1" outlineLevel="1" x14ac:dyDescent="0.25">
      <c r="D47" s="234"/>
      <c r="E47" s="234"/>
      <c r="F47" s="233"/>
      <c r="G47" s="2074"/>
      <c r="H47" s="2074"/>
      <c r="I47" s="235"/>
      <c r="J47" s="1233"/>
      <c r="K47" s="1233"/>
      <c r="L47" s="1233"/>
      <c r="M47" s="1233"/>
      <c r="N47" s="1233"/>
      <c r="O47" s="1233"/>
      <c r="P47" s="1233"/>
      <c r="Q47" s="1233"/>
      <c r="R47" s="1233"/>
      <c r="S47" s="1233"/>
      <c r="T47" s="1233"/>
      <c r="U47" s="1233"/>
      <c r="V47" s="236"/>
      <c r="W47" s="231"/>
      <c r="X47" s="237"/>
      <c r="Y47" s="238"/>
      <c r="Z47" s="231"/>
      <c r="AA47" s="231"/>
      <c r="AB47" s="232"/>
      <c r="AC47" s="232"/>
      <c r="AD47" s="232"/>
      <c r="AE47" s="232"/>
      <c r="AF47" s="232"/>
      <c r="AG47" s="232"/>
      <c r="AU47" s="178"/>
    </row>
    <row r="48" spans="4:47" ht="30" customHeight="1" outlineLevel="1" x14ac:dyDescent="0.25">
      <c r="D48" s="185" t="s">
        <v>569</v>
      </c>
      <c r="E48" s="185" t="s">
        <v>570</v>
      </c>
      <c r="F48" s="189">
        <v>0.375</v>
      </c>
      <c r="G48" s="2061" t="s">
        <v>571</v>
      </c>
      <c r="H48" s="2061"/>
      <c r="I48" s="186" t="s">
        <v>523</v>
      </c>
      <c r="J48" s="1430"/>
      <c r="K48" s="1233"/>
      <c r="L48" s="1233"/>
      <c r="M48" s="1233"/>
      <c r="N48" s="1233"/>
      <c r="O48" s="1233"/>
      <c r="P48" s="1233"/>
      <c r="Q48" s="1233"/>
      <c r="R48" s="1233"/>
      <c r="S48" s="1233"/>
      <c r="T48" s="1233"/>
      <c r="U48" s="1233"/>
      <c r="V48" s="188" t="str">
        <f t="shared" si="0"/>
        <v xml:space="preserve">%ElectricHeat - Electric Resistance Saturation </v>
      </c>
      <c r="W48" s="239">
        <v>0.375</v>
      </c>
      <c r="X48" s="240">
        <v>0.375</v>
      </c>
      <c r="Y48" s="239"/>
      <c r="Z48" s="239"/>
      <c r="AA48" s="239"/>
      <c r="AB48" s="240"/>
      <c r="AC48" s="240"/>
      <c r="AD48" s="240"/>
      <c r="AE48" s="240"/>
      <c r="AF48" s="240"/>
      <c r="AG48" s="240"/>
      <c r="AU48" s="178"/>
    </row>
    <row r="49" spans="2:47" ht="30.75" customHeight="1" outlineLevel="1" x14ac:dyDescent="0.25">
      <c r="D49" s="185" t="s">
        <v>572</v>
      </c>
      <c r="E49" s="185" t="s">
        <v>573</v>
      </c>
      <c r="F49" s="189">
        <v>0.42199999999999999</v>
      </c>
      <c r="G49" s="2061" t="s">
        <v>571</v>
      </c>
      <c r="H49" s="2061"/>
      <c r="I49" s="186" t="s">
        <v>523</v>
      </c>
      <c r="J49" s="1233"/>
      <c r="K49" s="1233"/>
      <c r="L49" s="1233"/>
      <c r="M49" s="1233"/>
      <c r="N49" s="1233"/>
      <c r="O49" s="1233"/>
      <c r="P49" s="1233"/>
      <c r="Q49" s="1233"/>
      <c r="R49" s="1233"/>
      <c r="S49" s="1233"/>
      <c r="T49" s="1233"/>
      <c r="U49" s="1233"/>
      <c r="V49" s="188" t="str">
        <f t="shared" si="0"/>
        <v>%ElectricHeat - Heat Pump Saturation</v>
      </c>
      <c r="W49" s="239">
        <v>0.42199999999999999</v>
      </c>
      <c r="X49" s="240">
        <v>0.42199999999999999</v>
      </c>
      <c r="Y49" s="239"/>
      <c r="Z49" s="239"/>
      <c r="AA49" s="239"/>
      <c r="AB49" s="240"/>
      <c r="AC49" s="240"/>
      <c r="AD49" s="240"/>
      <c r="AE49" s="240"/>
      <c r="AF49" s="240"/>
      <c r="AG49" s="240"/>
      <c r="AU49" s="178"/>
    </row>
    <row r="50" spans="2:47" ht="33" customHeight="1" outlineLevel="1" x14ac:dyDescent="0.25">
      <c r="D50" s="234"/>
      <c r="E50" s="234"/>
      <c r="F50" s="241"/>
      <c r="G50" s="2074"/>
      <c r="H50" s="2074"/>
      <c r="I50" s="235"/>
      <c r="J50" s="1431"/>
      <c r="K50" s="1431"/>
      <c r="L50" s="1431"/>
      <c r="M50" s="1431"/>
      <c r="N50" s="1431"/>
      <c r="O50" s="1431"/>
      <c r="P50" s="1431"/>
      <c r="Q50" s="1431"/>
      <c r="R50" s="1431"/>
      <c r="S50" s="1431"/>
      <c r="T50" s="1431"/>
      <c r="U50" s="1431"/>
      <c r="V50" s="236"/>
      <c r="W50" s="242"/>
      <c r="X50" s="237"/>
      <c r="Y50" s="238"/>
      <c r="Z50" s="239"/>
      <c r="AA50" s="239"/>
      <c r="AB50" s="240"/>
      <c r="AC50" s="240"/>
      <c r="AD50" s="240"/>
      <c r="AE50" s="240"/>
      <c r="AF50" s="240"/>
      <c r="AG50" s="240"/>
      <c r="AU50" s="178"/>
    </row>
    <row r="51" spans="2:47" ht="15" customHeight="1" outlineLevel="1" x14ac:dyDescent="0.25">
      <c r="D51" s="185" t="s">
        <v>574</v>
      </c>
      <c r="E51" s="185"/>
      <c r="F51" s="243">
        <v>1</v>
      </c>
      <c r="G51" s="2061" t="s">
        <v>575</v>
      </c>
      <c r="H51" s="2061"/>
      <c r="I51" s="186" t="s">
        <v>523</v>
      </c>
      <c r="V51" s="188" t="str">
        <f t="shared" si="0"/>
        <v>Installation Rate</v>
      </c>
      <c r="W51" s="244">
        <v>1</v>
      </c>
      <c r="X51" s="245">
        <v>1</v>
      </c>
      <c r="Y51" s="244"/>
      <c r="Z51" s="244"/>
      <c r="AA51" s="244"/>
      <c r="AB51" s="245"/>
      <c r="AC51" s="245"/>
      <c r="AD51" s="245"/>
      <c r="AE51" s="245"/>
      <c r="AF51" s="245"/>
      <c r="AG51" s="245"/>
      <c r="AU51" s="178"/>
    </row>
    <row r="52" spans="2:47" ht="15" customHeight="1" outlineLevel="1" x14ac:dyDescent="0.25">
      <c r="D52" s="185" t="str">
        <f>M6</f>
        <v>EUL</v>
      </c>
      <c r="E52" s="185" t="str">
        <f>'Energy Effic. Kits Deemed Table'!E29</f>
        <v>Effective Useful Life</v>
      </c>
      <c r="F52" s="169">
        <v>13</v>
      </c>
      <c r="G52" s="2061"/>
      <c r="H52" s="2061"/>
      <c r="I52" s="186"/>
      <c r="V52" s="188" t="str">
        <f t="shared" si="0"/>
        <v>EUL</v>
      </c>
      <c r="W52" s="246">
        <v>13</v>
      </c>
      <c r="X52" s="246">
        <v>13</v>
      </c>
      <c r="Y52" s="246"/>
      <c r="Z52" s="246"/>
      <c r="AA52" s="246"/>
      <c r="AB52" s="246"/>
      <c r="AC52" s="246"/>
      <c r="AD52" s="246"/>
      <c r="AE52" s="246"/>
      <c r="AF52" s="246"/>
      <c r="AG52" s="246"/>
      <c r="AU52" s="178"/>
    </row>
    <row r="53" spans="2:47" ht="15" customHeight="1" outlineLevel="1" x14ac:dyDescent="0.25">
      <c r="D53" s="185" t="str">
        <f>N6</f>
        <v>Inc. Cost</v>
      </c>
      <c r="E53" s="185" t="str">
        <f>'HVAC Deemed Table'!E86</f>
        <v>Incremental Cost ($)</v>
      </c>
      <c r="F53" s="173">
        <v>588</v>
      </c>
      <c r="G53" s="2061"/>
      <c r="H53" s="2061"/>
      <c r="I53" s="186" t="s">
        <v>31</v>
      </c>
      <c r="V53" s="188" t="str">
        <f t="shared" si="0"/>
        <v>Inc. Cost</v>
      </c>
      <c r="W53" s="247">
        <v>588</v>
      </c>
      <c r="X53" s="247">
        <v>588</v>
      </c>
      <c r="Y53" s="247"/>
      <c r="Z53" s="247"/>
      <c r="AA53" s="247"/>
      <c r="AB53" s="247"/>
      <c r="AC53" s="247"/>
      <c r="AD53" s="247"/>
      <c r="AE53" s="247"/>
      <c r="AF53" s="247"/>
      <c r="AG53" s="247"/>
      <c r="AU53" s="178"/>
    </row>
    <row r="54" spans="2:47" x14ac:dyDescent="0.25">
      <c r="D54" s="1432"/>
      <c r="E54" s="1432"/>
      <c r="F54" s="248"/>
      <c r="G54" s="248"/>
      <c r="H54" s="248"/>
      <c r="I54" s="248"/>
      <c r="J54" s="248"/>
      <c r="K54" s="248"/>
      <c r="L54" s="248"/>
      <c r="M54" s="248"/>
      <c r="N54" s="248"/>
      <c r="O54" s="248"/>
      <c r="X54" s="36"/>
      <c r="Y54" s="36"/>
      <c r="Z54" s="36"/>
      <c r="AA54" s="36"/>
      <c r="AU54" s="178"/>
    </row>
    <row r="55" spans="2:47" x14ac:dyDescent="0.25">
      <c r="X55" s="36"/>
      <c r="Y55" s="36"/>
      <c r="Z55" s="36"/>
      <c r="AA55" s="36"/>
      <c r="AU55" s="178"/>
    </row>
    <row r="56" spans="2:47" x14ac:dyDescent="0.25">
      <c r="B56" s="2022" t="s">
        <v>576</v>
      </c>
      <c r="C56" s="2023"/>
      <c r="D56" s="2023"/>
      <c r="E56" s="2023"/>
      <c r="F56" s="2023"/>
      <c r="G56" s="2023"/>
      <c r="H56" s="2023"/>
      <c r="I56" s="1992"/>
      <c r="J56" s="1992"/>
      <c r="K56" s="1992"/>
      <c r="L56" s="1992"/>
      <c r="M56" s="1992"/>
      <c r="N56" s="1992"/>
      <c r="O56" s="1993"/>
      <c r="P56" s="904"/>
      <c r="Q56" s="904"/>
      <c r="V56" s="2022" t="str">
        <f>B56</f>
        <v>Learning Thermostat / Advanced Thermostat</v>
      </c>
      <c r="W56" s="2023"/>
      <c r="X56" s="2023"/>
      <c r="Y56" s="2023"/>
      <c r="Z56" s="2023"/>
      <c r="AA56" s="2023"/>
      <c r="AB56" s="2023"/>
      <c r="AC56" s="2024"/>
      <c r="AD56" s="2024"/>
      <c r="AE56" s="2024"/>
      <c r="AF56" s="2024"/>
      <c r="AG56" s="2024"/>
      <c r="AH56" s="2024"/>
      <c r="AI56" s="2025"/>
      <c r="AU56" s="178"/>
    </row>
    <row r="57" spans="2:47" x14ac:dyDescent="0.25">
      <c r="B57" s="1087"/>
      <c r="C57" s="1434"/>
      <c r="D57" s="1435"/>
      <c r="E57" s="1435"/>
      <c r="F57" s="1436"/>
      <c r="G57" s="1436"/>
      <c r="H57" s="1436"/>
      <c r="I57" s="1436"/>
      <c r="J57" s="1436"/>
      <c r="K57" s="1436"/>
      <c r="L57" s="1437"/>
      <c r="M57" s="904"/>
      <c r="N57" s="904"/>
      <c r="O57" s="904"/>
      <c r="P57" s="904"/>
      <c r="Q57" s="904"/>
      <c r="AU57" s="178"/>
    </row>
    <row r="58" spans="2:47" ht="45" x14ac:dyDescent="0.25">
      <c r="B58" s="1087"/>
      <c r="C58" s="184" t="s">
        <v>16</v>
      </c>
      <c r="D58" s="184" t="s">
        <v>509</v>
      </c>
      <c r="E58" s="184" t="s">
        <v>18</v>
      </c>
      <c r="F58" s="184" t="s">
        <v>19</v>
      </c>
      <c r="G58" s="184" t="s">
        <v>20</v>
      </c>
      <c r="H58" s="184" t="s">
        <v>21</v>
      </c>
      <c r="I58" s="184" t="s">
        <v>22</v>
      </c>
      <c r="J58" s="448" t="s">
        <v>23</v>
      </c>
      <c r="K58" s="184" t="s">
        <v>24</v>
      </c>
      <c r="L58" s="184" t="s">
        <v>25</v>
      </c>
      <c r="M58" s="251"/>
      <c r="N58" s="251"/>
      <c r="O58" s="252"/>
      <c r="P58" s="252"/>
      <c r="Q58" s="904"/>
      <c r="V58" s="48" t="s">
        <v>26</v>
      </c>
      <c r="W58" s="49">
        <v>43252</v>
      </c>
      <c r="X58" s="49">
        <f>$X$6</f>
        <v>43465</v>
      </c>
      <c r="Y58" s="49" t="str">
        <f>$Y$6</f>
        <v>-</v>
      </c>
      <c r="Z58" s="49" t="str">
        <f>$Z$6</f>
        <v>-</v>
      </c>
      <c r="AA58" s="49" t="str">
        <f>$AA$6</f>
        <v>-</v>
      </c>
      <c r="AB58" s="49" t="str">
        <f>$AB$6</f>
        <v>-</v>
      </c>
      <c r="AC58" s="49" t="str">
        <f>$AC$6</f>
        <v>-</v>
      </c>
      <c r="AD58" s="49" t="str">
        <f>$AD$6</f>
        <v>-</v>
      </c>
      <c r="AE58" s="49" t="str">
        <f>$AE$6</f>
        <v>-</v>
      </c>
      <c r="AF58" s="49" t="str">
        <f>$AF$6</f>
        <v>-</v>
      </c>
      <c r="AG58" s="49" t="str">
        <f>$AG$6</f>
        <v>-</v>
      </c>
      <c r="AU58" s="178"/>
    </row>
    <row r="59" spans="2:47" x14ac:dyDescent="0.25">
      <c r="B59" s="1087"/>
      <c r="C59" s="1438"/>
      <c r="D59" s="168" t="s">
        <v>1830</v>
      </c>
      <c r="E59" s="1439" t="s">
        <v>577</v>
      </c>
      <c r="F59" s="1440">
        <f>F108*((F$113*F$114*1/F$116)/1000)*F$117*F$101</f>
        <v>187.92922225947771</v>
      </c>
      <c r="G59" s="1438" t="s">
        <v>578</v>
      </c>
      <c r="H59" s="170">
        <f>VLOOKUP(G59,'CP FACTORS'!$A$3:$B$38, 2, FALSE)</f>
        <v>9.4741810000000004E-4</v>
      </c>
      <c r="I59" s="1441">
        <f t="shared" ref="I59:I68" si="1">H59*F59</f>
        <v>0.1780475466875521</v>
      </c>
      <c r="J59" s="377">
        <f>$F$124</f>
        <v>10</v>
      </c>
      <c r="K59" s="301">
        <f>$F$125</f>
        <v>175</v>
      </c>
      <c r="L59" s="1442" t="s">
        <v>31</v>
      </c>
      <c r="M59" s="252"/>
      <c r="N59" s="252"/>
      <c r="O59" s="165"/>
      <c r="P59" s="165"/>
      <c r="R59" s="1413"/>
      <c r="V59" s="176" t="str">
        <f>$F$58</f>
        <v>kWh Annual Savings</v>
      </c>
      <c r="W59" s="77">
        <v>192.51692307692309</v>
      </c>
      <c r="X59" s="1187">
        <v>187.92922225947771</v>
      </c>
      <c r="Y59" s="254"/>
      <c r="Z59" s="176"/>
      <c r="AA59" s="176"/>
      <c r="AB59" s="176"/>
      <c r="AC59" s="176"/>
      <c r="AD59" s="176"/>
      <c r="AE59" s="176"/>
      <c r="AF59" s="176"/>
      <c r="AG59" s="176"/>
      <c r="AU59" s="178"/>
    </row>
    <row r="60" spans="2:47" x14ac:dyDescent="0.25">
      <c r="B60" s="1087"/>
      <c r="C60" s="1438"/>
      <c r="D60" s="168" t="s">
        <v>1830</v>
      </c>
      <c r="E60" s="1443" t="s">
        <v>577</v>
      </c>
      <c r="F60" s="1440">
        <f>F85*F90*F95*F$100*F$101+F102*F$107*29.3</f>
        <v>552.61606399999994</v>
      </c>
      <c r="G60" s="1438" t="s">
        <v>579</v>
      </c>
      <c r="H60" s="170">
        <f>VLOOKUP(G60,'CP FACTORS'!$A$3:$B$38, 2, FALSE)</f>
        <v>0</v>
      </c>
      <c r="I60" s="1441">
        <f t="shared" si="1"/>
        <v>0</v>
      </c>
      <c r="J60" s="377">
        <f t="shared" ref="J60:J68" si="2">$F$124</f>
        <v>10</v>
      </c>
      <c r="K60" s="301"/>
      <c r="L60" s="1442" t="s">
        <v>31</v>
      </c>
      <c r="M60" s="252"/>
      <c r="N60" s="165"/>
      <c r="O60" s="165"/>
      <c r="P60" s="255"/>
      <c r="R60" s="1413"/>
      <c r="V60" s="176" t="str">
        <f t="shared" ref="V60:V68" si="3">$F$58</f>
        <v>kWh Annual Savings</v>
      </c>
      <c r="W60" s="77">
        <v>661.9754064</v>
      </c>
      <c r="X60" s="1187">
        <v>552.61606399999994</v>
      </c>
      <c r="Y60" s="254"/>
      <c r="Z60" s="176"/>
      <c r="AA60" s="176"/>
      <c r="AB60" s="176"/>
      <c r="AC60" s="176"/>
      <c r="AD60" s="176"/>
      <c r="AE60" s="176"/>
      <c r="AF60" s="176"/>
      <c r="AG60" s="176"/>
      <c r="AU60" s="178"/>
    </row>
    <row r="61" spans="2:47" x14ac:dyDescent="0.25">
      <c r="B61" s="1087"/>
      <c r="C61" s="1438"/>
      <c r="D61" s="168" t="s">
        <v>1830</v>
      </c>
      <c r="E61" s="1439" t="s">
        <v>580</v>
      </c>
      <c r="F61" s="1440">
        <f>F109*((F$113*F$115*1/F$116)/1000)*F$117*F$101</f>
        <v>122.15399446866051</v>
      </c>
      <c r="G61" s="1438" t="s">
        <v>578</v>
      </c>
      <c r="H61" s="170">
        <f>VLOOKUP(G61,'CP FACTORS'!$A$3:$B$38, 2, FALSE)</f>
        <v>9.4741810000000004E-4</v>
      </c>
      <c r="I61" s="1441">
        <f t="shared" si="1"/>
        <v>0.11573090534690886</v>
      </c>
      <c r="J61" s="377">
        <f t="shared" si="2"/>
        <v>10</v>
      </c>
      <c r="K61" s="301">
        <f>$F$125</f>
        <v>175</v>
      </c>
      <c r="L61" s="1442" t="s">
        <v>31</v>
      </c>
      <c r="M61" s="252"/>
      <c r="N61" s="165"/>
      <c r="O61" s="165"/>
      <c r="P61" s="256"/>
      <c r="R61" s="1413"/>
      <c r="V61" s="176" t="str">
        <f t="shared" si="3"/>
        <v>kWh Annual Savings</v>
      </c>
      <c r="W61" s="77">
        <v>192.51692307692309</v>
      </c>
      <c r="X61" s="1187">
        <v>122.15399446866051</v>
      </c>
      <c r="Y61" s="254"/>
      <c r="Z61" s="176"/>
      <c r="AA61" s="176"/>
      <c r="AB61" s="176"/>
      <c r="AC61" s="176"/>
      <c r="AD61" s="176"/>
      <c r="AE61" s="176"/>
      <c r="AF61" s="176"/>
      <c r="AG61" s="176"/>
      <c r="AU61" s="178"/>
    </row>
    <row r="62" spans="2:47" x14ac:dyDescent="0.25">
      <c r="B62" s="1087"/>
      <c r="C62" s="1438"/>
      <c r="D62" s="168" t="s">
        <v>1830</v>
      </c>
      <c r="E62" s="1443" t="s">
        <v>580</v>
      </c>
      <c r="F62" s="1440">
        <f>F86*F91*F96*F$100*F$101+F103*F$107*29.3</f>
        <v>617.03664664150949</v>
      </c>
      <c r="G62" s="1438" t="s">
        <v>579</v>
      </c>
      <c r="H62" s="170">
        <f>VLOOKUP(G62,'CP FACTORS'!$A$3:$B$38, 2, FALSE)</f>
        <v>0</v>
      </c>
      <c r="I62" s="1441">
        <f t="shared" si="1"/>
        <v>0</v>
      </c>
      <c r="J62" s="377">
        <f t="shared" si="2"/>
        <v>10</v>
      </c>
      <c r="K62" s="301"/>
      <c r="L62" s="1442" t="s">
        <v>31</v>
      </c>
      <c r="M62" s="252"/>
      <c r="N62" s="165"/>
      <c r="O62" s="165"/>
      <c r="P62" s="165"/>
      <c r="R62" s="1413"/>
      <c r="V62" s="176" t="str">
        <f t="shared" si="3"/>
        <v>kWh Annual Savings</v>
      </c>
      <c r="W62" s="77">
        <v>710.41841416</v>
      </c>
      <c r="X62" s="1187">
        <v>617.03664664150949</v>
      </c>
      <c r="Y62" s="254"/>
      <c r="Z62" s="176"/>
      <c r="AA62" s="176"/>
      <c r="AB62" s="176"/>
      <c r="AC62" s="176"/>
      <c r="AD62" s="176"/>
      <c r="AE62" s="176"/>
      <c r="AF62" s="176"/>
      <c r="AG62" s="176"/>
      <c r="AU62" s="178"/>
    </row>
    <row r="63" spans="2:47" x14ac:dyDescent="0.25">
      <c r="B63" s="1087"/>
      <c r="C63" s="1438"/>
      <c r="D63" s="168" t="s">
        <v>1830</v>
      </c>
      <c r="E63" s="1439" t="s">
        <v>581</v>
      </c>
      <c r="F63" s="1440">
        <f>F110*((F$113*F$114*1/F$116)/1000)*F$117*F$101</f>
        <v>187.92922225947771</v>
      </c>
      <c r="G63" s="1438" t="s">
        <v>578</v>
      </c>
      <c r="H63" s="170">
        <f>VLOOKUP(G63,'CP FACTORS'!$A$3:$B$38, 2, FALSE)</f>
        <v>9.4741810000000004E-4</v>
      </c>
      <c r="I63" s="1441">
        <f t="shared" si="1"/>
        <v>0.1780475466875521</v>
      </c>
      <c r="J63" s="377">
        <f t="shared" si="2"/>
        <v>10</v>
      </c>
      <c r="K63" s="301">
        <f>$F$125</f>
        <v>175</v>
      </c>
      <c r="L63" s="1442" t="s">
        <v>31</v>
      </c>
      <c r="M63" s="252"/>
      <c r="N63" s="165"/>
      <c r="O63" s="165"/>
      <c r="P63" s="165"/>
      <c r="R63" s="1413"/>
      <c r="V63" s="176" t="str">
        <f t="shared" si="3"/>
        <v>kWh Annual Savings</v>
      </c>
      <c r="W63" s="77">
        <v>192.51692307692309</v>
      </c>
      <c r="X63" s="1187">
        <v>187.92922225947771</v>
      </c>
      <c r="Y63" s="254"/>
      <c r="Z63" s="176"/>
      <c r="AA63" s="176"/>
      <c r="AB63" s="176"/>
      <c r="AC63" s="176"/>
      <c r="AD63" s="176"/>
      <c r="AE63" s="176"/>
      <c r="AF63" s="176"/>
      <c r="AG63" s="176"/>
      <c r="AU63" s="178"/>
    </row>
    <row r="64" spans="2:47" x14ac:dyDescent="0.25">
      <c r="B64" s="1087"/>
      <c r="C64" s="1438"/>
      <c r="D64" s="168" t="s">
        <v>1830</v>
      </c>
      <c r="E64" s="1443" t="s">
        <v>581</v>
      </c>
      <c r="F64" s="1440">
        <f>F87*F92*F97*F$100*F$101+F104*F$107*29.3</f>
        <v>949.28714867924521</v>
      </c>
      <c r="G64" s="1438" t="s">
        <v>579</v>
      </c>
      <c r="H64" s="170">
        <f>VLOOKUP(G64,'CP FACTORS'!$A$3:$B$38, 2, FALSE)</f>
        <v>0</v>
      </c>
      <c r="I64" s="1441">
        <f t="shared" si="1"/>
        <v>0</v>
      </c>
      <c r="J64" s="377">
        <f t="shared" si="2"/>
        <v>10</v>
      </c>
      <c r="K64" s="301"/>
      <c r="L64" s="1442" t="s">
        <v>31</v>
      </c>
      <c r="M64" s="252"/>
      <c r="N64" s="165"/>
      <c r="O64" s="165"/>
      <c r="P64" s="165"/>
      <c r="R64" s="1413"/>
      <c r="V64" s="176" t="str">
        <f t="shared" si="3"/>
        <v>kWh Annual Savings</v>
      </c>
      <c r="W64" s="77">
        <v>1092.9514064</v>
      </c>
      <c r="X64" s="1187">
        <v>949.28714867924521</v>
      </c>
      <c r="Y64" s="254"/>
      <c r="Z64" s="176"/>
      <c r="AA64" s="176"/>
      <c r="AB64" s="176"/>
      <c r="AC64" s="176"/>
      <c r="AD64" s="176"/>
      <c r="AE64" s="176"/>
      <c r="AF64" s="176"/>
      <c r="AG64" s="176"/>
      <c r="AU64" s="178"/>
    </row>
    <row r="65" spans="2:47" x14ac:dyDescent="0.25">
      <c r="B65" s="1087"/>
      <c r="C65" s="1438"/>
      <c r="D65" s="168" t="s">
        <v>1830</v>
      </c>
      <c r="E65" s="1439" t="s">
        <v>582</v>
      </c>
      <c r="F65" s="1440">
        <f>F111*((F$113*F$114*1/F$116)/1000)*F$117*F$101</f>
        <v>187.92922225947771</v>
      </c>
      <c r="G65" s="1438" t="s">
        <v>578</v>
      </c>
      <c r="H65" s="170">
        <f>VLOOKUP(G65,'CP FACTORS'!$A$3:$B$38, 2, FALSE)</f>
        <v>9.4741810000000004E-4</v>
      </c>
      <c r="I65" s="1441">
        <f t="shared" si="1"/>
        <v>0.1780475466875521</v>
      </c>
      <c r="J65" s="377">
        <f t="shared" si="2"/>
        <v>10</v>
      </c>
      <c r="K65" s="301">
        <f>$F$125</f>
        <v>175</v>
      </c>
      <c r="L65" s="1442" t="s">
        <v>31</v>
      </c>
      <c r="M65" s="252"/>
      <c r="N65" s="165"/>
      <c r="O65" s="165"/>
      <c r="P65" s="255"/>
      <c r="R65" s="1413"/>
      <c r="V65" s="176" t="str">
        <f t="shared" si="3"/>
        <v>kWh Annual Savings</v>
      </c>
      <c r="W65" s="77">
        <v>192.51692307692309</v>
      </c>
      <c r="X65" s="1187">
        <v>187.92922225947771</v>
      </c>
      <c r="Y65" s="254"/>
      <c r="Z65" s="176"/>
      <c r="AA65" s="176"/>
      <c r="AB65" s="176"/>
      <c r="AC65" s="176"/>
      <c r="AD65" s="176"/>
      <c r="AE65" s="176"/>
      <c r="AF65" s="176"/>
      <c r="AG65" s="176"/>
      <c r="AU65" s="178"/>
    </row>
    <row r="66" spans="2:47" x14ac:dyDescent="0.25">
      <c r="B66" s="1087"/>
      <c r="C66" s="1438"/>
      <c r="D66" s="168" t="s">
        <v>1830</v>
      </c>
      <c r="E66" s="1443" t="s">
        <v>582</v>
      </c>
      <c r="F66" s="1440">
        <f>F88*F93*F98*F$100*F$101+F105*F$107*29.3</f>
        <v>41.992474552808346</v>
      </c>
      <c r="G66" s="1438" t="s">
        <v>579</v>
      </c>
      <c r="H66" s="170">
        <f>VLOOKUP(G66,'CP FACTORS'!$A$3:$B$38, 2, FALSE)</f>
        <v>0</v>
      </c>
      <c r="I66" s="1441">
        <f t="shared" si="1"/>
        <v>0</v>
      </c>
      <c r="J66" s="377">
        <f t="shared" si="2"/>
        <v>10</v>
      </c>
      <c r="K66" s="301"/>
      <c r="L66" s="1442" t="s">
        <v>31</v>
      </c>
      <c r="M66" s="252"/>
      <c r="N66" s="165"/>
      <c r="O66" s="165"/>
      <c r="P66" s="256"/>
      <c r="R66" s="1413"/>
      <c r="V66" s="176" t="str">
        <f t="shared" si="3"/>
        <v>kWh Annual Savings</v>
      </c>
      <c r="W66" s="77">
        <v>46.295406399999997</v>
      </c>
      <c r="X66" s="1187">
        <v>41.992474552808346</v>
      </c>
      <c r="Y66" s="254"/>
      <c r="Z66" s="176"/>
      <c r="AA66" s="176"/>
      <c r="AB66" s="176"/>
      <c r="AC66" s="176"/>
      <c r="AD66" s="176"/>
      <c r="AE66" s="176"/>
      <c r="AF66" s="176"/>
      <c r="AG66" s="176"/>
      <c r="AU66" s="178"/>
    </row>
    <row r="67" spans="2:47" x14ac:dyDescent="0.25">
      <c r="B67" s="1087"/>
      <c r="C67" s="1438"/>
      <c r="D67" s="168" t="s">
        <v>1830</v>
      </c>
      <c r="E67" s="1439" t="s">
        <v>583</v>
      </c>
      <c r="F67" s="1440">
        <f>F112*((F$113*F$114*1/F$116)/1000)*F$117*F$101</f>
        <v>187.92922225947771</v>
      </c>
      <c r="G67" s="1438" t="s">
        <v>578</v>
      </c>
      <c r="H67" s="170">
        <f>VLOOKUP(G67,'CP FACTORS'!$A$3:$B$38, 2, FALSE)</f>
        <v>9.4741810000000004E-4</v>
      </c>
      <c r="I67" s="1441">
        <f t="shared" si="1"/>
        <v>0.1780475466875521</v>
      </c>
      <c r="J67" s="377">
        <f t="shared" si="2"/>
        <v>10</v>
      </c>
      <c r="K67" s="301">
        <f>$F$125</f>
        <v>175</v>
      </c>
      <c r="L67" s="1442" t="s">
        <v>31</v>
      </c>
      <c r="M67" s="252"/>
      <c r="N67" s="165"/>
      <c r="O67" s="165"/>
      <c r="P67" s="165"/>
      <c r="R67" s="1413"/>
      <c r="V67" s="176" t="str">
        <f t="shared" si="3"/>
        <v>kWh Annual Savings</v>
      </c>
      <c r="W67" s="77">
        <v>192.51692307692309</v>
      </c>
      <c r="X67" s="1187">
        <v>187.92922225947771</v>
      </c>
      <c r="Y67" s="254"/>
      <c r="Z67" s="176"/>
      <c r="AA67" s="176"/>
      <c r="AB67" s="176"/>
      <c r="AC67" s="176"/>
      <c r="AD67" s="176"/>
      <c r="AE67" s="176"/>
      <c r="AF67" s="176"/>
      <c r="AG67" s="176"/>
      <c r="AU67" s="178"/>
    </row>
    <row r="68" spans="2:47" x14ac:dyDescent="0.25">
      <c r="B68" s="1087"/>
      <c r="C68" s="1438"/>
      <c r="D68" s="168" t="s">
        <v>1830</v>
      </c>
      <c r="E68" s="1443" t="s">
        <v>583</v>
      </c>
      <c r="F68" s="1440">
        <f>F89*F94*F99*F$100*F$101+F106*F$107*29.3</f>
        <v>226.28150936736847</v>
      </c>
      <c r="G68" s="1438" t="s">
        <v>579</v>
      </c>
      <c r="H68" s="170">
        <f>VLOOKUP(G68,'CP FACTORS'!$A$3:$B$38, 2, FALSE)</f>
        <v>0</v>
      </c>
      <c r="I68" s="1441">
        <f t="shared" si="1"/>
        <v>0</v>
      </c>
      <c r="J68" s="377">
        <f t="shared" si="2"/>
        <v>10</v>
      </c>
      <c r="K68" s="301">
        <f>$F$125</f>
        <v>175</v>
      </c>
      <c r="L68" s="1442" t="s">
        <v>31</v>
      </c>
      <c r="M68" s="252"/>
      <c r="N68" s="252"/>
      <c r="O68" s="252"/>
      <c r="P68" s="252"/>
      <c r="R68" s="1413"/>
      <c r="V68" s="176" t="str">
        <f t="shared" si="3"/>
        <v>kWh Annual Savings</v>
      </c>
      <c r="W68" s="77">
        <v>377.56641415999997</v>
      </c>
      <c r="X68" s="1187">
        <v>226.28150936736847</v>
      </c>
      <c r="Y68" s="254"/>
      <c r="Z68" s="176"/>
      <c r="AA68" s="176"/>
      <c r="AB68" s="176"/>
      <c r="AC68" s="176"/>
      <c r="AD68" s="176"/>
      <c r="AE68" s="176"/>
      <c r="AF68" s="176"/>
      <c r="AG68" s="176"/>
      <c r="AU68" s="178"/>
    </row>
    <row r="69" spans="2:47" outlineLevel="1" x14ac:dyDescent="0.25">
      <c r="B69" s="1087"/>
      <c r="C69" s="1434"/>
      <c r="D69" s="1444"/>
      <c r="E69" s="1444" t="s">
        <v>584</v>
      </c>
      <c r="F69" s="1445"/>
      <c r="G69" s="904"/>
      <c r="H69" s="904"/>
      <c r="I69" s="904"/>
      <c r="J69" s="904"/>
      <c r="K69" s="904"/>
      <c r="L69" s="904"/>
      <c r="M69" s="904"/>
      <c r="N69" s="252"/>
      <c r="O69" s="252"/>
      <c r="P69" s="252"/>
      <c r="AU69" s="178"/>
    </row>
    <row r="70" spans="2:47" s="258" customFormat="1" outlineLevel="1" x14ac:dyDescent="0.25">
      <c r="B70" s="1087"/>
      <c r="C70" s="1434"/>
      <c r="D70" s="1418" t="s">
        <v>463</v>
      </c>
      <c r="E70" s="1444"/>
      <c r="F70" s="1445"/>
      <c r="G70" s="904"/>
      <c r="H70" s="904"/>
      <c r="I70" s="904"/>
      <c r="J70" s="904"/>
      <c r="K70" s="904"/>
      <c r="L70" s="904"/>
      <c r="M70" s="904"/>
      <c r="N70" s="252"/>
      <c r="O70" s="252"/>
      <c r="P70" s="252"/>
      <c r="Q70" s="1446"/>
      <c r="R70" s="1446"/>
      <c r="S70" s="1446"/>
      <c r="T70" s="1446"/>
      <c r="U70" s="1446"/>
      <c r="V70" s="259"/>
      <c r="AU70" s="178"/>
    </row>
    <row r="71" spans="2:47" s="258" customFormat="1" ht="18" customHeight="1" outlineLevel="1" x14ac:dyDescent="0.25">
      <c r="B71" s="1087"/>
      <c r="C71" s="1447"/>
      <c r="D71" s="1448" t="s">
        <v>1863</v>
      </c>
      <c r="E71" s="1448"/>
      <c r="F71" s="1449"/>
      <c r="G71" s="1449"/>
      <c r="H71" s="1449"/>
      <c r="I71" s="1449"/>
      <c r="J71" s="1449"/>
      <c r="K71" s="1449"/>
      <c r="L71" s="1449"/>
      <c r="M71" s="904"/>
      <c r="N71" s="252"/>
      <c r="O71" s="252"/>
      <c r="P71" s="260"/>
      <c r="Q71" s="1446"/>
      <c r="R71" s="1446"/>
      <c r="S71" s="1446"/>
      <c r="T71" s="1446"/>
      <c r="U71" s="1446"/>
      <c r="AU71" s="178"/>
    </row>
    <row r="72" spans="2:47" s="258" customFormat="1" ht="18" customHeight="1" outlineLevel="1" x14ac:dyDescent="0.25">
      <c r="B72" s="1087"/>
      <c r="C72" s="1447"/>
      <c r="D72" s="1448"/>
      <c r="E72" s="1448"/>
      <c r="F72" s="1449"/>
      <c r="G72" s="1449"/>
      <c r="H72" s="1449"/>
      <c r="I72" s="1449"/>
      <c r="J72" s="1449"/>
      <c r="K72" s="1449"/>
      <c r="L72" s="1449"/>
      <c r="M72" s="904"/>
      <c r="N72" s="252"/>
      <c r="O72" s="252"/>
      <c r="P72" s="260"/>
      <c r="Q72" s="1446"/>
      <c r="R72" s="1446"/>
      <c r="S72" s="1446"/>
      <c r="T72" s="1446"/>
      <c r="U72" s="1446"/>
      <c r="AU72" s="178"/>
    </row>
    <row r="73" spans="2:47" s="258" customFormat="1" ht="18" customHeight="1" outlineLevel="1" x14ac:dyDescent="0.25">
      <c r="B73" s="1087"/>
      <c r="C73" s="1447"/>
      <c r="D73" s="1448"/>
      <c r="E73" s="1448"/>
      <c r="F73" s="1449"/>
      <c r="G73" s="1449"/>
      <c r="H73" s="1449"/>
      <c r="I73" s="1449"/>
      <c r="J73" s="1449"/>
      <c r="K73" s="1449"/>
      <c r="L73" s="1449"/>
      <c r="M73" s="904"/>
      <c r="N73" s="252"/>
      <c r="O73" s="252"/>
      <c r="P73" s="260"/>
      <c r="Q73" s="1446"/>
      <c r="R73" s="1446"/>
      <c r="S73" s="1446"/>
      <c r="T73" s="1446"/>
      <c r="U73" s="1446"/>
      <c r="AU73" s="178"/>
    </row>
    <row r="74" spans="2:47" s="258" customFormat="1" ht="18" customHeight="1" outlineLevel="1" x14ac:dyDescent="0.25">
      <c r="B74" s="1087"/>
      <c r="C74" s="1447"/>
      <c r="D74" s="1448"/>
      <c r="E74" s="1448"/>
      <c r="F74" s="1449"/>
      <c r="G74" s="1449"/>
      <c r="H74" s="1449"/>
      <c r="I74" s="1449"/>
      <c r="J74" s="1449"/>
      <c r="K74" s="1449"/>
      <c r="L74" s="1449"/>
      <c r="M74" s="904"/>
      <c r="N74" s="252"/>
      <c r="O74" s="252"/>
      <c r="P74" s="260"/>
      <c r="Q74" s="1446"/>
      <c r="R74" s="1446"/>
      <c r="S74" s="1446"/>
      <c r="T74" s="1446"/>
      <c r="U74" s="1446"/>
      <c r="AU74" s="178"/>
    </row>
    <row r="75" spans="2:47" s="258" customFormat="1" ht="18" customHeight="1" outlineLevel="1" x14ac:dyDescent="0.25">
      <c r="B75" s="1087"/>
      <c r="C75" s="1447"/>
      <c r="D75" s="1448"/>
      <c r="E75" s="1448"/>
      <c r="F75" s="1449"/>
      <c r="G75" s="1449"/>
      <c r="H75" s="1449"/>
      <c r="I75" s="1446"/>
      <c r="J75" s="1449"/>
      <c r="K75" s="1449"/>
      <c r="L75" s="1449"/>
      <c r="M75" s="904"/>
      <c r="N75" s="252"/>
      <c r="O75" s="252"/>
      <c r="P75" s="260"/>
      <c r="Q75" s="1446"/>
      <c r="R75" s="1446"/>
      <c r="S75" s="1446"/>
      <c r="T75" s="1446"/>
      <c r="U75" s="1446"/>
      <c r="AU75" s="178"/>
    </row>
    <row r="76" spans="2:47" s="263" customFormat="1" ht="40.5" customHeight="1" outlineLevel="1" x14ac:dyDescent="0.25">
      <c r="B76" s="1450"/>
      <c r="C76" s="1451"/>
      <c r="D76" s="1448"/>
      <c r="E76" s="1448"/>
      <c r="F76" s="1449"/>
      <c r="G76" s="1449"/>
      <c r="H76" s="1449"/>
      <c r="I76" s="184" t="s">
        <v>585</v>
      </c>
      <c r="J76" s="184" t="s">
        <v>586</v>
      </c>
      <c r="K76" s="184" t="s">
        <v>587</v>
      </c>
      <c r="L76" s="1449"/>
      <c r="M76" s="1452"/>
      <c r="N76" s="261"/>
      <c r="O76" s="261"/>
      <c r="P76" s="262"/>
      <c r="Q76" s="1453"/>
      <c r="R76" s="1453"/>
      <c r="S76" s="1453"/>
      <c r="T76" s="1453"/>
      <c r="U76" s="1453"/>
      <c r="AU76" s="264"/>
    </row>
    <row r="77" spans="2:47" s="258" customFormat="1" ht="18" customHeight="1" outlineLevel="1" x14ac:dyDescent="0.25">
      <c r="B77" s="1087"/>
      <c r="C77" s="1447"/>
      <c r="D77" s="1448"/>
      <c r="E77" s="1448"/>
      <c r="F77" s="1449"/>
      <c r="G77" s="1449"/>
      <c r="H77" s="1449"/>
      <c r="I77" s="265" t="s">
        <v>588</v>
      </c>
      <c r="J77" s="266">
        <v>8.7999999999999995E-2</v>
      </c>
      <c r="K77" s="266">
        <v>0.41</v>
      </c>
      <c r="L77" s="1449"/>
      <c r="M77" s="904"/>
      <c r="N77" s="252"/>
      <c r="O77" s="252"/>
      <c r="P77" s="260"/>
      <c r="Q77" s="1446"/>
      <c r="R77" s="1446"/>
      <c r="S77" s="1446"/>
      <c r="T77" s="1446"/>
      <c r="U77" s="1446"/>
      <c r="AU77" s="178"/>
    </row>
    <row r="78" spans="2:47" s="258" customFormat="1" ht="18" customHeight="1" outlineLevel="1" x14ac:dyDescent="0.25">
      <c r="B78" s="1087"/>
      <c r="C78" s="1447"/>
      <c r="D78" s="1448"/>
      <c r="E78" s="1448"/>
      <c r="F78" s="1449"/>
      <c r="G78" s="1449"/>
      <c r="H78" s="1449"/>
      <c r="I78" s="265" t="s">
        <v>589</v>
      </c>
      <c r="J78" s="266">
        <v>5.6000000000000001E-2</v>
      </c>
      <c r="K78" s="266">
        <v>0.55000000000000004</v>
      </c>
      <c r="L78" s="1449"/>
      <c r="M78" s="904"/>
      <c r="N78" s="252"/>
      <c r="O78" s="252"/>
      <c r="P78" s="260"/>
      <c r="Q78" s="1446"/>
      <c r="R78" s="1446"/>
      <c r="S78" s="1446"/>
      <c r="T78" s="1446"/>
      <c r="U78" s="1446"/>
      <c r="AU78" s="178"/>
    </row>
    <row r="79" spans="2:47" s="258" customFormat="1" ht="18" customHeight="1" outlineLevel="1" x14ac:dyDescent="0.25">
      <c r="B79" s="1087"/>
      <c r="C79" s="1447"/>
      <c r="D79" s="1448"/>
      <c r="E79" s="1448"/>
      <c r="F79" s="1449"/>
      <c r="G79" s="1449"/>
      <c r="H79" s="1449"/>
      <c r="I79" s="265" t="s">
        <v>590</v>
      </c>
      <c r="J79" s="266">
        <v>7.3999999999999996E-2</v>
      </c>
      <c r="K79" s="266">
        <v>0</v>
      </c>
      <c r="L79" s="1449"/>
      <c r="M79" s="904"/>
      <c r="N79" s="252"/>
      <c r="O79" s="252"/>
      <c r="P79" s="260"/>
      <c r="Q79" s="1446"/>
      <c r="R79" s="1446"/>
      <c r="S79" s="1446"/>
      <c r="T79" s="1446"/>
      <c r="U79" s="1446"/>
      <c r="AU79" s="178"/>
    </row>
    <row r="80" spans="2:47" s="258" customFormat="1" outlineLevel="1" x14ac:dyDescent="0.25">
      <c r="B80" s="1087"/>
      <c r="C80" s="1454"/>
      <c r="D80" s="1448"/>
      <c r="E80" s="1448"/>
      <c r="F80" s="1449"/>
      <c r="G80" s="1449"/>
      <c r="H80" s="1449"/>
      <c r="I80" s="265" t="s">
        <v>591</v>
      </c>
      <c r="J80" s="266">
        <v>0</v>
      </c>
      <c r="K80" s="266">
        <v>0.04</v>
      </c>
      <c r="L80" s="1449"/>
      <c r="M80" s="904"/>
      <c r="N80" s="252"/>
      <c r="O80" s="252"/>
      <c r="P80" s="252"/>
      <c r="Q80" s="1446"/>
      <c r="R80" s="1446"/>
      <c r="S80" s="1446"/>
      <c r="T80" s="1446"/>
      <c r="U80" s="1446"/>
      <c r="AU80" s="178"/>
    </row>
    <row r="81" spans="2:47" s="258" customFormat="1" outlineLevel="1" x14ac:dyDescent="0.25">
      <c r="B81" s="1087"/>
      <c r="C81" s="1454"/>
      <c r="D81" s="1448"/>
      <c r="E81" s="1448"/>
      <c r="F81" s="1449"/>
      <c r="G81" s="1449"/>
      <c r="H81" s="1449"/>
      <c r="I81" s="1449"/>
      <c r="J81" s="1449"/>
      <c r="K81" s="1449"/>
      <c r="L81" s="1449"/>
      <c r="M81" s="904"/>
      <c r="N81" s="252"/>
      <c r="O81" s="252"/>
      <c r="P81" s="252"/>
      <c r="Q81" s="1446"/>
      <c r="R81" s="1446"/>
      <c r="S81" s="1446"/>
      <c r="T81" s="1446"/>
      <c r="U81" s="1446"/>
      <c r="AU81" s="178"/>
    </row>
    <row r="82" spans="2:47" s="258" customFormat="1" ht="15" customHeight="1" outlineLevel="1" x14ac:dyDescent="0.25">
      <c r="B82" s="1087"/>
      <c r="C82" s="1455"/>
      <c r="D82" s="1448"/>
      <c r="E82" s="1448"/>
      <c r="F82" s="1449"/>
      <c r="G82" s="1449"/>
      <c r="H82" s="1449"/>
      <c r="I82" s="1449"/>
      <c r="J82" s="1449"/>
      <c r="K82" s="1449"/>
      <c r="L82" s="1449"/>
      <c r="M82" s="904"/>
      <c r="N82" s="252"/>
      <c r="O82" s="252"/>
      <c r="P82" s="252"/>
      <c r="Q82" s="1446"/>
      <c r="R82" s="1446"/>
      <c r="S82" s="1446"/>
      <c r="T82" s="1446"/>
      <c r="U82" s="1446"/>
      <c r="AU82" s="178"/>
    </row>
    <row r="83" spans="2:47" s="258" customFormat="1" outlineLevel="1" x14ac:dyDescent="0.25">
      <c r="B83" s="1087"/>
      <c r="C83" s="1434"/>
      <c r="D83" s="1444"/>
      <c r="E83" s="1444"/>
      <c r="F83" s="904"/>
      <c r="G83" s="904"/>
      <c r="H83" s="904"/>
      <c r="I83" s="904"/>
      <c r="J83" s="904"/>
      <c r="K83" s="904"/>
      <c r="L83" s="904"/>
      <c r="M83" s="252"/>
      <c r="N83" s="252"/>
      <c r="O83" s="252"/>
      <c r="P83" s="252"/>
      <c r="Q83" s="904"/>
      <c r="R83" s="1446"/>
      <c r="S83" s="1446"/>
      <c r="T83" s="1446"/>
      <c r="U83" s="1446"/>
      <c r="AU83" s="178"/>
    </row>
    <row r="84" spans="2:47" outlineLevel="1" x14ac:dyDescent="0.25">
      <c r="B84" s="1087"/>
      <c r="C84" s="1434"/>
      <c r="D84" s="1098" t="s">
        <v>465</v>
      </c>
      <c r="E84" s="1098" t="s">
        <v>466</v>
      </c>
      <c r="F84" s="184" t="s">
        <v>467</v>
      </c>
      <c r="G84" s="184" t="s">
        <v>515</v>
      </c>
      <c r="H84" s="184" t="s">
        <v>592</v>
      </c>
      <c r="I84" s="904"/>
      <c r="J84" s="904"/>
      <c r="M84" s="251"/>
      <c r="N84" s="251"/>
      <c r="O84" s="252"/>
      <c r="P84" s="252"/>
      <c r="Q84" s="904"/>
      <c r="V84" s="48" t="s">
        <v>26</v>
      </c>
      <c r="W84" s="49">
        <v>43252</v>
      </c>
      <c r="X84" s="49">
        <f>$X$6</f>
        <v>43465</v>
      </c>
      <c r="Y84" s="49" t="str">
        <f>$Y$6</f>
        <v>-</v>
      </c>
      <c r="Z84" s="49" t="str">
        <f>$Z$6</f>
        <v>-</v>
      </c>
      <c r="AA84" s="49" t="str">
        <f>$AA$6</f>
        <v>-</v>
      </c>
      <c r="AB84" s="49" t="str">
        <f>$AB$6</f>
        <v>-</v>
      </c>
      <c r="AC84" s="49" t="str">
        <f>$AC$6</f>
        <v>-</v>
      </c>
      <c r="AD84" s="49" t="str">
        <f>$AD$6</f>
        <v>-</v>
      </c>
      <c r="AE84" s="49" t="str">
        <f>$AE$6</f>
        <v>-</v>
      </c>
      <c r="AF84" s="49" t="str">
        <f>$AF$6</f>
        <v>-</v>
      </c>
      <c r="AG84" s="49" t="str">
        <f>$AG$6</f>
        <v>-</v>
      </c>
      <c r="AH84" s="258"/>
      <c r="AU84" s="178"/>
    </row>
    <row r="85" spans="2:47" outlineLevel="1" x14ac:dyDescent="0.25">
      <c r="B85" s="1087"/>
      <c r="C85" s="1434"/>
      <c r="D85" s="2055" t="s">
        <v>146</v>
      </c>
      <c r="E85" s="899" t="s">
        <v>577</v>
      </c>
      <c r="F85" s="267">
        <v>1</v>
      </c>
      <c r="G85" s="975" t="s">
        <v>593</v>
      </c>
      <c r="H85" s="268"/>
      <c r="I85" s="904"/>
      <c r="J85" s="904"/>
      <c r="O85" s="904"/>
      <c r="P85" s="904"/>
      <c r="Q85" s="904"/>
      <c r="V85" s="2058" t="str">
        <f>D85</f>
        <v>%ElectricHeat</v>
      </c>
      <c r="W85" s="269">
        <v>1</v>
      </c>
      <c r="X85" s="269">
        <v>1</v>
      </c>
      <c r="Y85" s="269"/>
      <c r="Z85" s="269"/>
      <c r="AA85" s="269"/>
      <c r="AB85" s="269"/>
      <c r="AC85" s="269"/>
      <c r="AD85" s="269"/>
      <c r="AE85" s="269"/>
      <c r="AF85" s="269"/>
      <c r="AG85" s="269"/>
      <c r="AH85" s="258"/>
      <c r="AU85" s="178"/>
    </row>
    <row r="86" spans="2:47" outlineLevel="1" x14ac:dyDescent="0.25">
      <c r="B86" s="1087"/>
      <c r="C86" s="1434"/>
      <c r="D86" s="2056"/>
      <c r="E86" s="899" t="s">
        <v>580</v>
      </c>
      <c r="F86" s="267">
        <v>1</v>
      </c>
      <c r="G86" s="975" t="s">
        <v>593</v>
      </c>
      <c r="H86" s="268"/>
      <c r="I86" s="904"/>
      <c r="J86" s="904"/>
      <c r="O86" s="904"/>
      <c r="P86" s="904"/>
      <c r="Q86" s="904"/>
      <c r="V86" s="2059"/>
      <c r="W86" s="269">
        <v>1</v>
      </c>
      <c r="X86" s="269">
        <v>1</v>
      </c>
      <c r="Y86" s="269"/>
      <c r="Z86" s="269"/>
      <c r="AA86" s="269"/>
      <c r="AB86" s="269"/>
      <c r="AC86" s="269"/>
      <c r="AD86" s="269"/>
      <c r="AE86" s="269"/>
      <c r="AF86" s="269"/>
      <c r="AG86" s="269"/>
      <c r="AH86" s="258"/>
      <c r="AU86" s="178"/>
    </row>
    <row r="87" spans="2:47" outlineLevel="1" x14ac:dyDescent="0.25">
      <c r="B87" s="1087"/>
      <c r="C87" s="1434"/>
      <c r="D87" s="2056"/>
      <c r="E87" s="270" t="s">
        <v>581</v>
      </c>
      <c r="F87" s="267">
        <v>1</v>
      </c>
      <c r="G87" s="975" t="s">
        <v>593</v>
      </c>
      <c r="H87" s="268"/>
      <c r="I87" s="904"/>
      <c r="J87" s="904"/>
      <c r="O87" s="904"/>
      <c r="P87" s="904"/>
      <c r="Q87" s="904"/>
      <c r="V87" s="2059"/>
      <c r="W87" s="269">
        <v>1</v>
      </c>
      <c r="X87" s="269">
        <v>1</v>
      </c>
      <c r="Y87" s="269"/>
      <c r="Z87" s="269"/>
      <c r="AA87" s="269"/>
      <c r="AB87" s="269"/>
      <c r="AC87" s="269"/>
      <c r="AD87" s="269"/>
      <c r="AE87" s="269"/>
      <c r="AF87" s="269"/>
      <c r="AG87" s="269"/>
      <c r="AH87" s="258"/>
      <c r="AU87" s="178"/>
    </row>
    <row r="88" spans="2:47" outlineLevel="1" x14ac:dyDescent="0.25">
      <c r="B88" s="1087"/>
      <c r="C88" s="1434"/>
      <c r="D88" s="2056"/>
      <c r="E88" s="270" t="s">
        <v>594</v>
      </c>
      <c r="F88" s="267">
        <v>0</v>
      </c>
      <c r="G88" s="975" t="s">
        <v>593</v>
      </c>
      <c r="H88" s="268"/>
      <c r="I88" s="904"/>
      <c r="J88" s="904"/>
      <c r="O88" s="904"/>
      <c r="P88" s="904"/>
      <c r="Q88" s="904"/>
      <c r="V88" s="2059"/>
      <c r="W88" s="269">
        <v>0</v>
      </c>
      <c r="X88" s="269">
        <v>0</v>
      </c>
      <c r="Y88" s="269"/>
      <c r="Z88" s="269"/>
      <c r="AA88" s="269"/>
      <c r="AB88" s="269"/>
      <c r="AC88" s="269"/>
      <c r="AD88" s="269"/>
      <c r="AE88" s="269"/>
      <c r="AF88" s="269"/>
      <c r="AG88" s="269"/>
      <c r="AH88" s="258"/>
      <c r="AU88" s="178"/>
    </row>
    <row r="89" spans="2:47" outlineLevel="1" x14ac:dyDescent="0.25">
      <c r="B89" s="1087"/>
      <c r="C89" s="1434"/>
      <c r="D89" s="2057"/>
      <c r="E89" s="270" t="s">
        <v>595</v>
      </c>
      <c r="F89" s="267">
        <v>0.2446317798632098</v>
      </c>
      <c r="G89" s="975" t="s">
        <v>593</v>
      </c>
      <c r="H89" s="268"/>
      <c r="I89" s="904"/>
      <c r="J89" s="904"/>
      <c r="O89" s="904"/>
      <c r="P89" s="904"/>
      <c r="Q89" s="904"/>
      <c r="V89" s="2060"/>
      <c r="W89" s="269">
        <v>0.35</v>
      </c>
      <c r="X89" s="271">
        <v>0.2446317798632098</v>
      </c>
      <c r="Y89" s="269"/>
      <c r="Z89" s="269"/>
      <c r="AA89" s="269"/>
      <c r="AB89" s="269"/>
      <c r="AC89" s="269"/>
      <c r="AD89" s="269"/>
      <c r="AE89" s="269"/>
      <c r="AF89" s="269"/>
      <c r="AG89" s="269"/>
      <c r="AH89" s="258"/>
      <c r="AU89" s="178"/>
    </row>
    <row r="90" spans="2:47" outlineLevel="1" x14ac:dyDescent="0.25">
      <c r="B90" s="1087"/>
      <c r="C90" s="1434"/>
      <c r="D90" s="2055" t="s">
        <v>596</v>
      </c>
      <c r="E90" s="899" t="s">
        <v>577</v>
      </c>
      <c r="F90" s="276">
        <v>8262.7999999999993</v>
      </c>
      <c r="G90" s="2072" t="s">
        <v>1778</v>
      </c>
      <c r="H90" s="268"/>
      <c r="I90" s="904"/>
      <c r="J90" s="904"/>
      <c r="O90" s="904"/>
      <c r="P90" s="904"/>
      <c r="Q90" s="904"/>
      <c r="V90" s="2058" t="str">
        <f>D90</f>
        <v>HeatingConsumption_Electric</v>
      </c>
      <c r="W90" s="272">
        <v>8320</v>
      </c>
      <c r="X90" s="273">
        <f>206570/25</f>
        <v>8262.7999999999993</v>
      </c>
      <c r="Y90" s="272"/>
      <c r="Z90" s="272"/>
      <c r="AA90" s="272"/>
      <c r="AB90" s="272"/>
      <c r="AC90" s="272"/>
      <c r="AD90" s="272"/>
      <c r="AE90" s="272"/>
      <c r="AF90" s="272"/>
      <c r="AG90" s="272"/>
      <c r="AH90" s="258"/>
      <c r="AU90" s="178"/>
    </row>
    <row r="91" spans="2:47" outlineLevel="1" x14ac:dyDescent="0.25">
      <c r="B91" s="1087"/>
      <c r="C91" s="1434"/>
      <c r="D91" s="2056"/>
      <c r="E91" s="899" t="s">
        <v>580</v>
      </c>
      <c r="F91" s="276">
        <v>14193.886792452829</v>
      </c>
      <c r="G91" s="2063"/>
      <c r="H91" s="268"/>
      <c r="I91" s="904"/>
      <c r="J91" s="904"/>
      <c r="O91" s="904"/>
      <c r="P91" s="904"/>
      <c r="Q91" s="904"/>
      <c r="V91" s="2059"/>
      <c r="W91" s="272">
        <f>14144</f>
        <v>14144</v>
      </c>
      <c r="X91" s="273">
        <f>X92</f>
        <v>14193.886792452829</v>
      </c>
      <c r="Y91" s="274"/>
      <c r="Z91" s="272"/>
      <c r="AA91" s="272"/>
      <c r="AB91" s="272"/>
      <c r="AC91" s="272"/>
      <c r="AD91" s="272"/>
      <c r="AE91" s="272"/>
      <c r="AF91" s="272"/>
      <c r="AG91" s="272"/>
      <c r="AH91" s="258"/>
      <c r="AU91" s="178"/>
    </row>
    <row r="92" spans="2:47" outlineLevel="1" x14ac:dyDescent="0.25">
      <c r="B92" s="1087"/>
      <c r="C92" s="1434"/>
      <c r="D92" s="2056"/>
      <c r="E92" s="270" t="s">
        <v>581</v>
      </c>
      <c r="F92" s="276">
        <v>14193.886792452829</v>
      </c>
      <c r="G92" s="2063"/>
      <c r="H92" s="268"/>
      <c r="I92" s="904"/>
      <c r="J92" s="904"/>
      <c r="O92" s="904"/>
      <c r="P92" s="904"/>
      <c r="Q92" s="904"/>
      <c r="V92" s="2059"/>
      <c r="W92" s="272">
        <v>14144</v>
      </c>
      <c r="X92" s="273">
        <f>752276/53</f>
        <v>14193.886792452829</v>
      </c>
      <c r="Y92" s="272"/>
      <c r="Z92" s="272"/>
      <c r="AA92" s="272"/>
      <c r="AB92" s="272"/>
      <c r="AC92" s="272"/>
      <c r="AD92" s="272"/>
      <c r="AE92" s="272"/>
      <c r="AF92" s="272"/>
      <c r="AG92" s="272"/>
      <c r="AH92" s="258"/>
      <c r="AU92" s="178"/>
    </row>
    <row r="93" spans="2:47" outlineLevel="1" x14ac:dyDescent="0.25">
      <c r="B93" s="1087"/>
      <c r="C93" s="1434"/>
      <c r="D93" s="2056"/>
      <c r="E93" s="270" t="s">
        <v>597</v>
      </c>
      <c r="F93" s="276">
        <v>0</v>
      </c>
      <c r="G93" s="2063"/>
      <c r="H93" s="268"/>
      <c r="I93" s="904"/>
      <c r="J93" s="904"/>
      <c r="O93" s="904"/>
      <c r="P93" s="904"/>
      <c r="Q93" s="904"/>
      <c r="V93" s="2059"/>
      <c r="W93" s="272">
        <v>0</v>
      </c>
      <c r="X93" s="275">
        <v>0</v>
      </c>
      <c r="Y93" s="272"/>
      <c r="Z93" s="272"/>
      <c r="AA93" s="272"/>
      <c r="AB93" s="272"/>
      <c r="AC93" s="272"/>
      <c r="AD93" s="272"/>
      <c r="AE93" s="272"/>
      <c r="AF93" s="272"/>
      <c r="AG93" s="272"/>
      <c r="AH93" s="258"/>
      <c r="AU93" s="178"/>
    </row>
    <row r="94" spans="2:47" outlineLevel="1" x14ac:dyDescent="0.25">
      <c r="B94" s="1087"/>
      <c r="C94" s="1434"/>
      <c r="D94" s="2057"/>
      <c r="E94" s="270" t="s">
        <v>595</v>
      </c>
      <c r="F94" s="276">
        <v>12382.71</v>
      </c>
      <c r="G94" s="2064"/>
      <c r="H94" s="268"/>
      <c r="I94" s="904"/>
      <c r="J94" s="904"/>
      <c r="O94" s="904"/>
      <c r="P94" s="904"/>
      <c r="Q94" s="904"/>
      <c r="V94" s="2060"/>
      <c r="W94" s="272">
        <v>13416</v>
      </c>
      <c r="X94" s="277">
        <v>12382.71</v>
      </c>
      <c r="Y94" s="272"/>
      <c r="Z94" s="272"/>
      <c r="AA94" s="272"/>
      <c r="AB94" s="272"/>
      <c r="AC94" s="272"/>
      <c r="AD94" s="272"/>
      <c r="AE94" s="272"/>
      <c r="AF94" s="272"/>
      <c r="AG94" s="272"/>
      <c r="AH94" s="258"/>
      <c r="AU94" s="178"/>
    </row>
    <row r="95" spans="2:47" outlineLevel="1" x14ac:dyDescent="0.25">
      <c r="B95" s="1087"/>
      <c r="C95" s="1434"/>
      <c r="D95" s="2055" t="s">
        <v>598</v>
      </c>
      <c r="E95" s="899" t="s">
        <v>577</v>
      </c>
      <c r="F95" s="267">
        <v>1</v>
      </c>
      <c r="G95" s="975" t="s">
        <v>593</v>
      </c>
      <c r="H95" s="268"/>
      <c r="I95" s="904"/>
      <c r="J95" s="904"/>
      <c r="O95" s="904"/>
      <c r="P95" s="904"/>
      <c r="Q95" s="904"/>
      <c r="V95" s="2058" t="str">
        <f>D95</f>
        <v>HF</v>
      </c>
      <c r="W95" s="269">
        <v>1</v>
      </c>
      <c r="X95" s="269">
        <v>1</v>
      </c>
      <c r="Y95" s="269"/>
      <c r="Z95" s="269"/>
      <c r="AA95" s="269"/>
      <c r="AB95" s="269"/>
      <c r="AC95" s="269"/>
      <c r="AD95" s="269"/>
      <c r="AE95" s="269"/>
      <c r="AF95" s="269"/>
      <c r="AG95" s="269"/>
      <c r="AH95" s="258"/>
      <c r="AU95" s="178"/>
    </row>
    <row r="96" spans="2:47" outlineLevel="1" x14ac:dyDescent="0.25">
      <c r="B96" s="1087"/>
      <c r="C96" s="1434"/>
      <c r="D96" s="2056"/>
      <c r="E96" s="899" t="s">
        <v>580</v>
      </c>
      <c r="F96" s="267">
        <v>0.65</v>
      </c>
      <c r="G96" s="975" t="s">
        <v>593</v>
      </c>
      <c r="H96" s="268"/>
      <c r="I96" s="904"/>
      <c r="J96" s="904"/>
      <c r="O96" s="904"/>
      <c r="P96" s="904"/>
      <c r="Q96" s="904"/>
      <c r="V96" s="2059"/>
      <c r="W96" s="269">
        <v>0.65</v>
      </c>
      <c r="X96" s="269">
        <v>0.65</v>
      </c>
      <c r="Y96" s="269"/>
      <c r="Z96" s="269"/>
      <c r="AA96" s="269"/>
      <c r="AB96" s="269"/>
      <c r="AC96" s="269"/>
      <c r="AD96" s="269"/>
      <c r="AE96" s="269"/>
      <c r="AF96" s="269"/>
      <c r="AG96" s="269"/>
      <c r="AH96" s="258"/>
      <c r="AU96" s="178"/>
    </row>
    <row r="97" spans="2:47" outlineLevel="1" x14ac:dyDescent="0.25">
      <c r="B97" s="1087"/>
      <c r="C97" s="1434"/>
      <c r="D97" s="2056"/>
      <c r="E97" s="270" t="s">
        <v>581</v>
      </c>
      <c r="F97" s="267">
        <v>1</v>
      </c>
      <c r="G97" s="975" t="s">
        <v>593</v>
      </c>
      <c r="H97" s="268"/>
      <c r="I97" s="904"/>
      <c r="J97" s="904"/>
      <c r="O97" s="904"/>
      <c r="P97" s="904"/>
      <c r="Q97" s="904"/>
      <c r="V97" s="2059"/>
      <c r="W97" s="269">
        <v>1</v>
      </c>
      <c r="X97" s="269">
        <v>1</v>
      </c>
      <c r="Y97" s="269"/>
      <c r="Z97" s="269"/>
      <c r="AA97" s="269"/>
      <c r="AB97" s="269"/>
      <c r="AC97" s="269"/>
      <c r="AD97" s="269"/>
      <c r="AE97" s="269"/>
      <c r="AF97" s="269"/>
      <c r="AG97" s="269"/>
      <c r="AH97" s="258"/>
      <c r="AU97" s="178"/>
    </row>
    <row r="98" spans="2:47" outlineLevel="1" x14ac:dyDescent="0.25">
      <c r="B98" s="1087"/>
      <c r="C98" s="1434"/>
      <c r="D98" s="2056"/>
      <c r="E98" s="270" t="s">
        <v>597</v>
      </c>
      <c r="F98" s="267">
        <v>1</v>
      </c>
      <c r="G98" s="975" t="s">
        <v>593</v>
      </c>
      <c r="H98" s="268"/>
      <c r="I98" s="904"/>
      <c r="J98" s="904"/>
      <c r="O98" s="904"/>
      <c r="P98" s="904"/>
      <c r="Q98" s="904"/>
      <c r="V98" s="2059"/>
      <c r="W98" s="269">
        <v>1</v>
      </c>
      <c r="X98" s="269">
        <v>1</v>
      </c>
      <c r="Y98" s="269"/>
      <c r="Z98" s="269"/>
      <c r="AA98" s="269"/>
      <c r="AB98" s="269"/>
      <c r="AC98" s="269"/>
      <c r="AD98" s="269"/>
      <c r="AE98" s="269"/>
      <c r="AF98" s="269"/>
      <c r="AG98" s="269"/>
      <c r="AH98" s="258"/>
      <c r="AU98" s="178"/>
    </row>
    <row r="99" spans="2:47" ht="45" outlineLevel="1" x14ac:dyDescent="0.25">
      <c r="B99" s="1087"/>
      <c r="C99" s="1434"/>
      <c r="D99" s="2057"/>
      <c r="E99" s="270" t="s">
        <v>595</v>
      </c>
      <c r="F99" s="280">
        <v>0.96572336230188205</v>
      </c>
      <c r="G99" s="975" t="s">
        <v>1778</v>
      </c>
      <c r="H99" s="268"/>
      <c r="I99" s="904"/>
      <c r="J99" s="904"/>
      <c r="O99" s="904"/>
      <c r="P99" s="904"/>
      <c r="Q99" s="904"/>
      <c r="V99" s="2060"/>
      <c r="W99" s="269">
        <v>1</v>
      </c>
      <c r="X99" s="278">
        <v>0.96572336230188205</v>
      </c>
      <c r="Y99" s="269"/>
      <c r="Z99" s="269"/>
      <c r="AA99" s="269"/>
      <c r="AB99" s="269"/>
      <c r="AC99" s="269"/>
      <c r="AD99" s="269"/>
      <c r="AE99" s="269"/>
      <c r="AF99" s="269"/>
      <c r="AG99" s="269"/>
      <c r="AH99" s="258"/>
      <c r="AU99" s="178"/>
    </row>
    <row r="100" spans="2:47" outlineLevel="1" x14ac:dyDescent="0.25">
      <c r="B100" s="1087"/>
      <c r="C100" s="1434"/>
      <c r="D100" s="279" t="s">
        <v>599</v>
      </c>
      <c r="E100" s="899" t="s">
        <v>483</v>
      </c>
      <c r="F100" s="280">
        <v>6.6879999999999995E-2</v>
      </c>
      <c r="G100" s="252" t="s">
        <v>600</v>
      </c>
      <c r="H100" s="268" t="s">
        <v>601</v>
      </c>
      <c r="I100" s="904"/>
      <c r="J100" s="904"/>
      <c r="O100" s="904"/>
      <c r="P100" s="904"/>
      <c r="Q100" s="904"/>
      <c r="V100" s="281" t="str">
        <f>D100</f>
        <v>HeatingReduction</v>
      </c>
      <c r="W100" s="282">
        <v>7.3999999999999996E-2</v>
      </c>
      <c r="X100" s="283">
        <f>SUMPRODUCT(J77:J80,K77:K80)</f>
        <v>6.6879999999999995E-2</v>
      </c>
      <c r="Y100" s="282"/>
      <c r="Z100" s="282"/>
      <c r="AA100" s="282"/>
      <c r="AB100" s="282"/>
      <c r="AC100" s="282"/>
      <c r="AD100" s="282"/>
      <c r="AE100" s="282"/>
      <c r="AF100" s="282"/>
      <c r="AG100" s="282"/>
      <c r="AH100" s="258"/>
      <c r="AU100" s="178"/>
    </row>
    <row r="101" spans="2:47" outlineLevel="1" x14ac:dyDescent="0.25">
      <c r="B101" s="1087"/>
      <c r="C101" s="1434"/>
      <c r="D101" s="279" t="s">
        <v>602</v>
      </c>
      <c r="E101" s="899" t="s">
        <v>483</v>
      </c>
      <c r="F101" s="267">
        <v>1</v>
      </c>
      <c r="G101" s="975" t="s">
        <v>593</v>
      </c>
      <c r="H101" s="268" t="s">
        <v>603</v>
      </c>
      <c r="I101" s="904"/>
      <c r="J101" s="904"/>
      <c r="L101" s="1456"/>
      <c r="O101" s="904"/>
      <c r="P101" s="904"/>
      <c r="Q101" s="904"/>
      <c r="V101" s="281" t="str">
        <f>D101</f>
        <v>Eff_ISR</v>
      </c>
      <c r="W101" s="269">
        <v>1</v>
      </c>
      <c r="X101" s="284">
        <v>1</v>
      </c>
      <c r="Y101" s="269"/>
      <c r="Z101" s="269"/>
      <c r="AA101" s="269"/>
      <c r="AB101" s="269"/>
      <c r="AC101" s="269"/>
      <c r="AD101" s="269"/>
      <c r="AE101" s="269"/>
      <c r="AF101" s="269"/>
      <c r="AG101" s="269"/>
      <c r="AH101" s="258"/>
      <c r="AU101" s="178"/>
    </row>
    <row r="102" spans="2:47" outlineLevel="1" x14ac:dyDescent="0.25">
      <c r="B102" s="1087"/>
      <c r="C102" s="1434"/>
      <c r="D102" s="2055" t="s">
        <v>604</v>
      </c>
      <c r="E102" s="899" t="s">
        <v>577</v>
      </c>
      <c r="F102" s="1457">
        <f>F118*F$123*F95*F$100*F$101</f>
        <v>0</v>
      </c>
      <c r="G102" s="975" t="s">
        <v>605</v>
      </c>
      <c r="H102" s="268"/>
      <c r="I102" s="904"/>
      <c r="J102" s="904"/>
      <c r="O102" s="904"/>
      <c r="P102" s="904"/>
      <c r="Q102" s="904"/>
      <c r="V102" s="2058" t="str">
        <f>D102</f>
        <v>∆Therms</v>
      </c>
      <c r="W102" s="285">
        <f t="shared" ref="W102:X106" si="4">W118*W$123*W95*W$100*W$101</f>
        <v>50.32</v>
      </c>
      <c r="X102" s="285">
        <f t="shared" si="4"/>
        <v>0</v>
      </c>
      <c r="Y102" s="285"/>
      <c r="Z102" s="285"/>
      <c r="AA102" s="285"/>
      <c r="AB102" s="285"/>
      <c r="AC102" s="285"/>
      <c r="AD102" s="285"/>
      <c r="AE102" s="285"/>
      <c r="AF102" s="285"/>
      <c r="AG102" s="285"/>
      <c r="AH102" s="258"/>
      <c r="AU102" s="178"/>
    </row>
    <row r="103" spans="2:47" outlineLevel="1" x14ac:dyDescent="0.25">
      <c r="B103" s="1087"/>
      <c r="C103" s="1434"/>
      <c r="D103" s="2056"/>
      <c r="E103" s="899" t="s">
        <v>580</v>
      </c>
      <c r="F103" s="1457">
        <f>F119*F$123*F96*F$100*F$101</f>
        <v>0</v>
      </c>
      <c r="G103" s="975" t="s">
        <v>605</v>
      </c>
      <c r="H103" s="268"/>
      <c r="I103" s="904"/>
      <c r="J103" s="904"/>
      <c r="O103" s="904"/>
      <c r="P103" s="904"/>
      <c r="Q103" s="904"/>
      <c r="V103" s="2059"/>
      <c r="W103" s="285">
        <f t="shared" si="4"/>
        <v>32.707999999999998</v>
      </c>
      <c r="X103" s="285">
        <f t="shared" si="4"/>
        <v>0</v>
      </c>
      <c r="Y103" s="285"/>
      <c r="Z103" s="285"/>
      <c r="AA103" s="285"/>
      <c r="AB103" s="285"/>
      <c r="AC103" s="285"/>
      <c r="AD103" s="285"/>
      <c r="AE103" s="285"/>
      <c r="AF103" s="285"/>
      <c r="AG103" s="285"/>
      <c r="AH103" s="258"/>
      <c r="AU103" s="178"/>
    </row>
    <row r="104" spans="2:47" outlineLevel="1" x14ac:dyDescent="0.25">
      <c r="B104" s="1087"/>
      <c r="C104" s="1434"/>
      <c r="D104" s="2056"/>
      <c r="E104" s="270" t="s">
        <v>581</v>
      </c>
      <c r="F104" s="1457">
        <f>F120*F$123*F97*F$100*F$101</f>
        <v>0</v>
      </c>
      <c r="G104" s="975" t="s">
        <v>605</v>
      </c>
      <c r="H104" s="268"/>
      <c r="I104" s="904"/>
      <c r="J104" s="904"/>
      <c r="O104" s="904"/>
      <c r="P104" s="904"/>
      <c r="Q104" s="904"/>
      <c r="V104" s="2059"/>
      <c r="W104" s="285">
        <f t="shared" si="4"/>
        <v>50.32</v>
      </c>
      <c r="X104" s="285">
        <f t="shared" si="4"/>
        <v>0</v>
      </c>
      <c r="Y104" s="285"/>
      <c r="Z104" s="285"/>
      <c r="AA104" s="285"/>
      <c r="AB104" s="285"/>
      <c r="AC104" s="285"/>
      <c r="AD104" s="285"/>
      <c r="AE104" s="285"/>
      <c r="AF104" s="285"/>
      <c r="AG104" s="285"/>
      <c r="AH104" s="258"/>
      <c r="AU104" s="178"/>
    </row>
    <row r="105" spans="2:47" outlineLevel="1" x14ac:dyDescent="0.25">
      <c r="B105" s="1087"/>
      <c r="C105" s="1434"/>
      <c r="D105" s="2056"/>
      <c r="E105" s="270" t="s">
        <v>597</v>
      </c>
      <c r="F105" s="1457">
        <f>F121*F$123*F98*F$100*F$101</f>
        <v>45.643001839969074</v>
      </c>
      <c r="G105" s="975" t="s">
        <v>605</v>
      </c>
      <c r="H105" s="268"/>
      <c r="I105" s="904"/>
      <c r="J105" s="904"/>
      <c r="O105" s="904"/>
      <c r="P105" s="904"/>
      <c r="Q105" s="904"/>
      <c r="V105" s="2059"/>
      <c r="W105" s="285">
        <f t="shared" si="4"/>
        <v>50.32</v>
      </c>
      <c r="X105" s="285">
        <f t="shared" si="4"/>
        <v>45.643001839969074</v>
      </c>
      <c r="Y105" s="285"/>
      <c r="Z105" s="285"/>
      <c r="AA105" s="285"/>
      <c r="AB105" s="285"/>
      <c r="AC105" s="285"/>
      <c r="AD105" s="285"/>
      <c r="AE105" s="285"/>
      <c r="AF105" s="285"/>
      <c r="AG105" s="285"/>
      <c r="AH105" s="258"/>
      <c r="AU105" s="178"/>
    </row>
    <row r="106" spans="2:47" outlineLevel="1" x14ac:dyDescent="0.25">
      <c r="B106" s="1087"/>
      <c r="C106" s="1434"/>
      <c r="D106" s="2057"/>
      <c r="E106" s="270" t="s">
        <v>595</v>
      </c>
      <c r="F106" s="1457">
        <f>F122*F$123*F99*F$100*F$101</f>
        <v>33.295508064007585</v>
      </c>
      <c r="G106" s="975" t="s">
        <v>605</v>
      </c>
      <c r="H106" s="268"/>
      <c r="I106" s="904"/>
      <c r="J106" s="904"/>
      <c r="O106" s="904"/>
      <c r="P106" s="904"/>
      <c r="Q106" s="904"/>
      <c r="V106" s="2060"/>
      <c r="W106" s="285">
        <f t="shared" si="4"/>
        <v>32.707999999999998</v>
      </c>
      <c r="X106" s="285">
        <f t="shared" si="4"/>
        <v>33.295508064007585</v>
      </c>
      <c r="Y106" s="285"/>
      <c r="Z106" s="285"/>
      <c r="AA106" s="285"/>
      <c r="AB106" s="285"/>
      <c r="AC106" s="285"/>
      <c r="AD106" s="285"/>
      <c r="AE106" s="285"/>
      <c r="AF106" s="285"/>
      <c r="AG106" s="285"/>
      <c r="AH106" s="258"/>
      <c r="AU106" s="178"/>
    </row>
    <row r="107" spans="2:47" outlineLevel="1" x14ac:dyDescent="0.25">
      <c r="B107" s="1087"/>
      <c r="C107" s="1434"/>
      <c r="D107" s="407" t="s">
        <v>606</v>
      </c>
      <c r="E107" s="286" t="s">
        <v>483</v>
      </c>
      <c r="F107" s="287">
        <v>3.1399999999999997E-2</v>
      </c>
      <c r="G107" s="975" t="s">
        <v>593</v>
      </c>
      <c r="H107" s="268" t="s">
        <v>607</v>
      </c>
      <c r="I107" s="904"/>
      <c r="J107" s="904"/>
      <c r="O107" s="904"/>
      <c r="P107" s="904"/>
      <c r="Q107" s="904"/>
      <c r="V107" s="288" t="str">
        <f>D107</f>
        <v>Fe</v>
      </c>
      <c r="W107" s="289">
        <v>3.1399999999999997E-2</v>
      </c>
      <c r="X107" s="289">
        <v>3.1399999999999997E-2</v>
      </c>
      <c r="Y107" s="289"/>
      <c r="Z107" s="289"/>
      <c r="AA107" s="289"/>
      <c r="AB107" s="289"/>
      <c r="AC107" s="289"/>
      <c r="AD107" s="289"/>
      <c r="AE107" s="289"/>
      <c r="AF107" s="289"/>
      <c r="AG107" s="289"/>
      <c r="AH107" s="258"/>
      <c r="AU107" s="178"/>
    </row>
    <row r="108" spans="2:47" outlineLevel="1" x14ac:dyDescent="0.25">
      <c r="B108" s="1087"/>
      <c r="C108" s="1434"/>
      <c r="D108" s="2055" t="s">
        <v>608</v>
      </c>
      <c r="E108" s="899" t="s">
        <v>577</v>
      </c>
      <c r="F108" s="267">
        <v>1</v>
      </c>
      <c r="G108" s="975" t="s">
        <v>593</v>
      </c>
      <c r="H108" s="268"/>
      <c r="I108" s="904"/>
      <c r="J108" s="904"/>
      <c r="O108" s="904"/>
      <c r="P108" s="904"/>
      <c r="Q108" s="904"/>
      <c r="V108" s="2058" t="str">
        <f>D108</f>
        <v>%AC</v>
      </c>
      <c r="W108" s="269">
        <v>1</v>
      </c>
      <c r="X108" s="269">
        <v>1</v>
      </c>
      <c r="Y108" s="269"/>
      <c r="Z108" s="269"/>
      <c r="AA108" s="269"/>
      <c r="AB108" s="269"/>
      <c r="AC108" s="269"/>
      <c r="AD108" s="269"/>
      <c r="AE108" s="269"/>
      <c r="AF108" s="269"/>
      <c r="AG108" s="269"/>
      <c r="AH108" s="258"/>
      <c r="AU108" s="178"/>
    </row>
    <row r="109" spans="2:47" outlineLevel="1" x14ac:dyDescent="0.25">
      <c r="B109" s="1087"/>
      <c r="C109" s="1434"/>
      <c r="D109" s="2056"/>
      <c r="E109" s="899" t="s">
        <v>580</v>
      </c>
      <c r="F109" s="267">
        <v>1</v>
      </c>
      <c r="G109" s="975" t="s">
        <v>593</v>
      </c>
      <c r="H109" s="268"/>
      <c r="I109" s="904"/>
      <c r="J109" s="904"/>
      <c r="O109" s="904"/>
      <c r="P109" s="904"/>
      <c r="Q109" s="904"/>
      <c r="V109" s="2059"/>
      <c r="W109" s="269">
        <v>1</v>
      </c>
      <c r="X109" s="269">
        <v>1</v>
      </c>
      <c r="Y109" s="269"/>
      <c r="Z109" s="269"/>
      <c r="AA109" s="269"/>
      <c r="AB109" s="269"/>
      <c r="AC109" s="269"/>
      <c r="AD109" s="269"/>
      <c r="AE109" s="269"/>
      <c r="AF109" s="269"/>
      <c r="AG109" s="269"/>
      <c r="AH109" s="258"/>
      <c r="AU109" s="178"/>
    </row>
    <row r="110" spans="2:47" outlineLevel="1" x14ac:dyDescent="0.25">
      <c r="B110" s="1087"/>
      <c r="C110" s="1434"/>
      <c r="D110" s="2056"/>
      <c r="E110" s="270" t="s">
        <v>581</v>
      </c>
      <c r="F110" s="267">
        <v>1</v>
      </c>
      <c r="G110" s="975" t="s">
        <v>593</v>
      </c>
      <c r="H110" s="268"/>
      <c r="I110" s="904"/>
      <c r="J110" s="904"/>
      <c r="O110" s="904"/>
      <c r="P110" s="904"/>
      <c r="Q110" s="904"/>
      <c r="V110" s="2059"/>
      <c r="W110" s="269">
        <v>1</v>
      </c>
      <c r="X110" s="269">
        <v>1</v>
      </c>
      <c r="Y110" s="269"/>
      <c r="Z110" s="269"/>
      <c r="AA110" s="269"/>
      <c r="AB110" s="269"/>
      <c r="AC110" s="269"/>
      <c r="AD110" s="269"/>
      <c r="AE110" s="269"/>
      <c r="AF110" s="269"/>
      <c r="AG110" s="269"/>
      <c r="AH110" s="258"/>
      <c r="AU110" s="178"/>
    </row>
    <row r="111" spans="2:47" outlineLevel="1" x14ac:dyDescent="0.25">
      <c r="B111" s="1087"/>
      <c r="C111" s="1434"/>
      <c r="D111" s="2056"/>
      <c r="E111" s="270" t="s">
        <v>597</v>
      </c>
      <c r="F111" s="267">
        <v>1</v>
      </c>
      <c r="G111" s="975" t="s">
        <v>593</v>
      </c>
      <c r="H111" s="268"/>
      <c r="I111" s="904"/>
      <c r="J111" s="904"/>
      <c r="O111" s="904"/>
      <c r="P111" s="904"/>
      <c r="Q111" s="904"/>
      <c r="V111" s="2059"/>
      <c r="W111" s="269">
        <v>1</v>
      </c>
      <c r="X111" s="269">
        <v>1</v>
      </c>
      <c r="Y111" s="269"/>
      <c r="Z111" s="269"/>
      <c r="AA111" s="269"/>
      <c r="AB111" s="269"/>
      <c r="AC111" s="269"/>
      <c r="AD111" s="269"/>
      <c r="AE111" s="269"/>
      <c r="AF111" s="269"/>
      <c r="AG111" s="269"/>
      <c r="AH111" s="258"/>
      <c r="AU111" s="178"/>
    </row>
    <row r="112" spans="2:47" outlineLevel="1" x14ac:dyDescent="0.25">
      <c r="B112" s="1087"/>
      <c r="C112" s="1434"/>
      <c r="D112" s="2057"/>
      <c r="E112" s="270" t="s">
        <v>595</v>
      </c>
      <c r="F112" s="267">
        <v>1</v>
      </c>
      <c r="G112" s="975" t="s">
        <v>593</v>
      </c>
      <c r="H112" s="268"/>
      <c r="I112" s="904"/>
      <c r="J112" s="904"/>
      <c r="O112" s="904"/>
      <c r="P112" s="904"/>
      <c r="Q112" s="904"/>
      <c r="V112" s="2060"/>
      <c r="W112" s="269">
        <v>1</v>
      </c>
      <c r="X112" s="269">
        <v>1</v>
      </c>
      <c r="Y112" s="269"/>
      <c r="Z112" s="269"/>
      <c r="AA112" s="269"/>
      <c r="AB112" s="269"/>
      <c r="AC112" s="269"/>
      <c r="AD112" s="269"/>
      <c r="AE112" s="269"/>
      <c r="AF112" s="269"/>
      <c r="AG112" s="269"/>
      <c r="AH112" s="258"/>
      <c r="AU112" s="178"/>
    </row>
    <row r="113" spans="1:47" ht="18" outlineLevel="1" x14ac:dyDescent="0.25">
      <c r="B113" s="1087"/>
      <c r="C113" s="1434"/>
      <c r="D113" s="407" t="s">
        <v>609</v>
      </c>
      <c r="E113" s="286" t="s">
        <v>483</v>
      </c>
      <c r="F113" s="290">
        <v>856.40772657562263</v>
      </c>
      <c r="G113" s="975" t="s">
        <v>593</v>
      </c>
      <c r="H113" s="268" t="s">
        <v>610</v>
      </c>
      <c r="I113" s="904"/>
      <c r="J113" s="904"/>
      <c r="O113" s="904"/>
      <c r="P113" s="904"/>
      <c r="Q113" s="904"/>
      <c r="V113" s="288" t="str">
        <f t="shared" ref="V113:V118" si="5">D113</f>
        <v>EFLH cool</v>
      </c>
      <c r="W113" s="291">
        <v>869</v>
      </c>
      <c r="X113" s="291">
        <v>869</v>
      </c>
      <c r="Y113" s="291"/>
      <c r="Z113" s="291"/>
      <c r="AA113" s="291"/>
      <c r="AB113" s="291"/>
      <c r="AC113" s="291"/>
      <c r="AD113" s="291"/>
      <c r="AE113" s="291"/>
      <c r="AF113" s="291"/>
      <c r="AG113" s="291"/>
      <c r="AH113" s="258"/>
      <c r="AU113" s="178"/>
    </row>
    <row r="114" spans="1:47" outlineLevel="1" x14ac:dyDescent="0.25">
      <c r="B114" s="1087"/>
      <c r="C114" s="1434"/>
      <c r="D114" s="292" t="s">
        <v>611</v>
      </c>
      <c r="E114" s="286" t="s">
        <v>612</v>
      </c>
      <c r="F114" s="290">
        <v>36065.201197692251</v>
      </c>
      <c r="G114" s="975" t="s">
        <v>593</v>
      </c>
      <c r="H114" s="268" t="s">
        <v>613</v>
      </c>
      <c r="I114" s="904"/>
      <c r="J114" s="904"/>
      <c r="O114" s="904"/>
      <c r="P114" s="904"/>
      <c r="Q114" s="904"/>
      <c r="V114" s="293" t="str">
        <f t="shared" si="5"/>
        <v>CapacityCool</v>
      </c>
      <c r="W114" s="291">
        <v>36000</v>
      </c>
      <c r="X114" s="294">
        <v>36065.201197692251</v>
      </c>
      <c r="Y114" s="291"/>
      <c r="Z114" s="291"/>
      <c r="AA114" s="291"/>
      <c r="AB114" s="291"/>
      <c r="AC114" s="291"/>
      <c r="AD114" s="291"/>
      <c r="AE114" s="291"/>
      <c r="AF114" s="291"/>
      <c r="AG114" s="291"/>
      <c r="AH114" s="258"/>
      <c r="AU114" s="178"/>
    </row>
    <row r="115" spans="1:47" outlineLevel="1" x14ac:dyDescent="0.25">
      <c r="B115" s="1087"/>
      <c r="C115" s="1434"/>
      <c r="D115" s="292" t="s">
        <v>611</v>
      </c>
      <c r="E115" s="286" t="s">
        <v>614</v>
      </c>
      <c r="F115" s="290">
        <v>23442.380778499963</v>
      </c>
      <c r="G115" s="975" t="s">
        <v>615</v>
      </c>
      <c r="H115" s="268" t="s">
        <v>613</v>
      </c>
      <c r="I115" s="904"/>
      <c r="J115" s="904"/>
      <c r="O115" s="904"/>
      <c r="P115" s="904"/>
      <c r="Q115" s="904"/>
      <c r="V115" s="293" t="str">
        <f t="shared" si="5"/>
        <v>CapacityCool</v>
      </c>
      <c r="W115" s="291" t="s">
        <v>616</v>
      </c>
      <c r="X115" s="294">
        <f>X114*0.65</f>
        <v>23442.380778499963</v>
      </c>
      <c r="Y115" s="291"/>
      <c r="Z115" s="291"/>
      <c r="AA115" s="291"/>
      <c r="AB115" s="291"/>
      <c r="AC115" s="291"/>
      <c r="AD115" s="291"/>
      <c r="AE115" s="291"/>
      <c r="AF115" s="291"/>
      <c r="AG115" s="291"/>
      <c r="AH115" s="258"/>
      <c r="AU115" s="178"/>
    </row>
    <row r="116" spans="1:47" outlineLevel="1" x14ac:dyDescent="0.25">
      <c r="B116" s="1087"/>
      <c r="C116" s="1434"/>
      <c r="D116" s="292" t="s">
        <v>617</v>
      </c>
      <c r="E116" s="286" t="s">
        <v>483</v>
      </c>
      <c r="F116" s="295">
        <v>13.148148689111222</v>
      </c>
      <c r="G116" s="975" t="s">
        <v>593</v>
      </c>
      <c r="H116" s="268" t="s">
        <v>618</v>
      </c>
      <c r="I116" s="904"/>
      <c r="J116" s="904"/>
      <c r="O116" s="904"/>
      <c r="P116" s="904"/>
      <c r="Q116" s="904"/>
      <c r="V116" s="293" t="str">
        <f t="shared" si="5"/>
        <v>SEER</v>
      </c>
      <c r="W116" s="291">
        <v>13</v>
      </c>
      <c r="X116" s="291">
        <v>13.148148689111222</v>
      </c>
      <c r="Y116" s="291"/>
      <c r="Z116" s="291"/>
      <c r="AA116" s="291"/>
      <c r="AB116" s="291"/>
      <c r="AC116" s="291"/>
      <c r="AD116" s="291"/>
      <c r="AE116" s="291"/>
      <c r="AF116" s="291"/>
      <c r="AG116" s="291"/>
      <c r="AH116" s="258"/>
      <c r="AU116" s="178"/>
    </row>
    <row r="117" spans="1:47" outlineLevel="1" x14ac:dyDescent="0.25">
      <c r="B117" s="1087"/>
      <c r="C117" s="1434"/>
      <c r="D117" s="407" t="s">
        <v>619</v>
      </c>
      <c r="E117" s="286" t="s">
        <v>483</v>
      </c>
      <c r="F117" s="280">
        <v>0.08</v>
      </c>
      <c r="G117" s="975" t="s">
        <v>593</v>
      </c>
      <c r="H117" s="268" t="s">
        <v>607</v>
      </c>
      <c r="I117" s="904"/>
      <c r="J117" s="904"/>
      <c r="O117" s="904"/>
      <c r="P117" s="904"/>
      <c r="Q117" s="904"/>
      <c r="V117" s="288" t="str">
        <f t="shared" si="5"/>
        <v>CoolingReduction</v>
      </c>
      <c r="W117" s="282">
        <v>0.08</v>
      </c>
      <c r="X117" s="282">
        <v>0.08</v>
      </c>
      <c r="Y117" s="282"/>
      <c r="Z117" s="282"/>
      <c r="AA117" s="282"/>
      <c r="AB117" s="282"/>
      <c r="AC117" s="282"/>
      <c r="AD117" s="282"/>
      <c r="AE117" s="282"/>
      <c r="AF117" s="282"/>
      <c r="AG117" s="282"/>
      <c r="AH117" s="258"/>
      <c r="AU117" s="178"/>
    </row>
    <row r="118" spans="1:47" outlineLevel="1" x14ac:dyDescent="0.25">
      <c r="B118" s="1087"/>
      <c r="C118" s="1434"/>
      <c r="D118" s="2055" t="s">
        <v>620</v>
      </c>
      <c r="E118" s="899" t="s">
        <v>577</v>
      </c>
      <c r="F118" s="267">
        <v>0</v>
      </c>
      <c r="G118" s="975" t="s">
        <v>593</v>
      </c>
      <c r="H118" s="268"/>
      <c r="I118" s="904"/>
      <c r="J118" s="904"/>
      <c r="O118" s="904"/>
      <c r="P118" s="904"/>
      <c r="Q118" s="904"/>
      <c r="V118" s="2058" t="str">
        <f t="shared" si="5"/>
        <v>%FossilHeat</v>
      </c>
      <c r="W118" s="269">
        <v>1</v>
      </c>
      <c r="X118" s="296">
        <v>0</v>
      </c>
      <c r="Y118" s="269"/>
      <c r="Z118" s="269"/>
      <c r="AA118" s="269"/>
      <c r="AB118" s="269"/>
      <c r="AC118" s="269"/>
      <c r="AD118" s="269"/>
      <c r="AE118" s="269"/>
      <c r="AF118" s="269"/>
      <c r="AG118" s="269"/>
      <c r="AH118" s="258"/>
      <c r="AU118" s="178"/>
    </row>
    <row r="119" spans="1:47" outlineLevel="1" x14ac:dyDescent="0.25">
      <c r="B119" s="1087"/>
      <c r="C119" s="1434"/>
      <c r="D119" s="2056"/>
      <c r="E119" s="899" t="s">
        <v>580</v>
      </c>
      <c r="F119" s="267">
        <v>0</v>
      </c>
      <c r="G119" s="975" t="s">
        <v>593</v>
      </c>
      <c r="H119" s="268"/>
      <c r="I119" s="904"/>
      <c r="J119" s="904"/>
      <c r="O119" s="904"/>
      <c r="P119" s="904"/>
      <c r="Q119" s="904"/>
      <c r="V119" s="2059"/>
      <c r="W119" s="269">
        <v>1</v>
      </c>
      <c r="X119" s="296">
        <v>0</v>
      </c>
      <c r="Y119" s="269"/>
      <c r="Z119" s="269"/>
      <c r="AA119" s="269"/>
      <c r="AB119" s="269"/>
      <c r="AC119" s="269"/>
      <c r="AD119" s="269"/>
      <c r="AE119" s="269"/>
      <c r="AF119" s="269"/>
      <c r="AG119" s="269"/>
      <c r="AH119" s="258"/>
      <c r="AU119" s="178"/>
    </row>
    <row r="120" spans="1:47" outlineLevel="1" x14ac:dyDescent="0.25">
      <c r="B120" s="1087"/>
      <c r="C120" s="1434"/>
      <c r="D120" s="2056"/>
      <c r="E120" s="270" t="s">
        <v>581</v>
      </c>
      <c r="F120" s="267">
        <v>0</v>
      </c>
      <c r="G120" s="975" t="s">
        <v>593</v>
      </c>
      <c r="H120" s="268"/>
      <c r="I120" s="904"/>
      <c r="J120" s="904"/>
      <c r="O120" s="904"/>
      <c r="P120" s="904"/>
      <c r="Q120" s="904"/>
      <c r="V120" s="2059"/>
      <c r="W120" s="269">
        <v>1</v>
      </c>
      <c r="X120" s="296">
        <v>0</v>
      </c>
      <c r="Y120" s="269"/>
      <c r="Z120" s="269"/>
      <c r="AA120" s="269"/>
      <c r="AB120" s="269"/>
      <c r="AC120" s="269"/>
      <c r="AD120" s="269"/>
      <c r="AE120" s="269"/>
      <c r="AF120" s="269"/>
      <c r="AG120" s="269"/>
      <c r="AH120" s="258"/>
      <c r="AU120" s="178"/>
    </row>
    <row r="121" spans="1:47" outlineLevel="1" x14ac:dyDescent="0.25">
      <c r="B121" s="1087"/>
      <c r="C121" s="1434"/>
      <c r="D121" s="2056"/>
      <c r="E121" s="270" t="s">
        <v>597</v>
      </c>
      <c r="F121" s="267">
        <v>1</v>
      </c>
      <c r="G121" s="975" t="s">
        <v>593</v>
      </c>
      <c r="H121" s="268"/>
      <c r="I121" s="904"/>
      <c r="J121" s="904"/>
      <c r="O121" s="904"/>
      <c r="P121" s="904"/>
      <c r="Q121" s="904"/>
      <c r="V121" s="2059"/>
      <c r="W121" s="269">
        <v>1</v>
      </c>
      <c r="X121" s="269">
        <v>1</v>
      </c>
      <c r="Y121" s="269"/>
      <c r="Z121" s="269"/>
      <c r="AA121" s="269"/>
      <c r="AB121" s="269"/>
      <c r="AC121" s="269"/>
      <c r="AD121" s="269"/>
      <c r="AE121" s="269"/>
      <c r="AF121" s="269"/>
      <c r="AG121" s="269"/>
      <c r="AH121" s="258"/>
      <c r="AU121" s="178"/>
    </row>
    <row r="122" spans="1:47" outlineLevel="1" x14ac:dyDescent="0.25">
      <c r="B122" s="1087"/>
      <c r="C122" s="1434"/>
      <c r="D122" s="2057"/>
      <c r="E122" s="270" t="s">
        <v>595</v>
      </c>
      <c r="F122" s="267">
        <v>0.75536822013679017</v>
      </c>
      <c r="G122" s="252" t="s">
        <v>621</v>
      </c>
      <c r="H122" s="268"/>
      <c r="I122" s="904"/>
      <c r="J122" s="904"/>
      <c r="O122" s="904"/>
      <c r="P122" s="904"/>
      <c r="Q122" s="904"/>
      <c r="V122" s="2060"/>
      <c r="W122" s="269">
        <v>0.65</v>
      </c>
      <c r="X122" s="296">
        <v>0.75536822013679017</v>
      </c>
      <c r="Y122" s="269"/>
      <c r="Z122" s="269"/>
      <c r="AA122" s="269"/>
      <c r="AB122" s="269"/>
      <c r="AC122" s="269"/>
      <c r="AD122" s="269"/>
      <c r="AE122" s="269"/>
      <c r="AF122" s="269"/>
      <c r="AG122" s="269"/>
      <c r="AH122" s="258"/>
      <c r="AU122" s="178"/>
    </row>
    <row r="123" spans="1:47" ht="45" outlineLevel="1" x14ac:dyDescent="0.25">
      <c r="B123" s="1087"/>
      <c r="C123" s="1434"/>
      <c r="D123" s="407" t="s">
        <v>622</v>
      </c>
      <c r="E123" s="899" t="s">
        <v>483</v>
      </c>
      <c r="F123" s="276">
        <v>682.46115191341323</v>
      </c>
      <c r="G123" s="975" t="s">
        <v>1778</v>
      </c>
      <c r="H123" s="268" t="s">
        <v>623</v>
      </c>
      <c r="I123" s="904"/>
      <c r="J123" s="904"/>
      <c r="O123" s="904"/>
      <c r="P123" s="904"/>
      <c r="Q123" s="904"/>
      <c r="V123" s="288" t="str">
        <f>D123</f>
        <v>HeatingConsumption_Gas</v>
      </c>
      <c r="W123" s="272">
        <v>680</v>
      </c>
      <c r="X123" s="297">
        <v>682.46115191341323</v>
      </c>
      <c r="Y123" s="272"/>
      <c r="Z123" s="272"/>
      <c r="AA123" s="272"/>
      <c r="AB123" s="272"/>
      <c r="AC123" s="272"/>
      <c r="AD123" s="272"/>
      <c r="AE123" s="272"/>
      <c r="AF123" s="272"/>
      <c r="AG123" s="272"/>
      <c r="AH123" s="258"/>
      <c r="AU123" s="178"/>
    </row>
    <row r="124" spans="1:47" outlineLevel="1" x14ac:dyDescent="0.25">
      <c r="B124" s="1087"/>
      <c r="C124" s="1434"/>
      <c r="D124" s="298" t="str">
        <f>$D$52</f>
        <v>EUL</v>
      </c>
      <c r="E124" s="298" t="str">
        <f>$E$52</f>
        <v>Effective Useful Life</v>
      </c>
      <c r="F124" s="276">
        <v>10</v>
      </c>
      <c r="G124" s="975"/>
      <c r="H124" s="268"/>
      <c r="I124" s="904"/>
      <c r="J124" s="904"/>
      <c r="O124" s="904"/>
      <c r="P124" s="904"/>
      <c r="Q124" s="904"/>
      <c r="V124" s="299" t="str">
        <f>D124</f>
        <v>EUL</v>
      </c>
      <c r="W124" s="300">
        <v>10</v>
      </c>
      <c r="X124" s="300">
        <v>10</v>
      </c>
      <c r="Y124" s="300"/>
      <c r="Z124" s="300"/>
      <c r="AA124" s="300"/>
      <c r="AB124" s="300"/>
      <c r="AC124" s="300"/>
      <c r="AD124" s="300"/>
      <c r="AE124" s="300"/>
      <c r="AF124" s="300"/>
      <c r="AG124" s="300"/>
      <c r="AH124" s="258"/>
      <c r="AU124" s="178"/>
    </row>
    <row r="125" spans="1:47" outlineLevel="1" x14ac:dyDescent="0.25">
      <c r="B125" s="1087"/>
      <c r="C125" s="1434"/>
      <c r="D125" s="298" t="str">
        <f>$D$53</f>
        <v>Inc. Cost</v>
      </c>
      <c r="E125" s="298" t="str">
        <f>$E$53</f>
        <v>Incremental Cost ($)</v>
      </c>
      <c r="F125" s="301">
        <v>175</v>
      </c>
      <c r="G125" s="975"/>
      <c r="H125" s="268" t="s">
        <v>31</v>
      </c>
      <c r="I125" s="904"/>
      <c r="J125" s="904"/>
      <c r="O125" s="904"/>
      <c r="P125" s="904"/>
      <c r="Q125" s="904"/>
      <c r="V125" s="299" t="str">
        <f>D125</f>
        <v>Inc. Cost</v>
      </c>
      <c r="W125" s="301">
        <v>175</v>
      </c>
      <c r="X125" s="301">
        <v>175</v>
      </c>
      <c r="Y125" s="301"/>
      <c r="Z125" s="301"/>
      <c r="AA125" s="301"/>
      <c r="AB125" s="301"/>
      <c r="AC125" s="301"/>
      <c r="AD125" s="301"/>
      <c r="AE125" s="301"/>
      <c r="AF125" s="301"/>
      <c r="AG125" s="301"/>
      <c r="AH125" s="258"/>
      <c r="AU125" s="178"/>
    </row>
    <row r="126" spans="1:47" x14ac:dyDescent="0.25">
      <c r="B126" s="1087"/>
      <c r="C126" s="1434"/>
      <c r="D126" s="1444"/>
      <c r="E126" s="1458"/>
      <c r="F126" s="904"/>
      <c r="G126" s="904"/>
      <c r="H126" s="904"/>
      <c r="I126" s="904"/>
      <c r="J126" s="904"/>
      <c r="K126" s="904"/>
      <c r="L126" s="904"/>
      <c r="M126" s="904"/>
      <c r="N126" s="904"/>
      <c r="O126" s="904"/>
      <c r="P126" s="904"/>
      <c r="Q126" s="904"/>
      <c r="AH126" s="258"/>
      <c r="AU126" s="178"/>
    </row>
    <row r="127" spans="1:47" x14ac:dyDescent="0.25">
      <c r="AH127" s="258"/>
      <c r="AU127" s="178"/>
    </row>
    <row r="128" spans="1:47" s="165" customFormat="1" x14ac:dyDescent="0.25">
      <c r="A128"/>
      <c r="B128" s="2022" t="s">
        <v>624</v>
      </c>
      <c r="C128" s="2023"/>
      <c r="D128" s="2023"/>
      <c r="E128" s="2023"/>
      <c r="F128" s="2023"/>
      <c r="G128" s="2023"/>
      <c r="H128" s="2023"/>
      <c r="I128" s="1992"/>
      <c r="J128" s="1992"/>
      <c r="K128" s="1992"/>
      <c r="L128" s="1992"/>
      <c r="M128" s="1992"/>
      <c r="N128" s="1992"/>
      <c r="O128" s="1993"/>
      <c r="V128" s="2022" t="str">
        <f>B128</f>
        <v>ENERGY STAR Pool Pump and motor w auto controls - multi speed</v>
      </c>
      <c r="W128" s="2023"/>
      <c r="X128" s="2023"/>
      <c r="Y128" s="2023"/>
      <c r="Z128" s="2023"/>
      <c r="AA128" s="2023"/>
      <c r="AB128" s="2023"/>
      <c r="AC128" s="2024"/>
      <c r="AD128" s="2024"/>
      <c r="AE128" s="2024"/>
      <c r="AF128" s="2024"/>
      <c r="AG128" s="2024"/>
      <c r="AH128" s="2024"/>
      <c r="AI128" s="2025"/>
      <c r="AU128" s="178"/>
    </row>
    <row r="129" spans="2:47" s="37" customFormat="1" x14ac:dyDescent="0.25">
      <c r="B129" s="175"/>
      <c r="C129" s="1410"/>
      <c r="D129" s="1411"/>
      <c r="E129" s="1411"/>
      <c r="F129" s="175"/>
      <c r="G129" s="175"/>
      <c r="H129" s="175"/>
      <c r="I129" s="175"/>
      <c r="J129" s="175"/>
      <c r="K129" s="175"/>
      <c r="L129" s="175"/>
      <c r="M129" s="175"/>
      <c r="N129" s="175"/>
      <c r="O129" s="175"/>
      <c r="P129" s="175"/>
      <c r="Q129" s="175"/>
      <c r="R129" s="175"/>
      <c r="S129" s="175"/>
      <c r="T129" s="175"/>
      <c r="U129" s="175"/>
      <c r="AH129" s="258"/>
      <c r="AU129" s="178"/>
    </row>
    <row r="130" spans="2:47" s="43" customFormat="1" ht="48.75" customHeight="1" x14ac:dyDescent="0.25">
      <c r="B130" s="1139"/>
      <c r="C130" s="184" t="s">
        <v>16</v>
      </c>
      <c r="D130" s="184" t="s">
        <v>509</v>
      </c>
      <c r="E130" s="184" t="s">
        <v>18</v>
      </c>
      <c r="F130" s="184" t="s">
        <v>19</v>
      </c>
      <c r="G130" s="184" t="s">
        <v>20</v>
      </c>
      <c r="H130" s="184" t="s">
        <v>21</v>
      </c>
      <c r="I130" s="184" t="s">
        <v>625</v>
      </c>
      <c r="J130" s="184" t="s">
        <v>23</v>
      </c>
      <c r="K130" s="184" t="s">
        <v>24</v>
      </c>
      <c r="L130" s="184" t="s">
        <v>25</v>
      </c>
      <c r="M130" s="1139"/>
      <c r="N130" s="1139"/>
      <c r="O130" s="1139"/>
      <c r="P130" s="1139"/>
      <c r="Q130" s="1139"/>
      <c r="R130" s="1139"/>
      <c r="S130" s="1139"/>
      <c r="T130" s="1139"/>
      <c r="U130" s="1139"/>
      <c r="V130" s="48" t="s">
        <v>26</v>
      </c>
      <c r="W130" s="49">
        <v>43252</v>
      </c>
      <c r="X130" s="49">
        <f>$X$6</f>
        <v>43465</v>
      </c>
      <c r="Y130" s="49" t="str">
        <f>$Y$6</f>
        <v>-</v>
      </c>
      <c r="Z130" s="49" t="str">
        <f>$Z$6</f>
        <v>-</v>
      </c>
      <c r="AA130" s="49" t="str">
        <f>$AA$6</f>
        <v>-</v>
      </c>
      <c r="AB130" s="49" t="str">
        <f>$AB$6</f>
        <v>-</v>
      </c>
      <c r="AC130" s="49" t="str">
        <f>$AC$6</f>
        <v>-</v>
      </c>
      <c r="AD130" s="49" t="str">
        <f>$AD$6</f>
        <v>-</v>
      </c>
      <c r="AE130" s="49" t="str">
        <f>$AE$6</f>
        <v>-</v>
      </c>
      <c r="AF130" s="49" t="str">
        <f>$AF$6</f>
        <v>-</v>
      </c>
      <c r="AG130" s="49" t="str">
        <f>$AG$6</f>
        <v>-</v>
      </c>
      <c r="AH130" s="258"/>
      <c r="AU130" s="178"/>
    </row>
    <row r="131" spans="2:47" s="37" customFormat="1" x14ac:dyDescent="0.25">
      <c r="B131" s="175"/>
      <c r="C131" s="1412"/>
      <c r="D131" s="168" t="s">
        <v>1830</v>
      </c>
      <c r="E131" s="1459" t="s">
        <v>624</v>
      </c>
      <c r="F131" s="1440">
        <f>+F149*0.06*(F150*F153/F156-F151*F154/F157-F152*F155/F158)*F159</f>
        <v>1799.7340444444444</v>
      </c>
      <c r="G131" s="52" t="s">
        <v>626</v>
      </c>
      <c r="H131" s="170">
        <f>VLOOKUP(G131,'CP FACTORS'!$A$3:$B$38, 2, FALSE)</f>
        <v>2.3544589999999999E-4</v>
      </c>
      <c r="I131" s="1460">
        <f>F131*H131</f>
        <v>0.42374000185486221</v>
      </c>
      <c r="J131" s="375">
        <v>10</v>
      </c>
      <c r="K131" s="301">
        <v>235</v>
      </c>
      <c r="L131" s="1442" t="s">
        <v>31</v>
      </c>
      <c r="M131" s="175"/>
      <c r="N131" s="175"/>
      <c r="O131" s="175"/>
      <c r="P131" s="175"/>
      <c r="Q131" s="175"/>
      <c r="R131" s="1413"/>
      <c r="S131" s="175"/>
      <c r="T131" s="175"/>
      <c r="U131" s="175"/>
      <c r="V131" s="303" t="s">
        <v>19</v>
      </c>
      <c r="W131" s="1188">
        <v>1799.7340444444444</v>
      </c>
      <c r="X131" s="1189">
        <v>1799.7340444444444</v>
      </c>
      <c r="Y131" s="303"/>
      <c r="Z131" s="303"/>
      <c r="AA131" s="303"/>
      <c r="AB131" s="303"/>
      <c r="AC131" s="303"/>
      <c r="AD131" s="303"/>
      <c r="AE131" s="303"/>
      <c r="AF131" s="303"/>
      <c r="AG131" s="303"/>
      <c r="AH131" s="258"/>
      <c r="AU131" s="178"/>
    </row>
    <row r="132" spans="2:47" s="37" customFormat="1" x14ac:dyDescent="0.25">
      <c r="B132" s="175"/>
      <c r="C132" s="1412"/>
      <c r="D132" s="168" t="s">
        <v>1830</v>
      </c>
      <c r="E132" s="348" t="s">
        <v>627</v>
      </c>
      <c r="F132" s="1440">
        <f>+G149*60/1000*(G150*G153/G156-G151*G154/G157-G152*G155/G158)*G159</f>
        <v>2052.8492712328771</v>
      </c>
      <c r="G132" s="52" t="s">
        <v>626</v>
      </c>
      <c r="H132" s="170">
        <f>VLOOKUP(G132,'CP FACTORS'!$A$3:$B$38, 2, FALSE)</f>
        <v>2.3544589999999999E-4</v>
      </c>
      <c r="I132" s="1460">
        <f>F132*H132</f>
        <v>0.4833349442297688</v>
      </c>
      <c r="J132" s="375">
        <v>10</v>
      </c>
      <c r="K132" s="301">
        <v>549</v>
      </c>
      <c r="L132" s="1442" t="s">
        <v>31</v>
      </c>
      <c r="M132" s="175"/>
      <c r="N132" s="175"/>
      <c r="O132" s="175"/>
      <c r="P132" s="175"/>
      <c r="Q132" s="175"/>
      <c r="R132" s="1413"/>
      <c r="S132" s="175"/>
      <c r="T132" s="175"/>
      <c r="U132" s="175"/>
      <c r="V132" s="303" t="s">
        <v>19</v>
      </c>
      <c r="W132" s="1188">
        <v>2052.8492712328771</v>
      </c>
      <c r="X132" s="1189">
        <v>2052.8492712328771</v>
      </c>
      <c r="Y132" s="303"/>
      <c r="Z132" s="303"/>
      <c r="AA132" s="303"/>
      <c r="AB132" s="303"/>
      <c r="AC132" s="303"/>
      <c r="AD132" s="303"/>
      <c r="AE132" s="303"/>
      <c r="AF132" s="303"/>
      <c r="AG132" s="303"/>
      <c r="AH132" s="258"/>
      <c r="AU132" s="178"/>
    </row>
    <row r="133" spans="2:47" s="37" customFormat="1" outlineLevel="1" x14ac:dyDescent="0.25">
      <c r="B133" s="175"/>
      <c r="C133" s="1410"/>
      <c r="D133" s="1411"/>
      <c r="E133" s="1461"/>
      <c r="F133" s="1462"/>
      <c r="G133" s="175"/>
      <c r="H133" s="175"/>
      <c r="I133" s="130"/>
      <c r="J133" s="130"/>
      <c r="K133" s="130"/>
      <c r="L133" s="175"/>
      <c r="M133" s="175"/>
      <c r="N133" s="175"/>
      <c r="O133" s="175"/>
      <c r="P133" s="175"/>
      <c r="Q133" s="175"/>
      <c r="R133" s="175"/>
      <c r="S133" s="175"/>
      <c r="T133" s="175"/>
      <c r="U133" s="175"/>
      <c r="AF133" s="187"/>
      <c r="AH133" s="258"/>
      <c r="AU133" s="178"/>
    </row>
    <row r="134" spans="2:47" s="179" customFormat="1" outlineLevel="1" x14ac:dyDescent="0.25">
      <c r="B134" s="1416"/>
      <c r="C134" s="1417"/>
      <c r="D134" s="1418" t="s">
        <v>463</v>
      </c>
      <c r="E134" s="1463"/>
      <c r="F134" s="1416"/>
      <c r="G134" s="1416"/>
      <c r="H134" s="1416"/>
      <c r="I134" s="1416"/>
      <c r="J134" s="1416"/>
      <c r="K134" s="1416"/>
      <c r="L134" s="1416"/>
      <c r="M134" s="1416"/>
      <c r="N134" s="1416"/>
      <c r="O134" s="1416"/>
      <c r="P134" s="1416"/>
      <c r="Q134" s="1416"/>
      <c r="R134" s="1416"/>
      <c r="S134" s="1416"/>
      <c r="T134" s="1416"/>
      <c r="U134" s="1416"/>
      <c r="AH134" s="258"/>
      <c r="AU134" s="178"/>
    </row>
    <row r="135" spans="2:47" s="179" customFormat="1" outlineLevel="1" x14ac:dyDescent="0.25">
      <c r="B135" s="1416"/>
      <c r="C135" s="1417"/>
      <c r="D135" s="1464"/>
      <c r="E135" s="1461"/>
      <c r="F135" s="1465"/>
      <c r="G135" s="1416"/>
      <c r="H135" s="1416"/>
      <c r="I135" s="1416"/>
      <c r="J135" s="1416"/>
      <c r="K135" s="1416"/>
      <c r="L135" s="1416"/>
      <c r="M135" s="1416"/>
      <c r="N135" s="1416"/>
      <c r="O135" s="1416"/>
      <c r="P135" s="1416"/>
      <c r="Q135" s="1416"/>
      <c r="R135" s="1416"/>
      <c r="S135" s="1416"/>
      <c r="T135" s="1416"/>
      <c r="U135" s="1416"/>
      <c r="AH135" s="258"/>
      <c r="AU135" s="178"/>
    </row>
    <row r="136" spans="2:47" s="179" customFormat="1" outlineLevel="1" x14ac:dyDescent="0.25">
      <c r="B136" s="1416"/>
      <c r="C136" s="1417"/>
      <c r="D136" s="1464"/>
      <c r="E136" s="1461"/>
      <c r="F136" s="1465"/>
      <c r="G136" s="1416"/>
      <c r="H136" s="1416"/>
      <c r="I136" s="1416"/>
      <c r="J136" s="1416"/>
      <c r="K136" s="1416"/>
      <c r="L136" s="130"/>
      <c r="M136" s="130"/>
      <c r="N136" s="130"/>
      <c r="O136" s="130"/>
      <c r="P136" s="130"/>
      <c r="Q136" s="1416"/>
      <c r="R136" s="1416"/>
      <c r="S136" s="1416"/>
      <c r="T136" s="1416"/>
      <c r="U136" s="1416"/>
      <c r="AH136" s="258"/>
      <c r="AU136" s="178"/>
    </row>
    <row r="137" spans="2:47" s="179" customFormat="1" outlineLevel="1" x14ac:dyDescent="0.25">
      <c r="B137" s="1416"/>
      <c r="C137" s="1417"/>
      <c r="D137" s="1421"/>
      <c r="E137" s="1423"/>
      <c r="F137" s="1465"/>
      <c r="G137" s="1416"/>
      <c r="H137" s="1416"/>
      <c r="I137" s="1416"/>
      <c r="J137" s="1416"/>
      <c r="K137" s="1416"/>
      <c r="L137" s="130"/>
      <c r="M137" s="130"/>
      <c r="N137" s="130"/>
      <c r="O137" s="130"/>
      <c r="P137" s="130"/>
      <c r="Q137" s="1416"/>
      <c r="R137" s="1416"/>
      <c r="S137" s="1416"/>
      <c r="T137" s="1416"/>
      <c r="U137" s="1416"/>
      <c r="AH137" s="258"/>
      <c r="AU137" s="178"/>
    </row>
    <row r="138" spans="2:47" s="179" customFormat="1" outlineLevel="1" x14ac:dyDescent="0.25">
      <c r="B138" s="1416"/>
      <c r="C138" s="1417"/>
      <c r="D138" s="1421"/>
      <c r="E138" s="1423"/>
      <c r="F138" s="1465"/>
      <c r="G138" s="1416"/>
      <c r="H138" s="1416"/>
      <c r="I138" s="1416"/>
      <c r="J138" s="1416"/>
      <c r="K138" s="1416"/>
      <c r="L138" s="130"/>
      <c r="M138" s="130"/>
      <c r="N138" s="130"/>
      <c r="O138" s="130"/>
      <c r="P138" s="130"/>
      <c r="Q138" s="1416"/>
      <c r="R138" s="1416"/>
      <c r="S138" s="1416"/>
      <c r="T138" s="1416"/>
      <c r="U138" s="1416"/>
      <c r="AH138" s="258"/>
      <c r="AU138" s="178"/>
    </row>
    <row r="139" spans="2:47" s="179" customFormat="1" outlineLevel="1" x14ac:dyDescent="0.25">
      <c r="B139" s="1416"/>
      <c r="C139" s="1417"/>
      <c r="D139" s="1421"/>
      <c r="E139" s="1423"/>
      <c r="F139" s="1465"/>
      <c r="G139" s="1416"/>
      <c r="H139" s="1416"/>
      <c r="I139" s="1416"/>
      <c r="J139" s="1416"/>
      <c r="K139" s="1416"/>
      <c r="L139" s="130"/>
      <c r="M139" s="130"/>
      <c r="N139" s="130"/>
      <c r="O139" s="130"/>
      <c r="P139" s="130"/>
      <c r="Q139" s="1416"/>
      <c r="R139" s="1416"/>
      <c r="S139" s="1416"/>
      <c r="T139" s="1416"/>
      <c r="U139" s="1416"/>
      <c r="AH139" s="258"/>
      <c r="AU139" s="178"/>
    </row>
    <row r="140" spans="2:47" s="179" customFormat="1" outlineLevel="1" x14ac:dyDescent="0.25">
      <c r="B140" s="1416"/>
      <c r="C140" s="1417"/>
      <c r="D140" s="1421"/>
      <c r="E140" s="1423"/>
      <c r="F140" s="1465"/>
      <c r="G140" s="1416"/>
      <c r="H140" s="1416"/>
      <c r="I140" s="1416"/>
      <c r="J140" s="1416"/>
      <c r="K140" s="1416"/>
      <c r="L140" s="130"/>
      <c r="M140" s="130"/>
      <c r="N140" s="130"/>
      <c r="O140" s="130"/>
      <c r="P140" s="130"/>
      <c r="Q140" s="1416"/>
      <c r="R140" s="1416"/>
      <c r="S140" s="1416"/>
      <c r="T140" s="1416"/>
      <c r="U140" s="1416"/>
      <c r="AH140" s="258"/>
      <c r="AU140" s="178"/>
    </row>
    <row r="141" spans="2:47" s="179" customFormat="1" outlineLevel="1" x14ac:dyDescent="0.25">
      <c r="B141" s="1416"/>
      <c r="C141" s="1417"/>
      <c r="D141" s="1421"/>
      <c r="E141" s="1423"/>
      <c r="F141" s="1465"/>
      <c r="G141" s="1416"/>
      <c r="H141" s="1416"/>
      <c r="I141" s="1416"/>
      <c r="J141" s="1416"/>
      <c r="K141" s="1416"/>
      <c r="L141" s="130"/>
      <c r="M141" s="130"/>
      <c r="N141" s="130"/>
      <c r="O141" s="130"/>
      <c r="P141" s="130"/>
      <c r="Q141" s="1416"/>
      <c r="R141" s="1416"/>
      <c r="S141" s="1416"/>
      <c r="T141" s="1416"/>
      <c r="U141" s="1416"/>
      <c r="AH141" s="258"/>
      <c r="AU141" s="178"/>
    </row>
    <row r="142" spans="2:47" s="179" customFormat="1" outlineLevel="1" x14ac:dyDescent="0.25">
      <c r="B142" s="1416"/>
      <c r="C142" s="1417"/>
      <c r="D142" s="1421"/>
      <c r="E142" s="1423"/>
      <c r="F142" s="1465"/>
      <c r="G142" s="1416"/>
      <c r="H142" s="1416"/>
      <c r="I142" s="1416"/>
      <c r="J142" s="1416"/>
      <c r="K142" s="1416"/>
      <c r="L142" s="130"/>
      <c r="M142" s="130"/>
      <c r="N142" s="130"/>
      <c r="O142" s="130"/>
      <c r="P142" s="130"/>
      <c r="Q142" s="1416"/>
      <c r="R142" s="1416"/>
      <c r="S142" s="1416"/>
      <c r="T142" s="1416"/>
      <c r="U142" s="1416"/>
      <c r="AH142" s="258"/>
      <c r="AU142" s="178"/>
    </row>
    <row r="143" spans="2:47" s="179" customFormat="1" outlineLevel="1" x14ac:dyDescent="0.25">
      <c r="B143" s="1416"/>
      <c r="C143" s="1417"/>
      <c r="D143" s="1421"/>
      <c r="E143" s="1423"/>
      <c r="F143" s="1465"/>
      <c r="G143" s="1416"/>
      <c r="H143" s="1416"/>
      <c r="I143" s="1416"/>
      <c r="J143" s="1416"/>
      <c r="K143" s="1416"/>
      <c r="L143" s="130"/>
      <c r="M143" s="130"/>
      <c r="N143" s="130"/>
      <c r="O143" s="130"/>
      <c r="P143" s="130"/>
      <c r="Q143" s="1416"/>
      <c r="R143" s="1416"/>
      <c r="S143" s="1416"/>
      <c r="T143" s="1416"/>
      <c r="U143" s="1416"/>
      <c r="AH143" s="258"/>
      <c r="AU143" s="178"/>
    </row>
    <row r="144" spans="2:47" s="179" customFormat="1" outlineLevel="1" x14ac:dyDescent="0.25">
      <c r="B144" s="1416"/>
      <c r="C144" s="1417"/>
      <c r="D144" s="1421"/>
      <c r="E144" s="1423"/>
      <c r="F144" s="1465"/>
      <c r="G144" s="1416"/>
      <c r="H144" s="1416"/>
      <c r="I144" s="1416"/>
      <c r="J144" s="1416"/>
      <c r="K144" s="1416"/>
      <c r="L144" s="130"/>
      <c r="M144" s="130"/>
      <c r="N144" s="130"/>
      <c r="O144" s="130"/>
      <c r="P144" s="130"/>
      <c r="Q144" s="1416"/>
      <c r="R144" s="1416"/>
      <c r="S144" s="1416"/>
      <c r="T144" s="1416"/>
      <c r="U144" s="1416"/>
      <c r="AH144" s="258"/>
      <c r="AU144" s="178"/>
    </row>
    <row r="145" spans="2:47" s="179" customFormat="1" outlineLevel="1" x14ac:dyDescent="0.25">
      <c r="B145" s="1416"/>
      <c r="C145" s="1417"/>
      <c r="D145" s="1421"/>
      <c r="E145" s="1423"/>
      <c r="F145" s="1465"/>
      <c r="G145" s="1416"/>
      <c r="H145" s="1416"/>
      <c r="I145" s="1416"/>
      <c r="J145" s="1416"/>
      <c r="K145" s="1416"/>
      <c r="L145" s="130"/>
      <c r="M145" s="130"/>
      <c r="N145" s="130"/>
      <c r="O145" s="130"/>
      <c r="P145" s="130"/>
      <c r="Q145" s="1416"/>
      <c r="R145" s="1416"/>
      <c r="S145" s="1416"/>
      <c r="T145" s="1416"/>
      <c r="U145" s="1416"/>
      <c r="AH145" s="258"/>
      <c r="AU145" s="178"/>
    </row>
    <row r="146" spans="2:47" s="179" customFormat="1" outlineLevel="1" x14ac:dyDescent="0.25">
      <c r="B146" s="1416"/>
      <c r="C146" s="1417"/>
      <c r="D146" s="1421"/>
      <c r="E146" s="1423"/>
      <c r="F146" s="1465"/>
      <c r="G146" s="1416"/>
      <c r="H146" s="1416"/>
      <c r="I146" s="1416"/>
      <c r="J146" s="1416"/>
      <c r="K146" s="1416"/>
      <c r="L146" s="130"/>
      <c r="M146" s="130"/>
      <c r="N146" s="130"/>
      <c r="O146" s="130"/>
      <c r="P146" s="130"/>
      <c r="Q146" s="1416"/>
      <c r="R146" s="1416"/>
      <c r="S146" s="1416"/>
      <c r="T146" s="1416"/>
      <c r="U146" s="1416"/>
      <c r="AH146" s="258"/>
      <c r="AU146" s="178"/>
    </row>
    <row r="147" spans="2:47" s="179" customFormat="1" outlineLevel="1" x14ac:dyDescent="0.25">
      <c r="B147" s="1416"/>
      <c r="C147" s="1417"/>
      <c r="D147" s="1466"/>
      <c r="E147" s="1423"/>
      <c r="F147" s="1465"/>
      <c r="G147" s="1416"/>
      <c r="H147" s="1416"/>
      <c r="I147" s="1416"/>
      <c r="J147" s="1416"/>
      <c r="K147" s="1416"/>
      <c r="L147" s="130"/>
      <c r="M147" s="305"/>
      <c r="N147" s="305"/>
      <c r="O147" s="305"/>
      <c r="P147" s="305"/>
      <c r="Q147" s="1467"/>
      <c r="R147" s="1416"/>
      <c r="S147" s="1416"/>
      <c r="T147" s="1416"/>
      <c r="U147" s="1416"/>
      <c r="V147" s="48" t="s">
        <v>26</v>
      </c>
      <c r="W147" s="49">
        <v>43252</v>
      </c>
      <c r="X147" s="49">
        <f>$X$6</f>
        <v>43465</v>
      </c>
      <c r="Y147" s="49" t="str">
        <f>$Y$6</f>
        <v>-</v>
      </c>
      <c r="Z147" s="49" t="str">
        <f>$Z$6</f>
        <v>-</v>
      </c>
      <c r="AA147" s="49" t="str">
        <f>$AA$6</f>
        <v>-</v>
      </c>
      <c r="AB147" s="49" t="str">
        <f>$AB$6</f>
        <v>-</v>
      </c>
      <c r="AC147" s="49" t="str">
        <f>$AC$6</f>
        <v>-</v>
      </c>
      <c r="AD147" s="49" t="str">
        <f>$AD$6</f>
        <v>-</v>
      </c>
      <c r="AE147" s="49" t="str">
        <f>$AE$6</f>
        <v>-</v>
      </c>
      <c r="AF147" s="49" t="str">
        <f>$AF$6</f>
        <v>-</v>
      </c>
      <c r="AG147" s="49" t="str">
        <f>$AG$6</f>
        <v>-</v>
      </c>
      <c r="AH147" s="258"/>
      <c r="AI147" s="49">
        <v>43252</v>
      </c>
      <c r="AJ147" s="49" t="str">
        <f>$Y$6</f>
        <v>-</v>
      </c>
      <c r="AK147" s="49" t="str">
        <f>$Y$6</f>
        <v>-</v>
      </c>
      <c r="AL147" s="49" t="str">
        <f>$Z$6</f>
        <v>-</v>
      </c>
      <c r="AM147" s="49" t="str">
        <f>$AA$6</f>
        <v>-</v>
      </c>
      <c r="AN147" s="49" t="str">
        <f>$AB$6</f>
        <v>-</v>
      </c>
      <c r="AO147" s="49" t="str">
        <f>$AC$6</f>
        <v>-</v>
      </c>
      <c r="AP147" s="49" t="str">
        <f>$AD$6</f>
        <v>-</v>
      </c>
      <c r="AQ147" s="49" t="str">
        <f>$AE$6</f>
        <v>-</v>
      </c>
      <c r="AR147" s="49" t="str">
        <f>$AF$6</f>
        <v>-</v>
      </c>
      <c r="AS147" s="49" t="str">
        <f>$AG$6</f>
        <v>-</v>
      </c>
      <c r="AU147" s="178"/>
    </row>
    <row r="148" spans="2:47" s="61" customFormat="1" ht="15" customHeight="1" outlineLevel="1" x14ac:dyDescent="0.25">
      <c r="B148" s="1258"/>
      <c r="C148" s="1410"/>
      <c r="D148" s="1098" t="s">
        <v>465</v>
      </c>
      <c r="E148" s="1098" t="s">
        <v>466</v>
      </c>
      <c r="F148" s="184" t="s">
        <v>628</v>
      </c>
      <c r="G148" s="184" t="s">
        <v>629</v>
      </c>
      <c r="H148" s="2050" t="s">
        <v>515</v>
      </c>
      <c r="I148" s="2050"/>
      <c r="J148" s="2050" t="s">
        <v>468</v>
      </c>
      <c r="K148" s="2050"/>
      <c r="L148" s="1258"/>
      <c r="M148" s="165"/>
      <c r="N148" s="165"/>
      <c r="O148" s="165"/>
      <c r="P148" s="165"/>
      <c r="Q148" s="1139"/>
      <c r="R148" s="1258"/>
      <c r="S148" s="1258"/>
      <c r="T148" s="1258"/>
      <c r="U148" s="1258"/>
      <c r="V148" s="62"/>
      <c r="W148" s="63" t="s">
        <v>628</v>
      </c>
      <c r="X148" s="63" t="s">
        <v>628</v>
      </c>
      <c r="Y148" s="63" t="s">
        <v>628</v>
      </c>
      <c r="Z148" s="63" t="s">
        <v>628</v>
      </c>
      <c r="AA148" s="63" t="s">
        <v>628</v>
      </c>
      <c r="AB148" s="63" t="s">
        <v>628</v>
      </c>
      <c r="AC148" s="63" t="s">
        <v>628</v>
      </c>
      <c r="AD148" s="63" t="s">
        <v>628</v>
      </c>
      <c r="AE148" s="63" t="s">
        <v>628</v>
      </c>
      <c r="AF148" s="63" t="s">
        <v>628</v>
      </c>
      <c r="AG148" s="63" t="s">
        <v>628</v>
      </c>
      <c r="AH148" s="258"/>
      <c r="AI148" s="63" t="s">
        <v>629</v>
      </c>
      <c r="AJ148" s="63" t="s">
        <v>629</v>
      </c>
      <c r="AK148" s="63" t="s">
        <v>629</v>
      </c>
      <c r="AL148" s="63" t="s">
        <v>629</v>
      </c>
      <c r="AM148" s="63" t="s">
        <v>629</v>
      </c>
      <c r="AN148" s="63" t="s">
        <v>629</v>
      </c>
      <c r="AO148" s="63" t="s">
        <v>629</v>
      </c>
      <c r="AP148" s="63" t="s">
        <v>629</v>
      </c>
      <c r="AQ148" s="63" t="s">
        <v>629</v>
      </c>
      <c r="AR148" s="63" t="s">
        <v>629</v>
      </c>
      <c r="AS148" s="63" t="s">
        <v>629</v>
      </c>
      <c r="AT148" s="179"/>
      <c r="AU148" s="178"/>
    </row>
    <row r="149" spans="2:47" ht="45" customHeight="1" outlineLevel="1" x14ac:dyDescent="0.25">
      <c r="D149" s="348" t="s">
        <v>1864</v>
      </c>
      <c r="E149" s="348" t="s">
        <v>630</v>
      </c>
      <c r="F149" s="382">
        <v>121.6</v>
      </c>
      <c r="G149" s="382">
        <v>121.6</v>
      </c>
      <c r="H149" s="2046" t="s">
        <v>631</v>
      </c>
      <c r="I149" s="2046"/>
      <c r="J149" s="2054" t="s">
        <v>523</v>
      </c>
      <c r="K149" s="2054"/>
      <c r="M149" s="1468"/>
      <c r="N149" s="1468"/>
      <c r="O149" s="1468"/>
      <c r="P149" s="1468"/>
      <c r="Q149" s="1469"/>
      <c r="V149" s="306" t="str">
        <f t="shared" ref="V149:V159" si="6">D149</f>
        <v>Daysoper</v>
      </c>
      <c r="W149" s="307">
        <v>121.6</v>
      </c>
      <c r="X149" s="307">
        <v>121.6</v>
      </c>
      <c r="Y149" s="307"/>
      <c r="Z149" s="307"/>
      <c r="AA149" s="307"/>
      <c r="AB149" s="307"/>
      <c r="AC149" s="307"/>
      <c r="AD149" s="307"/>
      <c r="AE149" s="307"/>
      <c r="AF149" s="307"/>
      <c r="AG149" s="307"/>
      <c r="AH149" s="258"/>
      <c r="AI149" s="307">
        <v>121.6</v>
      </c>
      <c r="AJ149" s="307">
        <v>121.6</v>
      </c>
      <c r="AK149" s="307"/>
      <c r="AL149" s="307"/>
      <c r="AM149" s="307"/>
      <c r="AN149" s="307"/>
      <c r="AO149" s="307"/>
      <c r="AP149" s="307"/>
      <c r="AQ149" s="307"/>
      <c r="AR149" s="307"/>
      <c r="AS149" s="307"/>
      <c r="AT149" s="179"/>
      <c r="AU149" s="178"/>
    </row>
    <row r="150" spans="2:47" ht="45" customHeight="1" outlineLevel="1" x14ac:dyDescent="0.25">
      <c r="D150" s="348" t="s">
        <v>1865</v>
      </c>
      <c r="E150" s="348" t="s">
        <v>632</v>
      </c>
      <c r="F150" s="382">
        <v>11.4</v>
      </c>
      <c r="G150" s="382">
        <v>11.4</v>
      </c>
      <c r="H150" s="2046" t="s">
        <v>631</v>
      </c>
      <c r="I150" s="2046"/>
      <c r="J150" s="2054" t="s">
        <v>523</v>
      </c>
      <c r="K150" s="2054"/>
      <c r="M150" s="1468"/>
      <c r="N150" s="1468"/>
      <c r="O150" s="1468"/>
      <c r="P150" s="1468"/>
      <c r="Q150" s="1469"/>
      <c r="V150" s="306" t="str">
        <f t="shared" si="6"/>
        <v>RTss</v>
      </c>
      <c r="W150" s="307">
        <v>11.4</v>
      </c>
      <c r="X150" s="307">
        <v>11.4</v>
      </c>
      <c r="Y150" s="307"/>
      <c r="Z150" s="307"/>
      <c r="AA150" s="307"/>
      <c r="AB150" s="307"/>
      <c r="AC150" s="307"/>
      <c r="AD150" s="307"/>
      <c r="AE150" s="307"/>
      <c r="AF150" s="307"/>
      <c r="AG150" s="307"/>
      <c r="AH150" s="258"/>
      <c r="AI150" s="307">
        <v>11.4</v>
      </c>
      <c r="AJ150" s="307">
        <v>11.4</v>
      </c>
      <c r="AK150" s="307"/>
      <c r="AL150" s="307"/>
      <c r="AM150" s="307"/>
      <c r="AN150" s="307"/>
      <c r="AO150" s="307"/>
      <c r="AP150" s="307"/>
      <c r="AQ150" s="307"/>
      <c r="AR150" s="307"/>
      <c r="AS150" s="307"/>
      <c r="AT150" s="179"/>
      <c r="AU150" s="178"/>
    </row>
    <row r="151" spans="2:47" ht="45" customHeight="1" outlineLevel="1" x14ac:dyDescent="0.25">
      <c r="D151" s="348" t="s">
        <v>1866</v>
      </c>
      <c r="E151" s="348" t="s">
        <v>1867</v>
      </c>
      <c r="F151" s="382">
        <v>9.8000000000000007</v>
      </c>
      <c r="G151" s="382">
        <v>10</v>
      </c>
      <c r="H151" s="2046" t="s">
        <v>631</v>
      </c>
      <c r="I151" s="2046"/>
      <c r="J151" s="2054" t="s">
        <v>523</v>
      </c>
      <c r="K151" s="2054"/>
      <c r="M151" s="1468"/>
      <c r="N151" s="1468"/>
      <c r="O151" s="1468"/>
      <c r="P151" s="1468"/>
      <c r="Q151" s="1469"/>
      <c r="V151" s="306" t="str">
        <f t="shared" si="6"/>
        <v>RTls</v>
      </c>
      <c r="W151" s="307">
        <v>9.8000000000000007</v>
      </c>
      <c r="X151" s="307">
        <v>9.8000000000000007</v>
      </c>
      <c r="Y151" s="307"/>
      <c r="Z151" s="307"/>
      <c r="AA151" s="307"/>
      <c r="AB151" s="307"/>
      <c r="AC151" s="307"/>
      <c r="AD151" s="307"/>
      <c r="AE151" s="307"/>
      <c r="AF151" s="307"/>
      <c r="AG151" s="307"/>
      <c r="AH151" s="258"/>
      <c r="AI151" s="307">
        <v>10</v>
      </c>
      <c r="AJ151" s="307">
        <v>10</v>
      </c>
      <c r="AK151" s="307"/>
      <c r="AL151" s="307"/>
      <c r="AM151" s="307"/>
      <c r="AN151" s="307"/>
      <c r="AO151" s="307"/>
      <c r="AP151" s="307"/>
      <c r="AQ151" s="307"/>
      <c r="AR151" s="307"/>
      <c r="AS151" s="307"/>
      <c r="AT151" s="179"/>
      <c r="AU151" s="178"/>
    </row>
    <row r="152" spans="2:47" ht="45" customHeight="1" outlineLevel="1" x14ac:dyDescent="0.25">
      <c r="D152" s="348" t="s">
        <v>1868</v>
      </c>
      <c r="E152" s="348" t="s">
        <v>1869</v>
      </c>
      <c r="F152" s="382">
        <v>2</v>
      </c>
      <c r="G152" s="382">
        <v>2</v>
      </c>
      <c r="H152" s="2046" t="s">
        <v>631</v>
      </c>
      <c r="I152" s="2046"/>
      <c r="J152" s="2054" t="s">
        <v>523</v>
      </c>
      <c r="K152" s="2054"/>
      <c r="M152" s="1468"/>
      <c r="N152" s="1468"/>
      <c r="O152" s="1468"/>
      <c r="P152" s="1468"/>
      <c r="Q152" s="1469"/>
      <c r="V152" s="306" t="str">
        <f t="shared" si="6"/>
        <v>RThs</v>
      </c>
      <c r="W152" s="307">
        <v>2</v>
      </c>
      <c r="X152" s="307">
        <v>2</v>
      </c>
      <c r="Y152" s="307"/>
      <c r="Z152" s="307"/>
      <c r="AA152" s="307"/>
      <c r="AB152" s="307"/>
      <c r="AC152" s="307"/>
      <c r="AD152" s="307"/>
      <c r="AE152" s="307"/>
      <c r="AF152" s="307"/>
      <c r="AG152" s="307"/>
      <c r="AI152" s="307">
        <v>2</v>
      </c>
      <c r="AJ152" s="307">
        <v>2</v>
      </c>
      <c r="AK152" s="307"/>
      <c r="AL152" s="307"/>
      <c r="AM152" s="307"/>
      <c r="AN152" s="307"/>
      <c r="AO152" s="307"/>
      <c r="AP152" s="307"/>
      <c r="AQ152" s="307"/>
      <c r="AR152" s="307"/>
      <c r="AS152" s="307"/>
      <c r="AT152" s="179"/>
      <c r="AU152" s="178"/>
    </row>
    <row r="153" spans="2:47" ht="45" customHeight="1" outlineLevel="1" x14ac:dyDescent="0.25">
      <c r="D153" s="348" t="s">
        <v>1870</v>
      </c>
      <c r="E153" s="348" t="s">
        <v>1712</v>
      </c>
      <c r="F153" s="382">
        <v>64.400000000000006</v>
      </c>
      <c r="G153" s="382">
        <v>64.400000000000006</v>
      </c>
      <c r="H153" s="2046" t="s">
        <v>631</v>
      </c>
      <c r="I153" s="2046"/>
      <c r="J153" s="2054" t="s">
        <v>523</v>
      </c>
      <c r="K153" s="2054"/>
      <c r="M153" s="1468"/>
      <c r="N153" s="1468"/>
      <c r="O153" s="1468"/>
      <c r="P153" s="1468"/>
      <c r="Q153" s="1469"/>
      <c r="V153" s="306" t="str">
        <f t="shared" si="6"/>
        <v>GPMss</v>
      </c>
      <c r="W153" s="307">
        <v>64.400000000000006</v>
      </c>
      <c r="X153" s="307">
        <v>64.400000000000006</v>
      </c>
      <c r="Y153" s="307"/>
      <c r="Z153" s="307"/>
      <c r="AA153" s="307"/>
      <c r="AB153" s="307"/>
      <c r="AC153" s="307"/>
      <c r="AD153" s="307"/>
      <c r="AE153" s="307"/>
      <c r="AF153" s="307"/>
      <c r="AG153" s="307"/>
      <c r="AI153" s="307">
        <v>64.400000000000006</v>
      </c>
      <c r="AJ153" s="307">
        <v>64.400000000000006</v>
      </c>
      <c r="AK153" s="307"/>
      <c r="AL153" s="307"/>
      <c r="AM153" s="307"/>
      <c r="AN153" s="307"/>
      <c r="AO153" s="307"/>
      <c r="AP153" s="307"/>
      <c r="AQ153" s="307"/>
      <c r="AR153" s="307"/>
      <c r="AS153" s="307"/>
      <c r="AT153" s="179"/>
      <c r="AU153" s="178"/>
    </row>
    <row r="154" spans="2:47" ht="45" customHeight="1" outlineLevel="1" x14ac:dyDescent="0.25">
      <c r="D154" s="348" t="s">
        <v>1871</v>
      </c>
      <c r="E154" s="348" t="s">
        <v>633</v>
      </c>
      <c r="F154" s="382">
        <v>31</v>
      </c>
      <c r="G154" s="382">
        <v>30.6</v>
      </c>
      <c r="H154" s="2046" t="s">
        <v>631</v>
      </c>
      <c r="I154" s="2046"/>
      <c r="J154" s="2054" t="s">
        <v>523</v>
      </c>
      <c r="K154" s="2054"/>
      <c r="M154" s="1468"/>
      <c r="N154" s="1468"/>
      <c r="O154" s="1468"/>
      <c r="P154" s="1468"/>
      <c r="Q154" s="1469"/>
      <c r="V154" s="306" t="str">
        <f t="shared" si="6"/>
        <v>GPMls</v>
      </c>
      <c r="W154" s="307">
        <v>31</v>
      </c>
      <c r="X154" s="307">
        <v>31</v>
      </c>
      <c r="Y154" s="307"/>
      <c r="Z154" s="307"/>
      <c r="AA154" s="307"/>
      <c r="AB154" s="307"/>
      <c r="AC154" s="307"/>
      <c r="AD154" s="307"/>
      <c r="AE154" s="307"/>
      <c r="AF154" s="307"/>
      <c r="AG154" s="307"/>
      <c r="AI154" s="307">
        <v>30.6</v>
      </c>
      <c r="AJ154" s="307">
        <v>30.6</v>
      </c>
      <c r="AK154" s="307"/>
      <c r="AL154" s="307"/>
      <c r="AM154" s="307"/>
      <c r="AN154" s="307"/>
      <c r="AO154" s="307"/>
      <c r="AP154" s="307"/>
      <c r="AQ154" s="307"/>
      <c r="AR154" s="307"/>
      <c r="AS154" s="307"/>
      <c r="AT154" s="179"/>
      <c r="AU154" s="178"/>
    </row>
    <row r="155" spans="2:47" ht="45" customHeight="1" outlineLevel="1" x14ac:dyDescent="0.25">
      <c r="D155" s="348" t="s">
        <v>1872</v>
      </c>
      <c r="E155" s="348" t="s">
        <v>634</v>
      </c>
      <c r="F155" s="382">
        <v>56</v>
      </c>
      <c r="G155" s="382">
        <v>50</v>
      </c>
      <c r="H155" s="2046" t="s">
        <v>631</v>
      </c>
      <c r="I155" s="2046"/>
      <c r="J155" s="2054" t="s">
        <v>523</v>
      </c>
      <c r="K155" s="2054"/>
      <c r="M155" s="1468"/>
      <c r="N155" s="1468"/>
      <c r="O155" s="1468"/>
      <c r="P155" s="1468"/>
      <c r="Q155" s="1469"/>
      <c r="V155" s="306" t="str">
        <f t="shared" si="6"/>
        <v>GPMhs</v>
      </c>
      <c r="W155" s="307">
        <v>56</v>
      </c>
      <c r="X155" s="307">
        <v>56</v>
      </c>
      <c r="Y155" s="307"/>
      <c r="Z155" s="307"/>
      <c r="AA155" s="307"/>
      <c r="AB155" s="307"/>
      <c r="AC155" s="307"/>
      <c r="AD155" s="307"/>
      <c r="AE155" s="307"/>
      <c r="AF155" s="307"/>
      <c r="AG155" s="307"/>
      <c r="AI155" s="307">
        <v>50</v>
      </c>
      <c r="AJ155" s="307">
        <v>50</v>
      </c>
      <c r="AK155" s="307"/>
      <c r="AL155" s="307"/>
      <c r="AM155" s="307"/>
      <c r="AN155" s="307"/>
      <c r="AO155" s="307"/>
      <c r="AP155" s="307"/>
      <c r="AQ155" s="307"/>
      <c r="AR155" s="307"/>
      <c r="AS155" s="307"/>
      <c r="AT155" s="179"/>
      <c r="AU155" s="178"/>
    </row>
    <row r="156" spans="2:47" ht="45" customHeight="1" outlineLevel="1" x14ac:dyDescent="0.25">
      <c r="D156" s="348" t="s">
        <v>635</v>
      </c>
      <c r="E156" s="348" t="s">
        <v>1718</v>
      </c>
      <c r="F156" s="382">
        <v>2.1</v>
      </c>
      <c r="G156" s="382">
        <v>2.1</v>
      </c>
      <c r="H156" s="2046" t="s">
        <v>631</v>
      </c>
      <c r="I156" s="2046"/>
      <c r="J156" s="2054" t="s">
        <v>523</v>
      </c>
      <c r="K156" s="2054"/>
      <c r="M156" s="1468"/>
      <c r="N156" s="1468"/>
      <c r="O156" s="1468"/>
      <c r="P156" s="1468"/>
      <c r="Q156" s="1469"/>
      <c r="V156" s="306" t="str">
        <f t="shared" si="6"/>
        <v>Efss</v>
      </c>
      <c r="W156" s="307">
        <v>2.1</v>
      </c>
      <c r="X156" s="307">
        <v>2.1</v>
      </c>
      <c r="Y156" s="307"/>
      <c r="Z156" s="307"/>
      <c r="AA156" s="307"/>
      <c r="AB156" s="307"/>
      <c r="AC156" s="307"/>
      <c r="AD156" s="307"/>
      <c r="AE156" s="307"/>
      <c r="AF156" s="307"/>
      <c r="AG156" s="307"/>
      <c r="AI156" s="307">
        <v>2.1</v>
      </c>
      <c r="AJ156" s="307">
        <v>2.1</v>
      </c>
      <c r="AK156" s="307"/>
      <c r="AL156" s="307"/>
      <c r="AM156" s="307"/>
      <c r="AN156" s="307"/>
      <c r="AO156" s="307"/>
      <c r="AP156" s="307"/>
      <c r="AQ156" s="307"/>
      <c r="AR156" s="307"/>
      <c r="AS156" s="307"/>
      <c r="AT156" s="179"/>
      <c r="AU156" s="178"/>
    </row>
    <row r="157" spans="2:47" ht="45" customHeight="1" outlineLevel="1" x14ac:dyDescent="0.25">
      <c r="D157" s="348" t="s">
        <v>636</v>
      </c>
      <c r="E157" s="348" t="s">
        <v>637</v>
      </c>
      <c r="F157" s="382">
        <v>5.4</v>
      </c>
      <c r="G157" s="382">
        <v>7.3</v>
      </c>
      <c r="H157" s="2046" t="s">
        <v>631</v>
      </c>
      <c r="I157" s="2046"/>
      <c r="J157" s="2054" t="s">
        <v>523</v>
      </c>
      <c r="K157" s="2054"/>
      <c r="M157" s="1468"/>
      <c r="N157" s="1468"/>
      <c r="O157" s="1468"/>
      <c r="P157" s="1468"/>
      <c r="Q157" s="1469"/>
      <c r="V157" s="306" t="str">
        <f t="shared" si="6"/>
        <v>Efls</v>
      </c>
      <c r="W157" s="307">
        <v>5.4</v>
      </c>
      <c r="X157" s="307">
        <v>5.4</v>
      </c>
      <c r="Y157" s="307"/>
      <c r="Z157" s="307"/>
      <c r="AA157" s="307"/>
      <c r="AB157" s="307"/>
      <c r="AC157" s="307"/>
      <c r="AD157" s="307"/>
      <c r="AE157" s="307"/>
      <c r="AF157" s="307"/>
      <c r="AG157" s="307"/>
      <c r="AI157" s="307">
        <v>7.3</v>
      </c>
      <c r="AJ157" s="307">
        <v>7.3</v>
      </c>
      <c r="AK157" s="307"/>
      <c r="AL157" s="307"/>
      <c r="AM157" s="307"/>
      <c r="AN157" s="307"/>
      <c r="AO157" s="307"/>
      <c r="AP157" s="307"/>
      <c r="AQ157" s="307"/>
      <c r="AR157" s="307"/>
      <c r="AS157" s="307"/>
      <c r="AT157" s="179"/>
      <c r="AU157" s="178"/>
    </row>
    <row r="158" spans="2:47" ht="45" customHeight="1" outlineLevel="1" x14ac:dyDescent="0.25">
      <c r="D158" s="348" t="s">
        <v>638</v>
      </c>
      <c r="E158" s="348" t="s">
        <v>1873</v>
      </c>
      <c r="F158" s="382">
        <v>2.4</v>
      </c>
      <c r="G158" s="382">
        <v>3.8</v>
      </c>
      <c r="H158" s="2046" t="s">
        <v>631</v>
      </c>
      <c r="I158" s="2046"/>
      <c r="J158" s="2054" t="s">
        <v>523</v>
      </c>
      <c r="K158" s="2054"/>
      <c r="M158" s="1468"/>
      <c r="N158" s="1468"/>
      <c r="O158" s="1468"/>
      <c r="P158" s="1468"/>
      <c r="Q158" s="1469"/>
      <c r="V158" s="306" t="str">
        <f t="shared" si="6"/>
        <v>Efhs</v>
      </c>
      <c r="W158" s="307">
        <v>2.4</v>
      </c>
      <c r="X158" s="307">
        <v>2.4</v>
      </c>
      <c r="Y158" s="307"/>
      <c r="Z158" s="307"/>
      <c r="AA158" s="307"/>
      <c r="AB158" s="307"/>
      <c r="AC158" s="307"/>
      <c r="AD158" s="307"/>
      <c r="AE158" s="307"/>
      <c r="AF158" s="307"/>
      <c r="AG158" s="307"/>
      <c r="AI158" s="307">
        <v>3.8</v>
      </c>
      <c r="AJ158" s="307">
        <v>3.8</v>
      </c>
      <c r="AK158" s="307"/>
      <c r="AL158" s="307"/>
      <c r="AM158" s="307"/>
      <c r="AN158" s="307"/>
      <c r="AO158" s="307"/>
      <c r="AP158" s="307"/>
      <c r="AQ158" s="307"/>
      <c r="AR158" s="307"/>
      <c r="AS158" s="307"/>
      <c r="AT158" s="179"/>
      <c r="AU158" s="178"/>
    </row>
    <row r="159" spans="2:47" s="37" customFormat="1" ht="45" customHeight="1" outlineLevel="1" x14ac:dyDescent="0.25">
      <c r="B159" s="175"/>
      <c r="C159" s="1410"/>
      <c r="D159" s="348" t="s">
        <v>574</v>
      </c>
      <c r="E159" s="348" t="s">
        <v>574</v>
      </c>
      <c r="F159" s="386">
        <v>1</v>
      </c>
      <c r="G159" s="386">
        <v>1</v>
      </c>
      <c r="H159" s="2046" t="s">
        <v>575</v>
      </c>
      <c r="I159" s="2046"/>
      <c r="J159" s="2054" t="s">
        <v>523</v>
      </c>
      <c r="K159" s="2054"/>
      <c r="L159" s="175"/>
      <c r="M159" s="1470"/>
      <c r="N159" s="1470"/>
      <c r="O159" s="1470"/>
      <c r="P159" s="1468"/>
      <c r="Q159" s="1469"/>
      <c r="R159" s="175"/>
      <c r="S159" s="175"/>
      <c r="T159" s="175"/>
      <c r="U159" s="175"/>
      <c r="V159" s="304" t="str">
        <f t="shared" si="6"/>
        <v>Installation Rate</v>
      </c>
      <c r="W159" s="245">
        <v>1</v>
      </c>
      <c r="X159" s="245">
        <v>1</v>
      </c>
      <c r="Y159" s="245"/>
      <c r="Z159" s="245"/>
      <c r="AA159" s="245"/>
      <c r="AB159" s="245"/>
      <c r="AC159" s="245"/>
      <c r="AD159" s="245"/>
      <c r="AE159" s="245"/>
      <c r="AF159" s="245"/>
      <c r="AG159" s="245"/>
      <c r="AI159" s="245">
        <v>1</v>
      </c>
      <c r="AJ159" s="245">
        <v>1</v>
      </c>
      <c r="AK159" s="245"/>
      <c r="AL159" s="245"/>
      <c r="AM159" s="245"/>
      <c r="AN159" s="245"/>
      <c r="AO159" s="245"/>
      <c r="AP159" s="245"/>
      <c r="AQ159" s="245"/>
      <c r="AR159" s="245"/>
      <c r="AS159" s="245"/>
      <c r="AT159" s="179"/>
      <c r="AU159" s="178"/>
    </row>
    <row r="160" spans="2:47" s="37" customFormat="1" outlineLevel="1" x14ac:dyDescent="0.25">
      <c r="B160" s="175"/>
      <c r="C160" s="1410"/>
      <c r="D160" s="298" t="str">
        <f>$D$52</f>
        <v>EUL</v>
      </c>
      <c r="E160" s="298" t="str">
        <f>$E$52</f>
        <v>Effective Useful Life</v>
      </c>
      <c r="F160" s="375">
        <v>10</v>
      </c>
      <c r="G160" s="375">
        <v>10</v>
      </c>
      <c r="H160" s="2046"/>
      <c r="I160" s="2046"/>
      <c r="J160" s="2046" t="s">
        <v>31</v>
      </c>
      <c r="K160" s="2046"/>
      <c r="L160" s="313"/>
      <c r="M160" s="1470"/>
      <c r="N160" s="1470"/>
      <c r="O160" s="1470"/>
      <c r="P160" s="1468"/>
      <c r="Q160" s="1469"/>
      <c r="R160" s="175"/>
      <c r="S160" s="175"/>
      <c r="T160" s="175"/>
      <c r="U160" s="175"/>
      <c r="V160" s="299" t="str">
        <f>D160</f>
        <v>EUL</v>
      </c>
      <c r="W160" s="246">
        <v>10</v>
      </c>
      <c r="X160" s="246">
        <v>10</v>
      </c>
      <c r="Y160" s="246"/>
      <c r="Z160" s="246"/>
      <c r="AA160" s="246"/>
      <c r="AB160" s="246"/>
      <c r="AC160" s="246"/>
      <c r="AD160" s="246"/>
      <c r="AE160" s="246"/>
      <c r="AF160" s="246"/>
      <c r="AG160" s="246"/>
      <c r="AI160" s="246">
        <v>10</v>
      </c>
      <c r="AJ160" s="246">
        <v>10</v>
      </c>
      <c r="AK160" s="246"/>
      <c r="AL160" s="246"/>
      <c r="AM160" s="246"/>
      <c r="AN160" s="246"/>
      <c r="AO160" s="246"/>
      <c r="AP160" s="246"/>
      <c r="AQ160" s="246"/>
      <c r="AR160" s="246"/>
      <c r="AS160" s="246"/>
      <c r="AT160" s="179"/>
      <c r="AU160" s="178"/>
    </row>
    <row r="161" spans="1:47" s="37" customFormat="1" outlineLevel="1" x14ac:dyDescent="0.25">
      <c r="B161" s="175"/>
      <c r="C161" s="1410"/>
      <c r="D161" s="298" t="str">
        <f>$D$53</f>
        <v>Inc. Cost</v>
      </c>
      <c r="E161" s="298" t="str">
        <f>$E$53</f>
        <v>Incremental Cost ($)</v>
      </c>
      <c r="F161" s="301">
        <v>235</v>
      </c>
      <c r="G161" s="301">
        <v>549</v>
      </c>
      <c r="H161" s="2046"/>
      <c r="I161" s="2046"/>
      <c r="J161" s="2046" t="s">
        <v>31</v>
      </c>
      <c r="K161" s="2046"/>
      <c r="L161" s="313"/>
      <c r="M161" s="1470"/>
      <c r="N161" s="1470"/>
      <c r="O161" s="1470"/>
      <c r="P161" s="1468"/>
      <c r="Q161" s="1469"/>
      <c r="R161" s="175"/>
      <c r="S161" s="175"/>
      <c r="T161" s="175"/>
      <c r="U161" s="175"/>
      <c r="V161" s="299" t="str">
        <f>D161</f>
        <v>Inc. Cost</v>
      </c>
      <c r="W161" s="309">
        <v>235</v>
      </c>
      <c r="X161" s="309">
        <v>235</v>
      </c>
      <c r="Y161" s="309"/>
      <c r="Z161" s="309"/>
      <c r="AA161" s="309"/>
      <c r="AB161" s="309"/>
      <c r="AC161" s="309"/>
      <c r="AD161" s="309"/>
      <c r="AE161" s="309"/>
      <c r="AF161" s="309"/>
      <c r="AG161" s="309"/>
      <c r="AI161" s="309">
        <v>549</v>
      </c>
      <c r="AJ161" s="309">
        <v>549</v>
      </c>
      <c r="AK161" s="309"/>
      <c r="AL161" s="309"/>
      <c r="AM161" s="309"/>
      <c r="AN161" s="309"/>
      <c r="AO161" s="309"/>
      <c r="AP161" s="309"/>
      <c r="AQ161" s="309"/>
      <c r="AR161" s="309"/>
      <c r="AS161" s="309"/>
      <c r="AT161" s="179"/>
      <c r="AU161" s="178"/>
    </row>
    <row r="162" spans="1:47" x14ac:dyDescent="0.25">
      <c r="AT162" s="179"/>
      <c r="AU162" s="178"/>
    </row>
    <row r="163" spans="1:47" x14ac:dyDescent="0.25">
      <c r="AT163" s="179"/>
      <c r="AU163" s="178"/>
    </row>
    <row r="164" spans="1:47" x14ac:dyDescent="0.25">
      <c r="A164"/>
      <c r="B164" s="2022" t="s">
        <v>639</v>
      </c>
      <c r="C164" s="2023"/>
      <c r="D164" s="2023"/>
      <c r="E164" s="2023"/>
      <c r="F164" s="2023"/>
      <c r="G164" s="2023"/>
      <c r="H164" s="2023"/>
      <c r="I164" s="1992"/>
      <c r="J164" s="1992"/>
      <c r="K164" s="1992"/>
      <c r="L164" s="1992"/>
      <c r="M164" s="1992"/>
      <c r="N164" s="1992"/>
      <c r="O164" s="1993"/>
      <c r="V164" s="2022" t="str">
        <f>B164</f>
        <v>Advanced Power Strips Tier 2  /  Advanced Control Stategies</v>
      </c>
      <c r="W164" s="2023"/>
      <c r="X164" s="2023"/>
      <c r="Y164" s="2023"/>
      <c r="Z164" s="2023"/>
      <c r="AA164" s="2023"/>
      <c r="AB164" s="2023"/>
      <c r="AC164" s="2024"/>
      <c r="AD164" s="2024"/>
      <c r="AE164" s="2024"/>
      <c r="AF164" s="2024"/>
      <c r="AG164" s="2024"/>
      <c r="AH164" s="2024"/>
      <c r="AI164" s="2025"/>
      <c r="AU164" s="178"/>
    </row>
    <row r="165" spans="1:47" x14ac:dyDescent="0.25">
      <c r="A165"/>
      <c r="B165" s="130"/>
      <c r="C165" s="616"/>
      <c r="D165" s="658"/>
      <c r="E165" s="658"/>
      <c r="F165" s="130"/>
      <c r="G165" s="130"/>
      <c r="H165" s="130"/>
      <c r="I165" s="130"/>
      <c r="J165" s="130"/>
      <c r="K165" s="130"/>
      <c r="L165" s="130"/>
      <c r="AU165" s="178"/>
    </row>
    <row r="166" spans="1:47" ht="45" x14ac:dyDescent="0.25">
      <c r="A166"/>
      <c r="B166" s="130"/>
      <c r="C166" s="184" t="s">
        <v>16</v>
      </c>
      <c r="D166" s="184" t="s">
        <v>509</v>
      </c>
      <c r="E166" s="184" t="s">
        <v>18</v>
      </c>
      <c r="F166" s="184" t="s">
        <v>19</v>
      </c>
      <c r="G166" s="184" t="s">
        <v>20</v>
      </c>
      <c r="H166" s="184" t="s">
        <v>21</v>
      </c>
      <c r="I166" s="184" t="s">
        <v>22</v>
      </c>
      <c r="J166" s="184" t="s">
        <v>23</v>
      </c>
      <c r="K166" s="184" t="s">
        <v>24</v>
      </c>
      <c r="L166" s="184" t="s">
        <v>25</v>
      </c>
      <c r="V166" s="48" t="s">
        <v>26</v>
      </c>
      <c r="W166" s="49">
        <v>43252</v>
      </c>
      <c r="X166" s="49" t="str">
        <f>$Y$6</f>
        <v>-</v>
      </c>
      <c r="Y166" s="49" t="str">
        <f>$Y$6</f>
        <v>-</v>
      </c>
      <c r="Z166" s="49" t="str">
        <f>$Z$6</f>
        <v>-</v>
      </c>
      <c r="AA166" s="49" t="str">
        <f>$AA$6</f>
        <v>-</v>
      </c>
      <c r="AB166" s="49" t="str">
        <f>$AB$6</f>
        <v>-</v>
      </c>
      <c r="AC166" s="49" t="str">
        <f>$AC$6</f>
        <v>-</v>
      </c>
      <c r="AD166" s="49" t="str">
        <f>$AD$6</f>
        <v>-</v>
      </c>
      <c r="AE166" s="49" t="str">
        <f>$AE$6</f>
        <v>-</v>
      </c>
      <c r="AF166" s="49" t="str">
        <f>$AF$6</f>
        <v>-</v>
      </c>
      <c r="AG166" s="49" t="str">
        <f>$AG$6</f>
        <v>-</v>
      </c>
      <c r="AU166" s="178"/>
    </row>
    <row r="167" spans="1:47" x14ac:dyDescent="0.25">
      <c r="A167"/>
      <c r="B167" s="130"/>
      <c r="C167" s="1150"/>
      <c r="D167" s="168" t="s">
        <v>1830</v>
      </c>
      <c r="E167" s="321" t="s">
        <v>640</v>
      </c>
      <c r="F167" s="1440">
        <f t="shared" ref="F167:F174" si="7">E183*F183</f>
        <v>237.60000000000002</v>
      </c>
      <c r="G167" s="311" t="s">
        <v>641</v>
      </c>
      <c r="H167" s="170">
        <f>VLOOKUP(G167,'CP FACTORS'!$A$3:$B$38, 2, FALSE)</f>
        <v>1.148238E-4</v>
      </c>
      <c r="I167" s="1397">
        <f t="shared" ref="I167:I175" si="8">F167*H167</f>
        <v>2.7282134880000003E-2</v>
      </c>
      <c r="J167" s="122">
        <f>$F$192</f>
        <v>10</v>
      </c>
      <c r="K167" s="800">
        <f>$F$193</f>
        <v>30</v>
      </c>
      <c r="L167" s="626" t="s">
        <v>31</v>
      </c>
      <c r="V167" s="314" t="s">
        <v>19</v>
      </c>
      <c r="W167" s="1188">
        <v>237.60000000000002</v>
      </c>
      <c r="X167" s="1188">
        <v>237.60000000000002</v>
      </c>
      <c r="Y167" s="253"/>
      <c r="Z167" s="253"/>
      <c r="AA167" s="253"/>
      <c r="AB167" s="253"/>
      <c r="AC167" s="253"/>
      <c r="AD167" s="253"/>
      <c r="AE167" s="253"/>
      <c r="AF167" s="253"/>
      <c r="AG167" s="253"/>
      <c r="AU167" s="178"/>
    </row>
    <row r="168" spans="1:47" x14ac:dyDescent="0.25">
      <c r="A168"/>
      <c r="B168" s="130"/>
      <c r="C168" s="1150"/>
      <c r="D168" s="168" t="s">
        <v>1830</v>
      </c>
      <c r="E168" s="321" t="s">
        <v>642</v>
      </c>
      <c r="F168" s="1440">
        <f>E184*F184</f>
        <v>216</v>
      </c>
      <c r="G168" s="311" t="s">
        <v>641</v>
      </c>
      <c r="H168" s="170">
        <f>VLOOKUP(G168,'CP FACTORS'!$A$3:$B$38, 2, FALSE)</f>
        <v>1.148238E-4</v>
      </c>
      <c r="I168" s="1397">
        <f t="shared" si="8"/>
        <v>2.4801940799999998E-2</v>
      </c>
      <c r="J168" s="122">
        <f t="shared" ref="J168:J175" si="9">$F$192</f>
        <v>10</v>
      </c>
      <c r="K168" s="800">
        <f t="shared" ref="K168:K175" si="10">$F$193</f>
        <v>30</v>
      </c>
      <c r="L168" s="626" t="s">
        <v>31</v>
      </c>
      <c r="V168" s="314" t="s">
        <v>19</v>
      </c>
      <c r="W168" s="1188">
        <v>216</v>
      </c>
      <c r="X168" s="1188">
        <v>216</v>
      </c>
      <c r="Y168" s="253"/>
      <c r="Z168" s="253"/>
      <c r="AA168" s="253"/>
      <c r="AB168" s="253"/>
      <c r="AC168" s="253"/>
      <c r="AD168" s="253"/>
      <c r="AE168" s="253"/>
      <c r="AF168" s="253"/>
      <c r="AG168" s="253"/>
      <c r="AU168" s="178"/>
    </row>
    <row r="169" spans="1:47" x14ac:dyDescent="0.25">
      <c r="A169"/>
      <c r="B169" s="130"/>
      <c r="C169" s="1150"/>
      <c r="D169" s="168" t="s">
        <v>1830</v>
      </c>
      <c r="E169" s="321" t="s">
        <v>643</v>
      </c>
      <c r="F169" s="1440">
        <f t="shared" si="7"/>
        <v>194.4</v>
      </c>
      <c r="G169" s="311" t="s">
        <v>641</v>
      </c>
      <c r="H169" s="170">
        <f>VLOOKUP(G169,'CP FACTORS'!$A$3:$B$38, 2, FALSE)</f>
        <v>1.148238E-4</v>
      </c>
      <c r="I169" s="1397">
        <f t="shared" si="8"/>
        <v>2.2321746720000001E-2</v>
      </c>
      <c r="J169" s="122">
        <f t="shared" si="9"/>
        <v>10</v>
      </c>
      <c r="K169" s="800">
        <f t="shared" si="10"/>
        <v>30</v>
      </c>
      <c r="L169" s="626" t="s">
        <v>31</v>
      </c>
      <c r="V169" s="314" t="s">
        <v>19</v>
      </c>
      <c r="W169" s="1188">
        <v>194.4</v>
      </c>
      <c r="X169" s="1188">
        <v>194.4</v>
      </c>
      <c r="Y169" s="253"/>
      <c r="Z169" s="253"/>
      <c r="AA169" s="253"/>
      <c r="AB169" s="253"/>
      <c r="AC169" s="253"/>
      <c r="AD169" s="253"/>
      <c r="AE169" s="253"/>
      <c r="AF169" s="253"/>
      <c r="AG169" s="253"/>
      <c r="AU169" s="178"/>
    </row>
    <row r="170" spans="1:47" x14ac:dyDescent="0.25">
      <c r="A170"/>
      <c r="B170" s="130"/>
      <c r="C170" s="1150"/>
      <c r="D170" s="168" t="s">
        <v>1830</v>
      </c>
      <c r="E170" s="321" t="s">
        <v>644</v>
      </c>
      <c r="F170" s="1440">
        <f t="shared" si="7"/>
        <v>172.8</v>
      </c>
      <c r="G170" s="311" t="s">
        <v>641</v>
      </c>
      <c r="H170" s="170">
        <f>VLOOKUP(G170,'CP FACTORS'!$A$3:$B$38, 2, FALSE)</f>
        <v>1.148238E-4</v>
      </c>
      <c r="I170" s="1397">
        <f t="shared" si="8"/>
        <v>1.9841552639999999E-2</v>
      </c>
      <c r="J170" s="122">
        <f t="shared" si="9"/>
        <v>10</v>
      </c>
      <c r="K170" s="800">
        <f t="shared" si="10"/>
        <v>30</v>
      </c>
      <c r="L170" s="626" t="s">
        <v>31</v>
      </c>
      <c r="V170" s="314" t="s">
        <v>19</v>
      </c>
      <c r="W170" s="1188">
        <v>172.8</v>
      </c>
      <c r="X170" s="1188">
        <v>172.8</v>
      </c>
      <c r="Y170" s="253"/>
      <c r="Z170" s="253"/>
      <c r="AA170" s="253"/>
      <c r="AB170" s="253"/>
      <c r="AC170" s="253"/>
      <c r="AD170" s="253"/>
      <c r="AE170" s="253"/>
      <c r="AF170" s="253"/>
      <c r="AG170" s="253"/>
      <c r="AU170" s="178"/>
    </row>
    <row r="171" spans="1:47" x14ac:dyDescent="0.25">
      <c r="A171"/>
      <c r="B171" s="130"/>
      <c r="C171" s="1150"/>
      <c r="D171" s="168" t="s">
        <v>1830</v>
      </c>
      <c r="E171" s="321" t="s">
        <v>645</v>
      </c>
      <c r="F171" s="1440">
        <f t="shared" si="7"/>
        <v>151.19999999999999</v>
      </c>
      <c r="G171" s="311" t="s">
        <v>641</v>
      </c>
      <c r="H171" s="170">
        <f>VLOOKUP(G171,'CP FACTORS'!$A$3:$B$38, 2, FALSE)</f>
        <v>1.148238E-4</v>
      </c>
      <c r="I171" s="1397">
        <f t="shared" si="8"/>
        <v>1.7361358559999998E-2</v>
      </c>
      <c r="J171" s="122">
        <f t="shared" si="9"/>
        <v>10</v>
      </c>
      <c r="K171" s="800">
        <f t="shared" si="10"/>
        <v>30</v>
      </c>
      <c r="L171" s="626" t="s">
        <v>31</v>
      </c>
      <c r="V171" s="314" t="s">
        <v>19</v>
      </c>
      <c r="W171" s="1188">
        <v>151.19999999999999</v>
      </c>
      <c r="X171" s="1188">
        <v>151.19999999999999</v>
      </c>
      <c r="Y171" s="253"/>
      <c r="Z171" s="253"/>
      <c r="AA171" s="253"/>
      <c r="AB171" s="253"/>
      <c r="AC171" s="253"/>
      <c r="AD171" s="253"/>
      <c r="AE171" s="253"/>
      <c r="AF171" s="253"/>
      <c r="AG171" s="253"/>
      <c r="AU171" s="178"/>
    </row>
    <row r="172" spans="1:47" x14ac:dyDescent="0.25">
      <c r="A172"/>
      <c r="B172" s="130"/>
      <c r="C172" s="1150"/>
      <c r="D172" s="168" t="s">
        <v>1830</v>
      </c>
      <c r="E172" s="321" t="s">
        <v>646</v>
      </c>
      <c r="F172" s="1440">
        <f t="shared" si="7"/>
        <v>129.6</v>
      </c>
      <c r="G172" s="311" t="s">
        <v>641</v>
      </c>
      <c r="H172" s="170">
        <f>VLOOKUP(G172,'CP FACTORS'!$A$3:$B$38, 2, FALSE)</f>
        <v>1.148238E-4</v>
      </c>
      <c r="I172" s="1397">
        <f t="shared" si="8"/>
        <v>1.4881164479999999E-2</v>
      </c>
      <c r="J172" s="122">
        <f t="shared" si="9"/>
        <v>10</v>
      </c>
      <c r="K172" s="800">
        <f t="shared" si="10"/>
        <v>30</v>
      </c>
      <c r="L172" s="626" t="s">
        <v>31</v>
      </c>
      <c r="V172" s="314" t="s">
        <v>19</v>
      </c>
      <c r="W172" s="1188">
        <v>129.6</v>
      </c>
      <c r="X172" s="1188">
        <v>129.6</v>
      </c>
      <c r="Y172" s="253"/>
      <c r="Z172" s="253"/>
      <c r="AA172" s="253"/>
      <c r="AB172" s="253"/>
      <c r="AC172" s="253"/>
      <c r="AD172" s="253"/>
      <c r="AE172" s="253"/>
      <c r="AF172" s="253"/>
      <c r="AG172" s="253"/>
      <c r="AU172" s="178"/>
    </row>
    <row r="173" spans="1:47" x14ac:dyDescent="0.25">
      <c r="A173"/>
      <c r="B173" s="130"/>
      <c r="C173" s="1150"/>
      <c r="D173" s="168" t="s">
        <v>1830</v>
      </c>
      <c r="E173" s="321" t="s">
        <v>647</v>
      </c>
      <c r="F173" s="1440">
        <f t="shared" si="7"/>
        <v>108</v>
      </c>
      <c r="G173" s="311" t="s">
        <v>641</v>
      </c>
      <c r="H173" s="170">
        <f>VLOOKUP(G173,'CP FACTORS'!$A$3:$B$38, 2, FALSE)</f>
        <v>1.148238E-4</v>
      </c>
      <c r="I173" s="1397">
        <f t="shared" si="8"/>
        <v>1.2400970399999999E-2</v>
      </c>
      <c r="J173" s="122">
        <f t="shared" si="9"/>
        <v>10</v>
      </c>
      <c r="K173" s="800">
        <f t="shared" si="10"/>
        <v>30</v>
      </c>
      <c r="L173" s="626" t="s">
        <v>31</v>
      </c>
      <c r="V173" s="314" t="s">
        <v>19</v>
      </c>
      <c r="W173" s="1188">
        <v>108</v>
      </c>
      <c r="X173" s="1188">
        <v>108</v>
      </c>
      <c r="Y173" s="253"/>
      <c r="Z173" s="253"/>
      <c r="AA173" s="253"/>
      <c r="AB173" s="253"/>
      <c r="AC173" s="253"/>
      <c r="AD173" s="253"/>
      <c r="AE173" s="253"/>
      <c r="AF173" s="253"/>
      <c r="AG173" s="253"/>
      <c r="AU173" s="178"/>
    </row>
    <row r="174" spans="1:47" x14ac:dyDescent="0.25">
      <c r="A174"/>
      <c r="B174" s="130"/>
      <c r="C174" s="1150"/>
      <c r="D174" s="168" t="s">
        <v>1830</v>
      </c>
      <c r="E174" s="321" t="s">
        <v>648</v>
      </c>
      <c r="F174" s="1440">
        <f t="shared" si="7"/>
        <v>86.4</v>
      </c>
      <c r="G174" s="311" t="s">
        <v>641</v>
      </c>
      <c r="H174" s="170">
        <f>VLOOKUP(G174,'CP FACTORS'!$A$3:$B$38, 2, FALSE)</f>
        <v>1.148238E-4</v>
      </c>
      <c r="I174" s="1397">
        <f t="shared" si="8"/>
        <v>9.9207763199999997E-3</v>
      </c>
      <c r="J174" s="122">
        <f t="shared" si="9"/>
        <v>10</v>
      </c>
      <c r="K174" s="800">
        <f t="shared" si="10"/>
        <v>30</v>
      </c>
      <c r="L174" s="626" t="s">
        <v>31</v>
      </c>
      <c r="V174" s="314" t="s">
        <v>19</v>
      </c>
      <c r="W174" s="1188">
        <v>86.4</v>
      </c>
      <c r="X174" s="1188">
        <v>86.4</v>
      </c>
      <c r="Y174" s="253"/>
      <c r="Z174" s="253"/>
      <c r="AA174" s="253"/>
      <c r="AB174" s="253"/>
      <c r="AC174" s="253"/>
      <c r="AD174" s="253"/>
      <c r="AE174" s="253"/>
      <c r="AF174" s="253"/>
      <c r="AG174" s="253"/>
      <c r="AU174" s="178"/>
    </row>
    <row r="175" spans="1:47" s="319" customFormat="1" x14ac:dyDescent="0.25">
      <c r="A175" s="315"/>
      <c r="B175" s="1471"/>
      <c r="C175" s="1150"/>
      <c r="D175" s="168" t="s">
        <v>1830</v>
      </c>
      <c r="E175" s="321" t="s">
        <v>649</v>
      </c>
      <c r="F175" s="1440">
        <f>AVERAGE(F168,F173)</f>
        <v>162</v>
      </c>
      <c r="G175" s="316" t="s">
        <v>641</v>
      </c>
      <c r="H175" s="1472">
        <f>VLOOKUP(G175,'CP FACTORS'!$A$3:$B$38, 2, FALSE)</f>
        <v>1.148238E-4</v>
      </c>
      <c r="I175" s="1397">
        <f t="shared" si="8"/>
        <v>1.86014556E-2</v>
      </c>
      <c r="J175" s="122">
        <f t="shared" si="9"/>
        <v>10</v>
      </c>
      <c r="K175" s="800">
        <f t="shared" si="10"/>
        <v>30</v>
      </c>
      <c r="L175" s="52" t="s">
        <v>31</v>
      </c>
      <c r="M175" s="318"/>
      <c r="N175" s="318"/>
      <c r="O175" s="318"/>
      <c r="P175" s="318"/>
      <c r="Q175" s="318"/>
      <c r="R175" s="318"/>
      <c r="S175" s="318"/>
      <c r="T175" s="318"/>
      <c r="U175" s="318"/>
      <c r="V175" s="320" t="s">
        <v>19</v>
      </c>
      <c r="W175" s="1188">
        <v>162</v>
      </c>
      <c r="X175" s="1188">
        <v>162</v>
      </c>
      <c r="Y175" s="253"/>
      <c r="Z175" s="253"/>
      <c r="AA175" s="253"/>
      <c r="AB175" s="253"/>
      <c r="AC175" s="253"/>
      <c r="AD175" s="253"/>
      <c r="AE175" s="253"/>
      <c r="AF175" s="253"/>
      <c r="AG175" s="253"/>
      <c r="AU175" s="178"/>
    </row>
    <row r="176" spans="1:47" outlineLevel="1" x14ac:dyDescent="0.25">
      <c r="A176"/>
      <c r="B176" s="130"/>
      <c r="C176" s="616"/>
      <c r="D176" s="658"/>
      <c r="E176" s="658"/>
      <c r="F176" s="130"/>
      <c r="G176" s="130"/>
      <c r="H176" s="130" t="s">
        <v>650</v>
      </c>
      <c r="I176" s="175"/>
      <c r="J176" s="130"/>
      <c r="K176" s="130"/>
      <c r="L176" s="529"/>
      <c r="X176" s="187" t="s">
        <v>651</v>
      </c>
      <c r="AU176" s="178"/>
    </row>
    <row r="177" spans="1:47" outlineLevel="1" x14ac:dyDescent="0.25">
      <c r="A177"/>
      <c r="B177" s="130"/>
      <c r="C177" s="616"/>
      <c r="D177" s="1418" t="s">
        <v>463</v>
      </c>
      <c r="E177" s="658"/>
      <c r="F177" s="130"/>
      <c r="G177" s="130"/>
      <c r="H177" s="130"/>
      <c r="I177" s="130"/>
      <c r="J177" s="130"/>
      <c r="K177" s="130"/>
      <c r="L177" s="130"/>
      <c r="AU177" s="178"/>
    </row>
    <row r="178" spans="1:47" outlineLevel="1" x14ac:dyDescent="0.25">
      <c r="A178"/>
      <c r="B178" s="130"/>
      <c r="C178" s="616"/>
      <c r="D178" s="658"/>
      <c r="E178" s="658"/>
      <c r="F178" s="130"/>
      <c r="G178" s="130"/>
      <c r="H178" s="130"/>
      <c r="I178" s="130"/>
      <c r="J178" s="130"/>
      <c r="K178" s="130"/>
      <c r="L178" s="130"/>
      <c r="AU178" s="178"/>
    </row>
    <row r="179" spans="1:47" outlineLevel="1" x14ac:dyDescent="0.25">
      <c r="A179"/>
      <c r="B179" s="130"/>
      <c r="C179" s="616"/>
      <c r="D179" s="658"/>
      <c r="E179" s="658"/>
      <c r="F179" s="130"/>
      <c r="G179" s="130"/>
      <c r="H179" s="130"/>
      <c r="I179" s="130"/>
      <c r="J179" s="130"/>
      <c r="K179" s="130"/>
      <c r="L179" s="130"/>
      <c r="AU179" s="178"/>
    </row>
    <row r="180" spans="1:47" outlineLevel="1" x14ac:dyDescent="0.25">
      <c r="A180"/>
      <c r="B180" s="130"/>
      <c r="C180" s="616"/>
      <c r="D180" s="658"/>
      <c r="E180" s="658"/>
      <c r="F180" s="130"/>
      <c r="G180" s="130"/>
      <c r="H180" s="130"/>
      <c r="I180" s="130"/>
      <c r="J180" s="130"/>
      <c r="M180" s="305"/>
      <c r="N180" s="305"/>
      <c r="O180" s="305"/>
      <c r="P180" s="305"/>
      <c r="AU180" s="178"/>
    </row>
    <row r="181" spans="1:47" outlineLevel="1" x14ac:dyDescent="0.25">
      <c r="A181"/>
      <c r="B181" s="130"/>
      <c r="C181" s="616"/>
      <c r="D181" s="1098" t="s">
        <v>652</v>
      </c>
      <c r="E181" s="1098" t="s">
        <v>653</v>
      </c>
      <c r="F181" s="184" t="s">
        <v>654</v>
      </c>
      <c r="G181" s="184" t="s">
        <v>655</v>
      </c>
      <c r="H181" s="130"/>
      <c r="I181" s="130"/>
      <c r="J181" s="130"/>
      <c r="M181" s="165"/>
      <c r="N181" s="165"/>
      <c r="O181" s="165"/>
      <c r="P181" s="165"/>
      <c r="V181" s="48" t="s">
        <v>26</v>
      </c>
      <c r="W181" s="49">
        <v>43252</v>
      </c>
      <c r="X181" s="49">
        <f>$X$6</f>
        <v>43465</v>
      </c>
      <c r="Y181" s="49" t="str">
        <f>$Y$6</f>
        <v>-</v>
      </c>
      <c r="Z181" s="49" t="str">
        <f>$Z$6</f>
        <v>-</v>
      </c>
      <c r="AA181" s="49" t="str">
        <f>$AA$6</f>
        <v>-</v>
      </c>
      <c r="AB181" s="49" t="str">
        <f>$AB$6</f>
        <v>-</v>
      </c>
      <c r="AC181" s="49" t="str">
        <f>$AC$6</f>
        <v>-</v>
      </c>
      <c r="AD181" s="49" t="str">
        <f>$AD$6</f>
        <v>-</v>
      </c>
      <c r="AE181" s="49" t="str">
        <f>$AE$6</f>
        <v>-</v>
      </c>
      <c r="AF181" s="49" t="str">
        <f>$AF$6</f>
        <v>-</v>
      </c>
      <c r="AG181" s="49" t="str">
        <f>$AG$6</f>
        <v>-</v>
      </c>
      <c r="AI181" s="49">
        <v>43252</v>
      </c>
      <c r="AJ181" s="49" t="str">
        <f>$Y$6</f>
        <v>-</v>
      </c>
      <c r="AK181" s="49" t="str">
        <f>$Y$6</f>
        <v>-</v>
      </c>
      <c r="AL181" s="49" t="str">
        <f>$Z$6</f>
        <v>-</v>
      </c>
      <c r="AM181" s="49" t="str">
        <f>$AA$6</f>
        <v>-</v>
      </c>
      <c r="AN181" s="49" t="str">
        <f>$AB$6</f>
        <v>-</v>
      </c>
      <c r="AO181" s="49" t="str">
        <f>$AC$6</f>
        <v>-</v>
      </c>
      <c r="AP181" s="49" t="str">
        <f>$AD$6</f>
        <v>-</v>
      </c>
      <c r="AQ181" s="49" t="str">
        <f>$AE$6</f>
        <v>-</v>
      </c>
      <c r="AR181" s="49" t="str">
        <f>$AF$6</f>
        <v>-</v>
      </c>
      <c r="AS181" s="49" t="str">
        <f>$AG$6</f>
        <v>-</v>
      </c>
      <c r="AU181" s="178"/>
    </row>
    <row r="182" spans="1:47" ht="30" outlineLevel="1" x14ac:dyDescent="0.25">
      <c r="A182"/>
      <c r="B182" s="130"/>
      <c r="C182" s="616"/>
      <c r="D182" s="321"/>
      <c r="E182" s="321"/>
      <c r="F182" s="52"/>
      <c r="G182" s="52"/>
      <c r="H182" s="130"/>
      <c r="I182" s="130"/>
      <c r="J182" s="130"/>
      <c r="K182" s="130"/>
      <c r="L182" s="130"/>
      <c r="M182" s="1469"/>
      <c r="N182" s="1469"/>
      <c r="O182" s="1469"/>
      <c r="P182" s="1469"/>
      <c r="V182" s="62"/>
      <c r="W182" s="322" t="s">
        <v>653</v>
      </c>
      <c r="X182" s="322" t="s">
        <v>653</v>
      </c>
      <c r="Y182" s="322" t="s">
        <v>653</v>
      </c>
      <c r="Z182" s="322" t="s">
        <v>653</v>
      </c>
      <c r="AA182" s="322" t="s">
        <v>653</v>
      </c>
      <c r="AB182" s="322" t="s">
        <v>653</v>
      </c>
      <c r="AC182" s="322" t="s">
        <v>653</v>
      </c>
      <c r="AD182" s="322" t="s">
        <v>653</v>
      </c>
      <c r="AE182" s="322" t="s">
        <v>653</v>
      </c>
      <c r="AF182" s="322" t="s">
        <v>653</v>
      </c>
      <c r="AG182" s="322" t="s">
        <v>653</v>
      </c>
      <c r="AI182" s="322" t="s">
        <v>654</v>
      </c>
      <c r="AJ182" s="322" t="s">
        <v>654</v>
      </c>
      <c r="AK182" s="322" t="s">
        <v>654</v>
      </c>
      <c r="AL182" s="322" t="s">
        <v>654</v>
      </c>
      <c r="AM182" s="322" t="s">
        <v>654</v>
      </c>
      <c r="AN182" s="322" t="s">
        <v>654</v>
      </c>
      <c r="AO182" s="322" t="s">
        <v>654</v>
      </c>
      <c r="AP182" s="322" t="s">
        <v>654</v>
      </c>
      <c r="AQ182" s="322" t="s">
        <v>654</v>
      </c>
      <c r="AR182" s="322" t="s">
        <v>654</v>
      </c>
      <c r="AS182" s="322" t="s">
        <v>654</v>
      </c>
      <c r="AU182" s="178"/>
    </row>
    <row r="183" spans="1:47" outlineLevel="1" x14ac:dyDescent="0.25">
      <c r="A183" s="37"/>
      <c r="B183" s="175"/>
      <c r="C183" s="1410"/>
      <c r="D183" s="1473" t="s">
        <v>97</v>
      </c>
      <c r="E183" s="1474">
        <v>0.55000000000000004</v>
      </c>
      <c r="F183" s="1412">
        <v>432</v>
      </c>
      <c r="G183" s="1475"/>
      <c r="H183" s="175"/>
      <c r="I183" s="175"/>
      <c r="J183" s="175"/>
      <c r="K183" s="175"/>
      <c r="L183" s="175"/>
      <c r="M183" s="1476"/>
      <c r="N183" s="1477"/>
      <c r="O183" s="1476"/>
      <c r="P183" s="1477"/>
      <c r="V183" s="326" t="str">
        <f>D183</f>
        <v>A</v>
      </c>
      <c r="W183" s="324">
        <v>0.55000000000000004</v>
      </c>
      <c r="X183" s="324">
        <v>0.55000000000000004</v>
      </c>
      <c r="Y183" s="314"/>
      <c r="Z183" s="314"/>
      <c r="AA183" s="314"/>
      <c r="AB183" s="314"/>
      <c r="AC183" s="314"/>
      <c r="AD183" s="314"/>
      <c r="AE183" s="314"/>
      <c r="AF183" s="314"/>
      <c r="AG183" s="314"/>
      <c r="AI183" s="325">
        <v>432</v>
      </c>
      <c r="AJ183" s="325">
        <v>432</v>
      </c>
      <c r="AK183" s="314"/>
      <c r="AL183" s="314"/>
      <c r="AM183" s="314"/>
      <c r="AN183" s="314"/>
      <c r="AO183" s="314"/>
      <c r="AP183" s="314"/>
      <c r="AQ183" s="314"/>
      <c r="AR183" s="314"/>
      <c r="AS183" s="314"/>
      <c r="AU183" s="178"/>
    </row>
    <row r="184" spans="1:47" outlineLevel="1" x14ac:dyDescent="0.25">
      <c r="A184" s="37"/>
      <c r="B184" s="175"/>
      <c r="C184" s="1410"/>
      <c r="D184" s="1473" t="s">
        <v>98</v>
      </c>
      <c r="E184" s="1474">
        <v>0.5</v>
      </c>
      <c r="F184" s="1412">
        <v>432</v>
      </c>
      <c r="G184" s="1475"/>
      <c r="H184" s="175"/>
      <c r="I184" s="175"/>
      <c r="J184" s="175"/>
      <c r="K184" s="175"/>
      <c r="L184" s="175"/>
      <c r="M184" s="1476"/>
      <c r="N184" s="1477"/>
      <c r="O184" s="1476"/>
      <c r="P184" s="1477"/>
      <c r="V184" s="326" t="str">
        <f t="shared" ref="V184:V193" si="11">D184</f>
        <v>B</v>
      </c>
      <c r="W184" s="324">
        <v>0.5</v>
      </c>
      <c r="X184" s="324">
        <v>0.5</v>
      </c>
      <c r="Y184" s="314"/>
      <c r="Z184" s="314"/>
      <c r="AA184" s="314"/>
      <c r="AB184" s="314"/>
      <c r="AC184" s="314"/>
      <c r="AD184" s="314"/>
      <c r="AE184" s="314"/>
      <c r="AF184" s="314"/>
      <c r="AG184" s="314"/>
      <c r="AI184" s="325">
        <v>432</v>
      </c>
      <c r="AJ184" s="325">
        <v>432</v>
      </c>
      <c r="AK184" s="314"/>
      <c r="AL184" s="314"/>
      <c r="AM184" s="314"/>
      <c r="AN184" s="314"/>
      <c r="AO184" s="314"/>
      <c r="AP184" s="314"/>
      <c r="AQ184" s="314"/>
      <c r="AR184" s="314"/>
      <c r="AS184" s="314"/>
      <c r="AU184" s="178"/>
    </row>
    <row r="185" spans="1:47" outlineLevel="1" x14ac:dyDescent="0.25">
      <c r="A185" s="37"/>
      <c r="B185" s="175"/>
      <c r="C185" s="1410"/>
      <c r="D185" s="1473" t="s">
        <v>99</v>
      </c>
      <c r="E185" s="1474">
        <v>0.45</v>
      </c>
      <c r="F185" s="1412">
        <v>432</v>
      </c>
      <c r="G185" s="1475"/>
      <c r="H185" s="175"/>
      <c r="I185" s="175"/>
      <c r="J185" s="175"/>
      <c r="K185" s="175"/>
      <c r="L185" s="175"/>
      <c r="M185" s="1476"/>
      <c r="N185" s="1477"/>
      <c r="O185" s="1476"/>
      <c r="P185" s="1477"/>
      <c r="V185" s="326" t="str">
        <f t="shared" si="11"/>
        <v>C</v>
      </c>
      <c r="W185" s="324">
        <v>0.45</v>
      </c>
      <c r="X185" s="324">
        <v>0.45</v>
      </c>
      <c r="Y185" s="314"/>
      <c r="Z185" s="314"/>
      <c r="AA185" s="314"/>
      <c r="AB185" s="314"/>
      <c r="AC185" s="314"/>
      <c r="AD185" s="314"/>
      <c r="AE185" s="314"/>
      <c r="AF185" s="314"/>
      <c r="AG185" s="314"/>
      <c r="AI185" s="325">
        <v>432</v>
      </c>
      <c r="AJ185" s="325">
        <v>432</v>
      </c>
      <c r="AK185" s="314"/>
      <c r="AL185" s="314"/>
      <c r="AM185" s="314"/>
      <c r="AN185" s="314"/>
      <c r="AO185" s="314"/>
      <c r="AP185" s="314"/>
      <c r="AQ185" s="314"/>
      <c r="AR185" s="314"/>
      <c r="AS185" s="314"/>
      <c r="AU185" s="178"/>
    </row>
    <row r="186" spans="1:47" outlineLevel="1" x14ac:dyDescent="0.25">
      <c r="A186" s="37"/>
      <c r="B186" s="175"/>
      <c r="C186" s="1410"/>
      <c r="D186" s="1473" t="s">
        <v>100</v>
      </c>
      <c r="E186" s="1474">
        <v>0.4</v>
      </c>
      <c r="F186" s="1412">
        <v>432</v>
      </c>
      <c r="G186" s="1475"/>
      <c r="H186" s="175"/>
      <c r="I186" s="175"/>
      <c r="J186" s="175"/>
      <c r="K186" s="175"/>
      <c r="L186" s="175"/>
      <c r="M186" s="1476"/>
      <c r="N186" s="1477"/>
      <c r="O186" s="1476"/>
      <c r="P186" s="1477"/>
      <c r="V186" s="326" t="str">
        <f t="shared" si="11"/>
        <v>D</v>
      </c>
      <c r="W186" s="324">
        <v>0.4</v>
      </c>
      <c r="X186" s="324">
        <v>0.4</v>
      </c>
      <c r="Y186" s="314"/>
      <c r="Z186" s="314"/>
      <c r="AA186" s="314"/>
      <c r="AB186" s="314"/>
      <c r="AC186" s="314"/>
      <c r="AD186" s="314"/>
      <c r="AE186" s="314"/>
      <c r="AF186" s="314"/>
      <c r="AG186" s="314"/>
      <c r="AI186" s="325">
        <v>432</v>
      </c>
      <c r="AJ186" s="325">
        <v>432</v>
      </c>
      <c r="AK186" s="314"/>
      <c r="AL186" s="314"/>
      <c r="AM186" s="314"/>
      <c r="AN186" s="314"/>
      <c r="AO186" s="314"/>
      <c r="AP186" s="314"/>
      <c r="AQ186" s="314"/>
      <c r="AR186" s="314"/>
      <c r="AS186" s="314"/>
      <c r="AU186" s="178"/>
    </row>
    <row r="187" spans="1:47" outlineLevel="1" x14ac:dyDescent="0.25">
      <c r="A187" s="37"/>
      <c r="B187" s="175"/>
      <c r="C187" s="1410"/>
      <c r="D187" s="1473" t="s">
        <v>656</v>
      </c>
      <c r="E187" s="1474">
        <v>0.35</v>
      </c>
      <c r="F187" s="1412">
        <v>432</v>
      </c>
      <c r="G187" s="1475"/>
      <c r="H187" s="175"/>
      <c r="I187" s="175"/>
      <c r="J187" s="175"/>
      <c r="K187" s="175"/>
      <c r="L187" s="175"/>
      <c r="M187" s="1476"/>
      <c r="N187" s="1477"/>
      <c r="O187" s="1476"/>
      <c r="P187" s="1477"/>
      <c r="V187" s="326" t="str">
        <f t="shared" si="11"/>
        <v>E</v>
      </c>
      <c r="W187" s="324">
        <v>0.35</v>
      </c>
      <c r="X187" s="324">
        <v>0.35</v>
      </c>
      <c r="Y187" s="314"/>
      <c r="Z187" s="314"/>
      <c r="AA187" s="314"/>
      <c r="AB187" s="314"/>
      <c r="AC187" s="314"/>
      <c r="AD187" s="314"/>
      <c r="AE187" s="314"/>
      <c r="AF187" s="314"/>
      <c r="AG187" s="314"/>
      <c r="AI187" s="325">
        <v>432</v>
      </c>
      <c r="AJ187" s="325">
        <v>432</v>
      </c>
      <c r="AK187" s="314"/>
      <c r="AL187" s="314"/>
      <c r="AM187" s="314"/>
      <c r="AN187" s="314"/>
      <c r="AO187" s="314"/>
      <c r="AP187" s="314"/>
      <c r="AQ187" s="314"/>
      <c r="AR187" s="314"/>
      <c r="AS187" s="314"/>
      <c r="AU187" s="178"/>
    </row>
    <row r="188" spans="1:47" outlineLevel="1" x14ac:dyDescent="0.25">
      <c r="A188" s="37"/>
      <c r="B188" s="175"/>
      <c r="C188" s="1410"/>
      <c r="D188" s="1473" t="s">
        <v>657</v>
      </c>
      <c r="E188" s="1474">
        <v>0.3</v>
      </c>
      <c r="F188" s="1412">
        <v>432</v>
      </c>
      <c r="G188" s="1475"/>
      <c r="H188" s="175"/>
      <c r="I188" s="175"/>
      <c r="J188" s="175"/>
      <c r="K188" s="175"/>
      <c r="L188" s="175"/>
      <c r="M188" s="1476"/>
      <c r="N188" s="1477"/>
      <c r="O188" s="1476"/>
      <c r="P188" s="1477"/>
      <c r="V188" s="326" t="str">
        <f t="shared" si="11"/>
        <v>F</v>
      </c>
      <c r="W188" s="324">
        <v>0.3</v>
      </c>
      <c r="X188" s="324">
        <v>0.3</v>
      </c>
      <c r="Y188" s="314"/>
      <c r="Z188" s="314"/>
      <c r="AA188" s="314"/>
      <c r="AB188" s="314"/>
      <c r="AC188" s="314"/>
      <c r="AD188" s="314"/>
      <c r="AE188" s="314"/>
      <c r="AF188" s="314"/>
      <c r="AG188" s="314"/>
      <c r="AI188" s="325">
        <v>432</v>
      </c>
      <c r="AJ188" s="325">
        <v>432</v>
      </c>
      <c r="AK188" s="314"/>
      <c r="AL188" s="314"/>
      <c r="AM188" s="314"/>
      <c r="AN188" s="314"/>
      <c r="AO188" s="314"/>
      <c r="AP188" s="314"/>
      <c r="AQ188" s="314"/>
      <c r="AR188" s="314"/>
      <c r="AS188" s="314"/>
      <c r="AU188" s="178"/>
    </row>
    <row r="189" spans="1:47" outlineLevel="1" x14ac:dyDescent="0.25">
      <c r="A189" s="37"/>
      <c r="B189" s="175"/>
      <c r="C189" s="1410"/>
      <c r="D189" s="1473" t="s">
        <v>658</v>
      </c>
      <c r="E189" s="1474">
        <v>0.25</v>
      </c>
      <c r="F189" s="1412">
        <v>432</v>
      </c>
      <c r="G189" s="1475"/>
      <c r="H189" s="175"/>
      <c r="I189" s="175"/>
      <c r="J189" s="175"/>
      <c r="K189" s="175"/>
      <c r="L189" s="175"/>
      <c r="M189" s="1476"/>
      <c r="N189" s="1477"/>
      <c r="O189" s="1476"/>
      <c r="P189" s="1477"/>
      <c r="V189" s="326" t="str">
        <f t="shared" si="11"/>
        <v>G</v>
      </c>
      <c r="W189" s="324">
        <v>0.25</v>
      </c>
      <c r="X189" s="324">
        <v>0.25</v>
      </c>
      <c r="Y189" s="314"/>
      <c r="Z189" s="314"/>
      <c r="AA189" s="314"/>
      <c r="AB189" s="314"/>
      <c r="AC189" s="314"/>
      <c r="AD189" s="314"/>
      <c r="AE189" s="314"/>
      <c r="AF189" s="314"/>
      <c r="AG189" s="314"/>
      <c r="AI189" s="325">
        <v>432</v>
      </c>
      <c r="AJ189" s="325">
        <v>432</v>
      </c>
      <c r="AK189" s="314"/>
      <c r="AL189" s="314"/>
      <c r="AM189" s="314"/>
      <c r="AN189" s="314"/>
      <c r="AO189" s="314"/>
      <c r="AP189" s="314"/>
      <c r="AQ189" s="314"/>
      <c r="AR189" s="314"/>
      <c r="AS189" s="314"/>
      <c r="AU189" s="178"/>
    </row>
    <row r="190" spans="1:47" outlineLevel="1" x14ac:dyDescent="0.25">
      <c r="A190" s="37"/>
      <c r="B190" s="175"/>
      <c r="C190" s="1410"/>
      <c r="D190" s="1473" t="s">
        <v>659</v>
      </c>
      <c r="E190" s="1474">
        <v>0.2</v>
      </c>
      <c r="F190" s="1412">
        <v>432</v>
      </c>
      <c r="G190" s="1475"/>
      <c r="H190" s="175"/>
      <c r="I190" s="175"/>
      <c r="J190" s="175"/>
      <c r="K190" s="175"/>
      <c r="L190" s="175"/>
      <c r="M190" s="1476"/>
      <c r="N190" s="1477"/>
      <c r="O190" s="1476"/>
      <c r="P190" s="1477"/>
      <c r="V190" s="326" t="str">
        <f t="shared" si="11"/>
        <v>H</v>
      </c>
      <c r="W190" s="324">
        <v>0.2</v>
      </c>
      <c r="X190" s="324">
        <v>0.2</v>
      </c>
      <c r="Y190" s="314"/>
      <c r="Z190" s="314"/>
      <c r="AA190" s="314"/>
      <c r="AB190" s="314"/>
      <c r="AC190" s="314"/>
      <c r="AD190" s="314"/>
      <c r="AE190" s="314"/>
      <c r="AF190" s="314"/>
      <c r="AG190" s="314"/>
      <c r="AI190" s="325">
        <v>432</v>
      </c>
      <c r="AJ190" s="325">
        <v>432</v>
      </c>
      <c r="AK190" s="314"/>
      <c r="AL190" s="314"/>
      <c r="AM190" s="314"/>
      <c r="AN190" s="314"/>
      <c r="AO190" s="314"/>
      <c r="AP190" s="314"/>
      <c r="AQ190" s="314"/>
      <c r="AR190" s="314"/>
      <c r="AS190" s="314"/>
      <c r="AU190" s="178"/>
    </row>
    <row r="191" spans="1:47" outlineLevel="1" x14ac:dyDescent="0.25">
      <c r="A191" s="37"/>
      <c r="B191" s="175"/>
      <c r="C191" s="1410"/>
      <c r="D191" s="1098" t="s">
        <v>465</v>
      </c>
      <c r="E191" s="1098" t="s">
        <v>466</v>
      </c>
      <c r="F191" s="184" t="s">
        <v>467</v>
      </c>
      <c r="G191" s="184" t="s">
        <v>655</v>
      </c>
      <c r="H191" s="175"/>
      <c r="I191" s="175"/>
      <c r="J191" s="175"/>
      <c r="K191" s="175"/>
      <c r="L191" s="175"/>
      <c r="M191" s="1476"/>
      <c r="N191" s="1477"/>
      <c r="O191" s="1476"/>
      <c r="P191" s="1477"/>
      <c r="V191" s="327"/>
      <c r="W191" s="328"/>
      <c r="X191" s="328"/>
      <c r="Y191" s="329"/>
      <c r="Z191" s="329"/>
      <c r="AA191" s="329"/>
      <c r="AB191" s="329"/>
      <c r="AC191" s="329"/>
      <c r="AD191" s="329"/>
      <c r="AE191" s="329"/>
      <c r="AF191" s="329"/>
      <c r="AG191" s="329"/>
      <c r="AI191" s="330"/>
      <c r="AJ191" s="330"/>
      <c r="AK191" s="308"/>
      <c r="AL191" s="308"/>
      <c r="AM191" s="308"/>
      <c r="AN191" s="308"/>
      <c r="AO191" s="308"/>
      <c r="AP191" s="308"/>
      <c r="AQ191" s="308"/>
      <c r="AR191" s="308"/>
      <c r="AS191" s="308"/>
      <c r="AU191" s="178"/>
    </row>
    <row r="192" spans="1:47" outlineLevel="1" x14ac:dyDescent="0.25">
      <c r="A192" s="37"/>
      <c r="B192" s="175"/>
      <c r="C192" s="1410"/>
      <c r="D192" s="298" t="str">
        <f>$D$52</f>
        <v>EUL</v>
      </c>
      <c r="E192" s="298" t="str">
        <f>$E$52</f>
        <v>Effective Useful Life</v>
      </c>
      <c r="F192" s="375">
        <v>10</v>
      </c>
      <c r="G192" s="379" t="s">
        <v>31</v>
      </c>
      <c r="H192" s="175"/>
      <c r="I192" s="175"/>
      <c r="J192" s="175"/>
      <c r="K192" s="175"/>
      <c r="L192" s="175"/>
      <c r="M192" s="1476"/>
      <c r="N192" s="1477"/>
      <c r="O192" s="1476"/>
      <c r="P192" s="1477"/>
      <c r="V192" s="326" t="str">
        <f t="shared" si="11"/>
        <v>EUL</v>
      </c>
      <c r="W192" s="331">
        <v>10</v>
      </c>
      <c r="X192" s="331">
        <v>10</v>
      </c>
      <c r="Y192" s="331"/>
      <c r="Z192" s="331"/>
      <c r="AA192" s="331"/>
      <c r="AB192" s="331"/>
      <c r="AC192" s="331"/>
      <c r="AD192" s="331"/>
      <c r="AE192" s="331"/>
      <c r="AF192" s="331"/>
      <c r="AG192" s="331"/>
      <c r="AI192" s="330"/>
      <c r="AJ192" s="330"/>
      <c r="AK192" s="308"/>
      <c r="AL192" s="308"/>
      <c r="AM192" s="308"/>
      <c r="AN192" s="308"/>
      <c r="AO192" s="308"/>
      <c r="AP192" s="308"/>
      <c r="AQ192" s="308"/>
      <c r="AR192" s="308"/>
      <c r="AS192" s="308"/>
      <c r="AU192" s="178"/>
    </row>
    <row r="193" spans="1:47" outlineLevel="1" x14ac:dyDescent="0.25">
      <c r="A193" s="37"/>
      <c r="B193" s="175"/>
      <c r="C193" s="1410"/>
      <c r="D193" s="298" t="str">
        <f>$D$53</f>
        <v>Inc. Cost</v>
      </c>
      <c r="E193" s="298" t="str">
        <f>$E$53</f>
        <v>Incremental Cost ($)</v>
      </c>
      <c r="F193" s="1059">
        <v>30</v>
      </c>
      <c r="G193" s="379" t="s">
        <v>31</v>
      </c>
      <c r="H193" s="175"/>
      <c r="I193" s="175"/>
      <c r="J193" s="175"/>
      <c r="K193" s="175"/>
      <c r="L193" s="175"/>
      <c r="M193" s="1476"/>
      <c r="N193" s="1477"/>
      <c r="O193" s="1476"/>
      <c r="P193" s="1477"/>
      <c r="V193" s="326" t="str">
        <f t="shared" si="11"/>
        <v>Inc. Cost</v>
      </c>
      <c r="W193" s="333">
        <v>30</v>
      </c>
      <c r="X193" s="333">
        <v>30</v>
      </c>
      <c r="Y193" s="333"/>
      <c r="Z193" s="333"/>
      <c r="AA193" s="333"/>
      <c r="AB193" s="333"/>
      <c r="AC193" s="333"/>
      <c r="AD193" s="333"/>
      <c r="AE193" s="333"/>
      <c r="AF193" s="333"/>
      <c r="AG193" s="333"/>
      <c r="AI193" s="330"/>
      <c r="AJ193" s="330"/>
      <c r="AK193" s="308"/>
      <c r="AL193" s="308"/>
      <c r="AM193" s="308"/>
      <c r="AN193" s="308"/>
      <c r="AO193" s="308"/>
      <c r="AP193" s="308"/>
      <c r="AQ193" s="308"/>
      <c r="AR193" s="308"/>
      <c r="AS193" s="308"/>
      <c r="AU193" s="178"/>
    </row>
    <row r="194" spans="1:47" x14ac:dyDescent="0.25">
      <c r="X194" s="187"/>
      <c r="AU194" s="178"/>
    </row>
    <row r="195" spans="1:47" x14ac:dyDescent="0.25">
      <c r="AU195" s="178"/>
    </row>
    <row r="196" spans="1:47" x14ac:dyDescent="0.25">
      <c r="A196" s="334"/>
      <c r="B196" s="2022" t="s">
        <v>660</v>
      </c>
      <c r="C196" s="2023"/>
      <c r="D196" s="2023"/>
      <c r="E196" s="2023"/>
      <c r="F196" s="2023"/>
      <c r="G196" s="2023"/>
      <c r="H196" s="2023"/>
      <c r="I196" s="1992"/>
      <c r="J196" s="1992"/>
      <c r="K196" s="1992"/>
      <c r="L196" s="1992"/>
      <c r="M196" s="1992"/>
      <c r="N196" s="1992"/>
      <c r="O196" s="1993"/>
      <c r="V196" s="2022" t="str">
        <f>B196</f>
        <v>ENERGY STAR Air Purifier</v>
      </c>
      <c r="W196" s="2023"/>
      <c r="X196" s="2023"/>
      <c r="Y196" s="2023"/>
      <c r="Z196" s="2023"/>
      <c r="AA196" s="2023"/>
      <c r="AB196" s="2023"/>
      <c r="AC196" s="2024"/>
      <c r="AD196" s="2024"/>
      <c r="AE196" s="2024"/>
      <c r="AF196" s="2024"/>
      <c r="AG196" s="2024"/>
      <c r="AH196" s="2024"/>
      <c r="AI196" s="2025"/>
      <c r="AU196" s="178"/>
    </row>
    <row r="197" spans="1:47" x14ac:dyDescent="0.25">
      <c r="A197" s="335"/>
      <c r="B197" s="1478"/>
      <c r="C197" s="1410"/>
      <c r="D197" s="1411"/>
      <c r="E197" s="1411"/>
      <c r="F197" s="1478"/>
      <c r="G197" s="1478"/>
      <c r="H197" s="1478"/>
      <c r="I197" s="1478"/>
      <c r="J197" s="1478"/>
      <c r="K197" s="1478"/>
      <c r="L197" s="1478"/>
      <c r="AU197" s="178"/>
    </row>
    <row r="198" spans="1:47" ht="45" x14ac:dyDescent="0.25">
      <c r="A198" s="102"/>
      <c r="B198" s="1353"/>
      <c r="C198" s="184" t="s">
        <v>16</v>
      </c>
      <c r="D198" s="184" t="s">
        <v>509</v>
      </c>
      <c r="E198" s="336" t="s">
        <v>18</v>
      </c>
      <c r="F198" s="184" t="s">
        <v>19</v>
      </c>
      <c r="G198" s="336" t="s">
        <v>20</v>
      </c>
      <c r="H198" s="336" t="s">
        <v>21</v>
      </c>
      <c r="I198" s="336" t="s">
        <v>22</v>
      </c>
      <c r="J198" s="336" t="s">
        <v>23</v>
      </c>
      <c r="K198" s="336" t="s">
        <v>24</v>
      </c>
      <c r="L198" s="184" t="s">
        <v>25</v>
      </c>
      <c r="M198" s="251"/>
      <c r="N198" s="251"/>
      <c r="V198" s="48" t="s">
        <v>26</v>
      </c>
      <c r="W198" s="49">
        <v>43252</v>
      </c>
      <c r="X198" s="49">
        <f>$X$6</f>
        <v>43465</v>
      </c>
      <c r="Y198" s="49" t="str">
        <f>$Y$6</f>
        <v>-</v>
      </c>
      <c r="Z198" s="49" t="str">
        <f>$Z$6</f>
        <v>-</v>
      </c>
      <c r="AA198" s="49" t="str">
        <f>$AA$6</f>
        <v>-</v>
      </c>
      <c r="AB198" s="49" t="str">
        <f>$AB$6</f>
        <v>-</v>
      </c>
      <c r="AC198" s="49" t="str">
        <f>$AC$6</f>
        <v>-</v>
      </c>
      <c r="AD198" s="49" t="str">
        <f>$AD$6</f>
        <v>-</v>
      </c>
      <c r="AE198" s="49" t="str">
        <f>$AE$6</f>
        <v>-</v>
      </c>
      <c r="AF198" s="49" t="str">
        <f>$AF$6</f>
        <v>-</v>
      </c>
      <c r="AG198" s="49" t="str">
        <f>$AG$6</f>
        <v>-</v>
      </c>
      <c r="AU198" s="178"/>
    </row>
    <row r="199" spans="1:47" x14ac:dyDescent="0.25">
      <c r="A199" s="335"/>
      <c r="B199" s="1478"/>
      <c r="C199" s="1412"/>
      <c r="D199" s="168" t="s">
        <v>1830</v>
      </c>
      <c r="E199" s="168" t="s">
        <v>661</v>
      </c>
      <c r="F199" s="372">
        <f>((F212*((1/F209)-(1/F208))*(F213)+(F211-F210)*(24-F213))*365/1000)*F215</f>
        <v>588.78703639406001</v>
      </c>
      <c r="G199" s="1479" t="s">
        <v>641</v>
      </c>
      <c r="H199" s="170">
        <f>VLOOKUP(G199,'CP FACTORS'!$A$3:$B$38, 2, FALSE)</f>
        <v>1.148238E-4</v>
      </c>
      <c r="I199" s="1460">
        <f>F199*H199</f>
        <v>6.7606764909504263E-2</v>
      </c>
      <c r="J199" s="375">
        <f>F216</f>
        <v>9</v>
      </c>
      <c r="K199" s="1094">
        <f>F217</f>
        <v>70</v>
      </c>
      <c r="L199" s="52" t="s">
        <v>31</v>
      </c>
      <c r="N199" s="1480"/>
      <c r="O199" s="1413"/>
      <c r="R199" s="1413"/>
      <c r="V199" s="314" t="s">
        <v>19</v>
      </c>
      <c r="W199" s="1190">
        <v>555.64466268041224</v>
      </c>
      <c r="X199" s="1191">
        <v>588.78703639406001</v>
      </c>
      <c r="Y199" s="314"/>
      <c r="Z199" s="314"/>
      <c r="AA199" s="314"/>
      <c r="AB199" s="314"/>
      <c r="AC199" s="314"/>
      <c r="AD199" s="314"/>
      <c r="AE199" s="314"/>
      <c r="AF199" s="314"/>
      <c r="AG199" s="314"/>
      <c r="AU199" s="178"/>
    </row>
    <row r="200" spans="1:47" outlineLevel="1" x14ac:dyDescent="0.25">
      <c r="A200" s="335"/>
      <c r="B200" s="1478"/>
      <c r="C200" s="1410"/>
      <c r="D200" s="1411"/>
      <c r="E200" s="803"/>
      <c r="F200" s="339"/>
      <c r="G200" s="1481"/>
      <c r="H200" s="1478"/>
      <c r="I200" s="489"/>
      <c r="J200" s="489"/>
      <c r="K200" s="489"/>
      <c r="L200" s="1478"/>
      <c r="W200" s="201"/>
      <c r="X200" s="201"/>
      <c r="AU200" s="178"/>
    </row>
    <row r="201" spans="1:47" s="258" customFormat="1" outlineLevel="1" x14ac:dyDescent="0.25">
      <c r="A201" s="340"/>
      <c r="B201" s="1482"/>
      <c r="C201" s="1417"/>
      <c r="D201" s="1423" t="s">
        <v>463</v>
      </c>
      <c r="E201" s="1483"/>
      <c r="F201" s="1484"/>
      <c r="G201" s="1482"/>
      <c r="H201" s="1482"/>
      <c r="I201" s="489"/>
      <c r="J201" s="489"/>
      <c r="K201" s="489"/>
      <c r="L201" s="1482"/>
      <c r="M201" s="1446"/>
      <c r="N201" s="1446"/>
      <c r="O201" s="1446"/>
      <c r="P201" s="1446"/>
      <c r="Q201" s="1446"/>
      <c r="R201" s="1446"/>
      <c r="S201" s="1446"/>
      <c r="T201" s="1446"/>
      <c r="U201" s="1446"/>
      <c r="W201" s="341"/>
      <c r="X201" s="341"/>
      <c r="AU201" s="178"/>
    </row>
    <row r="202" spans="1:47" s="258" customFormat="1" outlineLevel="1" x14ac:dyDescent="0.25">
      <c r="A202" s="340"/>
      <c r="B202" s="1482"/>
      <c r="C202" s="1417"/>
      <c r="D202" s="1485"/>
      <c r="E202" s="1483"/>
      <c r="F202" s="1484"/>
      <c r="G202" s="1482"/>
      <c r="H202" s="1482"/>
      <c r="I202" s="489"/>
      <c r="J202" s="489"/>
      <c r="K202" s="489"/>
      <c r="L202" s="1482"/>
      <c r="M202" s="1446"/>
      <c r="N202" s="1446"/>
      <c r="O202" s="1446"/>
      <c r="P202" s="1446"/>
      <c r="Q202" s="1446"/>
      <c r="R202" s="1446"/>
      <c r="S202" s="1446"/>
      <c r="T202" s="1446"/>
      <c r="U202" s="1446"/>
      <c r="W202" s="341"/>
      <c r="X202" s="341"/>
      <c r="AU202" s="178"/>
    </row>
    <row r="203" spans="1:47" s="258" customFormat="1" outlineLevel="1" x14ac:dyDescent="0.25">
      <c r="A203" s="340"/>
      <c r="B203" s="1482"/>
      <c r="C203" s="1417"/>
      <c r="D203" s="1485"/>
      <c r="E203" s="1483"/>
      <c r="F203" s="1484"/>
      <c r="G203" s="1482"/>
      <c r="H203" s="1482"/>
      <c r="I203" s="1482"/>
      <c r="J203" s="1482"/>
      <c r="K203" s="1482"/>
      <c r="L203" s="1482"/>
      <c r="M203" s="1446"/>
      <c r="N203" s="1446"/>
      <c r="O203" s="1446"/>
      <c r="P203" s="1446"/>
      <c r="Q203" s="1446"/>
      <c r="R203" s="1446"/>
      <c r="S203" s="1446"/>
      <c r="T203" s="1446"/>
      <c r="U203" s="1446"/>
      <c r="W203" s="341"/>
      <c r="X203" s="341"/>
      <c r="AU203" s="178"/>
    </row>
    <row r="204" spans="1:47" s="258" customFormat="1" outlineLevel="1" x14ac:dyDescent="0.25">
      <c r="A204" s="340"/>
      <c r="B204" s="1482"/>
      <c r="C204" s="1417"/>
      <c r="D204" s="1485"/>
      <c r="E204" s="1483"/>
      <c r="F204" s="1484"/>
      <c r="G204" s="1482"/>
      <c r="H204" s="1482"/>
      <c r="I204" s="1482"/>
      <c r="J204" s="1482"/>
      <c r="K204" s="1482"/>
      <c r="L204" s="1482"/>
      <c r="M204" s="1446"/>
      <c r="N204" s="1446"/>
      <c r="O204" s="1446"/>
      <c r="P204" s="1446"/>
      <c r="Q204" s="1446"/>
      <c r="R204" s="1446"/>
      <c r="S204" s="1446"/>
      <c r="T204" s="1446"/>
      <c r="U204" s="1446"/>
      <c r="W204" s="341"/>
      <c r="X204" s="341"/>
      <c r="AU204" s="178"/>
    </row>
    <row r="205" spans="1:47" s="258" customFormat="1" outlineLevel="1" x14ac:dyDescent="0.25">
      <c r="A205" s="340"/>
      <c r="B205" s="1482"/>
      <c r="C205" s="1417"/>
      <c r="D205" s="1485"/>
      <c r="E205" s="1483"/>
      <c r="F205" s="1484"/>
      <c r="G205" s="1482"/>
      <c r="H205" s="1482"/>
      <c r="I205" s="1482"/>
      <c r="J205" s="1482"/>
      <c r="K205" s="1482"/>
      <c r="L205" s="1482"/>
      <c r="M205" s="1446"/>
      <c r="N205" s="1446"/>
      <c r="O205" s="1446"/>
      <c r="P205" s="1446"/>
      <c r="Q205" s="1446"/>
      <c r="R205" s="1446"/>
      <c r="S205" s="1446"/>
      <c r="T205" s="1446"/>
      <c r="U205" s="1446"/>
      <c r="W205" s="341"/>
      <c r="X205" s="341"/>
      <c r="AU205" s="178"/>
    </row>
    <row r="206" spans="1:47" s="258" customFormat="1" outlineLevel="1" x14ac:dyDescent="0.25">
      <c r="A206" s="340"/>
      <c r="B206" s="1482"/>
      <c r="C206" s="1417"/>
      <c r="D206" s="1423"/>
      <c r="E206" s="1423"/>
      <c r="F206" s="1482"/>
      <c r="G206" s="1482"/>
      <c r="H206" s="1482"/>
      <c r="I206" s="1482"/>
      <c r="J206" s="1482"/>
      <c r="K206" s="1482"/>
      <c r="L206" s="1482"/>
      <c r="M206" s="1446"/>
      <c r="N206" s="1446"/>
      <c r="O206" s="1446"/>
      <c r="P206" s="1446"/>
      <c r="Q206" s="1446"/>
      <c r="R206" s="1446"/>
      <c r="S206" s="1446"/>
      <c r="T206" s="1446"/>
      <c r="U206" s="1446"/>
      <c r="W206" s="341"/>
      <c r="X206" s="341"/>
      <c r="AU206" s="178"/>
    </row>
    <row r="207" spans="1:47" outlineLevel="1" x14ac:dyDescent="0.25">
      <c r="A207" s="342"/>
      <c r="B207" s="1486"/>
      <c r="C207" s="1410"/>
      <c r="D207" s="1098" t="s">
        <v>465</v>
      </c>
      <c r="E207" s="1098" t="s">
        <v>466</v>
      </c>
      <c r="F207" s="343" t="s">
        <v>467</v>
      </c>
      <c r="G207" s="2050" t="s">
        <v>515</v>
      </c>
      <c r="H207" s="2051"/>
      <c r="I207" s="1478"/>
      <c r="J207" s="1478"/>
      <c r="K207" s="1478"/>
      <c r="L207" s="1486"/>
      <c r="M207" s="251"/>
      <c r="N207" s="251"/>
      <c r="V207" s="48" t="s">
        <v>26</v>
      </c>
      <c r="W207" s="344">
        <v>43252</v>
      </c>
      <c r="X207" s="49">
        <f>$X$6</f>
        <v>43465</v>
      </c>
      <c r="Y207" s="49" t="str">
        <f>$Y$6</f>
        <v>-</v>
      </c>
      <c r="Z207" s="49" t="str">
        <f>$Z$6</f>
        <v>-</v>
      </c>
      <c r="AA207" s="49" t="str">
        <f>$AA$6</f>
        <v>-</v>
      </c>
      <c r="AB207" s="49" t="str">
        <f>$AB$6</f>
        <v>-</v>
      </c>
      <c r="AC207" s="49" t="str">
        <f>$AC$6</f>
        <v>-</v>
      </c>
      <c r="AD207" s="49" t="str">
        <f>$AD$6</f>
        <v>-</v>
      </c>
      <c r="AE207" s="49" t="str">
        <f>$AE$6</f>
        <v>-</v>
      </c>
      <c r="AF207" s="49" t="str">
        <f>$AF$6</f>
        <v>-</v>
      </c>
      <c r="AG207" s="49" t="str">
        <f>$AG$6</f>
        <v>-</v>
      </c>
      <c r="AU207" s="178"/>
    </row>
    <row r="208" spans="1:47" ht="36" customHeight="1" outlineLevel="1" x14ac:dyDescent="0.25">
      <c r="A208" s="345"/>
      <c r="B208" s="1487"/>
      <c r="D208" s="348" t="s">
        <v>662</v>
      </c>
      <c r="E208" s="313" t="s">
        <v>663</v>
      </c>
      <c r="F208" s="346">
        <v>3.0238677849037763</v>
      </c>
      <c r="G208" s="2052" t="s">
        <v>1779</v>
      </c>
      <c r="H208" s="2053"/>
      <c r="I208" s="1478"/>
      <c r="J208" s="1478"/>
      <c r="K208" s="1478"/>
      <c r="L208" s="1487"/>
      <c r="V208" s="304" t="str">
        <f>D208</f>
        <v xml:space="preserve">EffES </v>
      </c>
      <c r="W208" s="346">
        <v>2.91</v>
      </c>
      <c r="X208" s="347">
        <v>3.0238677849037763</v>
      </c>
      <c r="Y208" s="314"/>
      <c r="Z208" s="314"/>
      <c r="AA208" s="314"/>
      <c r="AB208" s="314"/>
      <c r="AC208" s="314"/>
      <c r="AD208" s="314"/>
      <c r="AE208" s="314"/>
      <c r="AF208" s="314"/>
      <c r="AG208" s="314"/>
      <c r="AU208" s="178"/>
    </row>
    <row r="209" spans="1:47" ht="37.5" customHeight="1" outlineLevel="1" x14ac:dyDescent="0.25">
      <c r="A209" s="345"/>
      <c r="B209" s="1487"/>
      <c r="D209" s="348" t="s">
        <v>664</v>
      </c>
      <c r="E209" s="313" t="s">
        <v>665</v>
      </c>
      <c r="F209" s="346">
        <v>1</v>
      </c>
      <c r="G209" s="2046" t="s">
        <v>666</v>
      </c>
      <c r="H209" s="2047"/>
      <c r="I209" s="1478"/>
      <c r="J209" s="1478"/>
      <c r="K209" s="1478"/>
      <c r="L209" s="1487"/>
      <c r="V209" s="304" t="str">
        <f t="shared" ref="V209:V217" si="12">D209</f>
        <v>EffBL</v>
      </c>
      <c r="W209" s="346">
        <v>1</v>
      </c>
      <c r="X209" s="349">
        <v>1</v>
      </c>
      <c r="Y209" s="314"/>
      <c r="Z209" s="314"/>
      <c r="AA209" s="314"/>
      <c r="AB209" s="314"/>
      <c r="AC209" s="314"/>
      <c r="AD209" s="314"/>
      <c r="AE209" s="314"/>
      <c r="AF209" s="314"/>
      <c r="AG209" s="314"/>
      <c r="AU209" s="178"/>
    </row>
    <row r="210" spans="1:47" ht="18" outlineLevel="1" x14ac:dyDescent="0.25">
      <c r="A210" s="345"/>
      <c r="B210" s="1487"/>
      <c r="D210" s="348" t="s">
        <v>667</v>
      </c>
      <c r="E210" s="313" t="s">
        <v>668</v>
      </c>
      <c r="F210" s="350">
        <v>0.3657961405244905</v>
      </c>
      <c r="G210" s="2046" t="s">
        <v>1779</v>
      </c>
      <c r="H210" s="2047"/>
      <c r="I210" s="1478"/>
      <c r="J210" s="1478"/>
      <c r="K210" s="1478"/>
      <c r="L210" s="1487"/>
      <c r="V210" s="304" t="str">
        <f t="shared" si="12"/>
        <v xml:space="preserve">SBES </v>
      </c>
      <c r="W210" s="350">
        <v>0.29299999999999998</v>
      </c>
      <c r="X210" s="351">
        <v>0.3657961405244905</v>
      </c>
      <c r="Y210" s="314"/>
      <c r="Z210" s="314"/>
      <c r="AA210" s="314"/>
      <c r="AB210" s="314"/>
      <c r="AC210" s="314"/>
      <c r="AD210" s="314"/>
      <c r="AE210" s="314"/>
      <c r="AF210" s="314"/>
      <c r="AG210" s="314"/>
      <c r="AU210" s="178"/>
    </row>
    <row r="211" spans="1:47" ht="38.25" customHeight="1" outlineLevel="1" x14ac:dyDescent="0.25">
      <c r="A211" s="345"/>
      <c r="B211" s="1487"/>
      <c r="D211" s="348" t="s">
        <v>669</v>
      </c>
      <c r="E211" s="313" t="s">
        <v>670</v>
      </c>
      <c r="F211" s="346">
        <v>1</v>
      </c>
      <c r="G211" s="2046" t="s">
        <v>666</v>
      </c>
      <c r="H211" s="2047"/>
      <c r="I211" s="1478"/>
      <c r="J211" s="1478"/>
      <c r="K211" s="1478"/>
      <c r="L211" s="1487"/>
      <c r="V211" s="304" t="str">
        <f t="shared" si="12"/>
        <v xml:space="preserve">SBBL </v>
      </c>
      <c r="W211" s="346">
        <v>1</v>
      </c>
      <c r="X211" s="349">
        <v>1</v>
      </c>
      <c r="Y211" s="314"/>
      <c r="Z211" s="314"/>
      <c r="AA211" s="314"/>
      <c r="AB211" s="314"/>
      <c r="AC211" s="314"/>
      <c r="AD211" s="314"/>
      <c r="AE211" s="314"/>
      <c r="AF211" s="314"/>
      <c r="AG211" s="314"/>
      <c r="AU211" s="178"/>
    </row>
    <row r="212" spans="1:47" outlineLevel="1" x14ac:dyDescent="0.25">
      <c r="A212" s="345"/>
      <c r="B212" s="1487"/>
      <c r="D212" s="348" t="s">
        <v>671</v>
      </c>
      <c r="E212" s="313" t="s">
        <v>672</v>
      </c>
      <c r="F212" s="346">
        <v>150.16127281696868</v>
      </c>
      <c r="G212" s="2046" t="s">
        <v>1779</v>
      </c>
      <c r="H212" s="2047"/>
      <c r="I212" s="1478"/>
      <c r="J212" s="1478"/>
      <c r="K212" s="1478"/>
      <c r="L212" s="1487"/>
      <c r="V212" s="304" t="str">
        <f t="shared" si="12"/>
        <v>CADR</v>
      </c>
      <c r="W212" s="346">
        <v>144.41999999999999</v>
      </c>
      <c r="X212" s="347">
        <v>150.16127281696868</v>
      </c>
      <c r="Y212" s="314"/>
      <c r="Z212" s="314"/>
      <c r="AA212" s="314"/>
      <c r="AB212" s="314"/>
      <c r="AC212" s="314"/>
      <c r="AD212" s="314"/>
      <c r="AE212" s="314"/>
      <c r="AF212" s="314"/>
      <c r="AG212" s="314"/>
      <c r="AU212" s="178"/>
    </row>
    <row r="213" spans="1:47" ht="36.75" customHeight="1" outlineLevel="1" x14ac:dyDescent="0.25">
      <c r="A213" s="345"/>
      <c r="B213" s="1487"/>
      <c r="D213" s="348" t="s">
        <v>673</v>
      </c>
      <c r="E213" s="313" t="s">
        <v>674</v>
      </c>
      <c r="F213" s="350">
        <v>16</v>
      </c>
      <c r="G213" s="2046" t="s">
        <v>666</v>
      </c>
      <c r="H213" s="2047"/>
      <c r="I213" s="1487"/>
      <c r="J213" s="1487"/>
      <c r="K213" s="1487"/>
      <c r="L213" s="1487"/>
      <c r="V213" s="304" t="str">
        <f t="shared" si="12"/>
        <v>Hroper</v>
      </c>
      <c r="W213" s="346">
        <v>16</v>
      </c>
      <c r="X213" s="349">
        <v>16</v>
      </c>
      <c r="Y213" s="314"/>
      <c r="Z213" s="314"/>
      <c r="AA213" s="314"/>
      <c r="AB213" s="314"/>
      <c r="AC213" s="314"/>
      <c r="AD213" s="314"/>
      <c r="AE213" s="314"/>
      <c r="AF213" s="314"/>
      <c r="AG213" s="314"/>
      <c r="AU213" s="178"/>
    </row>
    <row r="214" spans="1:47" outlineLevel="1" x14ac:dyDescent="0.25">
      <c r="A214" s="335"/>
      <c r="B214" s="1478"/>
      <c r="C214" s="1410"/>
      <c r="D214" s="348" t="s">
        <v>675</v>
      </c>
      <c r="E214" s="313" t="s">
        <v>630</v>
      </c>
      <c r="F214" s="350">
        <v>365</v>
      </c>
      <c r="G214" s="2046" t="s">
        <v>666</v>
      </c>
      <c r="H214" s="2047"/>
      <c r="I214" s="1487"/>
      <c r="J214" s="1487"/>
      <c r="K214" s="1487"/>
      <c r="L214" s="1478"/>
      <c r="V214" s="304" t="str">
        <f t="shared" si="12"/>
        <v>Days per Year</v>
      </c>
      <c r="W214" s="346">
        <v>365</v>
      </c>
      <c r="X214" s="349">
        <v>365</v>
      </c>
      <c r="Y214" s="314"/>
      <c r="Z214" s="314"/>
      <c r="AA214" s="314"/>
      <c r="AB214" s="314"/>
      <c r="AC214" s="314"/>
      <c r="AD214" s="314"/>
      <c r="AE214" s="314"/>
      <c r="AF214" s="314"/>
      <c r="AG214" s="314"/>
      <c r="AU214" s="178"/>
    </row>
    <row r="215" spans="1:47" outlineLevel="1" x14ac:dyDescent="0.25">
      <c r="A215" s="335"/>
      <c r="B215" s="1478"/>
      <c r="C215" s="1410"/>
      <c r="D215" s="348" t="s">
        <v>58</v>
      </c>
      <c r="E215" s="313" t="s">
        <v>574</v>
      </c>
      <c r="F215" s="350">
        <v>1</v>
      </c>
      <c r="G215" s="2046" t="s">
        <v>575</v>
      </c>
      <c r="H215" s="2047"/>
      <c r="I215" s="1478"/>
      <c r="J215" s="1478"/>
      <c r="K215" s="1478"/>
      <c r="L215" s="1478"/>
      <c r="V215" s="304" t="str">
        <f t="shared" si="12"/>
        <v>ISR</v>
      </c>
      <c r="W215" s="105">
        <v>1</v>
      </c>
      <c r="X215" s="352">
        <v>1</v>
      </c>
      <c r="Y215" s="314"/>
      <c r="Z215" s="314"/>
      <c r="AA215" s="314"/>
      <c r="AB215" s="314"/>
      <c r="AC215" s="314"/>
      <c r="AD215" s="314"/>
      <c r="AE215" s="314"/>
      <c r="AF215" s="314"/>
      <c r="AG215" s="314"/>
      <c r="AU215" s="178"/>
    </row>
    <row r="216" spans="1:47" outlineLevel="1" x14ac:dyDescent="0.25">
      <c r="A216" s="335"/>
      <c r="B216" s="1478"/>
      <c r="C216" s="1410"/>
      <c r="D216" s="298" t="str">
        <f>$D$52</f>
        <v>EUL</v>
      </c>
      <c r="E216" s="298" t="str">
        <f>$E$52</f>
        <v>Effective Useful Life</v>
      </c>
      <c r="F216" s="346">
        <v>9</v>
      </c>
      <c r="G216" s="2046" t="s">
        <v>575</v>
      </c>
      <c r="H216" s="2047"/>
      <c r="I216" s="1478"/>
      <c r="J216" s="1478"/>
      <c r="K216" s="1478"/>
      <c r="L216" s="1478"/>
      <c r="V216" s="304" t="str">
        <f t="shared" si="12"/>
        <v>EUL</v>
      </c>
      <c r="W216" s="346">
        <v>9</v>
      </c>
      <c r="X216" s="349">
        <v>9</v>
      </c>
      <c r="Y216" s="349"/>
      <c r="Z216" s="349"/>
      <c r="AA216" s="349"/>
      <c r="AB216" s="349"/>
      <c r="AC216" s="349"/>
      <c r="AD216" s="349"/>
      <c r="AE216" s="349"/>
      <c r="AF216" s="349"/>
      <c r="AG216" s="349"/>
      <c r="AU216" s="178"/>
    </row>
    <row r="217" spans="1:47" outlineLevel="1" x14ac:dyDescent="0.25">
      <c r="A217" s="335"/>
      <c r="B217" s="1478"/>
      <c r="C217" s="1410"/>
      <c r="D217" s="298" t="str">
        <f>$D$53</f>
        <v>Inc. Cost</v>
      </c>
      <c r="E217" s="298" t="str">
        <f>$E$53</f>
        <v>Incremental Cost ($)</v>
      </c>
      <c r="F217" s="353">
        <v>70</v>
      </c>
      <c r="G217" s="2046" t="s">
        <v>575</v>
      </c>
      <c r="H217" s="2047"/>
      <c r="I217" s="1478"/>
      <c r="J217" s="1478"/>
      <c r="K217" s="1478"/>
      <c r="L217" s="1478"/>
      <c r="V217" s="304" t="str">
        <f t="shared" si="12"/>
        <v>Inc. Cost</v>
      </c>
      <c r="W217" s="353">
        <v>70</v>
      </c>
      <c r="X217" s="338">
        <v>70</v>
      </c>
      <c r="Y217" s="338"/>
      <c r="Z217" s="338"/>
      <c r="AA217" s="338"/>
      <c r="AB217" s="338"/>
      <c r="AC217" s="338"/>
      <c r="AD217" s="338"/>
      <c r="AE217" s="338"/>
      <c r="AF217" s="338"/>
      <c r="AG217" s="338"/>
      <c r="AU217" s="178"/>
    </row>
    <row r="218" spans="1:47" x14ac:dyDescent="0.25">
      <c r="A218" s="335"/>
      <c r="B218" s="1478"/>
      <c r="C218" s="1410"/>
      <c r="D218" s="1488"/>
      <c r="E218" s="1489"/>
      <c r="F218" s="1488"/>
      <c r="G218" s="1478"/>
      <c r="H218" s="1478"/>
      <c r="I218" s="1478"/>
      <c r="J218" s="1478"/>
      <c r="K218" s="1478"/>
      <c r="L218" s="1478"/>
      <c r="X218" s="313"/>
      <c r="AU218" s="178"/>
    </row>
    <row r="219" spans="1:47" x14ac:dyDescent="0.25">
      <c r="A219" s="37"/>
      <c r="B219" s="175"/>
      <c r="C219" s="1410"/>
      <c r="D219" s="1488"/>
      <c r="E219" s="1490"/>
      <c r="F219" s="1488"/>
      <c r="G219" s="175"/>
      <c r="H219" s="175"/>
      <c r="I219" s="175"/>
      <c r="J219" s="175"/>
      <c r="K219" s="175"/>
      <c r="L219" s="175"/>
      <c r="AU219" s="178"/>
    </row>
    <row r="220" spans="1:47" x14ac:dyDescent="0.25">
      <c r="A220" s="334"/>
      <c r="B220" s="2022" t="s">
        <v>676</v>
      </c>
      <c r="C220" s="2023"/>
      <c r="D220" s="2023"/>
      <c r="E220" s="2023"/>
      <c r="F220" s="2023"/>
      <c r="G220" s="2023"/>
      <c r="H220" s="2023"/>
      <c r="I220" s="1992"/>
      <c r="J220" s="1992"/>
      <c r="K220" s="1992"/>
      <c r="L220" s="1992"/>
      <c r="M220" s="1992"/>
      <c r="N220" s="1992"/>
      <c r="O220" s="1993"/>
      <c r="V220" s="2022" t="str">
        <f>B220</f>
        <v>ENERGY STAR Dehumidifier</v>
      </c>
      <c r="W220" s="2023"/>
      <c r="X220" s="2023"/>
      <c r="Y220" s="2023"/>
      <c r="Z220" s="2023"/>
      <c r="AA220" s="2023"/>
      <c r="AB220" s="2023"/>
      <c r="AC220" s="2024"/>
      <c r="AD220" s="2024"/>
      <c r="AE220" s="2024"/>
      <c r="AF220" s="2024"/>
      <c r="AG220" s="2024"/>
      <c r="AH220" s="2024"/>
      <c r="AI220" s="2025"/>
      <c r="AU220" s="178"/>
    </row>
    <row r="221" spans="1:47" x14ac:dyDescent="0.25">
      <c r="AU221" s="178"/>
    </row>
    <row r="222" spans="1:47" ht="45" x14ac:dyDescent="0.25">
      <c r="A222"/>
      <c r="B222" s="130"/>
      <c r="C222" s="184" t="s">
        <v>16</v>
      </c>
      <c r="D222" s="184" t="s">
        <v>509</v>
      </c>
      <c r="E222" s="184" t="s">
        <v>18</v>
      </c>
      <c r="F222" s="184" t="s">
        <v>19</v>
      </c>
      <c r="G222" s="184" t="s">
        <v>20</v>
      </c>
      <c r="H222" s="184" t="s">
        <v>21</v>
      </c>
      <c r="I222" s="184" t="s">
        <v>22</v>
      </c>
      <c r="J222" s="184" t="s">
        <v>23</v>
      </c>
      <c r="K222" s="184" t="s">
        <v>24</v>
      </c>
      <c r="L222" s="184" t="s">
        <v>25</v>
      </c>
      <c r="M222" s="165"/>
      <c r="N222" s="165"/>
      <c r="O222" s="1469"/>
      <c r="V222" s="48" t="s">
        <v>26</v>
      </c>
      <c r="W222" s="49">
        <v>43252</v>
      </c>
      <c r="X222" s="49">
        <f>$X$6</f>
        <v>43465</v>
      </c>
      <c r="Y222" s="49" t="str">
        <f>$Y$6</f>
        <v>-</v>
      </c>
      <c r="Z222" s="49" t="str">
        <f>$Z$6</f>
        <v>-</v>
      </c>
      <c r="AA222" s="49" t="str">
        <f>$AA$6</f>
        <v>-</v>
      </c>
      <c r="AB222" s="49" t="str">
        <f>$AB$6</f>
        <v>-</v>
      </c>
      <c r="AC222" s="49" t="str">
        <f>$AC$6</f>
        <v>-</v>
      </c>
      <c r="AD222" s="49" t="str">
        <f>$AD$6</f>
        <v>-</v>
      </c>
      <c r="AE222" s="49" t="str">
        <f>$AE$6</f>
        <v>-</v>
      </c>
      <c r="AF222" s="49" t="str">
        <f>$AF$6</f>
        <v>-</v>
      </c>
      <c r="AG222" s="49" t="str">
        <f>$AG$6</f>
        <v>-</v>
      </c>
      <c r="AU222" s="178"/>
    </row>
    <row r="223" spans="1:47" s="319" customFormat="1" x14ac:dyDescent="0.25">
      <c r="A223" s="315"/>
      <c r="B223" s="1471"/>
      <c r="C223" s="354"/>
      <c r="D223" s="168" t="s">
        <v>1830</v>
      </c>
      <c r="E223" s="726" t="s">
        <v>676</v>
      </c>
      <c r="F223" s="1440">
        <f>G242</f>
        <v>204</v>
      </c>
      <c r="G223" s="417" t="s">
        <v>578</v>
      </c>
      <c r="H223" s="1472">
        <f>VLOOKUP(G223,'CP FACTORS'!$A$3:$B$38, 2, FALSE)</f>
        <v>9.4741810000000004E-4</v>
      </c>
      <c r="I223" s="1397">
        <f>F223*H223</f>
        <v>0.19327329240000002</v>
      </c>
      <c r="J223" s="122">
        <f>G243</f>
        <v>12</v>
      </c>
      <c r="K223" s="1094">
        <f>G244</f>
        <v>5</v>
      </c>
      <c r="L223" s="52" t="s">
        <v>31</v>
      </c>
      <c r="M223" s="1491"/>
      <c r="N223" s="1492"/>
      <c r="O223" s="1493"/>
      <c r="P223" s="318"/>
      <c r="Q223" s="318"/>
      <c r="R223" s="318"/>
      <c r="S223" s="318"/>
      <c r="T223" s="318"/>
      <c r="U223" s="318"/>
      <c r="V223" s="320" t="s">
        <v>19</v>
      </c>
      <c r="W223" s="357">
        <v>204</v>
      </c>
      <c r="X223" s="357">
        <v>204</v>
      </c>
      <c r="Y223" s="320"/>
      <c r="Z223" s="320"/>
      <c r="AA223" s="320"/>
      <c r="AB223" s="320"/>
      <c r="AC223" s="320"/>
      <c r="AD223" s="320"/>
      <c r="AE223" s="320"/>
      <c r="AF223" s="320"/>
      <c r="AG223" s="320"/>
      <c r="AU223" s="178"/>
    </row>
    <row r="224" spans="1:47" outlineLevel="1" x14ac:dyDescent="0.25">
      <c r="M224" s="1469"/>
      <c r="N224" s="1469"/>
      <c r="O224" s="1469"/>
      <c r="AU224" s="178"/>
    </row>
    <row r="225" spans="3:47" outlineLevel="1" x14ac:dyDescent="0.25">
      <c r="C225" s="1494"/>
      <c r="D225" s="1418" t="s">
        <v>463</v>
      </c>
      <c r="E225" s="1495"/>
      <c r="F225" s="1446"/>
      <c r="G225" s="1446"/>
      <c r="M225" s="1469"/>
      <c r="N225" s="1469"/>
      <c r="O225" s="1469"/>
      <c r="AU225" s="178"/>
    </row>
    <row r="226" spans="3:47" outlineLevel="1" x14ac:dyDescent="0.25">
      <c r="C226" s="1494"/>
      <c r="D226" s="1495"/>
      <c r="E226" s="1495"/>
      <c r="F226" s="1446"/>
      <c r="G226" s="1446"/>
      <c r="M226" s="1469"/>
      <c r="N226" s="1469"/>
      <c r="O226" s="1469"/>
      <c r="AU226" s="178"/>
    </row>
    <row r="227" spans="3:47" outlineLevel="1" x14ac:dyDescent="0.25">
      <c r="C227" s="1494"/>
      <c r="D227" s="1495"/>
      <c r="E227" s="1495"/>
      <c r="F227" s="1446"/>
      <c r="G227" s="1446"/>
      <c r="M227" s="1469"/>
      <c r="N227" s="1469"/>
      <c r="O227" s="1469"/>
      <c r="AU227" s="178"/>
    </row>
    <row r="228" spans="3:47" outlineLevel="1" x14ac:dyDescent="0.25">
      <c r="M228" s="1469"/>
      <c r="N228" s="1469"/>
      <c r="O228" s="1469"/>
      <c r="AU228" s="178"/>
    </row>
    <row r="229" spans="3:47" ht="15.75" outlineLevel="1" thickBot="1" x14ac:dyDescent="0.3">
      <c r="D229" s="358" t="s">
        <v>465</v>
      </c>
      <c r="E229" s="359" t="s">
        <v>466</v>
      </c>
      <c r="F229" s="360" t="s">
        <v>514</v>
      </c>
      <c r="G229" s="360" t="s">
        <v>1874</v>
      </c>
      <c r="H229" s="534" t="s">
        <v>655</v>
      </c>
      <c r="M229" s="165"/>
      <c r="N229" s="165"/>
      <c r="O229" s="1469"/>
      <c r="V229" s="48" t="s">
        <v>26</v>
      </c>
      <c r="W229" s="49">
        <v>43252</v>
      </c>
      <c r="X229" s="49">
        <f>$X$6</f>
        <v>43465</v>
      </c>
      <c r="Y229" s="49" t="str">
        <f>$Y$6</f>
        <v>-</v>
      </c>
      <c r="Z229" s="49" t="str">
        <f>$Z$6</f>
        <v>-</v>
      </c>
      <c r="AA229" s="49" t="str">
        <f>$AA$6</f>
        <v>-</v>
      </c>
      <c r="AB229" s="49" t="str">
        <f>$AB$6</f>
        <v>-</v>
      </c>
      <c r="AC229" s="49" t="str">
        <f>$AC$6</f>
        <v>-</v>
      </c>
      <c r="AD229" s="49" t="str">
        <f>$AD$6</f>
        <v>-</v>
      </c>
      <c r="AE229" s="49" t="str">
        <f>$AE$6</f>
        <v>-</v>
      </c>
      <c r="AF229" s="49" t="str">
        <f>$AF$6</f>
        <v>-</v>
      </c>
      <c r="AG229" s="49" t="str">
        <f>$AG$6</f>
        <v>-</v>
      </c>
      <c r="AU229" s="178"/>
    </row>
    <row r="230" spans="3:47" ht="31.5" customHeight="1" outlineLevel="1" x14ac:dyDescent="0.25">
      <c r="D230" s="2037" t="s">
        <v>677</v>
      </c>
      <c r="E230" s="2040" t="s">
        <v>678</v>
      </c>
      <c r="F230" s="1496" t="s">
        <v>679</v>
      </c>
      <c r="G230" s="1496">
        <v>322</v>
      </c>
      <c r="H230" s="1497" t="s">
        <v>680</v>
      </c>
      <c r="M230" s="1498"/>
      <c r="N230" s="1498"/>
      <c r="O230" s="1469"/>
      <c r="V230" s="2037" t="s">
        <v>681</v>
      </c>
      <c r="W230" s="361">
        <v>322</v>
      </c>
      <c r="X230" s="361">
        <v>322</v>
      </c>
      <c r="Y230" s="361"/>
      <c r="Z230" s="361"/>
      <c r="AA230" s="361"/>
      <c r="AB230" s="361"/>
      <c r="AC230" s="361"/>
      <c r="AD230" s="361"/>
      <c r="AE230" s="361"/>
      <c r="AF230" s="361"/>
      <c r="AG230" s="361"/>
      <c r="AU230" s="178"/>
    </row>
    <row r="231" spans="3:47" outlineLevel="1" x14ac:dyDescent="0.25">
      <c r="D231" s="2038"/>
      <c r="E231" s="2041"/>
      <c r="F231" s="1499" t="s">
        <v>682</v>
      </c>
      <c r="G231" s="1499">
        <v>482</v>
      </c>
      <c r="H231" s="1500" t="s">
        <v>680</v>
      </c>
      <c r="M231" s="1498"/>
      <c r="N231" s="1498"/>
      <c r="O231" s="1469"/>
      <c r="V231" s="2038"/>
      <c r="W231" s="362">
        <v>482</v>
      </c>
      <c r="X231" s="362">
        <v>482</v>
      </c>
      <c r="Y231" s="362"/>
      <c r="Z231" s="362"/>
      <c r="AA231" s="362"/>
      <c r="AB231" s="362"/>
      <c r="AC231" s="362"/>
      <c r="AD231" s="362"/>
      <c r="AE231" s="362"/>
      <c r="AF231" s="362"/>
      <c r="AG231" s="362"/>
      <c r="AU231" s="178"/>
    </row>
    <row r="232" spans="3:47" outlineLevel="1" x14ac:dyDescent="0.25">
      <c r="D232" s="2038"/>
      <c r="E232" s="2041"/>
      <c r="F232" s="1499" t="s">
        <v>683</v>
      </c>
      <c r="G232" s="1499">
        <v>643</v>
      </c>
      <c r="H232" s="1500" t="s">
        <v>684</v>
      </c>
      <c r="M232" s="1498"/>
      <c r="N232" s="1498"/>
      <c r="O232" s="1469"/>
      <c r="V232" s="2038"/>
      <c r="W232" s="362">
        <v>643</v>
      </c>
      <c r="X232" s="362">
        <v>643</v>
      </c>
      <c r="Y232" s="362"/>
      <c r="Z232" s="362"/>
      <c r="AA232" s="362"/>
      <c r="AB232" s="362"/>
      <c r="AC232" s="362"/>
      <c r="AD232" s="362"/>
      <c r="AE232" s="362"/>
      <c r="AF232" s="362"/>
      <c r="AG232" s="362"/>
      <c r="AU232" s="178"/>
    </row>
    <row r="233" spans="3:47" outlineLevel="1" x14ac:dyDescent="0.25">
      <c r="D233" s="2038"/>
      <c r="E233" s="2041"/>
      <c r="F233" s="1499" t="s">
        <v>685</v>
      </c>
      <c r="G233" s="1499">
        <v>804</v>
      </c>
      <c r="H233" s="1500" t="s">
        <v>686</v>
      </c>
      <c r="M233" s="1498"/>
      <c r="N233" s="1498"/>
      <c r="O233" s="1469"/>
      <c r="V233" s="2038"/>
      <c r="W233" s="362">
        <v>804</v>
      </c>
      <c r="X233" s="362">
        <v>804</v>
      </c>
      <c r="Y233" s="362"/>
      <c r="Z233" s="362"/>
      <c r="AA233" s="362"/>
      <c r="AB233" s="362"/>
      <c r="AC233" s="362"/>
      <c r="AD233" s="362"/>
      <c r="AE233" s="362"/>
      <c r="AF233" s="362"/>
      <c r="AG233" s="362"/>
      <c r="AU233" s="178"/>
    </row>
    <row r="234" spans="3:47" outlineLevel="1" x14ac:dyDescent="0.25">
      <c r="D234" s="2038"/>
      <c r="E234" s="2041"/>
      <c r="F234" s="1499" t="s">
        <v>687</v>
      </c>
      <c r="G234" s="1501">
        <v>1045</v>
      </c>
      <c r="H234" s="1500" t="s">
        <v>688</v>
      </c>
      <c r="M234" s="1502"/>
      <c r="N234" s="1502"/>
      <c r="O234" s="1469"/>
      <c r="V234" s="2038"/>
      <c r="W234" s="363">
        <v>1045</v>
      </c>
      <c r="X234" s="363">
        <v>1045</v>
      </c>
      <c r="Y234" s="363"/>
      <c r="Z234" s="363"/>
      <c r="AA234" s="363"/>
      <c r="AB234" s="363"/>
      <c r="AC234" s="363"/>
      <c r="AD234" s="363"/>
      <c r="AE234" s="363"/>
      <c r="AF234" s="363"/>
      <c r="AG234" s="363"/>
      <c r="AU234" s="178"/>
    </row>
    <row r="235" spans="3:47" ht="15.75" outlineLevel="1" thickBot="1" x14ac:dyDescent="0.3">
      <c r="D235" s="2039"/>
      <c r="E235" s="2048"/>
      <c r="F235" s="1503" t="s">
        <v>689</v>
      </c>
      <c r="G235" s="1504">
        <v>1493</v>
      </c>
      <c r="H235" s="1505" t="s">
        <v>690</v>
      </c>
      <c r="M235" s="1502"/>
      <c r="N235" s="1502"/>
      <c r="O235" s="1469"/>
      <c r="V235" s="2049"/>
      <c r="W235" s="364">
        <v>1493</v>
      </c>
      <c r="X235" s="364">
        <v>1493</v>
      </c>
      <c r="Y235" s="364"/>
      <c r="Z235" s="364"/>
      <c r="AA235" s="364"/>
      <c r="AB235" s="364"/>
      <c r="AC235" s="364"/>
      <c r="AD235" s="364"/>
      <c r="AE235" s="364"/>
      <c r="AF235" s="364"/>
      <c r="AG235" s="364"/>
      <c r="AU235" s="178"/>
    </row>
    <row r="236" spans="3:47" outlineLevel="1" x14ac:dyDescent="0.25">
      <c r="D236" s="2037" t="s">
        <v>681</v>
      </c>
      <c r="E236" s="2040" t="s">
        <v>691</v>
      </c>
      <c r="F236" s="1496" t="s">
        <v>679</v>
      </c>
      <c r="G236" s="1496">
        <v>477</v>
      </c>
      <c r="H236" s="1497" t="s">
        <v>692</v>
      </c>
      <c r="M236" s="1498"/>
      <c r="N236" s="1498"/>
      <c r="O236" s="1469"/>
      <c r="V236" s="2037" t="s">
        <v>677</v>
      </c>
      <c r="W236" s="365">
        <v>477</v>
      </c>
      <c r="X236" s="365">
        <v>477</v>
      </c>
      <c r="Y236" s="365"/>
      <c r="Z236" s="365"/>
      <c r="AA236" s="365"/>
      <c r="AB236" s="365"/>
      <c r="AC236" s="365"/>
      <c r="AD236" s="365"/>
      <c r="AE236" s="365"/>
      <c r="AF236" s="365"/>
      <c r="AG236" s="365"/>
      <c r="AU236" s="178"/>
    </row>
    <row r="237" spans="3:47" outlineLevel="1" x14ac:dyDescent="0.25">
      <c r="D237" s="2038"/>
      <c r="E237" s="2041"/>
      <c r="F237" s="1499" t="s">
        <v>682</v>
      </c>
      <c r="G237" s="1499">
        <v>714</v>
      </c>
      <c r="H237" s="1500" t="s">
        <v>692</v>
      </c>
      <c r="M237" s="1498"/>
      <c r="N237" s="1498"/>
      <c r="O237" s="1469"/>
      <c r="V237" s="2038"/>
      <c r="W237" s="366">
        <v>714</v>
      </c>
      <c r="X237" s="366">
        <v>714</v>
      </c>
      <c r="Y237" s="366"/>
      <c r="Z237" s="366"/>
      <c r="AA237" s="366"/>
      <c r="AB237" s="366"/>
      <c r="AC237" s="366"/>
      <c r="AD237" s="366"/>
      <c r="AE237" s="366"/>
      <c r="AF237" s="366"/>
      <c r="AG237" s="366"/>
      <c r="AU237" s="178"/>
    </row>
    <row r="238" spans="3:47" outlineLevel="1" x14ac:dyDescent="0.25">
      <c r="D238" s="2038"/>
      <c r="E238" s="2041"/>
      <c r="F238" s="1499" t="s">
        <v>683</v>
      </c>
      <c r="G238" s="1499">
        <v>857</v>
      </c>
      <c r="H238" s="1500" t="s">
        <v>692</v>
      </c>
      <c r="M238" s="1498"/>
      <c r="N238" s="1498"/>
      <c r="O238" s="1469"/>
      <c r="V238" s="2038"/>
      <c r="W238" s="366">
        <v>857</v>
      </c>
      <c r="X238" s="366">
        <v>857</v>
      </c>
      <c r="Y238" s="366"/>
      <c r="Z238" s="366"/>
      <c r="AA238" s="366"/>
      <c r="AB238" s="366"/>
      <c r="AC238" s="366"/>
      <c r="AD238" s="366"/>
      <c r="AE238" s="366"/>
      <c r="AF238" s="366"/>
      <c r="AG238" s="366"/>
      <c r="AU238" s="178"/>
    </row>
    <row r="239" spans="3:47" outlineLevel="1" x14ac:dyDescent="0.25">
      <c r="D239" s="2038"/>
      <c r="E239" s="2041"/>
      <c r="F239" s="1499" t="s">
        <v>685</v>
      </c>
      <c r="G239" s="1499">
        <v>1005</v>
      </c>
      <c r="H239" s="1500" t="s">
        <v>692</v>
      </c>
      <c r="M239" s="1498"/>
      <c r="N239" s="1498"/>
      <c r="O239" s="1469"/>
      <c r="V239" s="2038"/>
      <c r="W239" s="366">
        <v>1005</v>
      </c>
      <c r="X239" s="366">
        <v>1005</v>
      </c>
      <c r="Y239" s="366"/>
      <c r="Z239" s="366"/>
      <c r="AA239" s="366"/>
      <c r="AB239" s="366"/>
      <c r="AC239" s="366"/>
      <c r="AD239" s="366"/>
      <c r="AE239" s="366"/>
      <c r="AF239" s="366"/>
      <c r="AG239" s="366"/>
      <c r="AU239" s="178"/>
    </row>
    <row r="240" spans="3:47" outlineLevel="1" x14ac:dyDescent="0.25">
      <c r="D240" s="2038"/>
      <c r="E240" s="2041"/>
      <c r="F240" s="1499" t="s">
        <v>687</v>
      </c>
      <c r="G240" s="1501">
        <v>1229</v>
      </c>
      <c r="H240" s="1500" t="s">
        <v>692</v>
      </c>
      <c r="M240" s="1502"/>
      <c r="N240" s="1502"/>
      <c r="O240" s="1469"/>
      <c r="V240" s="2038"/>
      <c r="W240" s="367">
        <v>1229</v>
      </c>
      <c r="X240" s="367">
        <v>1229</v>
      </c>
      <c r="Y240" s="367"/>
      <c r="Z240" s="367"/>
      <c r="AA240" s="367"/>
      <c r="AB240" s="367"/>
      <c r="AC240" s="367"/>
      <c r="AD240" s="367"/>
      <c r="AE240" s="367"/>
      <c r="AF240" s="367"/>
      <c r="AG240" s="367"/>
      <c r="AU240" s="178"/>
    </row>
    <row r="241" spans="1:47" ht="15.75" outlineLevel="1" thickBot="1" x14ac:dyDescent="0.3">
      <c r="D241" s="2039"/>
      <c r="E241" s="2042"/>
      <c r="F241" s="1506" t="s">
        <v>689</v>
      </c>
      <c r="G241" s="1507">
        <v>1672</v>
      </c>
      <c r="H241" s="1508" t="s">
        <v>693</v>
      </c>
      <c r="M241" s="1502"/>
      <c r="N241" s="1502"/>
      <c r="O241" s="1469"/>
      <c r="V241" s="2039"/>
      <c r="W241" s="368">
        <v>1672</v>
      </c>
      <c r="X241" s="368">
        <v>1672</v>
      </c>
      <c r="Y241" s="368"/>
      <c r="Z241" s="368"/>
      <c r="AA241" s="368"/>
      <c r="AB241" s="368"/>
      <c r="AC241" s="368"/>
      <c r="AD241" s="368"/>
      <c r="AE241" s="368"/>
      <c r="AF241" s="368"/>
      <c r="AG241" s="368"/>
      <c r="AU241" s="178"/>
    </row>
    <row r="242" spans="1:47" ht="45" outlineLevel="1" x14ac:dyDescent="0.25">
      <c r="D242" s="1509" t="s">
        <v>694</v>
      </c>
      <c r="E242" s="1509" t="s">
        <v>695</v>
      </c>
      <c r="F242" s="1510"/>
      <c r="G242" s="1510">
        <v>204</v>
      </c>
      <c r="H242" s="1510"/>
      <c r="M242" s="1498"/>
      <c r="N242" s="1498"/>
      <c r="O242" s="1469"/>
      <c r="V242" s="369" t="s">
        <v>694</v>
      </c>
      <c r="W242" s="370">
        <v>204</v>
      </c>
      <c r="X242" s="370">
        <v>204</v>
      </c>
      <c r="Y242" s="370"/>
      <c r="Z242" s="370"/>
      <c r="AA242" s="370"/>
      <c r="AB242" s="370"/>
      <c r="AC242" s="370"/>
      <c r="AD242" s="370"/>
      <c r="AE242" s="370"/>
      <c r="AF242" s="370"/>
      <c r="AG242" s="370"/>
      <c r="AU242" s="178"/>
    </row>
    <row r="243" spans="1:47" ht="15" customHeight="1" outlineLevel="1" x14ac:dyDescent="0.25">
      <c r="A243" s="335"/>
      <c r="B243" s="1478"/>
      <c r="C243" s="1410"/>
      <c r="D243" s="298" t="str">
        <f>$D$52</f>
        <v>EUL</v>
      </c>
      <c r="E243" s="298" t="str">
        <f>$E$52</f>
        <v>Effective Useful Life</v>
      </c>
      <c r="F243" s="1511" t="s">
        <v>31</v>
      </c>
      <c r="G243" s="1512">
        <v>12</v>
      </c>
      <c r="H243" s="1511"/>
      <c r="I243" s="1478"/>
      <c r="J243" s="1478"/>
      <c r="K243" s="1478"/>
      <c r="L243" s="1478"/>
      <c r="V243" s="304" t="str">
        <f>D243</f>
        <v>EUL</v>
      </c>
      <c r="W243" s="349">
        <v>12</v>
      </c>
      <c r="X243" s="349">
        <v>12</v>
      </c>
      <c r="Y243" s="349"/>
      <c r="Z243" s="349"/>
      <c r="AA243" s="349"/>
      <c r="AB243" s="349"/>
      <c r="AC243" s="349"/>
      <c r="AD243" s="349"/>
      <c r="AE243" s="349"/>
      <c r="AF243" s="349"/>
      <c r="AG243" s="349"/>
      <c r="AU243" s="178"/>
    </row>
    <row r="244" spans="1:47" ht="15" customHeight="1" outlineLevel="1" x14ac:dyDescent="0.25">
      <c r="A244" s="335"/>
      <c r="B244" s="1478"/>
      <c r="C244" s="1410"/>
      <c r="D244" s="298" t="str">
        <f>$D$53</f>
        <v>Inc. Cost</v>
      </c>
      <c r="E244" s="298" t="str">
        <f>$E$53</f>
        <v>Incremental Cost ($)</v>
      </c>
      <c r="F244" s="1511" t="s">
        <v>31</v>
      </c>
      <c r="G244" s="353">
        <v>5</v>
      </c>
      <c r="H244" s="1511"/>
      <c r="I244" s="1478"/>
      <c r="J244" s="1478"/>
      <c r="K244" s="1478"/>
      <c r="L244" s="1478"/>
      <c r="V244" s="304" t="str">
        <f>D244</f>
        <v>Inc. Cost</v>
      </c>
      <c r="W244" s="338">
        <v>5</v>
      </c>
      <c r="X244" s="338">
        <v>5</v>
      </c>
      <c r="Y244" s="338"/>
      <c r="Z244" s="338"/>
      <c r="AA244" s="338"/>
      <c r="AB244" s="338"/>
      <c r="AC244" s="338"/>
      <c r="AD244" s="338"/>
      <c r="AE244" s="338"/>
      <c r="AF244" s="338"/>
      <c r="AG244" s="338"/>
      <c r="AU244" s="178"/>
    </row>
    <row r="245" spans="1:47" x14ac:dyDescent="0.25">
      <c r="D245" s="1513"/>
      <c r="E245" s="1513"/>
      <c r="F245" s="1514"/>
      <c r="G245" s="1514"/>
      <c r="H245" s="1514"/>
      <c r="AU245" s="178"/>
    </row>
    <row r="246" spans="1:47" x14ac:dyDescent="0.25">
      <c r="AU246" s="178"/>
    </row>
    <row r="247" spans="1:47" x14ac:dyDescent="0.25">
      <c r="B247" s="2022" t="s">
        <v>696</v>
      </c>
      <c r="C247" s="2023"/>
      <c r="D247" s="2023"/>
      <c r="E247" s="2023"/>
      <c r="F247" s="2023"/>
      <c r="G247" s="2023"/>
      <c r="H247" s="2023"/>
      <c r="I247" s="1992"/>
      <c r="J247" s="1992"/>
      <c r="K247" s="1992"/>
      <c r="L247" s="1992"/>
      <c r="M247" s="1992"/>
      <c r="N247" s="1992"/>
      <c r="O247" s="1993"/>
      <c r="V247" s="2022" t="str">
        <f>B247</f>
        <v>Energy Star Room AC</v>
      </c>
      <c r="W247" s="2023"/>
      <c r="X247" s="2023"/>
      <c r="Y247" s="2023"/>
      <c r="Z247" s="2023"/>
      <c r="AA247" s="2023"/>
      <c r="AB247" s="2023"/>
      <c r="AC247" s="2024"/>
      <c r="AD247" s="2024"/>
      <c r="AE247" s="2024"/>
      <c r="AF247" s="2024"/>
      <c r="AG247" s="2024"/>
      <c r="AH247" s="2024"/>
      <c r="AI247" s="2025"/>
      <c r="AU247" s="178"/>
    </row>
    <row r="248" spans="1:47" x14ac:dyDescent="0.25">
      <c r="B248" s="130"/>
      <c r="C248" s="616"/>
      <c r="D248" s="658"/>
      <c r="E248" s="658"/>
      <c r="F248" s="130"/>
      <c r="G248" s="130"/>
      <c r="H248" s="130"/>
      <c r="I248" s="130"/>
      <c r="J248" s="130"/>
      <c r="K248" s="130"/>
      <c r="L248" s="130"/>
      <c r="M248" s="130"/>
      <c r="N248" s="130"/>
      <c r="O248" s="130"/>
      <c r="AU248" s="178"/>
    </row>
    <row r="249" spans="1:47" ht="45" x14ac:dyDescent="0.25">
      <c r="B249" s="1139"/>
      <c r="C249" s="184" t="s">
        <v>16</v>
      </c>
      <c r="D249" s="184" t="s">
        <v>509</v>
      </c>
      <c r="E249" s="184" t="s">
        <v>18</v>
      </c>
      <c r="F249" s="184" t="s">
        <v>19</v>
      </c>
      <c r="G249" s="184" t="s">
        <v>20</v>
      </c>
      <c r="H249" s="184" t="s">
        <v>21</v>
      </c>
      <c r="I249" s="184" t="s">
        <v>22</v>
      </c>
      <c r="J249" s="184" t="s">
        <v>23</v>
      </c>
      <c r="K249" s="184" t="s">
        <v>24</v>
      </c>
      <c r="L249" s="184" t="s">
        <v>25</v>
      </c>
      <c r="M249" s="251"/>
      <c r="N249" s="251"/>
      <c r="O249" s="1139"/>
      <c r="V249" s="48" t="s">
        <v>26</v>
      </c>
      <c r="W249" s="49">
        <v>43252</v>
      </c>
      <c r="X249" s="49">
        <f>$X$6</f>
        <v>43465</v>
      </c>
      <c r="Y249" s="49" t="str">
        <f>$Y$6</f>
        <v>-</v>
      </c>
      <c r="Z249" s="49" t="str">
        <f>$Z$6</f>
        <v>-</v>
      </c>
      <c r="AA249" s="49" t="str">
        <f>$AA$6</f>
        <v>-</v>
      </c>
      <c r="AB249" s="49" t="str">
        <f>$AB$6</f>
        <v>-</v>
      </c>
      <c r="AC249" s="49" t="str">
        <f>$AC$6</f>
        <v>-</v>
      </c>
      <c r="AD249" s="49" t="str">
        <f>$AD$6</f>
        <v>-</v>
      </c>
      <c r="AE249" s="49" t="str">
        <f>$AE$6</f>
        <v>-</v>
      </c>
      <c r="AF249" s="49" t="str">
        <f>$AF$6</f>
        <v>-</v>
      </c>
      <c r="AG249" s="49" t="str">
        <f>$AG$6</f>
        <v>-</v>
      </c>
      <c r="AU249" s="178"/>
    </row>
    <row r="250" spans="1:47" s="371" customFormat="1" x14ac:dyDescent="0.25">
      <c r="B250" s="175"/>
      <c r="C250" s="1412"/>
      <c r="D250" s="168" t="s">
        <v>1830</v>
      </c>
      <c r="E250" s="168" t="s">
        <v>697</v>
      </c>
      <c r="F250" s="372">
        <f>(F269*F265*(1/F266-1/F267)/1000)*F272</f>
        <v>48.514633185797841</v>
      </c>
      <c r="G250" s="52" t="s">
        <v>578</v>
      </c>
      <c r="H250" s="170">
        <f>VLOOKUP(G250,'CP FACTORS'!$A$3:$B$38, 2, FALSE)</f>
        <v>9.4741810000000004E-4</v>
      </c>
      <c r="I250" s="1515">
        <f t="shared" ref="I250:I251" si="13">F250*H250</f>
        <v>4.5963641595085536E-2</v>
      </c>
      <c r="J250" s="375">
        <f t="shared" ref="J250:J251" si="14">$F$273</f>
        <v>9</v>
      </c>
      <c r="K250" s="1094">
        <f t="shared" ref="K250:K251" si="15">$F$274</f>
        <v>20</v>
      </c>
      <c r="L250" s="209" t="s">
        <v>31</v>
      </c>
      <c r="M250" s="313"/>
      <c r="N250" s="1480"/>
      <c r="O250" s="1516"/>
      <c r="P250" s="313"/>
      <c r="Q250" s="313"/>
      <c r="R250" s="1413"/>
      <c r="S250" s="313"/>
      <c r="T250" s="313"/>
      <c r="U250" s="313"/>
      <c r="V250" s="373" t="s">
        <v>19</v>
      </c>
      <c r="W250" s="1192">
        <v>39.971901865754226</v>
      </c>
      <c r="X250" s="1193">
        <v>48.514633185797841</v>
      </c>
      <c r="Y250" s="373"/>
      <c r="Z250" s="373"/>
      <c r="AA250" s="373"/>
      <c r="AB250" s="373"/>
      <c r="AC250" s="373"/>
      <c r="AD250" s="373"/>
      <c r="AE250" s="373"/>
      <c r="AF250" s="373"/>
      <c r="AG250" s="373"/>
      <c r="AI250" s="110"/>
      <c r="AJ250" s="110"/>
      <c r="AK250" s="110"/>
      <c r="AL250" s="110"/>
      <c r="AM250" s="110"/>
      <c r="AN250" s="110"/>
      <c r="AO250" s="110"/>
      <c r="AP250" s="110"/>
      <c r="AQ250" s="110"/>
      <c r="AR250" s="110"/>
      <c r="AS250" s="110"/>
      <c r="AU250" s="178"/>
    </row>
    <row r="251" spans="1:47" s="371" customFormat="1" x14ac:dyDescent="0.25">
      <c r="B251" s="175"/>
      <c r="C251" s="1412"/>
      <c r="D251" s="168" t="s">
        <v>1830</v>
      </c>
      <c r="E251" s="168" t="s">
        <v>698</v>
      </c>
      <c r="F251" s="372">
        <f>(F269*F265*(1/F266-1/F267)/1000)</f>
        <v>49.727499015442788</v>
      </c>
      <c r="G251" s="52" t="s">
        <v>578</v>
      </c>
      <c r="H251" s="170">
        <f>VLOOKUP(G251,'CP FACTORS'!$A$3:$B$38, 2, FALSE)</f>
        <v>9.4741810000000004E-4</v>
      </c>
      <c r="I251" s="1515">
        <f t="shared" si="13"/>
        <v>4.7112732634962677E-2</v>
      </c>
      <c r="J251" s="375">
        <f t="shared" si="14"/>
        <v>9</v>
      </c>
      <c r="K251" s="1094">
        <f t="shared" si="15"/>
        <v>20</v>
      </c>
      <c r="L251" s="209" t="s">
        <v>31</v>
      </c>
      <c r="M251" s="313"/>
      <c r="N251" s="1480"/>
      <c r="O251" s="1516"/>
      <c r="P251" s="313"/>
      <c r="Q251" s="313"/>
      <c r="R251" s="1413"/>
      <c r="S251" s="313"/>
      <c r="T251" s="313"/>
      <c r="U251" s="313"/>
      <c r="V251" s="373" t="s">
        <v>19</v>
      </c>
      <c r="W251" s="1192">
        <v>40.971199412398086</v>
      </c>
      <c r="X251" s="1193">
        <v>49.727499015442788</v>
      </c>
      <c r="Y251" s="373"/>
      <c r="Z251" s="373"/>
      <c r="AA251" s="373"/>
      <c r="AB251" s="373"/>
      <c r="AC251" s="373"/>
      <c r="AD251" s="373"/>
      <c r="AE251" s="373"/>
      <c r="AF251" s="373"/>
      <c r="AG251" s="373"/>
      <c r="AI251" s="110"/>
      <c r="AJ251" s="110"/>
      <c r="AK251" s="110"/>
      <c r="AL251" s="110"/>
      <c r="AM251" s="110"/>
      <c r="AN251" s="110"/>
      <c r="AO251" s="110"/>
      <c r="AP251" s="110"/>
      <c r="AQ251" s="110"/>
      <c r="AR251" s="110"/>
      <c r="AS251" s="110"/>
      <c r="AU251" s="178"/>
    </row>
    <row r="252" spans="1:47" s="371" customFormat="1" x14ac:dyDescent="0.25">
      <c r="B252" s="175"/>
      <c r="C252" s="376"/>
      <c r="D252" s="168"/>
      <c r="E252" s="168"/>
      <c r="F252" s="372"/>
      <c r="G252" s="52"/>
      <c r="H252" s="170"/>
      <c r="I252" s="1515"/>
      <c r="J252" s="375"/>
      <c r="K252" s="1094"/>
      <c r="L252" s="1517"/>
      <c r="M252" s="313"/>
      <c r="N252" s="1480"/>
      <c r="O252" s="1516"/>
      <c r="P252" s="313"/>
      <c r="Q252" s="313"/>
      <c r="R252" s="1413"/>
      <c r="S252" s="313"/>
      <c r="T252" s="313"/>
      <c r="U252" s="313"/>
      <c r="V252" s="373"/>
      <c r="W252" s="374"/>
      <c r="X252" s="377"/>
      <c r="Y252" s="373"/>
      <c r="Z252" s="373"/>
      <c r="AA252" s="373"/>
      <c r="AB252" s="373"/>
      <c r="AC252" s="373"/>
      <c r="AD252" s="373"/>
      <c r="AE252" s="373"/>
      <c r="AF252" s="373"/>
      <c r="AG252" s="373"/>
      <c r="AI252" s="110"/>
      <c r="AJ252" s="110"/>
      <c r="AK252" s="110"/>
      <c r="AL252" s="110"/>
      <c r="AM252" s="110"/>
      <c r="AN252" s="110"/>
      <c r="AO252" s="110"/>
      <c r="AP252" s="110"/>
      <c r="AQ252" s="110"/>
      <c r="AR252" s="110"/>
      <c r="AS252" s="110"/>
      <c r="AU252" s="178"/>
    </row>
    <row r="253" spans="1:47" s="371" customFormat="1" x14ac:dyDescent="0.25">
      <c r="B253" s="175"/>
      <c r="C253" s="376"/>
      <c r="D253" s="168"/>
      <c r="E253" s="168"/>
      <c r="F253" s="372"/>
      <c r="G253" s="52"/>
      <c r="H253" s="170"/>
      <c r="I253" s="1515"/>
      <c r="J253" s="375"/>
      <c r="K253" s="1094"/>
      <c r="L253" s="1517"/>
      <c r="M253" s="313"/>
      <c r="N253" s="1480"/>
      <c r="O253" s="1516"/>
      <c r="P253" s="313"/>
      <c r="Q253" s="313"/>
      <c r="R253" s="1413"/>
      <c r="S253" s="313"/>
      <c r="T253" s="313"/>
      <c r="U253" s="313"/>
      <c r="V253" s="373"/>
      <c r="W253" s="374"/>
      <c r="X253" s="375"/>
      <c r="Y253" s="373"/>
      <c r="Z253" s="373"/>
      <c r="AA253" s="373"/>
      <c r="AB253" s="373"/>
      <c r="AC253" s="373"/>
      <c r="AD253" s="373"/>
      <c r="AE253" s="373"/>
      <c r="AF253" s="373"/>
      <c r="AG253" s="373"/>
      <c r="AI253" s="110"/>
      <c r="AJ253" s="110"/>
      <c r="AK253" s="110"/>
      <c r="AL253" s="110"/>
      <c r="AM253" s="110"/>
      <c r="AN253" s="110"/>
      <c r="AO253" s="110"/>
      <c r="AP253" s="110"/>
      <c r="AQ253" s="110"/>
      <c r="AR253" s="110"/>
      <c r="AS253" s="110"/>
      <c r="AU253" s="178"/>
    </row>
    <row r="254" spans="1:47" s="371" customFormat="1" x14ac:dyDescent="0.25">
      <c r="B254" s="175"/>
      <c r="C254" s="376"/>
      <c r="D254" s="168"/>
      <c r="E254" s="168"/>
      <c r="F254" s="372"/>
      <c r="G254" s="52"/>
      <c r="H254" s="170"/>
      <c r="I254" s="1515"/>
      <c r="J254" s="375"/>
      <c r="K254" s="1094"/>
      <c r="L254" s="1517"/>
      <c r="M254" s="313"/>
      <c r="N254" s="1480"/>
      <c r="O254" s="1516"/>
      <c r="P254" s="313"/>
      <c r="Q254" s="313"/>
      <c r="R254" s="1413"/>
      <c r="S254" s="313"/>
      <c r="T254" s="313"/>
      <c r="U254" s="313"/>
      <c r="V254" s="373"/>
      <c r="W254" s="374"/>
      <c r="X254" s="377"/>
      <c r="Y254" s="373"/>
      <c r="Z254" s="373"/>
      <c r="AA254" s="373"/>
      <c r="AB254" s="373"/>
      <c r="AC254" s="373"/>
      <c r="AD254" s="373"/>
      <c r="AE254" s="373"/>
      <c r="AF254" s="373"/>
      <c r="AG254" s="373"/>
      <c r="AI254" s="110"/>
      <c r="AJ254" s="110"/>
      <c r="AK254" s="110"/>
      <c r="AL254" s="110"/>
      <c r="AM254" s="110"/>
      <c r="AN254" s="110"/>
      <c r="AO254" s="110"/>
      <c r="AP254" s="110"/>
      <c r="AQ254" s="110"/>
      <c r="AR254" s="110"/>
      <c r="AS254" s="110"/>
      <c r="AU254" s="178"/>
    </row>
    <row r="255" spans="1:47" s="371" customFormat="1" x14ac:dyDescent="0.25">
      <c r="B255" s="175"/>
      <c r="C255" s="376"/>
      <c r="D255" s="168"/>
      <c r="E255" s="168"/>
      <c r="F255" s="372"/>
      <c r="G255" s="52"/>
      <c r="H255" s="170"/>
      <c r="I255" s="1515"/>
      <c r="J255" s="375"/>
      <c r="K255" s="1094"/>
      <c r="L255" s="1517"/>
      <c r="M255" s="313"/>
      <c r="N255" s="1480"/>
      <c r="O255" s="1516"/>
      <c r="P255" s="313"/>
      <c r="Q255" s="313"/>
      <c r="R255" s="1413"/>
      <c r="S255" s="313"/>
      <c r="T255" s="313"/>
      <c r="U255" s="313"/>
      <c r="V255" s="373"/>
      <c r="W255" s="374"/>
      <c r="X255" s="375"/>
      <c r="Y255" s="373"/>
      <c r="Z255" s="373"/>
      <c r="AA255" s="373"/>
      <c r="AB255" s="373"/>
      <c r="AC255" s="373"/>
      <c r="AD255" s="373"/>
      <c r="AE255" s="373"/>
      <c r="AF255" s="373"/>
      <c r="AG255" s="373"/>
      <c r="AI255" s="110"/>
      <c r="AJ255" s="110"/>
      <c r="AK255" s="110"/>
      <c r="AL255" s="110"/>
      <c r="AM255" s="110"/>
      <c r="AN255" s="110"/>
      <c r="AO255" s="110"/>
      <c r="AP255" s="110"/>
      <c r="AQ255" s="110"/>
      <c r="AR255" s="110"/>
      <c r="AS255" s="110"/>
      <c r="AU255" s="178"/>
    </row>
    <row r="256" spans="1:47" outlineLevel="1" x14ac:dyDescent="0.25">
      <c r="B256" s="1258"/>
      <c r="C256" s="1410"/>
      <c r="D256" s="1423"/>
      <c r="E256" s="1518"/>
      <c r="F256" s="1519"/>
      <c r="G256" s="175"/>
      <c r="H256" s="175"/>
      <c r="I256" s="130"/>
      <c r="J256" s="130"/>
      <c r="K256" s="130"/>
      <c r="L256" s="1469"/>
      <c r="M256" s="1424"/>
      <c r="N256" s="1424"/>
      <c r="O256" s="1258"/>
      <c r="AU256" s="178"/>
    </row>
    <row r="257" spans="2:47" outlineLevel="1" x14ac:dyDescent="0.25">
      <c r="B257" s="1258"/>
      <c r="C257" s="1410"/>
      <c r="D257" s="1418" t="s">
        <v>463</v>
      </c>
      <c r="E257" s="1520"/>
      <c r="F257" s="1416"/>
      <c r="G257" s="175"/>
      <c r="H257" s="1258"/>
      <c r="I257" s="130"/>
      <c r="J257" s="130"/>
      <c r="K257" s="130"/>
      <c r="L257" s="175"/>
      <c r="M257" s="1424"/>
      <c r="N257" s="1424"/>
      <c r="O257" s="1258"/>
      <c r="AU257" s="178"/>
    </row>
    <row r="258" spans="2:47" outlineLevel="1" x14ac:dyDescent="0.25">
      <c r="B258" s="1258"/>
      <c r="C258" s="1410"/>
      <c r="D258" s="1423"/>
      <c r="E258" s="1521"/>
      <c r="F258" s="1416"/>
      <c r="G258" s="175"/>
      <c r="H258" s="1258"/>
      <c r="I258" s="130"/>
      <c r="J258" s="130"/>
      <c r="K258" s="130"/>
      <c r="L258" s="175"/>
      <c r="M258" s="1424"/>
      <c r="N258" s="1424"/>
      <c r="O258" s="1258"/>
      <c r="AU258" s="178"/>
    </row>
    <row r="259" spans="2:47" outlineLevel="1" x14ac:dyDescent="0.25">
      <c r="B259" s="1258"/>
      <c r="C259" s="1410"/>
      <c r="D259" s="1423"/>
      <c r="E259" s="1423"/>
      <c r="F259" s="1416"/>
      <c r="G259" s="175"/>
      <c r="H259" s="1258"/>
      <c r="I259" s="130"/>
      <c r="J259" s="130"/>
      <c r="K259" s="130"/>
      <c r="L259" s="175"/>
      <c r="M259" s="1424"/>
      <c r="N259" s="1424"/>
      <c r="O259" s="1258"/>
      <c r="AU259" s="178"/>
    </row>
    <row r="260" spans="2:47" outlineLevel="1" x14ac:dyDescent="0.25">
      <c r="B260" s="1258"/>
      <c r="C260" s="1410"/>
      <c r="D260" s="1423"/>
      <c r="E260" s="1423"/>
      <c r="F260" s="1416"/>
      <c r="G260" s="175"/>
      <c r="H260" s="1258"/>
      <c r="I260" s="130"/>
      <c r="J260" s="130"/>
      <c r="K260" s="130"/>
      <c r="L260" s="175"/>
      <c r="M260" s="1424"/>
      <c r="N260" s="1424"/>
      <c r="O260" s="1258"/>
      <c r="AU260" s="178"/>
    </row>
    <row r="261" spans="2:47" outlineLevel="1" x14ac:dyDescent="0.25">
      <c r="B261" s="1258"/>
      <c r="C261" s="1410"/>
      <c r="D261" s="1423"/>
      <c r="E261" s="1423"/>
      <c r="F261" s="1416"/>
      <c r="G261" s="175"/>
      <c r="H261" s="130"/>
      <c r="I261" s="130"/>
      <c r="J261" s="130"/>
      <c r="K261" s="130"/>
      <c r="L261" s="175"/>
      <c r="M261" s="1424"/>
      <c r="N261" s="1424"/>
      <c r="O261" s="1258"/>
      <c r="AU261" s="178"/>
    </row>
    <row r="262" spans="2:47" outlineLevel="1" x14ac:dyDescent="0.25">
      <c r="B262" s="1258"/>
      <c r="C262" s="1410"/>
      <c r="D262" s="1423"/>
      <c r="E262" s="1423"/>
      <c r="F262" s="1416"/>
      <c r="G262" s="175"/>
      <c r="H262" s="1258"/>
      <c r="I262" s="175"/>
      <c r="J262" s="175"/>
      <c r="K262" s="175"/>
      <c r="L262" s="175"/>
      <c r="M262" s="1424"/>
      <c r="N262" s="1424"/>
      <c r="O262" s="1258"/>
      <c r="AU262" s="178"/>
    </row>
    <row r="263" spans="2:47" outlineLevel="1" x14ac:dyDescent="0.25">
      <c r="B263" s="1258"/>
      <c r="C263" s="1410"/>
      <c r="D263" s="1423"/>
      <c r="E263" s="1423"/>
      <c r="F263" s="1416"/>
      <c r="G263" s="175"/>
      <c r="H263" s="175"/>
      <c r="I263" s="175"/>
      <c r="J263" s="175"/>
      <c r="K263" s="175"/>
      <c r="L263" s="175"/>
      <c r="M263" s="1424"/>
      <c r="N263" s="1424"/>
      <c r="O263" s="1258"/>
      <c r="V263" s="48" t="s">
        <v>26</v>
      </c>
      <c r="W263" s="49">
        <v>43252</v>
      </c>
      <c r="X263" s="49">
        <f>$X$6</f>
        <v>43465</v>
      </c>
      <c r="Y263" s="49" t="str">
        <f>$Y$6</f>
        <v>-</v>
      </c>
      <c r="Z263" s="49" t="str">
        <f>$Z$6</f>
        <v>-</v>
      </c>
      <c r="AA263" s="49" t="str">
        <f>$AA$6</f>
        <v>-</v>
      </c>
      <c r="AB263" s="49" t="str">
        <f>$AB$6</f>
        <v>-</v>
      </c>
      <c r="AC263" s="49" t="str">
        <f>$AC$6</f>
        <v>-</v>
      </c>
      <c r="AD263" s="49" t="str">
        <f>$AD$6</f>
        <v>-</v>
      </c>
      <c r="AE263" s="49" t="str">
        <f>$AE$6</f>
        <v>-</v>
      </c>
      <c r="AF263" s="49" t="str">
        <f>$AF$6</f>
        <v>-</v>
      </c>
      <c r="AG263" s="49" t="str">
        <f>$AG$6</f>
        <v>-</v>
      </c>
      <c r="AI263" s="49">
        <v>43252</v>
      </c>
      <c r="AJ263" s="49" t="str">
        <f>$Y$6</f>
        <v>-</v>
      </c>
      <c r="AK263" s="49" t="str">
        <f>$Y$6</f>
        <v>-</v>
      </c>
      <c r="AL263" s="49" t="str">
        <f>$Z$6</f>
        <v>-</v>
      </c>
      <c r="AM263" s="49" t="str">
        <f>$AA$6</f>
        <v>-</v>
      </c>
      <c r="AN263" s="49" t="str">
        <f>$AB$6</f>
        <v>-</v>
      </c>
      <c r="AO263" s="49" t="str">
        <f>$AC$6</f>
        <v>-</v>
      </c>
      <c r="AP263" s="49" t="str">
        <f>$AD$6</f>
        <v>-</v>
      </c>
      <c r="AQ263" s="49" t="str">
        <f>$AE$6</f>
        <v>-</v>
      </c>
      <c r="AR263" s="49" t="str">
        <f>$AF$6</f>
        <v>-</v>
      </c>
      <c r="AS263" s="49" t="str">
        <f>$AG$6</f>
        <v>-</v>
      </c>
      <c r="AU263" s="178"/>
    </row>
    <row r="264" spans="2:47" ht="30" outlineLevel="1" x14ac:dyDescent="0.25">
      <c r="B264" s="1258"/>
      <c r="C264" s="1410"/>
      <c r="D264" s="1098" t="s">
        <v>466</v>
      </c>
      <c r="E264" s="184" t="s">
        <v>699</v>
      </c>
      <c r="F264" s="1098" t="s">
        <v>700</v>
      </c>
      <c r="G264" s="184"/>
      <c r="H264" s="1098"/>
      <c r="I264" s="534" t="s">
        <v>655</v>
      </c>
      <c r="J264" s="175"/>
      <c r="K264" s="175"/>
      <c r="L264" s="175"/>
      <c r="M264" s="251"/>
      <c r="N264" s="251"/>
      <c r="O264" s="1258"/>
      <c r="V264" s="62"/>
      <c r="W264" s="63" t="s">
        <v>701</v>
      </c>
      <c r="X264" s="63" t="s">
        <v>701</v>
      </c>
      <c r="Y264" s="63" t="s">
        <v>701</v>
      </c>
      <c r="Z264" s="63" t="s">
        <v>701</v>
      </c>
      <c r="AA264" s="63" t="s">
        <v>701</v>
      </c>
      <c r="AB264" s="63" t="s">
        <v>701</v>
      </c>
      <c r="AC264" s="63" t="s">
        <v>701</v>
      </c>
      <c r="AD264" s="63" t="s">
        <v>701</v>
      </c>
      <c r="AE264" s="63" t="s">
        <v>701</v>
      </c>
      <c r="AF264" s="63" t="s">
        <v>701</v>
      </c>
      <c r="AG264" s="63" t="s">
        <v>701</v>
      </c>
      <c r="AI264" s="63" t="s">
        <v>702</v>
      </c>
      <c r="AJ264" s="63" t="s">
        <v>702</v>
      </c>
      <c r="AK264" s="63" t="s">
        <v>702</v>
      </c>
      <c r="AL264" s="63" t="s">
        <v>702</v>
      </c>
      <c r="AM264" s="63" t="s">
        <v>702</v>
      </c>
      <c r="AN264" s="63" t="s">
        <v>702</v>
      </c>
      <c r="AO264" s="63" t="s">
        <v>702</v>
      </c>
      <c r="AP264" s="63" t="s">
        <v>702</v>
      </c>
      <c r="AQ264" s="63" t="s">
        <v>702</v>
      </c>
      <c r="AR264" s="63" t="s">
        <v>702</v>
      </c>
      <c r="AS264" s="63" t="s">
        <v>702</v>
      </c>
      <c r="AU264" s="178"/>
    </row>
    <row r="265" spans="2:47" outlineLevel="1" x14ac:dyDescent="0.25">
      <c r="B265" s="1258"/>
      <c r="C265" s="1410"/>
      <c r="D265" s="348" t="s">
        <v>703</v>
      </c>
      <c r="E265" s="348" t="s">
        <v>704</v>
      </c>
      <c r="F265" s="382">
        <v>10322.173207292981</v>
      </c>
      <c r="G265" s="348"/>
      <c r="H265" s="1522"/>
      <c r="I265" s="379"/>
      <c r="J265" s="175"/>
      <c r="K265" s="175"/>
      <c r="L265" s="175"/>
      <c r="O265" s="1258"/>
      <c r="V265" s="304" t="s">
        <v>703</v>
      </c>
      <c r="W265" s="304">
        <v>9558.22711471611</v>
      </c>
      <c r="X265" s="378">
        <v>10322.173207292981</v>
      </c>
      <c r="Y265" s="314"/>
      <c r="Z265" s="314"/>
      <c r="AA265" s="314"/>
      <c r="AB265" s="314"/>
      <c r="AC265" s="314"/>
      <c r="AD265" s="314"/>
      <c r="AE265" s="314"/>
      <c r="AF265" s="314"/>
      <c r="AG265" s="314"/>
      <c r="AI265" s="306" t="s">
        <v>705</v>
      </c>
      <c r="AJ265" s="378">
        <v>11733</v>
      </c>
      <c r="AK265" s="314"/>
      <c r="AL265" s="314"/>
      <c r="AM265" s="314"/>
      <c r="AN265" s="314"/>
      <c r="AO265" s="314"/>
      <c r="AP265" s="314"/>
      <c r="AQ265" s="314"/>
      <c r="AR265" s="314"/>
      <c r="AS265" s="314"/>
      <c r="AU265" s="178"/>
    </row>
    <row r="266" spans="2:47" ht="30" outlineLevel="1" x14ac:dyDescent="0.25">
      <c r="B266" s="1258"/>
      <c r="C266" s="1410"/>
      <c r="D266" s="348" t="s">
        <v>706</v>
      </c>
      <c r="E266" s="348" t="s">
        <v>707</v>
      </c>
      <c r="F266" s="382">
        <v>10.833666904931999</v>
      </c>
      <c r="G266" s="348"/>
      <c r="H266" s="1522"/>
      <c r="I266" s="379"/>
      <c r="J266" s="175"/>
      <c r="K266" s="175"/>
      <c r="L266" s="175"/>
      <c r="O266" s="1258"/>
      <c r="V266" s="304" t="s">
        <v>708</v>
      </c>
      <c r="W266" s="304">
        <v>10.9</v>
      </c>
      <c r="X266" s="378">
        <v>10.833666904931999</v>
      </c>
      <c r="Y266" s="314"/>
      <c r="Z266" s="314"/>
      <c r="AA266" s="314"/>
      <c r="AB266" s="314"/>
      <c r="AC266" s="314"/>
      <c r="AD266" s="314"/>
      <c r="AE266" s="314"/>
      <c r="AF266" s="314"/>
      <c r="AG266" s="314"/>
      <c r="AI266" s="306" t="s">
        <v>705</v>
      </c>
      <c r="AJ266" s="378" t="s">
        <v>709</v>
      </c>
      <c r="AK266" s="314"/>
      <c r="AL266" s="314"/>
      <c r="AM266" s="314"/>
      <c r="AN266" s="314"/>
      <c r="AO266" s="314"/>
      <c r="AP266" s="314"/>
      <c r="AQ266" s="314"/>
      <c r="AR266" s="314"/>
      <c r="AS266" s="314"/>
      <c r="AU266" s="178"/>
    </row>
    <row r="267" spans="2:47" ht="46.5" customHeight="1" outlineLevel="1" x14ac:dyDescent="0.25">
      <c r="B267" s="1258"/>
      <c r="C267" s="1410"/>
      <c r="D267" s="348" t="s">
        <v>710</v>
      </c>
      <c r="E267" s="348" t="s">
        <v>711</v>
      </c>
      <c r="F267" s="380">
        <v>11.955972333179155</v>
      </c>
      <c r="G267" s="348"/>
      <c r="H267" s="1522"/>
      <c r="I267" s="379"/>
      <c r="J267" s="175"/>
      <c r="K267" s="175"/>
      <c r="L267" s="175"/>
      <c r="O267" s="1258"/>
      <c r="V267" s="304" t="s">
        <v>712</v>
      </c>
      <c r="W267" s="304">
        <v>11.9</v>
      </c>
      <c r="X267" s="378">
        <v>11.955972333179155</v>
      </c>
      <c r="Y267" s="314"/>
      <c r="Z267" s="314"/>
      <c r="AA267" s="314"/>
      <c r="AB267" s="314"/>
      <c r="AC267" s="314"/>
      <c r="AD267" s="314"/>
      <c r="AE267" s="314"/>
      <c r="AF267" s="314"/>
      <c r="AG267" s="314"/>
      <c r="AI267" s="306" t="s">
        <v>705</v>
      </c>
      <c r="AJ267" s="378">
        <v>11.6</v>
      </c>
      <c r="AK267" s="314"/>
      <c r="AL267" s="314"/>
      <c r="AM267" s="314"/>
      <c r="AN267" s="314"/>
      <c r="AO267" s="314"/>
      <c r="AP267" s="314"/>
      <c r="AQ267" s="314"/>
      <c r="AR267" s="314"/>
      <c r="AS267" s="314"/>
      <c r="AU267" s="178"/>
    </row>
    <row r="268" spans="2:47" ht="46.5" customHeight="1" outlineLevel="1" x14ac:dyDescent="0.25">
      <c r="B268" s="1258"/>
      <c r="C268" s="1410"/>
      <c r="D268" s="348" t="s">
        <v>713</v>
      </c>
      <c r="E268" s="348"/>
      <c r="F268" s="380"/>
      <c r="G268" s="348"/>
      <c r="H268" s="1522"/>
      <c r="I268" s="379"/>
      <c r="J268" s="175"/>
      <c r="K268" s="175"/>
      <c r="L268" s="175"/>
      <c r="O268" s="1258"/>
      <c r="V268" s="304"/>
      <c r="W268" s="304"/>
      <c r="X268" s="381"/>
      <c r="Y268" s="314"/>
      <c r="Z268" s="314"/>
      <c r="AA268" s="314"/>
      <c r="AB268" s="314"/>
      <c r="AC268" s="314"/>
      <c r="AD268" s="314"/>
      <c r="AE268" s="314"/>
      <c r="AF268" s="314"/>
      <c r="AG268" s="314"/>
      <c r="AI268" s="306" t="s">
        <v>705</v>
      </c>
      <c r="AJ268" s="378">
        <v>6.7</v>
      </c>
      <c r="AK268" s="314"/>
      <c r="AL268" s="314"/>
      <c r="AM268" s="314"/>
      <c r="AN268" s="314"/>
      <c r="AO268" s="314"/>
      <c r="AP268" s="314"/>
      <c r="AQ268" s="314"/>
      <c r="AR268" s="314"/>
      <c r="AS268" s="314"/>
      <c r="AU268" s="178"/>
    </row>
    <row r="269" spans="2:47" ht="45" customHeight="1" outlineLevel="1" x14ac:dyDescent="0.25">
      <c r="B269" s="1523"/>
      <c r="C269" s="1524"/>
      <c r="D269" s="348" t="s">
        <v>714</v>
      </c>
      <c r="E269" s="348" t="s">
        <v>715</v>
      </c>
      <c r="F269" s="382">
        <v>556</v>
      </c>
      <c r="G269" s="348"/>
      <c r="H269" s="382"/>
      <c r="I269" s="379"/>
      <c r="J269" s="175"/>
      <c r="K269" s="175"/>
      <c r="L269" s="175"/>
      <c r="O269" s="1523"/>
      <c r="V269" s="304" t="s">
        <v>716</v>
      </c>
      <c r="W269" s="383">
        <v>556</v>
      </c>
      <c r="X269" s="383">
        <v>556</v>
      </c>
      <c r="Y269" s="314"/>
      <c r="Z269" s="314"/>
      <c r="AA269" s="314"/>
      <c r="AB269" s="314"/>
      <c r="AC269" s="314"/>
      <c r="AD269" s="314"/>
      <c r="AE269" s="314"/>
      <c r="AF269" s="314"/>
      <c r="AG269" s="314"/>
      <c r="AI269" s="306" t="s">
        <v>705</v>
      </c>
      <c r="AJ269" s="384">
        <v>556</v>
      </c>
      <c r="AK269" s="314"/>
      <c r="AL269" s="314"/>
      <c r="AM269" s="314"/>
      <c r="AN269" s="314"/>
      <c r="AO269" s="314"/>
      <c r="AP269" s="314"/>
      <c r="AQ269" s="314"/>
      <c r="AR269" s="314"/>
      <c r="AS269" s="314"/>
      <c r="AU269" s="178"/>
    </row>
    <row r="270" spans="2:47" ht="30" customHeight="1" outlineLevel="1" x14ac:dyDescent="0.25">
      <c r="B270" s="1523"/>
      <c r="C270" s="1524"/>
      <c r="D270" s="348" t="s">
        <v>717</v>
      </c>
      <c r="E270" s="348" t="s">
        <v>718</v>
      </c>
      <c r="F270" s="382">
        <v>860</v>
      </c>
      <c r="G270" s="348"/>
      <c r="H270" s="1522"/>
      <c r="I270" s="379"/>
      <c r="J270" s="175"/>
      <c r="K270" s="175"/>
      <c r="L270" s="175"/>
      <c r="O270" s="1523"/>
      <c r="V270" s="304" t="s">
        <v>719</v>
      </c>
      <c r="W270" s="383">
        <v>860</v>
      </c>
      <c r="X270" s="383">
        <v>860</v>
      </c>
      <c r="Y270" s="314"/>
      <c r="Z270" s="314"/>
      <c r="AA270" s="314"/>
      <c r="AB270" s="314"/>
      <c r="AC270" s="314"/>
      <c r="AD270" s="314"/>
      <c r="AE270" s="314"/>
      <c r="AF270" s="314"/>
      <c r="AG270" s="314"/>
      <c r="AI270" s="306" t="s">
        <v>705</v>
      </c>
      <c r="AJ270" s="385">
        <v>1215</v>
      </c>
      <c r="AK270" s="314"/>
      <c r="AL270" s="314"/>
      <c r="AM270" s="314"/>
      <c r="AN270" s="314"/>
      <c r="AO270" s="314"/>
      <c r="AP270" s="314"/>
      <c r="AQ270" s="314"/>
      <c r="AR270" s="314"/>
      <c r="AS270" s="314"/>
      <c r="AU270" s="178"/>
    </row>
    <row r="271" spans="2:47" ht="30" customHeight="1" outlineLevel="1" x14ac:dyDescent="0.25">
      <c r="B271" s="1523"/>
      <c r="C271" s="1524"/>
      <c r="D271" s="348" t="s">
        <v>720</v>
      </c>
      <c r="E271" s="348" t="s">
        <v>721</v>
      </c>
      <c r="F271" s="382">
        <v>1000</v>
      </c>
      <c r="G271" s="348"/>
      <c r="H271" s="1522"/>
      <c r="I271" s="379"/>
      <c r="J271" s="175"/>
      <c r="K271" s="175"/>
      <c r="L271" s="175"/>
      <c r="O271" s="1523"/>
      <c r="V271" s="304" t="s">
        <v>720</v>
      </c>
      <c r="W271" s="304">
        <v>1000</v>
      </c>
      <c r="X271" s="304">
        <v>1000</v>
      </c>
      <c r="Y271" s="314"/>
      <c r="Z271" s="314"/>
      <c r="AA271" s="314"/>
      <c r="AB271" s="314"/>
      <c r="AC271" s="314"/>
      <c r="AD271" s="314"/>
      <c r="AE271" s="314"/>
      <c r="AF271" s="314"/>
      <c r="AG271" s="314"/>
      <c r="AI271" s="306" t="s">
        <v>705</v>
      </c>
      <c r="AJ271" s="378">
        <v>1000</v>
      </c>
      <c r="AK271" s="314"/>
      <c r="AL271" s="314"/>
      <c r="AM271" s="314"/>
      <c r="AN271" s="314"/>
      <c r="AO271" s="314"/>
      <c r="AP271" s="314"/>
      <c r="AQ271" s="314"/>
      <c r="AR271" s="314"/>
      <c r="AS271" s="314"/>
      <c r="AU271" s="178"/>
    </row>
    <row r="272" spans="2:47" ht="30" customHeight="1" outlineLevel="1" thickBot="1" x14ac:dyDescent="0.3">
      <c r="B272" s="1523"/>
      <c r="C272" s="1524"/>
      <c r="D272" s="348" t="s">
        <v>574</v>
      </c>
      <c r="E272" s="348" t="s">
        <v>575</v>
      </c>
      <c r="F272" s="386">
        <v>0.97560975609756095</v>
      </c>
      <c r="G272" s="348"/>
      <c r="H272" s="386"/>
      <c r="I272" s="379"/>
      <c r="J272" s="175"/>
      <c r="K272" s="175"/>
      <c r="L272" s="175"/>
      <c r="O272" s="1523"/>
      <c r="V272" s="387" t="s">
        <v>574</v>
      </c>
      <c r="W272" s="388">
        <v>0.97560975609756095</v>
      </c>
      <c r="X272" s="388">
        <v>0.97560975609756095</v>
      </c>
      <c r="Y272" s="389"/>
      <c r="Z272" s="389"/>
      <c r="AA272" s="389"/>
      <c r="AB272" s="389"/>
      <c r="AC272" s="389"/>
      <c r="AD272" s="389"/>
      <c r="AE272" s="389"/>
      <c r="AF272" s="389"/>
      <c r="AG272" s="389"/>
      <c r="AI272" s="306" t="s">
        <v>705</v>
      </c>
      <c r="AJ272" s="390">
        <v>1</v>
      </c>
      <c r="AK272" s="314"/>
      <c r="AL272" s="314"/>
      <c r="AM272" s="314"/>
      <c r="AN272" s="314"/>
      <c r="AO272" s="314"/>
      <c r="AP272" s="314"/>
      <c r="AQ272" s="314"/>
      <c r="AR272" s="314"/>
      <c r="AS272" s="314"/>
      <c r="AU272" s="178"/>
    </row>
    <row r="273" spans="1:47" ht="15" customHeight="1" outlineLevel="1" x14ac:dyDescent="0.25">
      <c r="A273" s="335"/>
      <c r="B273" s="1478"/>
      <c r="C273" s="1410"/>
      <c r="D273" s="298" t="str">
        <f>$D$52</f>
        <v>EUL</v>
      </c>
      <c r="E273" s="298"/>
      <c r="F273" s="2043">
        <v>9</v>
      </c>
      <c r="G273" s="2044"/>
      <c r="H273" s="2045"/>
      <c r="I273" s="391" t="s">
        <v>31</v>
      </c>
      <c r="J273" s="1478"/>
      <c r="K273" s="1478"/>
      <c r="L273" s="1478"/>
      <c r="V273" s="392" t="str">
        <f>D273</f>
        <v>EUL</v>
      </c>
      <c r="W273" s="393">
        <v>9</v>
      </c>
      <c r="X273" s="393">
        <v>9</v>
      </c>
      <c r="Y273" s="393"/>
      <c r="Z273" s="393"/>
      <c r="AA273" s="393"/>
      <c r="AB273" s="393"/>
      <c r="AC273" s="393"/>
      <c r="AD273" s="393"/>
      <c r="AE273" s="393"/>
      <c r="AF273" s="393"/>
      <c r="AG273" s="393"/>
      <c r="AU273" s="178"/>
    </row>
    <row r="274" spans="1:47" ht="15" customHeight="1" outlineLevel="1" x14ac:dyDescent="0.25">
      <c r="A274" s="335"/>
      <c r="B274" s="1478"/>
      <c r="C274" s="1410"/>
      <c r="D274" s="298" t="str">
        <f>$D$53</f>
        <v>Inc. Cost</v>
      </c>
      <c r="E274" s="298"/>
      <c r="F274" s="2034">
        <v>20</v>
      </c>
      <c r="G274" s="2035"/>
      <c r="H274" s="2036"/>
      <c r="I274" s="391" t="s">
        <v>31</v>
      </c>
      <c r="J274" s="1478"/>
      <c r="K274" s="1478"/>
      <c r="L274" s="1478"/>
      <c r="V274" s="304" t="str">
        <f>D274</f>
        <v>Inc. Cost</v>
      </c>
      <c r="W274" s="338">
        <v>20</v>
      </c>
      <c r="X274" s="338">
        <v>20</v>
      </c>
      <c r="Y274" s="338"/>
      <c r="Z274" s="338"/>
      <c r="AA274" s="338"/>
      <c r="AB274" s="338"/>
      <c r="AC274" s="338"/>
      <c r="AD274" s="338"/>
      <c r="AE274" s="338"/>
      <c r="AF274" s="338"/>
      <c r="AG274" s="338"/>
      <c r="AU274" s="178"/>
    </row>
    <row r="275" spans="1:47" x14ac:dyDescent="0.25">
      <c r="B275" s="175"/>
      <c r="C275" s="1410"/>
      <c r="D275" s="1525"/>
      <c r="E275" s="1525"/>
      <c r="F275" s="1526"/>
      <c r="G275" s="1527"/>
      <c r="H275" s="175"/>
      <c r="I275" s="175"/>
      <c r="J275" s="175"/>
      <c r="K275" s="175"/>
      <c r="L275" s="175"/>
      <c r="N275" s="175"/>
      <c r="O275" s="175"/>
      <c r="AU275" s="178"/>
    </row>
    <row r="276" spans="1:47" x14ac:dyDescent="0.25">
      <c r="B276" s="175"/>
      <c r="C276" s="1410"/>
      <c r="D276" s="1411"/>
      <c r="E276" s="1411"/>
      <c r="F276" s="175"/>
      <c r="G276" s="175"/>
      <c r="H276" s="175"/>
      <c r="I276" s="175"/>
      <c r="J276" s="175"/>
      <c r="K276" s="175"/>
      <c r="L276" s="175"/>
      <c r="M276" s="175"/>
      <c r="N276" s="175"/>
      <c r="O276" s="175"/>
      <c r="AU276" s="178"/>
    </row>
    <row r="277" spans="1:47" x14ac:dyDescent="0.25">
      <c r="M277" s="175"/>
      <c r="N277" s="175"/>
      <c r="O277" s="175"/>
      <c r="AU277" s="178"/>
    </row>
    <row r="278" spans="1:47" x14ac:dyDescent="0.25">
      <c r="M278" s="130"/>
      <c r="N278" s="130"/>
      <c r="O278" s="130"/>
      <c r="AU278" s="178"/>
    </row>
    <row r="279" spans="1:47" x14ac:dyDescent="0.25">
      <c r="M279" s="175"/>
      <c r="N279" s="175"/>
      <c r="O279" s="175"/>
      <c r="AU279" s="178"/>
    </row>
    <row r="280" spans="1:47" x14ac:dyDescent="0.25">
      <c r="M280" s="175"/>
      <c r="N280" s="175"/>
      <c r="O280" s="175"/>
    </row>
    <row r="307" spans="1:12" x14ac:dyDescent="0.25">
      <c r="A307"/>
      <c r="B307" s="130"/>
      <c r="K307" s="1528"/>
      <c r="L307" s="130"/>
    </row>
  </sheetData>
  <mergeCells count="107">
    <mergeCell ref="G32:H32"/>
    <mergeCell ref="G33:H33"/>
    <mergeCell ref="G45:H45"/>
    <mergeCell ref="G46:H46"/>
    <mergeCell ref="G47:H47"/>
    <mergeCell ref="G48:H48"/>
    <mergeCell ref="G49:H49"/>
    <mergeCell ref="G50:H50"/>
    <mergeCell ref="A1:P1"/>
    <mergeCell ref="D2:J2"/>
    <mergeCell ref="B4:O4"/>
    <mergeCell ref="I41:I44"/>
    <mergeCell ref="V41:V44"/>
    <mergeCell ref="G42:H42"/>
    <mergeCell ref="G43:H43"/>
    <mergeCell ref="G44:H44"/>
    <mergeCell ref="G34:H34"/>
    <mergeCell ref="G35:H35"/>
    <mergeCell ref="G36:H36"/>
    <mergeCell ref="G37:H37"/>
    <mergeCell ref="G38:H38"/>
    <mergeCell ref="G39:H39"/>
    <mergeCell ref="G40:H40"/>
    <mergeCell ref="D41:D44"/>
    <mergeCell ref="G41:H41"/>
    <mergeCell ref="V4:AI4"/>
    <mergeCell ref="G26:H26"/>
    <mergeCell ref="G27:H27"/>
    <mergeCell ref="G28:H28"/>
    <mergeCell ref="G29:H29"/>
    <mergeCell ref="G30:H30"/>
    <mergeCell ref="G31:H31"/>
    <mergeCell ref="D90:D94"/>
    <mergeCell ref="V90:V94"/>
    <mergeCell ref="D95:D99"/>
    <mergeCell ref="V95:V99"/>
    <mergeCell ref="D102:D106"/>
    <mergeCell ref="V102:V106"/>
    <mergeCell ref="G51:H51"/>
    <mergeCell ref="G52:H52"/>
    <mergeCell ref="G53:H53"/>
    <mergeCell ref="B56:O56"/>
    <mergeCell ref="V56:AI56"/>
    <mergeCell ref="D85:D89"/>
    <mergeCell ref="V85:V89"/>
    <mergeCell ref="G90:G94"/>
    <mergeCell ref="H148:I148"/>
    <mergeCell ref="J148:K148"/>
    <mergeCell ref="H149:I149"/>
    <mergeCell ref="J149:K149"/>
    <mergeCell ref="H150:I150"/>
    <mergeCell ref="J150:K150"/>
    <mergeCell ref="D108:D112"/>
    <mergeCell ref="V108:V112"/>
    <mergeCell ref="D118:D122"/>
    <mergeCell ref="V118:V122"/>
    <mergeCell ref="B128:O128"/>
    <mergeCell ref="V128:AI128"/>
    <mergeCell ref="H154:I154"/>
    <mergeCell ref="J154:K154"/>
    <mergeCell ref="H155:I155"/>
    <mergeCell ref="J155:K155"/>
    <mergeCell ref="H156:I156"/>
    <mergeCell ref="J156:K156"/>
    <mergeCell ref="H151:I151"/>
    <mergeCell ref="J151:K151"/>
    <mergeCell ref="H152:I152"/>
    <mergeCell ref="J152:K152"/>
    <mergeCell ref="H153:I153"/>
    <mergeCell ref="J153:K153"/>
    <mergeCell ref="H160:I160"/>
    <mergeCell ref="J160:K160"/>
    <mergeCell ref="H161:I161"/>
    <mergeCell ref="J161:K161"/>
    <mergeCell ref="B164:O164"/>
    <mergeCell ref="V164:AI164"/>
    <mergeCell ref="H157:I157"/>
    <mergeCell ref="J157:K157"/>
    <mergeCell ref="H158:I158"/>
    <mergeCell ref="J158:K158"/>
    <mergeCell ref="H159:I159"/>
    <mergeCell ref="J159:K159"/>
    <mergeCell ref="G211:H211"/>
    <mergeCell ref="G212:H212"/>
    <mergeCell ref="G213:H213"/>
    <mergeCell ref="G214:H214"/>
    <mergeCell ref="G215:H215"/>
    <mergeCell ref="G216:H216"/>
    <mergeCell ref="B196:O196"/>
    <mergeCell ref="V196:AI196"/>
    <mergeCell ref="G207:H207"/>
    <mergeCell ref="G208:H208"/>
    <mergeCell ref="G209:H209"/>
    <mergeCell ref="G210:H210"/>
    <mergeCell ref="F274:H274"/>
    <mergeCell ref="D236:D241"/>
    <mergeCell ref="E236:E241"/>
    <mergeCell ref="V236:V241"/>
    <mergeCell ref="B247:O247"/>
    <mergeCell ref="V247:AI247"/>
    <mergeCell ref="F273:H273"/>
    <mergeCell ref="G217:H217"/>
    <mergeCell ref="B220:O220"/>
    <mergeCell ref="V220:AI220"/>
    <mergeCell ref="D230:D235"/>
    <mergeCell ref="E230:E235"/>
    <mergeCell ref="V230:V235"/>
  </mergeCells>
  <hyperlinks>
    <hyperlink ref="C238" location="_ftn2" display="_ftn2"/>
    <hyperlink ref="V230" location="_ftn1" display="_ftn1"/>
  </hyperlinks>
  <pageMargins left="0.7" right="0.7" top="0.75" bottom="0.75" header="0.3" footer="0.3"/>
  <pageSetup scale="10" fitToHeight="0" orientation="portrait" r:id="rId1"/>
  <rowBreaks count="1" manualBreakCount="1">
    <brk id="218" max="16383"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229"/>
  <sheetViews>
    <sheetView showGridLines="0" zoomScale="70" zoomScaleNormal="70" workbookViewId="0">
      <selection activeCell="B2" sqref="B1:U1048576"/>
    </sheetView>
  </sheetViews>
  <sheetFormatPr defaultRowHeight="15" outlineLevelRow="1" x14ac:dyDescent="0.25"/>
  <cols>
    <col min="1" max="1" width="3" customWidth="1"/>
    <col min="2" max="2" width="9.140625" style="130"/>
    <col min="3" max="3" width="12.5703125" style="616" customWidth="1"/>
    <col min="4" max="4" width="18" style="658" customWidth="1"/>
    <col min="5" max="5" width="41.7109375" style="658" customWidth="1"/>
    <col min="6" max="6" width="17.42578125" style="130" customWidth="1"/>
    <col min="7" max="7" width="48.85546875" style="130" customWidth="1"/>
    <col min="8" max="8" width="27.140625" style="130" customWidth="1"/>
    <col min="9" max="9" width="42.7109375" style="130" customWidth="1"/>
    <col min="10" max="10" width="22.42578125" style="130" customWidth="1"/>
    <col min="11" max="11" width="10.28515625" style="130" customWidth="1"/>
    <col min="12" max="12" width="14.7109375" style="130" customWidth="1"/>
    <col min="13" max="13" width="14.7109375" style="514" customWidth="1"/>
    <col min="14" max="14" width="13.5703125" style="130" customWidth="1"/>
    <col min="15" max="15" width="17.28515625" style="130" customWidth="1"/>
    <col min="16" max="21" width="9.140625" style="130" customWidth="1"/>
    <col min="22" max="22" width="27.28515625" customWidth="1"/>
    <col min="23" max="23" width="14.5703125" customWidth="1"/>
    <col min="24" max="24" width="16.7109375" customWidth="1"/>
    <col min="25" max="33" width="14.5703125" customWidth="1"/>
    <col min="35" max="45" width="19.7109375" customWidth="1"/>
    <col min="47" max="57" width="20.140625" bestFit="1" customWidth="1"/>
    <col min="59" max="69" width="18" customWidth="1"/>
  </cols>
  <sheetData>
    <row r="1" spans="1:36" s="22" customFormat="1" ht="18.75" x14ac:dyDescent="0.3">
      <c r="A1" s="2028" t="s">
        <v>722</v>
      </c>
      <c r="B1" s="2097"/>
      <c r="C1" s="2097"/>
      <c r="D1" s="2097"/>
      <c r="E1" s="2097"/>
      <c r="F1" s="2097"/>
      <c r="G1" s="2097"/>
      <c r="H1" s="2097"/>
      <c r="I1" s="2097"/>
      <c r="J1" s="2097"/>
      <c r="K1" s="2097"/>
      <c r="L1" s="2097"/>
      <c r="M1" s="2097"/>
      <c r="N1" s="2097"/>
      <c r="O1" s="2097"/>
      <c r="P1" s="1225"/>
      <c r="Q1" s="1225"/>
      <c r="R1" s="1223"/>
      <c r="S1" s="1222"/>
      <c r="T1" s="1222"/>
      <c r="U1" s="1222"/>
      <c r="V1" s="27"/>
      <c r="W1" s="28"/>
      <c r="X1" s="28"/>
      <c r="Y1" s="29"/>
      <c r="Z1" s="29"/>
      <c r="AA1" s="29"/>
      <c r="AB1" s="29"/>
      <c r="AC1" s="29"/>
      <c r="AD1" s="29"/>
      <c r="AE1" s="29"/>
      <c r="AF1" s="29"/>
      <c r="AG1" s="29"/>
      <c r="AH1" s="29"/>
    </row>
    <row r="2" spans="1:36" s="22" customFormat="1" ht="30" customHeight="1" outlineLevel="1" x14ac:dyDescent="0.35">
      <c r="B2" s="1226"/>
      <c r="C2" s="1229"/>
      <c r="D2" s="2002" t="s">
        <v>1858</v>
      </c>
      <c r="E2" s="2032"/>
      <c r="F2" s="2033"/>
      <c r="G2" s="2033"/>
      <c r="H2" s="2033"/>
      <c r="I2" s="2033"/>
      <c r="J2" s="2033"/>
      <c r="K2" s="1228"/>
      <c r="L2" s="1228"/>
      <c r="M2" s="1222"/>
      <c r="N2" s="1222"/>
      <c r="O2" s="1222"/>
      <c r="P2" s="1222"/>
      <c r="Q2" s="1222"/>
      <c r="R2" s="1222"/>
      <c r="S2" s="1222"/>
      <c r="T2" s="1222"/>
      <c r="U2" s="1222"/>
    </row>
    <row r="3" spans="1:36" s="24" customFormat="1" ht="33.75" customHeight="1" x14ac:dyDescent="0.25">
      <c r="B3" s="1223"/>
      <c r="C3" s="1224"/>
      <c r="D3" s="1409"/>
      <c r="E3" s="1409"/>
      <c r="F3" s="1224"/>
      <c r="G3" s="1224"/>
      <c r="H3" s="1224"/>
      <c r="I3" s="1224"/>
      <c r="J3" s="1224"/>
      <c r="K3" s="1223"/>
      <c r="L3" s="1223"/>
      <c r="M3" s="1529"/>
      <c r="N3" s="1223"/>
      <c r="O3" s="1223"/>
      <c r="P3" s="1223"/>
      <c r="Q3" s="1223"/>
      <c r="R3" s="1223"/>
      <c r="S3" s="1223"/>
      <c r="T3" s="1223"/>
      <c r="U3" s="1223"/>
    </row>
    <row r="4" spans="1:36" x14ac:dyDescent="0.25">
      <c r="B4" s="2022" t="s">
        <v>723</v>
      </c>
      <c r="C4" s="2023"/>
      <c r="D4" s="2023"/>
      <c r="E4" s="2023"/>
      <c r="F4" s="2023"/>
      <c r="G4" s="2023"/>
      <c r="H4" s="2023"/>
      <c r="I4" s="1992"/>
      <c r="J4" s="1992"/>
      <c r="K4" s="1992"/>
      <c r="L4" s="1992"/>
      <c r="M4" s="1992"/>
      <c r="N4" s="1993"/>
      <c r="O4" s="904"/>
      <c r="P4" s="904"/>
      <c r="Q4" s="904"/>
      <c r="V4" s="2022" t="str">
        <f>B4</f>
        <v>Dirty Filter Alarm</v>
      </c>
      <c r="W4" s="2023"/>
      <c r="X4" s="2023"/>
      <c r="Y4" s="2023"/>
      <c r="Z4" s="2023"/>
      <c r="AA4" s="2023"/>
      <c r="AB4" s="2023"/>
      <c r="AC4" s="2024"/>
      <c r="AD4" s="2024"/>
      <c r="AE4" s="2024"/>
      <c r="AF4" s="2024"/>
      <c r="AG4" s="2024"/>
      <c r="AH4" s="2025"/>
    </row>
    <row r="5" spans="1:36" x14ac:dyDescent="0.25">
      <c r="B5" s="1530"/>
      <c r="C5" s="1434"/>
      <c r="D5" s="1435"/>
      <c r="E5" s="1435"/>
      <c r="F5" s="1436"/>
      <c r="G5" s="1436"/>
      <c r="H5" s="1436"/>
      <c r="I5" s="1436"/>
      <c r="J5" s="1436"/>
      <c r="K5" s="1436"/>
      <c r="L5" s="1437"/>
      <c r="M5" s="1452"/>
      <c r="N5" s="904"/>
      <c r="O5" s="904"/>
      <c r="P5" s="904"/>
      <c r="Q5" s="904"/>
    </row>
    <row r="6" spans="1:36" ht="45" x14ac:dyDescent="0.25">
      <c r="B6" s="1087"/>
      <c r="C6" s="184" t="s">
        <v>16</v>
      </c>
      <c r="D6" s="184" t="s">
        <v>509</v>
      </c>
      <c r="E6" s="184" t="s">
        <v>18</v>
      </c>
      <c r="F6" s="184" t="s">
        <v>19</v>
      </c>
      <c r="G6" s="184" t="s">
        <v>20</v>
      </c>
      <c r="H6" s="184" t="s">
        <v>21</v>
      </c>
      <c r="I6" s="184" t="s">
        <v>724</v>
      </c>
      <c r="J6" s="184" t="s">
        <v>725</v>
      </c>
      <c r="K6" s="184" t="s">
        <v>22</v>
      </c>
      <c r="L6" s="448" t="s">
        <v>23</v>
      </c>
      <c r="M6" s="184" t="s">
        <v>24</v>
      </c>
      <c r="N6" s="184" t="s">
        <v>25</v>
      </c>
      <c r="P6" s="251"/>
      <c r="Q6" s="251"/>
      <c r="V6" s="48" t="s">
        <v>26</v>
      </c>
      <c r="W6" s="49">
        <v>43252</v>
      </c>
      <c r="X6" s="49">
        <v>43465</v>
      </c>
      <c r="Y6" s="49" t="s">
        <v>27</v>
      </c>
      <c r="Z6" s="49" t="s">
        <v>27</v>
      </c>
      <c r="AA6" s="49" t="s">
        <v>27</v>
      </c>
      <c r="AB6" s="49" t="s">
        <v>27</v>
      </c>
      <c r="AC6" s="49" t="s">
        <v>27</v>
      </c>
      <c r="AD6" s="49" t="s">
        <v>27</v>
      </c>
      <c r="AE6" s="49" t="s">
        <v>27</v>
      </c>
      <c r="AF6" s="49" t="s">
        <v>27</v>
      </c>
      <c r="AG6" s="49" t="s">
        <v>27</v>
      </c>
    </row>
    <row r="7" spans="1:36" x14ac:dyDescent="0.25">
      <c r="B7" s="1087"/>
      <c r="C7" s="1531"/>
      <c r="D7" s="1066" t="s">
        <v>726</v>
      </c>
      <c r="E7" s="1066" t="s">
        <v>727</v>
      </c>
      <c r="F7" s="1532">
        <f>I7+J7</f>
        <v>64.253294436813192</v>
      </c>
      <c r="G7" s="559" t="s">
        <v>728</v>
      </c>
      <c r="H7" s="170">
        <f>VLOOKUP(G7,'CP FACTORS'!$A$3:$B$38, 2, FALSE)</f>
        <v>4.6608050000000002E-4</v>
      </c>
      <c r="I7" s="1533">
        <f>F$17*F$19*F$20*F$21*F22*F24</f>
        <v>38.778046153846155</v>
      </c>
      <c r="J7" s="1533">
        <f>F$26*F$19*F$28*F$21*F22*F24</f>
        <v>25.475248282967033</v>
      </c>
      <c r="K7" s="1534">
        <f>H7*F7</f>
        <v>2.9947207597757111E-2</v>
      </c>
      <c r="L7" s="525">
        <f>$F$29</f>
        <v>14</v>
      </c>
      <c r="M7" s="410">
        <f>F30</f>
        <v>5</v>
      </c>
      <c r="N7" s="1531" t="s">
        <v>31</v>
      </c>
      <c r="Q7" s="529"/>
      <c r="R7" s="1413"/>
      <c r="V7" s="176" t="str">
        <f>F6</f>
        <v>kWh Annual Savings</v>
      </c>
      <c r="W7" s="1186">
        <v>68.110226249999997</v>
      </c>
      <c r="X7" s="1195">
        <v>64.253294436813192</v>
      </c>
      <c r="Y7" s="176"/>
      <c r="Z7" s="176"/>
      <c r="AA7" s="176"/>
      <c r="AB7" s="176"/>
      <c r="AC7" s="176"/>
      <c r="AD7" s="176"/>
      <c r="AE7" s="176"/>
      <c r="AF7" s="176"/>
      <c r="AG7" s="176"/>
    </row>
    <row r="8" spans="1:36" x14ac:dyDescent="0.25">
      <c r="B8" s="1087"/>
      <c r="C8" s="1531"/>
      <c r="D8" s="1066" t="s">
        <v>726</v>
      </c>
      <c r="E8" s="1066" t="s">
        <v>729</v>
      </c>
      <c r="F8" s="1532">
        <f>I8+J8</f>
        <v>171.76499999999999</v>
      </c>
      <c r="G8" s="559" t="s">
        <v>728</v>
      </c>
      <c r="H8" s="170">
        <f>VLOOKUP(G8,'CP FACTORS'!$A$3:$B$38, 2, FALSE)</f>
        <v>4.6608050000000002E-4</v>
      </c>
      <c r="I8" s="1533">
        <f>F$18*F$19*F$20*F$21*F23*F25</f>
        <v>106.59</v>
      </c>
      <c r="J8" s="1533">
        <f>F$27*F$19*F$28*F$21*F23*F25</f>
        <v>65.174999999999997</v>
      </c>
      <c r="K8" s="1534">
        <f>H8*F8</f>
        <v>8.0056317082499995E-2</v>
      </c>
      <c r="L8" s="525">
        <f>$F$29</f>
        <v>14</v>
      </c>
      <c r="M8" s="410">
        <f>F31</f>
        <v>5</v>
      </c>
      <c r="N8" s="1531" t="s">
        <v>31</v>
      </c>
      <c r="Q8" s="529"/>
      <c r="R8" s="1413"/>
      <c r="V8" s="176" t="str">
        <f>V7</f>
        <v>kWh Annual Savings</v>
      </c>
      <c r="W8" s="1186">
        <v>79.197937499999995</v>
      </c>
      <c r="X8" s="1195">
        <v>171.76499999999999</v>
      </c>
      <c r="Y8" s="176"/>
      <c r="Z8" s="176"/>
      <c r="AA8" s="176"/>
      <c r="AB8" s="176"/>
      <c r="AC8" s="176"/>
      <c r="AD8" s="176"/>
      <c r="AE8" s="176"/>
      <c r="AF8" s="176"/>
      <c r="AG8" s="176"/>
    </row>
    <row r="9" spans="1:36" outlineLevel="1" x14ac:dyDescent="0.25">
      <c r="B9" s="1087"/>
      <c r="C9" s="1535"/>
      <c r="D9" s="1536"/>
      <c r="E9" s="1536"/>
      <c r="F9" s="1537"/>
      <c r="G9" s="1538"/>
      <c r="H9" s="1539"/>
      <c r="I9" s="1540"/>
      <c r="J9" s="1541"/>
      <c r="K9" s="1542"/>
      <c r="L9" s="1543"/>
      <c r="M9" s="1544"/>
      <c r="N9" s="1545"/>
      <c r="R9" s="1413"/>
      <c r="W9" s="56"/>
    </row>
    <row r="10" spans="1:36" outlineLevel="1" x14ac:dyDescent="0.25">
      <c r="B10" s="1087"/>
      <c r="C10" s="1434"/>
      <c r="D10" s="1418" t="s">
        <v>463</v>
      </c>
      <c r="E10" s="1546"/>
      <c r="F10" s="1547"/>
      <c r="G10" s="1548"/>
      <c r="H10" s="904"/>
      <c r="I10" s="904"/>
      <c r="J10" s="904"/>
      <c r="K10" s="904"/>
      <c r="L10" s="904"/>
      <c r="M10" s="1452"/>
      <c r="N10" s="904"/>
      <c r="O10" s="904"/>
      <c r="P10" s="904"/>
      <c r="Q10" s="904"/>
      <c r="R10" s="1413"/>
    </row>
    <row r="11" spans="1:36" outlineLevel="1" x14ac:dyDescent="0.25">
      <c r="B11" s="1087"/>
      <c r="C11" s="1434"/>
      <c r="D11" s="1549"/>
      <c r="E11" s="1549"/>
      <c r="F11" s="1550"/>
      <c r="G11" s="1550"/>
      <c r="H11" s="904"/>
      <c r="I11" s="904"/>
      <c r="J11" s="904"/>
      <c r="K11" s="904"/>
      <c r="L11" s="904"/>
      <c r="M11" s="1452"/>
      <c r="N11" s="904"/>
      <c r="O11" s="904"/>
      <c r="P11" s="904"/>
      <c r="Q11" s="904"/>
      <c r="R11" s="1413"/>
    </row>
    <row r="12" spans="1:36" outlineLevel="1" x14ac:dyDescent="0.25">
      <c r="B12" s="1087"/>
      <c r="C12" s="1434"/>
      <c r="D12" s="1549"/>
      <c r="E12" s="1549"/>
      <c r="F12" s="1550"/>
      <c r="G12" s="1550"/>
      <c r="H12" s="904"/>
      <c r="I12" s="904"/>
      <c r="J12" s="904"/>
      <c r="K12" s="904"/>
      <c r="L12" s="904"/>
      <c r="M12" s="1452"/>
      <c r="N12" s="904"/>
      <c r="O12" s="904"/>
      <c r="P12" s="904"/>
      <c r="Q12" s="904"/>
      <c r="R12" s="1413"/>
    </row>
    <row r="13" spans="1:36" outlineLevel="1" x14ac:dyDescent="0.25">
      <c r="B13" s="1087"/>
      <c r="C13" s="1434"/>
      <c r="D13" s="1549"/>
      <c r="E13" s="1549"/>
      <c r="F13" s="1550"/>
      <c r="G13" s="1550"/>
      <c r="H13" s="904"/>
      <c r="I13" s="904"/>
      <c r="J13" s="904"/>
      <c r="K13" s="904"/>
      <c r="L13" s="904"/>
      <c r="M13" s="1452"/>
      <c r="N13" s="904"/>
      <c r="O13" s="904"/>
      <c r="P13" s="904"/>
      <c r="Q13" s="904"/>
      <c r="R13" s="1413"/>
    </row>
    <row r="14" spans="1:36" outlineLevel="1" x14ac:dyDescent="0.25">
      <c r="B14" s="1087"/>
      <c r="C14" s="1434"/>
      <c r="D14" s="1549"/>
      <c r="E14" s="1549"/>
      <c r="F14" s="1550"/>
      <c r="G14" s="1550"/>
      <c r="H14" s="904"/>
      <c r="I14" s="904"/>
      <c r="J14" s="904"/>
      <c r="K14" s="904"/>
      <c r="L14" s="904"/>
      <c r="M14" s="1452"/>
      <c r="N14" s="904"/>
      <c r="O14" s="904"/>
      <c r="P14" s="904"/>
      <c r="Q14" s="904"/>
      <c r="R14" s="1413"/>
    </row>
    <row r="15" spans="1:36" outlineLevel="1" x14ac:dyDescent="0.25">
      <c r="B15" s="1087"/>
      <c r="C15" s="1434"/>
      <c r="D15" s="1546"/>
      <c r="E15" s="1546"/>
      <c r="F15" s="1548"/>
      <c r="G15" s="1548"/>
      <c r="H15" s="904"/>
      <c r="I15" s="904"/>
      <c r="J15" s="904"/>
      <c r="K15" s="904"/>
      <c r="L15" s="904"/>
      <c r="M15" s="1452"/>
      <c r="N15" s="904"/>
      <c r="O15" s="904"/>
      <c r="P15" s="904"/>
      <c r="Q15" s="904"/>
      <c r="R15" s="1413"/>
    </row>
    <row r="16" spans="1:36" outlineLevel="1" x14ac:dyDescent="0.25">
      <c r="B16" s="1087"/>
      <c r="C16" s="1434"/>
      <c r="D16" s="1098" t="s">
        <v>465</v>
      </c>
      <c r="E16" s="1098" t="s">
        <v>466</v>
      </c>
      <c r="F16" s="184" t="s">
        <v>467</v>
      </c>
      <c r="G16" s="184" t="s">
        <v>515</v>
      </c>
      <c r="H16" s="184" t="s">
        <v>592</v>
      </c>
      <c r="I16" s="904"/>
      <c r="J16" s="904"/>
      <c r="K16" s="904"/>
      <c r="L16" s="904"/>
      <c r="M16" s="529"/>
      <c r="N16" s="529"/>
      <c r="O16" s="1551"/>
      <c r="P16" s="904"/>
      <c r="Q16" s="904"/>
      <c r="R16" s="1413"/>
      <c r="V16" s="48" t="s">
        <v>26</v>
      </c>
      <c r="W16" s="49">
        <f>$W$6</f>
        <v>43252</v>
      </c>
      <c r="X16" s="49">
        <f>$X$6</f>
        <v>43465</v>
      </c>
      <c r="Y16" s="49" t="str">
        <f>$Y$6</f>
        <v>-</v>
      </c>
      <c r="Z16" s="49" t="str">
        <f>$Z$6</f>
        <v>-</v>
      </c>
      <c r="AA16" s="49" t="str">
        <f>$AA$6</f>
        <v>-</v>
      </c>
      <c r="AB16" s="49" t="str">
        <f>$AB$6</f>
        <v>-</v>
      </c>
      <c r="AC16" s="49" t="str">
        <f>$AC$6</f>
        <v>-</v>
      </c>
      <c r="AD16" s="49" t="str">
        <f>$AD$6</f>
        <v>-</v>
      </c>
      <c r="AE16" s="49" t="str">
        <f>$AE$6</f>
        <v>-</v>
      </c>
      <c r="AF16" s="49" t="str">
        <f>$AF$6</f>
        <v>-</v>
      </c>
      <c r="AG16" s="49" t="str">
        <f>$AG$6</f>
        <v>-</v>
      </c>
      <c r="AH16" s="398"/>
      <c r="AI16" s="398"/>
      <c r="AJ16" s="398"/>
    </row>
    <row r="17" spans="2:33" outlineLevel="1" x14ac:dyDescent="0.25">
      <c r="B17" s="1087"/>
      <c r="C17" s="1434"/>
      <c r="D17" s="2055" t="s">
        <v>730</v>
      </c>
      <c r="E17" s="899" t="s">
        <v>731</v>
      </c>
      <c r="F17" s="267">
        <v>0.8571428571428571</v>
      </c>
      <c r="G17" s="402" t="s">
        <v>1780</v>
      </c>
      <c r="H17" s="268"/>
      <c r="I17" s="904"/>
      <c r="J17" s="904"/>
      <c r="K17" s="904"/>
      <c r="L17" s="904"/>
      <c r="M17" s="1552"/>
      <c r="N17" s="1551"/>
      <c r="O17" s="1551"/>
      <c r="P17" s="904"/>
      <c r="Q17" s="904"/>
      <c r="R17" s="1413"/>
      <c r="V17" s="2058" t="str">
        <f>D17</f>
        <v>%Heating</v>
      </c>
      <c r="W17" s="269">
        <v>0.95</v>
      </c>
      <c r="X17" s="399">
        <v>0.8571428571428571</v>
      </c>
      <c r="Y17" s="176"/>
      <c r="Z17" s="176"/>
      <c r="AA17" s="176"/>
      <c r="AB17" s="176"/>
      <c r="AC17" s="176"/>
      <c r="AD17" s="176"/>
      <c r="AE17" s="176"/>
      <c r="AF17" s="176"/>
      <c r="AG17" s="176"/>
    </row>
    <row r="18" spans="2:33" outlineLevel="1" x14ac:dyDescent="0.25">
      <c r="B18" s="1087"/>
      <c r="C18" s="1434"/>
      <c r="D18" s="2056"/>
      <c r="E18" s="899" t="s">
        <v>732</v>
      </c>
      <c r="F18" s="404">
        <v>0.95</v>
      </c>
      <c r="G18" s="402" t="s">
        <v>1317</v>
      </c>
      <c r="H18" s="268"/>
      <c r="I18" s="904"/>
      <c r="J18" s="904"/>
      <c r="K18" s="904"/>
      <c r="L18" s="904"/>
      <c r="M18" s="1452"/>
      <c r="N18" s="904"/>
      <c r="O18" s="904"/>
      <c r="P18" s="904"/>
      <c r="Q18" s="904"/>
      <c r="R18" s="1413"/>
      <c r="V18" s="2059"/>
      <c r="W18" s="400">
        <f>W17</f>
        <v>0.95</v>
      </c>
      <c r="X18" s="1136">
        <v>0.95</v>
      </c>
      <c r="Y18" s="176"/>
      <c r="Z18" s="176"/>
      <c r="AA18" s="176"/>
      <c r="AB18" s="176"/>
      <c r="AC18" s="176"/>
      <c r="AD18" s="176"/>
      <c r="AE18" s="176"/>
      <c r="AF18" s="176"/>
      <c r="AG18" s="176"/>
    </row>
    <row r="19" spans="2:33" outlineLevel="1" x14ac:dyDescent="0.25">
      <c r="B19" s="1087"/>
      <c r="C19" s="1434"/>
      <c r="D19" s="407" t="s">
        <v>22</v>
      </c>
      <c r="E19" s="899" t="s">
        <v>483</v>
      </c>
      <c r="F19" s="401">
        <v>0.5</v>
      </c>
      <c r="G19" s="402" t="s">
        <v>593</v>
      </c>
      <c r="H19" s="268"/>
      <c r="I19" s="904"/>
      <c r="J19" s="904"/>
      <c r="K19" s="904"/>
      <c r="L19" s="904"/>
      <c r="M19" s="1452"/>
      <c r="N19" s="904"/>
      <c r="O19" s="904"/>
      <c r="P19" s="904"/>
      <c r="Q19" s="904"/>
      <c r="R19" s="1413"/>
      <c r="V19" s="288" t="str">
        <f>D19</f>
        <v>kW</v>
      </c>
      <c r="W19" s="403">
        <v>0.5</v>
      </c>
      <c r="X19" s="403">
        <v>0.5</v>
      </c>
      <c r="Y19" s="176"/>
      <c r="Z19" s="176"/>
      <c r="AA19" s="176"/>
      <c r="AB19" s="176"/>
      <c r="AC19" s="176"/>
      <c r="AD19" s="176"/>
      <c r="AE19" s="176"/>
      <c r="AF19" s="176"/>
      <c r="AG19" s="176"/>
    </row>
    <row r="20" spans="2:33" ht="18.75" outlineLevel="1" thickBot="1" x14ac:dyDescent="0.3">
      <c r="B20" s="1087"/>
      <c r="C20" s="1434"/>
      <c r="D20" s="407" t="s">
        <v>733</v>
      </c>
      <c r="E20" s="899" t="s">
        <v>483</v>
      </c>
      <c r="F20" s="276">
        <v>1496</v>
      </c>
      <c r="G20" s="1553" t="s">
        <v>1781</v>
      </c>
      <c r="H20" s="268"/>
      <c r="I20" s="904"/>
      <c r="J20" s="904"/>
      <c r="K20" s="904"/>
      <c r="L20" s="904"/>
      <c r="M20" s="1452"/>
      <c r="N20" s="904"/>
      <c r="O20" s="904"/>
      <c r="P20" s="904"/>
      <c r="Q20" s="904"/>
      <c r="R20" s="1413"/>
      <c r="V20" s="288" t="str">
        <f>D20</f>
        <v>EFLHheat</v>
      </c>
      <c r="W20" s="300">
        <v>1496</v>
      </c>
      <c r="X20" s="300">
        <v>1496</v>
      </c>
      <c r="Y20" s="176"/>
      <c r="Z20" s="176"/>
      <c r="AA20" s="176"/>
      <c r="AB20" s="176"/>
      <c r="AC20" s="176"/>
      <c r="AD20" s="176"/>
      <c r="AE20" s="176"/>
      <c r="AF20" s="176"/>
      <c r="AG20" s="176"/>
    </row>
    <row r="21" spans="2:33" ht="39" outlineLevel="1" thickBot="1" x14ac:dyDescent="0.3">
      <c r="B21" s="1087"/>
      <c r="C21" s="1434"/>
      <c r="D21" s="899" t="s">
        <v>734</v>
      </c>
      <c r="E21" s="899" t="s">
        <v>483</v>
      </c>
      <c r="F21" s="267">
        <v>0.15</v>
      </c>
      <c r="G21" s="1553" t="s">
        <v>735</v>
      </c>
      <c r="H21" s="268"/>
      <c r="I21" s="904"/>
      <c r="J21" s="904"/>
      <c r="K21" s="904"/>
      <c r="L21" s="904"/>
      <c r="M21" s="1452"/>
      <c r="N21" s="904"/>
      <c r="O21" s="904"/>
      <c r="P21" s="904"/>
      <c r="Q21" s="904"/>
      <c r="R21" s="1413"/>
      <c r="V21" s="288" t="str">
        <f>D21</f>
        <v>EI</v>
      </c>
      <c r="W21" s="400">
        <v>0.15</v>
      </c>
      <c r="X21" s="400">
        <v>0.15</v>
      </c>
      <c r="Y21" s="176"/>
      <c r="Z21" s="176"/>
      <c r="AA21" s="176"/>
      <c r="AB21" s="176"/>
      <c r="AC21" s="176"/>
      <c r="AD21" s="176"/>
      <c r="AE21" s="176"/>
      <c r="AF21" s="176"/>
      <c r="AG21" s="176"/>
    </row>
    <row r="22" spans="2:33" ht="15.75" outlineLevel="1" thickBot="1" x14ac:dyDescent="0.3">
      <c r="B22" s="1087"/>
      <c r="C22" s="1434"/>
      <c r="D22" s="2055" t="s">
        <v>736</v>
      </c>
      <c r="E22" s="899" t="s">
        <v>731</v>
      </c>
      <c r="F22" s="267">
        <v>0.89859999999999995</v>
      </c>
      <c r="G22" s="1554" t="s">
        <v>1782</v>
      </c>
      <c r="H22" s="268"/>
      <c r="I22" s="904"/>
      <c r="J22" s="904"/>
      <c r="K22" s="904"/>
      <c r="L22" s="904"/>
      <c r="M22" s="1452"/>
      <c r="N22" s="904"/>
      <c r="O22" s="904"/>
      <c r="P22" s="904"/>
      <c r="Q22" s="904"/>
      <c r="R22" s="1413"/>
      <c r="V22" s="2058" t="str">
        <f>D22</f>
        <v>Utility Adjustment</v>
      </c>
      <c r="W22" s="404">
        <v>0.86</v>
      </c>
      <c r="X22" s="405">
        <v>0.89859999999999995</v>
      </c>
      <c r="Y22" s="176"/>
      <c r="Z22" s="176"/>
      <c r="AA22" s="176"/>
      <c r="AB22" s="176"/>
      <c r="AC22" s="176"/>
      <c r="AD22" s="176"/>
      <c r="AE22" s="176"/>
      <c r="AF22" s="176"/>
      <c r="AG22" s="176"/>
    </row>
    <row r="23" spans="2:33" ht="15.75" outlineLevel="1" thickBot="1" x14ac:dyDescent="0.3">
      <c r="B23" s="1087"/>
      <c r="C23" s="1434"/>
      <c r="D23" s="2056"/>
      <c r="E23" s="899" t="s">
        <v>732</v>
      </c>
      <c r="F23" s="267">
        <v>1</v>
      </c>
      <c r="G23" s="1554" t="s">
        <v>1782</v>
      </c>
      <c r="H23" s="268"/>
      <c r="I23" s="904"/>
      <c r="J23" s="904"/>
      <c r="K23" s="904"/>
      <c r="L23" s="904"/>
      <c r="M23" s="1452"/>
      <c r="N23" s="904"/>
      <c r="O23" s="904"/>
      <c r="P23" s="904"/>
      <c r="Q23" s="904"/>
      <c r="V23" s="2059"/>
      <c r="W23" s="404">
        <v>1</v>
      </c>
      <c r="X23" s="404">
        <v>1</v>
      </c>
      <c r="Y23" s="176"/>
      <c r="Z23" s="176"/>
      <c r="AA23" s="176"/>
      <c r="AB23" s="176"/>
      <c r="AC23" s="176"/>
      <c r="AD23" s="176"/>
      <c r="AE23" s="176"/>
      <c r="AF23" s="176"/>
      <c r="AG23" s="176"/>
    </row>
    <row r="24" spans="2:33" ht="15.75" outlineLevel="1" thickBot="1" x14ac:dyDescent="0.3">
      <c r="B24" s="1087"/>
      <c r="C24" s="1434"/>
      <c r="D24" s="2055" t="s">
        <v>58</v>
      </c>
      <c r="E24" s="899" t="s">
        <v>731</v>
      </c>
      <c r="F24" s="267">
        <v>0.44871794871794873</v>
      </c>
      <c r="G24" s="1554" t="s">
        <v>1783</v>
      </c>
      <c r="H24" s="268"/>
      <c r="I24" s="904"/>
      <c r="J24" s="904"/>
      <c r="K24" s="904"/>
      <c r="L24" s="904"/>
      <c r="M24" s="1452"/>
      <c r="N24" s="904"/>
      <c r="O24" s="904"/>
      <c r="P24" s="904"/>
      <c r="Q24" s="904"/>
      <c r="V24" s="2058" t="str">
        <f>D24</f>
        <v>ISR</v>
      </c>
      <c r="W24" s="400">
        <v>0.47</v>
      </c>
      <c r="X24" s="399">
        <v>0.44871794871794873</v>
      </c>
      <c r="Y24" s="176"/>
      <c r="Z24" s="176"/>
      <c r="AA24" s="176"/>
      <c r="AB24" s="176"/>
      <c r="AC24" s="176"/>
      <c r="AD24" s="176"/>
      <c r="AE24" s="176"/>
      <c r="AF24" s="176"/>
      <c r="AG24" s="176"/>
    </row>
    <row r="25" spans="2:33" ht="15.75" outlineLevel="1" thickBot="1" x14ac:dyDescent="0.3">
      <c r="B25" s="1087"/>
      <c r="C25" s="1434"/>
      <c r="D25" s="2056"/>
      <c r="E25" s="899" t="s">
        <v>732</v>
      </c>
      <c r="F25" s="267">
        <v>1</v>
      </c>
      <c r="G25" s="1554" t="s">
        <v>1782</v>
      </c>
      <c r="H25" s="268"/>
      <c r="I25" s="904"/>
      <c r="J25" s="904"/>
      <c r="K25" s="904"/>
      <c r="L25" s="904"/>
      <c r="M25" s="1452"/>
      <c r="N25" s="904"/>
      <c r="O25" s="904"/>
      <c r="P25" s="904"/>
      <c r="Q25" s="904"/>
      <c r="V25" s="2059"/>
      <c r="W25" s="400">
        <v>0.47</v>
      </c>
      <c r="X25" s="296">
        <v>1</v>
      </c>
      <c r="Y25" s="176"/>
      <c r="Z25" s="176"/>
      <c r="AA25" s="176"/>
      <c r="AB25" s="176"/>
      <c r="AC25" s="176"/>
      <c r="AD25" s="176"/>
      <c r="AE25" s="176"/>
      <c r="AF25" s="176"/>
      <c r="AG25" s="176"/>
    </row>
    <row r="26" spans="2:33" ht="15.75" outlineLevel="1" thickBot="1" x14ac:dyDescent="0.3">
      <c r="B26" s="1087"/>
      <c r="C26" s="1434"/>
      <c r="D26" s="2055" t="s">
        <v>608</v>
      </c>
      <c r="E26" s="899" t="s">
        <v>731</v>
      </c>
      <c r="F26" s="267">
        <v>0.96938775510204078</v>
      </c>
      <c r="G26" s="1554" t="s">
        <v>1782</v>
      </c>
      <c r="H26" s="268"/>
      <c r="I26" s="904"/>
      <c r="J26" s="904"/>
      <c r="K26" s="904"/>
      <c r="L26" s="904"/>
      <c r="M26" s="1452"/>
      <c r="N26" s="904"/>
      <c r="O26" s="904"/>
      <c r="P26" s="904"/>
      <c r="Q26" s="904"/>
      <c r="V26" s="2058" t="str">
        <f>D26</f>
        <v>%AC</v>
      </c>
      <c r="W26" s="400">
        <v>0.95</v>
      </c>
      <c r="X26" s="399">
        <v>0.96938775510204078</v>
      </c>
      <c r="Y26" s="176"/>
      <c r="Z26" s="176"/>
      <c r="AA26" s="176"/>
      <c r="AB26" s="176"/>
      <c r="AC26" s="176"/>
      <c r="AD26" s="176"/>
      <c r="AE26" s="176"/>
      <c r="AF26" s="176"/>
      <c r="AG26" s="176"/>
    </row>
    <row r="27" spans="2:33" ht="15.75" outlineLevel="1" thickBot="1" x14ac:dyDescent="0.3">
      <c r="B27" s="1087"/>
      <c r="C27" s="1434"/>
      <c r="D27" s="2056"/>
      <c r="E27" s="899" t="s">
        <v>732</v>
      </c>
      <c r="F27" s="267">
        <v>1</v>
      </c>
      <c r="G27" s="1554" t="s">
        <v>1782</v>
      </c>
      <c r="H27" s="268"/>
      <c r="I27" s="904"/>
      <c r="J27" s="904"/>
      <c r="K27" s="904"/>
      <c r="L27" s="904"/>
      <c r="M27" s="1452"/>
      <c r="N27" s="904"/>
      <c r="O27" s="904"/>
      <c r="P27" s="904"/>
      <c r="Q27" s="904"/>
      <c r="V27" s="2059"/>
      <c r="W27" s="400">
        <f>W26</f>
        <v>0.95</v>
      </c>
      <c r="X27" s="399">
        <v>1</v>
      </c>
      <c r="Y27" s="176"/>
      <c r="Z27" s="176"/>
      <c r="AA27" s="176"/>
      <c r="AB27" s="176"/>
      <c r="AC27" s="176"/>
      <c r="AD27" s="176"/>
      <c r="AE27" s="176"/>
      <c r="AF27" s="176"/>
      <c r="AG27" s="176"/>
    </row>
    <row r="28" spans="2:33" ht="18.75" outlineLevel="1" thickBot="1" x14ac:dyDescent="0.3">
      <c r="B28" s="1087"/>
      <c r="C28" s="1434"/>
      <c r="D28" s="407" t="s">
        <v>737</v>
      </c>
      <c r="E28" s="899" t="s">
        <v>483</v>
      </c>
      <c r="F28" s="276">
        <v>869</v>
      </c>
      <c r="G28" s="1553" t="s">
        <v>1784</v>
      </c>
      <c r="H28" s="268"/>
      <c r="I28" s="904"/>
      <c r="J28" s="904"/>
      <c r="K28" s="904"/>
      <c r="L28" s="904"/>
      <c r="M28" s="1452"/>
      <c r="N28" s="904"/>
      <c r="O28" s="904"/>
      <c r="P28" s="904"/>
      <c r="Q28" s="904"/>
      <c r="V28" s="288" t="str">
        <f>D28</f>
        <v>EFLHcool</v>
      </c>
      <c r="W28" s="272">
        <v>869</v>
      </c>
      <c r="X28" s="300">
        <v>869</v>
      </c>
      <c r="Y28" s="176"/>
      <c r="Z28" s="176"/>
      <c r="AA28" s="176"/>
      <c r="AB28" s="176"/>
      <c r="AC28" s="176"/>
      <c r="AD28" s="176"/>
      <c r="AE28" s="176"/>
      <c r="AF28" s="176"/>
      <c r="AG28" s="176"/>
    </row>
    <row r="29" spans="2:33" outlineLevel="1" x14ac:dyDescent="0.25">
      <c r="B29" s="1087"/>
      <c r="C29" s="1434"/>
      <c r="D29" s="899" t="s">
        <v>738</v>
      </c>
      <c r="E29" s="899" t="s">
        <v>504</v>
      </c>
      <c r="F29" s="525">
        <v>14</v>
      </c>
      <c r="G29" s="402"/>
      <c r="H29" s="268"/>
      <c r="I29" s="904"/>
      <c r="J29" s="904"/>
      <c r="K29" s="904"/>
      <c r="L29" s="904"/>
      <c r="M29" s="1452"/>
      <c r="N29" s="904"/>
      <c r="O29" s="904"/>
      <c r="P29" s="904"/>
      <c r="Q29" s="904"/>
      <c r="V29" s="288" t="str">
        <f>D29</f>
        <v xml:space="preserve">EUL </v>
      </c>
      <c r="W29" s="406">
        <f>F29</f>
        <v>14</v>
      </c>
      <c r="X29" s="406">
        <f>W29</f>
        <v>14</v>
      </c>
      <c r="Y29" s="406"/>
      <c r="Z29" s="406"/>
      <c r="AA29" s="406"/>
      <c r="AB29" s="406"/>
      <c r="AC29" s="406"/>
      <c r="AD29" s="406"/>
      <c r="AE29" s="406"/>
      <c r="AF29" s="406"/>
      <c r="AG29" s="406"/>
    </row>
    <row r="30" spans="2:33" outlineLevel="1" x14ac:dyDescent="0.25">
      <c r="B30" s="1087"/>
      <c r="C30" s="1434"/>
      <c r="D30" s="2096" t="s">
        <v>24</v>
      </c>
      <c r="E30" s="899" t="s">
        <v>739</v>
      </c>
      <c r="F30" s="526">
        <v>5</v>
      </c>
      <c r="G30" s="402"/>
      <c r="H30" s="268"/>
      <c r="I30" s="904"/>
      <c r="J30" s="904"/>
      <c r="K30" s="904"/>
      <c r="L30" s="904"/>
      <c r="M30" s="1452"/>
      <c r="N30" s="904"/>
      <c r="O30" s="904"/>
      <c r="P30" s="904"/>
      <c r="Q30" s="904"/>
      <c r="V30" s="2058" t="str">
        <f>D30</f>
        <v>Inc. Cost</v>
      </c>
      <c r="W30" s="408">
        <f>F30</f>
        <v>5</v>
      </c>
      <c r="X30" s="408">
        <f>W30</f>
        <v>5</v>
      </c>
      <c r="Y30" s="409"/>
      <c r="Z30" s="409"/>
      <c r="AA30" s="409"/>
      <c r="AB30" s="409"/>
      <c r="AC30" s="409"/>
      <c r="AD30" s="409"/>
      <c r="AE30" s="409"/>
      <c r="AF30" s="409"/>
      <c r="AG30" s="409"/>
    </row>
    <row r="31" spans="2:33" x14ac:dyDescent="0.25">
      <c r="B31" s="1087"/>
      <c r="C31" s="1434"/>
      <c r="D31" s="2096" t="s">
        <v>24</v>
      </c>
      <c r="E31" s="899" t="s">
        <v>739</v>
      </c>
      <c r="F31" s="410">
        <v>5</v>
      </c>
      <c r="G31" s="402"/>
      <c r="H31" s="268"/>
      <c r="I31" s="904"/>
      <c r="J31" s="904"/>
      <c r="K31" s="904"/>
      <c r="L31" s="904"/>
      <c r="M31" s="1452"/>
      <c r="N31" s="904"/>
      <c r="O31" s="904"/>
      <c r="P31" s="904"/>
      <c r="Q31" s="904"/>
      <c r="V31" s="2059"/>
      <c r="W31" s="411">
        <f>F31</f>
        <v>5</v>
      </c>
      <c r="X31" s="411">
        <f>W31</f>
        <v>5</v>
      </c>
      <c r="Y31" s="412"/>
      <c r="Z31" s="412"/>
      <c r="AA31" s="412"/>
      <c r="AB31" s="412"/>
      <c r="AC31" s="412"/>
      <c r="AD31" s="412"/>
      <c r="AE31" s="412"/>
      <c r="AF31" s="412"/>
      <c r="AG31" s="412"/>
    </row>
    <row r="32" spans="2:33" x14ac:dyDescent="0.25">
      <c r="B32" s="1087"/>
      <c r="C32" s="1434"/>
      <c r="D32" s="407" t="s">
        <v>740</v>
      </c>
      <c r="E32" s="899" t="s">
        <v>741</v>
      </c>
      <c r="F32" s="410" t="s">
        <v>742</v>
      </c>
      <c r="G32" s="402"/>
      <c r="H32" s="268"/>
      <c r="I32" s="904"/>
      <c r="J32" s="904"/>
      <c r="K32" s="904"/>
      <c r="L32" s="904"/>
      <c r="M32" s="1452"/>
      <c r="N32" s="904"/>
      <c r="O32" s="904"/>
      <c r="P32" s="904"/>
      <c r="Q32" s="904"/>
      <c r="V32" s="288" t="str">
        <f>D32</f>
        <v>P</v>
      </c>
      <c r="W32" s="406" t="s">
        <v>742</v>
      </c>
      <c r="X32" s="406" t="s">
        <v>742</v>
      </c>
      <c r="Y32" s="406"/>
      <c r="Z32" s="406"/>
      <c r="AA32" s="406"/>
      <c r="AB32" s="406"/>
      <c r="AC32" s="406"/>
      <c r="AD32" s="406"/>
      <c r="AE32" s="406"/>
      <c r="AF32" s="406"/>
      <c r="AG32" s="406"/>
    </row>
    <row r="33" spans="1:34" x14ac:dyDescent="0.25">
      <c r="B33" s="1087"/>
      <c r="C33" s="1434"/>
      <c r="D33" s="1444"/>
      <c r="E33" s="1458"/>
      <c r="F33" s="904"/>
      <c r="G33" s="904"/>
      <c r="H33" s="904"/>
      <c r="I33" s="904"/>
      <c r="J33" s="904"/>
      <c r="K33" s="904"/>
      <c r="L33" s="904"/>
      <c r="M33" s="1452"/>
      <c r="N33" s="904"/>
      <c r="O33" s="904"/>
      <c r="P33" s="904"/>
      <c r="Q33" s="904"/>
    </row>
    <row r="34" spans="1:34" x14ac:dyDescent="0.25">
      <c r="A34" s="334"/>
      <c r="B34" s="2022" t="s">
        <v>743</v>
      </c>
      <c r="C34" s="2023"/>
      <c r="D34" s="2023"/>
      <c r="E34" s="2023"/>
      <c r="F34" s="2023"/>
      <c r="G34" s="2023"/>
      <c r="H34" s="2023"/>
      <c r="I34" s="1992"/>
      <c r="J34" s="1992"/>
      <c r="K34" s="1992"/>
      <c r="L34" s="1992"/>
      <c r="M34" s="1992"/>
      <c r="N34" s="1993"/>
      <c r="O34" s="904"/>
      <c r="P34" s="904"/>
      <c r="Q34" s="904"/>
      <c r="V34" s="2022" t="str">
        <f>B34</f>
        <v xml:space="preserve">LEDs (per bulb) </v>
      </c>
      <c r="W34" s="2023"/>
      <c r="X34" s="2023"/>
      <c r="Y34" s="2023"/>
      <c r="Z34" s="2023"/>
      <c r="AA34" s="2023"/>
      <c r="AB34" s="2023"/>
      <c r="AC34" s="2024"/>
      <c r="AD34" s="2024"/>
      <c r="AE34" s="2024"/>
      <c r="AF34" s="2024"/>
      <c r="AG34" s="2024"/>
      <c r="AH34" s="2025"/>
    </row>
    <row r="35" spans="1:34" x14ac:dyDescent="0.25">
      <c r="F35" s="489"/>
      <c r="G35" s="489"/>
      <c r="H35" s="489"/>
      <c r="I35" s="489"/>
      <c r="J35" s="489"/>
      <c r="K35" s="489"/>
      <c r="L35" s="489"/>
      <c r="M35" s="1452"/>
      <c r="N35" s="904"/>
      <c r="O35" s="904"/>
      <c r="P35" s="904"/>
      <c r="Q35" s="904"/>
    </row>
    <row r="36" spans="1:34" ht="45" x14ac:dyDescent="0.25">
      <c r="C36" s="184" t="s">
        <v>16</v>
      </c>
      <c r="D36" s="184" t="s">
        <v>509</v>
      </c>
      <c r="E36" s="336" t="s">
        <v>18</v>
      </c>
      <c r="F36" s="184" t="s">
        <v>19</v>
      </c>
      <c r="G36" s="336" t="s">
        <v>20</v>
      </c>
      <c r="H36" s="336" t="s">
        <v>21</v>
      </c>
      <c r="I36" s="336" t="s">
        <v>22</v>
      </c>
      <c r="J36" s="336" t="s">
        <v>23</v>
      </c>
      <c r="K36" s="336" t="s">
        <v>24</v>
      </c>
      <c r="L36" s="184" t="s">
        <v>25</v>
      </c>
      <c r="M36" s="1452"/>
      <c r="N36" s="904"/>
      <c r="O36" s="904"/>
      <c r="P36" s="904"/>
      <c r="Q36" s="904"/>
      <c r="V36" s="48" t="s">
        <v>26</v>
      </c>
      <c r="W36" s="49">
        <f>$W$6</f>
        <v>43252</v>
      </c>
      <c r="X36" s="49">
        <f>$X$6</f>
        <v>43465</v>
      </c>
      <c r="Y36" s="49" t="str">
        <f>$Y$6</f>
        <v>-</v>
      </c>
      <c r="Z36" s="49" t="str">
        <f>$Z$6</f>
        <v>-</v>
      </c>
      <c r="AA36" s="49" t="str">
        <f>$AA$6</f>
        <v>-</v>
      </c>
      <c r="AB36" s="49" t="str">
        <f>$AB$6</f>
        <v>-</v>
      </c>
      <c r="AC36" s="49" t="str">
        <f>$AC$6</f>
        <v>-</v>
      </c>
      <c r="AD36" s="49" t="str">
        <f>$AD$6</f>
        <v>-</v>
      </c>
      <c r="AE36" s="49" t="str">
        <f>$AE$6</f>
        <v>-</v>
      </c>
      <c r="AF36" s="49" t="str">
        <f>$AF$6</f>
        <v>-</v>
      </c>
      <c r="AG36" s="49" t="str">
        <f>$AG$6</f>
        <v>-</v>
      </c>
    </row>
    <row r="37" spans="1:34" x14ac:dyDescent="0.25">
      <c r="C37" s="414"/>
      <c r="D37" s="1555" t="s">
        <v>726</v>
      </c>
      <c r="E37" s="270" t="str">
        <f>F55</f>
        <v>LED - 10W (CFL baseline)</v>
      </c>
      <c r="F37" s="416">
        <f>(($G$55-$G$58)*$G$67*($G$66)*$G$61*$G$62*$G$64)/$G$63</f>
        <v>3.5883733629744001</v>
      </c>
      <c r="G37" s="417" t="s">
        <v>439</v>
      </c>
      <c r="H37" s="418">
        <f>VLOOKUP(G37,'CP FACTORS'!$A$3:$B$38, 2, FALSE)</f>
        <v>1.4925290000000001E-4</v>
      </c>
      <c r="I37" s="419">
        <f t="shared" ref="I37:I42" si="0">F37*H37</f>
        <v>5.3557513070668185E-4</v>
      </c>
      <c r="J37" s="123">
        <f>$G$68</f>
        <v>19</v>
      </c>
      <c r="K37" s="410">
        <f>$G$69</f>
        <v>1.95</v>
      </c>
      <c r="L37" s="420" t="s">
        <v>31</v>
      </c>
      <c r="M37" s="421"/>
      <c r="N37" s="904"/>
      <c r="O37" s="904"/>
      <c r="P37" s="904"/>
      <c r="Q37" s="904"/>
      <c r="R37" s="1413"/>
      <c r="V37" s="176" t="str">
        <f>F36</f>
        <v>kWh Annual Savings</v>
      </c>
      <c r="W37" s="1196">
        <v>3.2707779028380117</v>
      </c>
      <c r="X37" s="1197">
        <v>3.5883733629744001</v>
      </c>
      <c r="Y37" s="176"/>
      <c r="Z37" s="176"/>
      <c r="AA37" s="176"/>
      <c r="AB37" s="176"/>
      <c r="AC37" s="176"/>
      <c r="AD37" s="176"/>
      <c r="AE37" s="176"/>
      <c r="AF37" s="176"/>
      <c r="AG37" s="176"/>
    </row>
    <row r="38" spans="1:34" x14ac:dyDescent="0.25">
      <c r="C38" s="414"/>
      <c r="D38" s="1555" t="s">
        <v>614</v>
      </c>
      <c r="E38" s="270" t="str">
        <f>F55</f>
        <v>LED - 10W (CFL baseline)</v>
      </c>
      <c r="F38" s="416">
        <f>(($I$55-$I$59)*$G$67*($G$66)*$G$61*$G$62*$G$64)/$G$63</f>
        <v>3.5883733629744001</v>
      </c>
      <c r="G38" s="417" t="s">
        <v>439</v>
      </c>
      <c r="H38" s="418">
        <f>VLOOKUP(G38,'CP FACTORS'!$A$3:$B$38, 2, FALSE)</f>
        <v>1.4925290000000001E-4</v>
      </c>
      <c r="I38" s="419">
        <f t="shared" si="0"/>
        <v>5.3557513070668185E-4</v>
      </c>
      <c r="J38" s="123">
        <f>$I$68</f>
        <v>19</v>
      </c>
      <c r="K38" s="410">
        <f>$I$69</f>
        <v>1.95</v>
      </c>
      <c r="L38" s="420" t="s">
        <v>31</v>
      </c>
      <c r="M38" s="421"/>
      <c r="N38" s="904"/>
      <c r="O38" s="904"/>
      <c r="P38" s="904"/>
      <c r="Q38" s="904"/>
      <c r="R38" s="1413"/>
      <c r="V38" s="176" t="str">
        <f>V37</f>
        <v>kWh Annual Savings</v>
      </c>
      <c r="W38" s="1196">
        <v>3.3468425052295938</v>
      </c>
      <c r="X38" s="1197">
        <v>3.5883733629744001</v>
      </c>
      <c r="Y38" s="176"/>
      <c r="Z38" s="176"/>
      <c r="AA38" s="176"/>
      <c r="AB38" s="176"/>
      <c r="AC38" s="176"/>
      <c r="AD38" s="176"/>
      <c r="AE38" s="176"/>
      <c r="AF38" s="176"/>
      <c r="AG38" s="176"/>
    </row>
    <row r="39" spans="1:34" x14ac:dyDescent="0.25">
      <c r="C39" s="414"/>
      <c r="D39" s="1555" t="s">
        <v>726</v>
      </c>
      <c r="E39" s="270" t="str">
        <f>F56</f>
        <v>LED - 10W (Halogen baseline)</v>
      </c>
      <c r="F39" s="416">
        <f>(($G$56-$G$59)*$G$67*($G$66)*$G$61*$G$62*$G$64)/$G$63</f>
        <v>27.728339622984002</v>
      </c>
      <c r="G39" s="417" t="s">
        <v>439</v>
      </c>
      <c r="H39" s="418">
        <f>VLOOKUP(G39,'CP FACTORS'!$A$3:$B$38, 2, FALSE)</f>
        <v>1.4925290000000001E-4</v>
      </c>
      <c r="I39" s="419">
        <f t="shared" si="0"/>
        <v>4.1385351009152688E-3</v>
      </c>
      <c r="J39" s="123">
        <f>$G$68</f>
        <v>19</v>
      </c>
      <c r="K39" s="410">
        <f>$G$69</f>
        <v>1.95</v>
      </c>
      <c r="L39" s="420" t="s">
        <v>31</v>
      </c>
      <c r="M39" s="421"/>
      <c r="N39" s="904"/>
      <c r="O39" s="904"/>
      <c r="P39" s="904"/>
      <c r="Q39" s="904"/>
      <c r="R39" s="1413"/>
      <c r="V39" s="176" t="str">
        <f>V38</f>
        <v>kWh Annual Savings</v>
      </c>
      <c r="W39" s="1196">
        <v>24.41673736769771</v>
      </c>
      <c r="X39" s="1197">
        <v>27.728339622984002</v>
      </c>
      <c r="Y39" s="176"/>
      <c r="Z39" s="176"/>
      <c r="AA39" s="176"/>
      <c r="AB39" s="176"/>
      <c r="AC39" s="176"/>
      <c r="AD39" s="176"/>
      <c r="AE39" s="176"/>
      <c r="AF39" s="176"/>
      <c r="AG39" s="176"/>
    </row>
    <row r="40" spans="1:34" x14ac:dyDescent="0.25">
      <c r="C40" s="414"/>
      <c r="D40" s="1555" t="s">
        <v>614</v>
      </c>
      <c r="E40" s="270" t="str">
        <f>F56</f>
        <v>LED - 10W (Halogen baseline)</v>
      </c>
      <c r="F40" s="416">
        <f>(($I$56-$I$59)*$G$67*($G$66)*$G$61*$G$62*$G$64)/$G$63</f>
        <v>27.728339622984002</v>
      </c>
      <c r="G40" s="417" t="s">
        <v>439</v>
      </c>
      <c r="H40" s="418">
        <f>VLOOKUP(G40,'CP FACTORS'!$A$3:$B$38, 2, FALSE)</f>
        <v>1.4925290000000001E-4</v>
      </c>
      <c r="I40" s="419">
        <f t="shared" si="0"/>
        <v>4.1385351009152688E-3</v>
      </c>
      <c r="J40" s="123">
        <f>$I$68</f>
        <v>19</v>
      </c>
      <c r="K40" s="410">
        <f>$I$69</f>
        <v>1.95</v>
      </c>
      <c r="L40" s="420" t="s">
        <v>31</v>
      </c>
      <c r="M40" s="421"/>
      <c r="N40" s="904"/>
      <c r="O40" s="904"/>
      <c r="P40" s="904"/>
      <c r="Q40" s="904"/>
      <c r="R40" s="1413"/>
      <c r="V40" s="176" t="str">
        <f>V39</f>
        <v>kWh Annual Savings</v>
      </c>
      <c r="W40" s="1196">
        <v>24.584079492959191</v>
      </c>
      <c r="X40" s="1197">
        <v>27.728339622984002</v>
      </c>
      <c r="Y40" s="176"/>
      <c r="Z40" s="176"/>
      <c r="AA40" s="176"/>
      <c r="AB40" s="176"/>
      <c r="AC40" s="176"/>
      <c r="AD40" s="176"/>
      <c r="AE40" s="176"/>
      <c r="AF40" s="176"/>
      <c r="AG40" s="176"/>
    </row>
    <row r="41" spans="1:34" x14ac:dyDescent="0.25">
      <c r="C41" s="414"/>
      <c r="D41" s="1555" t="s">
        <v>726</v>
      </c>
      <c r="E41" s="270" t="s">
        <v>438</v>
      </c>
      <c r="F41" s="416">
        <f>(($I$56-$I$59)*$G$67*($G$66)*$G$61*$G$62*$G$64)/$G$63</f>
        <v>27.728339622984002</v>
      </c>
      <c r="G41" s="417" t="s">
        <v>439</v>
      </c>
      <c r="H41" s="418">
        <f>VLOOKUP(G41,'CP FACTORS'!$A$3:$B$38, 2, FALSE)</f>
        <v>1.4925290000000001E-4</v>
      </c>
      <c r="I41" s="419">
        <f>F41*H41</f>
        <v>4.1385351009152688E-3</v>
      </c>
      <c r="J41" s="123">
        <f>$G$68</f>
        <v>19</v>
      </c>
      <c r="K41" s="410">
        <f>$G$69</f>
        <v>1.95</v>
      </c>
      <c r="L41" s="420" t="s">
        <v>31</v>
      </c>
      <c r="M41" s="421"/>
      <c r="N41" s="904"/>
      <c r="O41" s="904"/>
      <c r="P41" s="904"/>
      <c r="Q41" s="904"/>
      <c r="R41" s="1413"/>
      <c r="V41" s="176" t="str">
        <f>V40</f>
        <v>kWh Annual Savings</v>
      </c>
      <c r="W41" s="1196">
        <v>25.861964813137764</v>
      </c>
      <c r="X41" s="1197">
        <v>27.728339622984002</v>
      </c>
      <c r="Y41" s="176"/>
      <c r="Z41" s="176"/>
      <c r="AA41" s="176"/>
      <c r="AB41" s="176"/>
      <c r="AC41" s="176"/>
      <c r="AD41" s="176"/>
      <c r="AE41" s="176"/>
      <c r="AF41" s="176"/>
      <c r="AG41" s="176"/>
    </row>
    <row r="42" spans="1:34" x14ac:dyDescent="0.25">
      <c r="C42" s="414"/>
      <c r="D42" s="1555" t="s">
        <v>614</v>
      </c>
      <c r="E42" s="270" t="s">
        <v>438</v>
      </c>
      <c r="F42" s="416">
        <f>((I57-I60)*I67*(I66)*I61*I62*I64)/I63</f>
        <v>33.540506999999998</v>
      </c>
      <c r="G42" s="417" t="s">
        <v>439</v>
      </c>
      <c r="H42" s="418">
        <f>VLOOKUP(G42,'CP FACTORS'!$A$3:$B$38, 2, FALSE)</f>
        <v>1.4925290000000001E-4</v>
      </c>
      <c r="I42" s="419">
        <f t="shared" si="0"/>
        <v>5.0060179372203003E-3</v>
      </c>
      <c r="J42" s="123">
        <f>$I$68</f>
        <v>19</v>
      </c>
      <c r="K42" s="410">
        <f>$I$69</f>
        <v>1.95</v>
      </c>
      <c r="L42" s="420" t="s">
        <v>31</v>
      </c>
      <c r="M42" s="421"/>
      <c r="N42" s="904"/>
      <c r="O42" s="904"/>
      <c r="P42" s="904"/>
      <c r="Q42" s="904"/>
      <c r="R42" s="1413"/>
      <c r="V42" s="176" t="str">
        <f>V41</f>
        <v>kWh Annual Savings</v>
      </c>
      <c r="W42" s="1196">
        <v>37.153826041105866</v>
      </c>
      <c r="X42" s="1197">
        <v>33.540506999999998</v>
      </c>
      <c r="Y42" s="176"/>
      <c r="Z42" s="176"/>
      <c r="AA42" s="176"/>
      <c r="AB42" s="176"/>
      <c r="AC42" s="176"/>
      <c r="AD42" s="176"/>
      <c r="AE42" s="176"/>
      <c r="AF42" s="176"/>
      <c r="AG42" s="176"/>
    </row>
    <row r="43" spans="1:34" outlineLevel="1" x14ac:dyDescent="0.25">
      <c r="F43" s="489"/>
      <c r="G43" s="1556"/>
      <c r="H43" s="489"/>
      <c r="K43" s="130" t="s">
        <v>744</v>
      </c>
      <c r="L43" s="489"/>
    </row>
    <row r="44" spans="1:34" outlineLevel="1" x14ac:dyDescent="0.25">
      <c r="D44" s="658" t="s">
        <v>463</v>
      </c>
      <c r="G44" s="489"/>
      <c r="H44" s="489"/>
      <c r="I44" s="489"/>
      <c r="J44" s="489"/>
      <c r="K44" s="489"/>
      <c r="L44" s="489"/>
    </row>
    <row r="45" spans="1:34" outlineLevel="1" x14ac:dyDescent="0.25">
      <c r="I45" s="489"/>
      <c r="J45" s="489"/>
      <c r="K45" s="489"/>
    </row>
    <row r="46" spans="1:34" outlineLevel="1" x14ac:dyDescent="0.25">
      <c r="I46" s="489"/>
      <c r="J46" s="489"/>
      <c r="K46" s="489"/>
    </row>
    <row r="47" spans="1:34" outlineLevel="1" x14ac:dyDescent="0.25">
      <c r="I47" s="489"/>
      <c r="J47" s="489"/>
      <c r="K47" s="489"/>
    </row>
    <row r="48" spans="1:34" outlineLevel="1" x14ac:dyDescent="0.25">
      <c r="E48" s="1433"/>
      <c r="F48" s="313"/>
    </row>
    <row r="49" spans="4:45" outlineLevel="1" x14ac:dyDescent="0.25"/>
    <row r="50" spans="4:45" outlineLevel="1" x14ac:dyDescent="0.25"/>
    <row r="51" spans="4:45" outlineLevel="1" x14ac:dyDescent="0.25"/>
    <row r="52" spans="4:45" outlineLevel="1" x14ac:dyDescent="0.25"/>
    <row r="53" spans="4:45" outlineLevel="1" x14ac:dyDescent="0.25">
      <c r="M53" s="529"/>
      <c r="N53" s="529"/>
      <c r="O53" s="529"/>
      <c r="P53" s="529"/>
      <c r="Q53" s="529"/>
      <c r="R53" s="529"/>
      <c r="V53" s="48" t="s">
        <v>26</v>
      </c>
      <c r="W53" s="49">
        <f>$W$6</f>
        <v>43252</v>
      </c>
      <c r="X53" s="49">
        <f>$X$6</f>
        <v>43465</v>
      </c>
      <c r="Y53" s="49" t="str">
        <f>$Y$6</f>
        <v>-</v>
      </c>
      <c r="Z53" s="49" t="str">
        <f>$Z$6</f>
        <v>-</v>
      </c>
      <c r="AA53" s="49" t="str">
        <f>$AA$6</f>
        <v>-</v>
      </c>
      <c r="AB53" s="49" t="str">
        <f>$AB$6</f>
        <v>-</v>
      </c>
      <c r="AC53" s="49" t="str">
        <f>$AC$6</f>
        <v>-</v>
      </c>
      <c r="AD53" s="49" t="str">
        <f>$AD$6</f>
        <v>-</v>
      </c>
      <c r="AE53" s="49" t="str">
        <f>$AE$6</f>
        <v>-</v>
      </c>
      <c r="AF53" s="49" t="str">
        <f>$AF$6</f>
        <v>-</v>
      </c>
      <c r="AG53" s="49" t="str">
        <f>$AG$6</f>
        <v>-</v>
      </c>
      <c r="AI53" s="49">
        <f>$W$6</f>
        <v>43252</v>
      </c>
      <c r="AJ53" s="49">
        <f>$X$6</f>
        <v>43465</v>
      </c>
      <c r="AK53" s="49" t="str">
        <f>$Y$6</f>
        <v>-</v>
      </c>
      <c r="AL53" s="49" t="str">
        <f>$Z$6</f>
        <v>-</v>
      </c>
      <c r="AM53" s="49" t="str">
        <f>$AA$6</f>
        <v>-</v>
      </c>
      <c r="AN53" s="49" t="str">
        <f>$AB$6</f>
        <v>-</v>
      </c>
      <c r="AO53" s="49" t="str">
        <f>$AC$6</f>
        <v>-</v>
      </c>
      <c r="AP53" s="49" t="str">
        <f>$AD$6</f>
        <v>-</v>
      </c>
      <c r="AQ53" s="49" t="str">
        <f>$AE$6</f>
        <v>-</v>
      </c>
      <c r="AR53" s="49" t="str">
        <f>$AF$6</f>
        <v>-</v>
      </c>
      <c r="AS53" s="49" t="str">
        <f>$AG$6</f>
        <v>-</v>
      </c>
    </row>
    <row r="54" spans="4:45" outlineLevel="1" x14ac:dyDescent="0.25">
      <c r="D54" s="343" t="s">
        <v>465</v>
      </c>
      <c r="E54" s="343" t="s">
        <v>466</v>
      </c>
      <c r="F54" s="343" t="s">
        <v>745</v>
      </c>
      <c r="G54" s="336" t="s">
        <v>746</v>
      </c>
      <c r="H54" s="336" t="s">
        <v>747</v>
      </c>
      <c r="I54" s="336" t="s">
        <v>748</v>
      </c>
      <c r="J54" s="336" t="s">
        <v>749</v>
      </c>
      <c r="K54" s="423"/>
      <c r="L54" s="423"/>
      <c r="M54" s="529"/>
      <c r="N54" s="1557"/>
      <c r="O54" s="529"/>
      <c r="P54" s="529"/>
      <c r="Q54" s="529"/>
      <c r="R54" s="529"/>
      <c r="V54" s="62"/>
      <c r="W54" s="63" t="s">
        <v>746</v>
      </c>
      <c r="X54" s="63" t="s">
        <v>746</v>
      </c>
      <c r="Y54" s="63" t="s">
        <v>746</v>
      </c>
      <c r="Z54" s="63" t="s">
        <v>746</v>
      </c>
      <c r="AA54" s="63" t="s">
        <v>746</v>
      </c>
      <c r="AB54" s="63" t="s">
        <v>746</v>
      </c>
      <c r="AC54" s="63" t="s">
        <v>746</v>
      </c>
      <c r="AD54" s="63" t="s">
        <v>746</v>
      </c>
      <c r="AE54" s="63" t="s">
        <v>746</v>
      </c>
      <c r="AF54" s="63" t="s">
        <v>746</v>
      </c>
      <c r="AG54" s="63" t="s">
        <v>746</v>
      </c>
      <c r="AH54" s="130"/>
      <c r="AI54" s="63" t="s">
        <v>748</v>
      </c>
      <c r="AJ54" s="63" t="s">
        <v>748</v>
      </c>
      <c r="AK54" s="63" t="s">
        <v>748</v>
      </c>
      <c r="AL54" s="63" t="s">
        <v>748</v>
      </c>
      <c r="AM54" s="63" t="s">
        <v>748</v>
      </c>
      <c r="AN54" s="63" t="s">
        <v>748</v>
      </c>
      <c r="AO54" s="63" t="s">
        <v>748</v>
      </c>
      <c r="AP54" s="63" t="s">
        <v>748</v>
      </c>
      <c r="AQ54" s="63" t="s">
        <v>748</v>
      </c>
      <c r="AR54" s="63" t="s">
        <v>748</v>
      </c>
      <c r="AS54" s="63" t="s">
        <v>748</v>
      </c>
    </row>
    <row r="55" spans="4:45" outlineLevel="1" x14ac:dyDescent="0.25">
      <c r="D55" s="2086" t="s">
        <v>1875</v>
      </c>
      <c r="E55" s="2086" t="s">
        <v>751</v>
      </c>
      <c r="F55" s="437" t="str">
        <f>'Lighting Deemed Table'!F41</f>
        <v>LED - 10W (CFL baseline)</v>
      </c>
      <c r="G55" s="425">
        <v>13.4</v>
      </c>
      <c r="H55" s="437"/>
      <c r="I55" s="425">
        <v>13.4</v>
      </c>
      <c r="J55" s="965"/>
      <c r="K55" s="1558"/>
      <c r="L55" s="1558"/>
      <c r="M55" s="130"/>
      <c r="N55" s="514"/>
      <c r="V55" s="2091" t="s">
        <v>750</v>
      </c>
      <c r="W55" s="426">
        <f>'Lighting Deemed Table'!G41</f>
        <v>13.4</v>
      </c>
      <c r="X55" s="425">
        <f>W55</f>
        <v>13.4</v>
      </c>
      <c r="Y55" s="426"/>
      <c r="Z55" s="426"/>
      <c r="AA55" s="426"/>
      <c r="AB55" s="426"/>
      <c r="AC55" s="426"/>
      <c r="AD55" s="426"/>
      <c r="AE55" s="426"/>
      <c r="AF55" s="426"/>
      <c r="AG55" s="426"/>
      <c r="AI55" s="426">
        <v>13.4</v>
      </c>
      <c r="AJ55" s="425">
        <v>13.4</v>
      </c>
      <c r="AK55" s="426"/>
      <c r="AL55" s="426"/>
      <c r="AM55" s="426"/>
      <c r="AN55" s="426"/>
      <c r="AO55" s="426"/>
      <c r="AP55" s="426"/>
      <c r="AQ55" s="426"/>
      <c r="AR55" s="426"/>
      <c r="AS55" s="426"/>
    </row>
    <row r="56" spans="4:45" ht="84" customHeight="1" outlineLevel="1" x14ac:dyDescent="0.25">
      <c r="D56" s="2087"/>
      <c r="E56" s="2089"/>
      <c r="F56" s="437" t="str">
        <f>'Lighting Deemed Table'!F42</f>
        <v>LED - 10W (Halogen baseline)</v>
      </c>
      <c r="G56" s="425">
        <v>43</v>
      </c>
      <c r="H56" s="890" t="s">
        <v>1785</v>
      </c>
      <c r="I56" s="425">
        <v>43</v>
      </c>
      <c r="J56" s="890" t="s">
        <v>1785</v>
      </c>
      <c r="K56" s="423"/>
      <c r="L56" s="423"/>
      <c r="M56" s="130"/>
      <c r="N56" s="514"/>
      <c r="V56" s="2092"/>
      <c r="W56" s="426">
        <f>'Lighting Deemed Table'!G42</f>
        <v>41.1</v>
      </c>
      <c r="X56" s="427">
        <v>43</v>
      </c>
      <c r="Y56" s="426"/>
      <c r="Z56" s="426"/>
      <c r="AA56" s="426"/>
      <c r="AB56" s="426"/>
      <c r="AC56" s="426"/>
      <c r="AD56" s="426"/>
      <c r="AE56" s="426"/>
      <c r="AF56" s="426"/>
      <c r="AG56" s="426"/>
      <c r="AI56" s="426">
        <v>41.32</v>
      </c>
      <c r="AJ56" s="427">
        <v>43</v>
      </c>
      <c r="AK56" s="426"/>
      <c r="AL56" s="426"/>
      <c r="AM56" s="426"/>
      <c r="AN56" s="426"/>
      <c r="AO56" s="426"/>
      <c r="AP56" s="426"/>
      <c r="AQ56" s="426"/>
      <c r="AR56" s="426"/>
      <c r="AS56" s="426"/>
    </row>
    <row r="57" spans="4:45" ht="45" outlineLevel="1" x14ac:dyDescent="0.25">
      <c r="D57" s="2088"/>
      <c r="E57" s="2090"/>
      <c r="F57" s="437" t="s">
        <v>438</v>
      </c>
      <c r="G57" s="425">
        <v>43</v>
      </c>
      <c r="H57" s="890" t="s">
        <v>752</v>
      </c>
      <c r="I57" s="425">
        <v>43</v>
      </c>
      <c r="J57" s="965" t="s">
        <v>753</v>
      </c>
      <c r="K57" s="1558"/>
      <c r="L57" s="1558"/>
      <c r="M57" s="130"/>
      <c r="N57" s="514"/>
      <c r="V57" s="2093"/>
      <c r="W57" s="426">
        <v>43</v>
      </c>
      <c r="X57" s="426">
        <v>43</v>
      </c>
      <c r="Y57" s="426"/>
      <c r="Z57" s="426"/>
      <c r="AA57" s="426"/>
      <c r="AB57" s="426"/>
      <c r="AC57" s="426"/>
      <c r="AD57" s="426"/>
      <c r="AE57" s="426"/>
      <c r="AF57" s="426"/>
      <c r="AG57" s="426"/>
      <c r="AI57" s="429">
        <v>43</v>
      </c>
      <c r="AJ57" s="426">
        <v>43</v>
      </c>
      <c r="AK57" s="426"/>
      <c r="AL57" s="426"/>
      <c r="AM57" s="426"/>
      <c r="AN57" s="426"/>
      <c r="AO57" s="426"/>
      <c r="AP57" s="426"/>
      <c r="AQ57" s="426"/>
      <c r="AR57" s="426"/>
      <c r="AS57" s="426"/>
    </row>
    <row r="58" spans="4:45" outlineLevel="1" x14ac:dyDescent="0.25">
      <c r="D58" s="2086" t="s">
        <v>1876</v>
      </c>
      <c r="E58" s="2086" t="s">
        <v>755</v>
      </c>
      <c r="F58" s="437" t="s">
        <v>442</v>
      </c>
      <c r="G58" s="425">
        <v>9</v>
      </c>
      <c r="H58" s="890"/>
      <c r="I58" s="425">
        <v>9</v>
      </c>
      <c r="J58" s="965"/>
      <c r="K58" s="1558"/>
      <c r="L58" s="1558"/>
      <c r="M58" s="130"/>
      <c r="N58" s="514"/>
      <c r="V58" s="2091" t="s">
        <v>754</v>
      </c>
      <c r="W58" s="430">
        <v>9</v>
      </c>
      <c r="X58" s="425">
        <v>9</v>
      </c>
      <c r="Y58" s="426"/>
      <c r="Z58" s="426"/>
      <c r="AA58" s="426"/>
      <c r="AB58" s="426"/>
      <c r="AC58" s="426"/>
      <c r="AD58" s="426"/>
      <c r="AE58" s="426"/>
      <c r="AF58" s="426"/>
      <c r="AG58" s="426"/>
      <c r="AI58" s="429">
        <f>G58</f>
        <v>9</v>
      </c>
      <c r="AJ58" s="425">
        <v>9</v>
      </c>
      <c r="AK58" s="426"/>
      <c r="AL58" s="426"/>
      <c r="AM58" s="426"/>
      <c r="AN58" s="426"/>
      <c r="AO58" s="426"/>
      <c r="AP58" s="426"/>
      <c r="AQ58" s="426"/>
      <c r="AR58" s="426"/>
      <c r="AS58" s="426"/>
    </row>
    <row r="59" spans="4:45" ht="15" customHeight="1" outlineLevel="1" x14ac:dyDescent="0.25">
      <c r="D59" s="2087"/>
      <c r="E59" s="2089"/>
      <c r="F59" s="437" t="s">
        <v>443</v>
      </c>
      <c r="G59" s="425">
        <v>9</v>
      </c>
      <c r="H59" s="890"/>
      <c r="I59" s="425">
        <v>9</v>
      </c>
      <c r="J59" s="965"/>
      <c r="K59" s="1558"/>
      <c r="L59" s="1558"/>
      <c r="M59" s="130"/>
      <c r="N59" s="514"/>
      <c r="V59" s="2092"/>
      <c r="W59" s="430">
        <f>'Lighting Deemed Table'!G63</f>
        <v>9</v>
      </c>
      <c r="X59" s="425">
        <f>W59</f>
        <v>9</v>
      </c>
      <c r="Y59" s="426"/>
      <c r="Z59" s="426"/>
      <c r="AA59" s="426"/>
      <c r="AB59" s="426"/>
      <c r="AC59" s="426"/>
      <c r="AD59" s="426"/>
      <c r="AE59" s="426"/>
      <c r="AF59" s="426"/>
      <c r="AG59" s="426"/>
      <c r="AI59" s="429">
        <f>G59</f>
        <v>9</v>
      </c>
      <c r="AJ59" s="425">
        <v>9</v>
      </c>
      <c r="AK59" s="426"/>
      <c r="AL59" s="426"/>
      <c r="AM59" s="426"/>
      <c r="AN59" s="426"/>
      <c r="AO59" s="426"/>
      <c r="AP59" s="426"/>
      <c r="AQ59" s="426"/>
      <c r="AR59" s="426"/>
      <c r="AS59" s="426"/>
    </row>
    <row r="60" spans="4:45" ht="45" outlineLevel="1" x14ac:dyDescent="0.25">
      <c r="D60" s="2088"/>
      <c r="E60" s="2090"/>
      <c r="F60" s="437" t="s">
        <v>438</v>
      </c>
      <c r="G60" s="425">
        <v>9</v>
      </c>
      <c r="H60" s="890" t="s">
        <v>756</v>
      </c>
      <c r="I60" s="425">
        <v>9</v>
      </c>
      <c r="J60" s="890" t="s">
        <v>756</v>
      </c>
      <c r="K60" s="1559"/>
      <c r="L60" s="1559"/>
      <c r="M60" s="130"/>
      <c r="N60" s="514"/>
      <c r="V60" s="2093"/>
      <c r="W60" s="426">
        <v>9</v>
      </c>
      <c r="X60" s="426">
        <v>9</v>
      </c>
      <c r="Y60" s="426"/>
      <c r="Z60" s="426"/>
      <c r="AA60" s="426"/>
      <c r="AB60" s="426"/>
      <c r="AC60" s="426"/>
      <c r="AD60" s="426"/>
      <c r="AE60" s="426"/>
      <c r="AF60" s="426"/>
      <c r="AG60" s="426"/>
      <c r="AI60" s="429">
        <v>9</v>
      </c>
      <c r="AJ60" s="426">
        <v>9</v>
      </c>
      <c r="AK60" s="426"/>
      <c r="AL60" s="426"/>
      <c r="AM60" s="426"/>
      <c r="AN60" s="426"/>
      <c r="AO60" s="426"/>
      <c r="AP60" s="426"/>
      <c r="AQ60" s="426"/>
      <c r="AR60" s="426"/>
      <c r="AS60" s="426"/>
    </row>
    <row r="61" spans="4:45" ht="30" outlineLevel="1" x14ac:dyDescent="0.25">
      <c r="D61" s="437" t="s">
        <v>1877</v>
      </c>
      <c r="E61" s="437" t="s">
        <v>758</v>
      </c>
      <c r="F61" s="437"/>
      <c r="G61" s="1560">
        <v>2.73</v>
      </c>
      <c r="H61" s="890" t="s">
        <v>759</v>
      </c>
      <c r="I61" s="1560">
        <v>2.73</v>
      </c>
      <c r="J61" s="890" t="s">
        <v>759</v>
      </c>
      <c r="K61" s="1559"/>
      <c r="L61" s="1559"/>
      <c r="M61" s="130"/>
      <c r="N61" s="514"/>
      <c r="V61" s="415" t="s">
        <v>757</v>
      </c>
      <c r="W61" s="431">
        <v>2.73</v>
      </c>
      <c r="X61" s="431">
        <v>2.73</v>
      </c>
      <c r="Y61" s="431"/>
      <c r="Z61" s="431"/>
      <c r="AA61" s="431"/>
      <c r="AB61" s="431"/>
      <c r="AC61" s="431"/>
      <c r="AD61" s="431"/>
      <c r="AE61" s="431"/>
      <c r="AF61" s="431"/>
      <c r="AG61" s="431"/>
      <c r="AI61" s="431">
        <v>3.1494444444440002</v>
      </c>
      <c r="AJ61" s="431">
        <v>2.73</v>
      </c>
      <c r="AK61" s="431"/>
      <c r="AL61" s="431"/>
      <c r="AM61" s="431"/>
      <c r="AN61" s="431"/>
      <c r="AO61" s="431"/>
      <c r="AP61" s="431"/>
      <c r="AQ61" s="431"/>
      <c r="AR61" s="431"/>
      <c r="AS61" s="431"/>
    </row>
    <row r="62" spans="4:45" ht="30" outlineLevel="1" x14ac:dyDescent="0.25">
      <c r="D62" s="437" t="s">
        <v>173</v>
      </c>
      <c r="E62" s="437" t="s">
        <v>760</v>
      </c>
      <c r="F62" s="437"/>
      <c r="G62" s="354">
        <v>365</v>
      </c>
      <c r="H62" s="890" t="s">
        <v>760</v>
      </c>
      <c r="I62" s="354">
        <v>365</v>
      </c>
      <c r="J62" s="890" t="s">
        <v>760</v>
      </c>
      <c r="K62" s="1559"/>
      <c r="L62" s="1559"/>
      <c r="M62" s="130"/>
      <c r="N62" s="514"/>
      <c r="V62" s="415" t="s">
        <v>173</v>
      </c>
      <c r="W62" s="432">
        <v>365</v>
      </c>
      <c r="X62" s="432">
        <v>365</v>
      </c>
      <c r="Y62" s="432"/>
      <c r="Z62" s="432"/>
      <c r="AA62" s="432"/>
      <c r="AB62" s="432"/>
      <c r="AC62" s="432"/>
      <c r="AD62" s="432"/>
      <c r="AE62" s="432"/>
      <c r="AF62" s="432"/>
      <c r="AG62" s="432"/>
      <c r="AI62" s="432">
        <v>365</v>
      </c>
      <c r="AJ62" s="432">
        <v>365</v>
      </c>
      <c r="AK62" s="432"/>
      <c r="AL62" s="432"/>
      <c r="AM62" s="432"/>
      <c r="AN62" s="432"/>
      <c r="AO62" s="432"/>
      <c r="AP62" s="432"/>
      <c r="AQ62" s="432"/>
      <c r="AR62" s="432"/>
      <c r="AS62" s="432"/>
    </row>
    <row r="63" spans="4:45" ht="30" outlineLevel="1" x14ac:dyDescent="0.25">
      <c r="D63" s="1561">
        <v>1000</v>
      </c>
      <c r="E63" s="437" t="s">
        <v>761</v>
      </c>
      <c r="F63" s="1561"/>
      <c r="G63" s="1562">
        <v>1000</v>
      </c>
      <c r="H63" s="890" t="s">
        <v>761</v>
      </c>
      <c r="I63" s="1562">
        <v>1000</v>
      </c>
      <c r="J63" s="890" t="s">
        <v>761</v>
      </c>
      <c r="K63" s="1559"/>
      <c r="L63" s="1559"/>
      <c r="M63" s="130"/>
      <c r="N63" s="514"/>
      <c r="V63" s="434">
        <v>1000</v>
      </c>
      <c r="W63" s="433">
        <v>1000</v>
      </c>
      <c r="X63" s="433">
        <v>1000</v>
      </c>
      <c r="Y63" s="433"/>
      <c r="Z63" s="433"/>
      <c r="AA63" s="433"/>
      <c r="AB63" s="433"/>
      <c r="AC63" s="433"/>
      <c r="AD63" s="433"/>
      <c r="AE63" s="433"/>
      <c r="AF63" s="433"/>
      <c r="AG63" s="433"/>
      <c r="AI63" s="433">
        <v>1000</v>
      </c>
      <c r="AJ63" s="433">
        <v>1000</v>
      </c>
      <c r="AK63" s="433"/>
      <c r="AL63" s="433"/>
      <c r="AM63" s="433"/>
      <c r="AN63" s="433"/>
      <c r="AO63" s="433"/>
      <c r="AP63" s="433"/>
      <c r="AQ63" s="433"/>
      <c r="AR63" s="433"/>
      <c r="AS63" s="433"/>
    </row>
    <row r="64" spans="4:45" ht="30" outlineLevel="1" x14ac:dyDescent="0.25">
      <c r="D64" s="437" t="s">
        <v>762</v>
      </c>
      <c r="E64" s="437" t="s">
        <v>763</v>
      </c>
      <c r="F64" s="437"/>
      <c r="G64" s="417">
        <v>0.99</v>
      </c>
      <c r="H64" s="890" t="s">
        <v>759</v>
      </c>
      <c r="I64" s="417">
        <v>0.99</v>
      </c>
      <c r="J64" s="890" t="s">
        <v>759</v>
      </c>
      <c r="K64" s="1080"/>
      <c r="L64" s="1559"/>
      <c r="M64" s="130"/>
      <c r="N64" s="514"/>
      <c r="V64" s="424" t="s">
        <v>762</v>
      </c>
      <c r="W64" s="356">
        <v>0.97</v>
      </c>
      <c r="X64" s="435">
        <v>0.99</v>
      </c>
      <c r="Y64" s="356"/>
      <c r="Z64" s="356"/>
      <c r="AA64" s="356"/>
      <c r="AB64" s="356"/>
      <c r="AC64" s="356"/>
      <c r="AD64" s="356"/>
      <c r="AE64" s="356"/>
      <c r="AF64" s="356"/>
      <c r="AG64" s="356"/>
      <c r="AI64" s="356">
        <v>0.97</v>
      </c>
      <c r="AJ64" s="435">
        <v>0.99</v>
      </c>
      <c r="AK64" s="356"/>
      <c r="AL64" s="356"/>
      <c r="AM64" s="356"/>
      <c r="AN64" s="356"/>
      <c r="AO64" s="356"/>
      <c r="AP64" s="356"/>
      <c r="AQ64" s="356"/>
      <c r="AR64" s="356"/>
      <c r="AS64" s="356"/>
    </row>
    <row r="65" spans="2:45" ht="15.75" outlineLevel="1" thickBot="1" x14ac:dyDescent="0.3">
      <c r="D65" s="437" t="s">
        <v>764</v>
      </c>
      <c r="E65" s="437" t="s">
        <v>765</v>
      </c>
      <c r="F65" s="437"/>
      <c r="G65" s="1563">
        <v>1</v>
      </c>
      <c r="H65" s="890" t="s">
        <v>766</v>
      </c>
      <c r="I65" s="1563">
        <v>1</v>
      </c>
      <c r="J65" s="906" t="s">
        <v>767</v>
      </c>
      <c r="K65" s="1528"/>
      <c r="L65" s="1080"/>
      <c r="M65" s="130"/>
      <c r="N65" s="514"/>
      <c r="V65" s="424" t="s">
        <v>764</v>
      </c>
      <c r="W65" s="436">
        <v>1</v>
      </c>
      <c r="X65" s="436">
        <v>1</v>
      </c>
      <c r="Y65" s="436"/>
      <c r="Z65" s="436"/>
      <c r="AA65" s="436"/>
      <c r="AB65" s="436"/>
      <c r="AC65" s="436"/>
      <c r="AD65" s="436"/>
      <c r="AE65" s="436"/>
      <c r="AF65" s="436"/>
      <c r="AG65" s="436"/>
      <c r="AI65" s="436">
        <v>1</v>
      </c>
      <c r="AJ65" s="436">
        <v>1</v>
      </c>
      <c r="AK65" s="436"/>
      <c r="AL65" s="436"/>
      <c r="AM65" s="436"/>
      <c r="AN65" s="436"/>
      <c r="AO65" s="436"/>
      <c r="AP65" s="436"/>
      <c r="AQ65" s="436"/>
      <c r="AR65" s="436"/>
      <c r="AS65" s="436"/>
    </row>
    <row r="66" spans="2:45" ht="30.75" outlineLevel="1" thickBot="1" x14ac:dyDescent="0.3">
      <c r="D66" s="437" t="s">
        <v>768</v>
      </c>
      <c r="E66" s="437" t="s">
        <v>769</v>
      </c>
      <c r="F66" s="437"/>
      <c r="G66" s="1563">
        <v>0.89859999999999995</v>
      </c>
      <c r="H66" s="890" t="s">
        <v>1786</v>
      </c>
      <c r="I66" s="1563">
        <v>1</v>
      </c>
      <c r="J66" s="1141" t="s">
        <v>1367</v>
      </c>
      <c r="K66" s="1528"/>
      <c r="L66" s="1528"/>
      <c r="M66" s="130"/>
      <c r="N66" s="514"/>
      <c r="V66" s="437" t="s">
        <v>768</v>
      </c>
      <c r="W66" s="436">
        <v>0.86</v>
      </c>
      <c r="X66" s="438">
        <v>0.89859999999999995</v>
      </c>
      <c r="Y66" s="436"/>
      <c r="Z66" s="436"/>
      <c r="AA66" s="436"/>
      <c r="AB66" s="436"/>
      <c r="AC66" s="436"/>
      <c r="AD66" s="436"/>
      <c r="AE66" s="436"/>
      <c r="AF66" s="436"/>
      <c r="AG66" s="436"/>
      <c r="AI66" s="436">
        <v>1</v>
      </c>
      <c r="AJ66" s="436">
        <v>1</v>
      </c>
      <c r="AK66" s="436"/>
      <c r="AL66" s="436"/>
      <c r="AM66" s="436"/>
      <c r="AN66" s="436"/>
      <c r="AO66" s="436"/>
      <c r="AP66" s="436"/>
      <c r="AQ66" s="436"/>
      <c r="AR66" s="436"/>
      <c r="AS66" s="436"/>
    </row>
    <row r="67" spans="2:45" ht="45" outlineLevel="1" x14ac:dyDescent="0.25">
      <c r="D67" s="437" t="s">
        <v>58</v>
      </c>
      <c r="E67" s="437" t="s">
        <v>574</v>
      </c>
      <c r="F67" s="437"/>
      <c r="G67" s="1564">
        <v>0.92</v>
      </c>
      <c r="H67" s="321" t="s">
        <v>1788</v>
      </c>
      <c r="I67" s="1564">
        <v>1</v>
      </c>
      <c r="J67" s="321" t="s">
        <v>1787</v>
      </c>
      <c r="K67" s="1528"/>
      <c r="L67" s="1528"/>
      <c r="M67" s="130"/>
      <c r="N67" s="514"/>
      <c r="V67" s="424" t="s">
        <v>58</v>
      </c>
      <c r="W67" s="109">
        <v>0.91507544652831463</v>
      </c>
      <c r="X67" s="439">
        <v>0.92</v>
      </c>
      <c r="Y67" s="109"/>
      <c r="Z67" s="109"/>
      <c r="AA67" s="109"/>
      <c r="AB67" s="109"/>
      <c r="AC67" s="109"/>
      <c r="AD67" s="109"/>
      <c r="AE67" s="109"/>
      <c r="AF67" s="109"/>
      <c r="AG67" s="109"/>
      <c r="AI67" s="440">
        <v>0.98</v>
      </c>
      <c r="AJ67" s="846">
        <v>1</v>
      </c>
      <c r="AK67" s="109"/>
      <c r="AL67" s="109"/>
      <c r="AM67" s="109"/>
      <c r="AN67" s="109"/>
      <c r="AO67" s="109"/>
      <c r="AP67" s="109"/>
      <c r="AQ67" s="109"/>
      <c r="AR67" s="109"/>
      <c r="AS67" s="109"/>
    </row>
    <row r="68" spans="2:45" outlineLevel="1" x14ac:dyDescent="0.25">
      <c r="B68" s="1087"/>
      <c r="C68" s="1434"/>
      <c r="D68" s="899" t="s">
        <v>738</v>
      </c>
      <c r="E68" s="899" t="s">
        <v>504</v>
      </c>
      <c r="F68" s="437"/>
      <c r="G68" s="406">
        <v>19</v>
      </c>
      <c r="H68" s="268"/>
      <c r="I68" s="406">
        <v>19</v>
      </c>
      <c r="J68" s="906"/>
      <c r="K68" s="904"/>
      <c r="L68" s="904"/>
      <c r="M68" s="1452"/>
      <c r="N68" s="904"/>
      <c r="O68" s="904"/>
      <c r="P68" s="904"/>
      <c r="Q68" s="904"/>
      <c r="V68" s="158" t="s">
        <v>738</v>
      </c>
      <c r="W68" s="406">
        <v>19</v>
      </c>
      <c r="X68" s="406">
        <v>19</v>
      </c>
      <c r="Y68" s="406"/>
      <c r="Z68" s="406"/>
      <c r="AA68" s="406"/>
      <c r="AB68" s="406"/>
      <c r="AC68" s="406"/>
      <c r="AD68" s="406"/>
      <c r="AE68" s="406"/>
      <c r="AF68" s="406"/>
      <c r="AG68" s="406"/>
      <c r="AI68" s="406">
        <v>19</v>
      </c>
      <c r="AJ68" s="406">
        <v>19</v>
      </c>
      <c r="AK68" s="406"/>
      <c r="AL68" s="406"/>
      <c r="AM68" s="406"/>
      <c r="AN68" s="406"/>
      <c r="AO68" s="406"/>
      <c r="AP68" s="406"/>
      <c r="AQ68" s="406"/>
      <c r="AR68" s="406"/>
      <c r="AS68" s="406"/>
    </row>
    <row r="69" spans="2:45" outlineLevel="1" x14ac:dyDescent="0.25">
      <c r="B69" s="1087"/>
      <c r="C69" s="1434"/>
      <c r="D69" s="407" t="s">
        <v>24</v>
      </c>
      <c r="E69" s="899" t="s">
        <v>506</v>
      </c>
      <c r="F69" s="437"/>
      <c r="G69" s="408">
        <v>1.95</v>
      </c>
      <c r="H69" s="268"/>
      <c r="I69" s="408">
        <v>1.95</v>
      </c>
      <c r="J69" s="906"/>
      <c r="K69" s="904"/>
      <c r="L69" s="904"/>
      <c r="M69" s="1452"/>
      <c r="N69" s="904"/>
      <c r="O69" s="904"/>
      <c r="P69" s="904"/>
      <c r="Q69" s="904"/>
      <c r="V69" s="162" t="s">
        <v>24</v>
      </c>
      <c r="W69" s="408">
        <v>1.95</v>
      </c>
      <c r="X69" s="408">
        <v>1.95</v>
      </c>
      <c r="Y69" s="409"/>
      <c r="Z69" s="409"/>
      <c r="AA69" s="409"/>
      <c r="AB69" s="409"/>
      <c r="AC69" s="409"/>
      <c r="AD69" s="409"/>
      <c r="AE69" s="409"/>
      <c r="AF69" s="409"/>
      <c r="AG69" s="409"/>
      <c r="AI69" s="408">
        <v>1.95</v>
      </c>
      <c r="AJ69" s="408">
        <v>1.95</v>
      </c>
      <c r="AK69" s="409"/>
      <c r="AL69" s="409"/>
      <c r="AM69" s="409"/>
      <c r="AN69" s="409"/>
      <c r="AO69" s="409"/>
      <c r="AP69" s="409"/>
      <c r="AQ69" s="409"/>
      <c r="AR69" s="409"/>
      <c r="AS69" s="409"/>
    </row>
    <row r="70" spans="2:45" x14ac:dyDescent="0.25">
      <c r="D70" s="1080"/>
      <c r="E70" s="1080"/>
      <c r="F70" s="1565"/>
      <c r="G70" s="1080"/>
      <c r="H70" s="1566"/>
      <c r="I70" s="1528"/>
      <c r="J70" s="1528"/>
      <c r="K70" s="1528"/>
    </row>
    <row r="72" spans="2:45" s="165" customFormat="1" x14ac:dyDescent="0.25">
      <c r="B72" s="2022" t="s">
        <v>770</v>
      </c>
      <c r="C72" s="2023"/>
      <c r="D72" s="2023"/>
      <c r="E72" s="2023"/>
      <c r="F72" s="2023"/>
      <c r="G72" s="2023"/>
      <c r="H72" s="2023"/>
      <c r="I72" s="1992"/>
      <c r="J72" s="1992"/>
      <c r="K72" s="1992"/>
      <c r="L72" s="1992"/>
      <c r="M72" s="1992"/>
      <c r="N72" s="1993"/>
      <c r="V72" s="2022" t="str">
        <f>B72</f>
        <v>Kit Faucet Aerators (Kitchen)</v>
      </c>
      <c r="W72" s="2023"/>
      <c r="X72" s="2023"/>
      <c r="Y72" s="2023"/>
      <c r="Z72" s="2023"/>
      <c r="AA72" s="2023"/>
      <c r="AB72" s="2023"/>
      <c r="AC72" s="2024"/>
      <c r="AD72" s="2024"/>
      <c r="AE72" s="2024"/>
      <c r="AF72" s="2024"/>
      <c r="AG72" s="2024"/>
      <c r="AH72" s="2025"/>
    </row>
    <row r="74" spans="2:45" ht="45" x14ac:dyDescent="0.25">
      <c r="C74" s="184" t="s">
        <v>16</v>
      </c>
      <c r="D74" s="184" t="s">
        <v>509</v>
      </c>
      <c r="E74" s="184" t="s">
        <v>18</v>
      </c>
      <c r="F74" s="184" t="s">
        <v>19</v>
      </c>
      <c r="G74" s="184" t="s">
        <v>20</v>
      </c>
      <c r="H74" s="184" t="s">
        <v>21</v>
      </c>
      <c r="I74" s="184" t="s">
        <v>771</v>
      </c>
      <c r="J74" s="184" t="s">
        <v>22</v>
      </c>
      <c r="K74" s="184" t="s">
        <v>23</v>
      </c>
      <c r="L74" s="184" t="s">
        <v>24</v>
      </c>
      <c r="M74" s="184" t="s">
        <v>25</v>
      </c>
      <c r="Q74" s="529"/>
      <c r="R74" s="529"/>
      <c r="V74" s="48" t="s">
        <v>26</v>
      </c>
      <c r="W74" s="49">
        <f>$W$6</f>
        <v>43252</v>
      </c>
      <c r="X74" s="49">
        <f>$X$6</f>
        <v>43465</v>
      </c>
      <c r="Y74" s="49" t="str">
        <f>$Y$6</f>
        <v>-</v>
      </c>
      <c r="Z74" s="49" t="str">
        <f>$Z$6</f>
        <v>-</v>
      </c>
      <c r="AA74" s="49" t="str">
        <f>$AA$6</f>
        <v>-</v>
      </c>
      <c r="AB74" s="49" t="str">
        <f>$AB$6</f>
        <v>-</v>
      </c>
      <c r="AC74" s="49" t="str">
        <f>$AC$6</f>
        <v>-</v>
      </c>
      <c r="AD74" s="49" t="str">
        <f>$AD$6</f>
        <v>-</v>
      </c>
      <c r="AE74" s="49" t="str">
        <f>$AE$6</f>
        <v>-</v>
      </c>
      <c r="AF74" s="49" t="str">
        <f>$AF$6</f>
        <v>-</v>
      </c>
      <c r="AG74" s="49" t="str">
        <f>$AG$6</f>
        <v>-</v>
      </c>
    </row>
    <row r="75" spans="2:45" x14ac:dyDescent="0.25">
      <c r="C75" s="115"/>
      <c r="D75" s="726" t="s">
        <v>726</v>
      </c>
      <c r="E75" s="726" t="s">
        <v>772</v>
      </c>
      <c r="F75" s="123">
        <f>F86*(F87*F88-F89*F90)*F91*F92*F93/F94*I75*F102*F101</f>
        <v>40.741488532871308</v>
      </c>
      <c r="G75" s="1039" t="s">
        <v>513</v>
      </c>
      <c r="H75" s="170">
        <f>VLOOKUP(G75,'CP FACTORS'!$A$3:$B$38, 2, FALSE)</f>
        <v>8.8731800000000003E-5</v>
      </c>
      <c r="I75" s="474">
        <f>F95*F96*(F97-F98)/(F99*F100)</f>
        <v>7.894813946674481E-2</v>
      </c>
      <c r="J75" s="1397">
        <f>F75*H75</f>
        <v>3.6150656122010305E-3</v>
      </c>
      <c r="K75" s="122">
        <f>F103</f>
        <v>10</v>
      </c>
      <c r="L75" s="445">
        <f>F104</f>
        <v>3</v>
      </c>
      <c r="M75" s="1531" t="s">
        <v>31</v>
      </c>
      <c r="Q75" s="446"/>
      <c r="R75" s="1413"/>
      <c r="V75" s="176" t="str">
        <f>F74</f>
        <v>kWh Annual Savings</v>
      </c>
      <c r="W75" s="1198">
        <v>45.9</v>
      </c>
      <c r="X75" s="1199">
        <v>40.741488532871308</v>
      </c>
      <c r="Y75" s="176"/>
      <c r="Z75" s="176"/>
      <c r="AA75" s="176"/>
      <c r="AB75" s="176"/>
      <c r="AC75" s="176"/>
      <c r="AD75" s="176"/>
      <c r="AE75" s="176"/>
      <c r="AF75" s="176"/>
      <c r="AG75" s="176"/>
    </row>
    <row r="76" spans="2:45" x14ac:dyDescent="0.25">
      <c r="C76" s="115"/>
      <c r="D76" s="1555" t="s">
        <v>614</v>
      </c>
      <c r="E76" s="726" t="s">
        <v>772</v>
      </c>
      <c r="F76" s="123">
        <f>H86*(H87*H88-H89*H90)*H91*H92*H93/H94*I76*H102*H101</f>
        <v>113.15036771306985</v>
      </c>
      <c r="G76" s="1039" t="s">
        <v>513</v>
      </c>
      <c r="H76" s="170">
        <f>VLOOKUP(G76,'CP FACTORS'!$A$3:$B$38, 2, FALSE)</f>
        <v>8.8731800000000003E-5</v>
      </c>
      <c r="I76" s="474">
        <f>H95*H96*(H97-H98)/(H99*H100)</f>
        <v>7.894813946674481E-2</v>
      </c>
      <c r="J76" s="1397">
        <f>F76*H76</f>
        <v>1.0040035797842572E-2</v>
      </c>
      <c r="K76" s="122">
        <f>H103</f>
        <v>10</v>
      </c>
      <c r="L76" s="445">
        <f>H104</f>
        <v>3</v>
      </c>
      <c r="M76" s="1531" t="s">
        <v>31</v>
      </c>
      <c r="Q76" s="529"/>
      <c r="R76" s="1413"/>
      <c r="V76" s="176" t="str">
        <f>V75</f>
        <v>kWh Annual Savings</v>
      </c>
      <c r="W76" s="1198">
        <v>115.9</v>
      </c>
      <c r="X76" s="1199">
        <v>113.15036771306985</v>
      </c>
      <c r="Y76" s="176"/>
      <c r="Z76" s="176"/>
      <c r="AA76" s="176"/>
      <c r="AB76" s="176"/>
      <c r="AC76" s="176"/>
      <c r="AD76" s="176"/>
      <c r="AE76" s="176"/>
      <c r="AF76" s="176"/>
      <c r="AG76" s="176"/>
    </row>
    <row r="77" spans="2:45" outlineLevel="1" x14ac:dyDescent="0.25">
      <c r="D77" s="1567"/>
      <c r="E77" s="1567"/>
      <c r="G77" s="1568"/>
      <c r="H77" s="1569"/>
      <c r="I77" s="1570"/>
      <c r="J77" s="1570"/>
      <c r="K77" s="1570"/>
      <c r="L77" s="1571"/>
    </row>
    <row r="78" spans="2:45" outlineLevel="1" x14ac:dyDescent="0.25">
      <c r="D78" s="1418" t="s">
        <v>463</v>
      </c>
    </row>
    <row r="79" spans="2:45" outlineLevel="1" x14ac:dyDescent="0.25"/>
    <row r="80" spans="2:45" outlineLevel="1" x14ac:dyDescent="0.25"/>
    <row r="81" spans="2:45" outlineLevel="1" x14ac:dyDescent="0.25"/>
    <row r="82" spans="2:45" outlineLevel="1" x14ac:dyDescent="0.25"/>
    <row r="83" spans="2:45" outlineLevel="1" x14ac:dyDescent="0.25"/>
    <row r="84" spans="2:45" outlineLevel="1" x14ac:dyDescent="0.25">
      <c r="M84" s="470"/>
      <c r="N84" s="470"/>
      <c r="O84" s="470"/>
      <c r="P84" s="470"/>
      <c r="Q84" s="470"/>
      <c r="V84" s="48" t="s">
        <v>26</v>
      </c>
      <c r="W84" s="49">
        <f>$W$6</f>
        <v>43252</v>
      </c>
      <c r="X84" s="49">
        <f>$X$6</f>
        <v>43465</v>
      </c>
      <c r="Y84" s="49" t="str">
        <f>$Y$6</f>
        <v>-</v>
      </c>
      <c r="Z84" s="49" t="str">
        <f>$Z$6</f>
        <v>-</v>
      </c>
      <c r="AA84" s="49" t="str">
        <f>$AA$6</f>
        <v>-</v>
      </c>
      <c r="AB84" s="49" t="str">
        <f>$AB$6</f>
        <v>-</v>
      </c>
      <c r="AC84" s="49" t="str">
        <f>$AC$6</f>
        <v>-</v>
      </c>
      <c r="AD84" s="49" t="str">
        <f>$AD$6</f>
        <v>-</v>
      </c>
      <c r="AE84" s="49" t="str">
        <f>$AE$6</f>
        <v>-</v>
      </c>
      <c r="AF84" s="49" t="str">
        <f>$AF$6</f>
        <v>-</v>
      </c>
      <c r="AG84" s="49" t="str">
        <f>$AG$6</f>
        <v>-</v>
      </c>
      <c r="AH84" s="447"/>
      <c r="AI84" s="49">
        <f>$W$6</f>
        <v>43252</v>
      </c>
      <c r="AJ84" s="49">
        <f>$X$6</f>
        <v>43465</v>
      </c>
      <c r="AK84" s="49" t="str">
        <f>$Y$6</f>
        <v>-</v>
      </c>
      <c r="AL84" s="49" t="str">
        <f>$Z$6</f>
        <v>-</v>
      </c>
      <c r="AM84" s="49" t="str">
        <f>$AA$6</f>
        <v>-</v>
      </c>
      <c r="AN84" s="49" t="str">
        <f>$AB$6</f>
        <v>-</v>
      </c>
      <c r="AO84" s="49" t="str">
        <f>$AC$6</f>
        <v>-</v>
      </c>
      <c r="AP84" s="49" t="str">
        <f>$AD$6</f>
        <v>-</v>
      </c>
      <c r="AQ84" s="49" t="str">
        <f>$AE$6</f>
        <v>-</v>
      </c>
      <c r="AR84" s="49" t="str">
        <f>$AF$6</f>
        <v>-</v>
      </c>
      <c r="AS84" s="49" t="str">
        <f>$AG$6</f>
        <v>-</v>
      </c>
    </row>
    <row r="85" spans="2:45" ht="15" customHeight="1" outlineLevel="1" x14ac:dyDescent="0.25">
      <c r="D85" s="1098" t="s">
        <v>465</v>
      </c>
      <c r="E85" s="1098" t="s">
        <v>466</v>
      </c>
      <c r="F85" s="184" t="s">
        <v>746</v>
      </c>
      <c r="G85" s="184" t="s">
        <v>747</v>
      </c>
      <c r="H85" s="184" t="s">
        <v>748</v>
      </c>
      <c r="I85" s="184" t="s">
        <v>749</v>
      </c>
      <c r="J85" s="2075" t="s">
        <v>468</v>
      </c>
      <c r="K85" s="2076"/>
      <c r="M85" s="449"/>
      <c r="N85" s="449"/>
      <c r="O85" s="449"/>
      <c r="P85" s="449"/>
      <c r="Q85" s="470"/>
      <c r="V85" s="62"/>
      <c r="W85" s="63" t="s">
        <v>746</v>
      </c>
      <c r="X85" s="63" t="s">
        <v>746</v>
      </c>
      <c r="Y85" s="63" t="s">
        <v>746</v>
      </c>
      <c r="Z85" s="63" t="s">
        <v>746</v>
      </c>
      <c r="AA85" s="63" t="s">
        <v>746</v>
      </c>
      <c r="AB85" s="63" t="s">
        <v>746</v>
      </c>
      <c r="AC85" s="63" t="s">
        <v>746</v>
      </c>
      <c r="AD85" s="63" t="s">
        <v>746</v>
      </c>
      <c r="AE85" s="63" t="s">
        <v>746</v>
      </c>
      <c r="AF85" s="63" t="s">
        <v>746</v>
      </c>
      <c r="AG85" s="63" t="s">
        <v>746</v>
      </c>
      <c r="AH85" s="130"/>
      <c r="AI85" s="63" t="s">
        <v>748</v>
      </c>
      <c r="AJ85" s="63" t="s">
        <v>748</v>
      </c>
      <c r="AK85" s="63" t="s">
        <v>748</v>
      </c>
      <c r="AL85" s="63" t="s">
        <v>748</v>
      </c>
      <c r="AM85" s="63" t="s">
        <v>748</v>
      </c>
      <c r="AN85" s="63" t="s">
        <v>748</v>
      </c>
      <c r="AO85" s="63" t="s">
        <v>748</v>
      </c>
      <c r="AP85" s="63" t="s">
        <v>748</v>
      </c>
      <c r="AQ85" s="63" t="s">
        <v>748</v>
      </c>
      <c r="AR85" s="63" t="s">
        <v>748</v>
      </c>
      <c r="AS85" s="63" t="s">
        <v>748</v>
      </c>
    </row>
    <row r="86" spans="2:45" ht="15" customHeight="1" outlineLevel="1" x14ac:dyDescent="0.25">
      <c r="C86" s="1572"/>
      <c r="D86" s="890" t="s">
        <v>773</v>
      </c>
      <c r="E86" s="890" t="s">
        <v>774</v>
      </c>
      <c r="F86" s="481">
        <v>0.34429999999999999</v>
      </c>
      <c r="G86" s="890" t="s">
        <v>1789</v>
      </c>
      <c r="H86" s="481">
        <v>1</v>
      </c>
      <c r="I86" s="906" t="s">
        <v>1790</v>
      </c>
      <c r="J86" s="2094"/>
      <c r="K86" s="2095"/>
      <c r="M86" s="480"/>
      <c r="N86" s="480"/>
      <c r="O86" s="480"/>
      <c r="P86" s="480"/>
      <c r="Q86" s="470"/>
      <c r="V86" s="428" t="s">
        <v>773</v>
      </c>
      <c r="W86" s="453">
        <v>0.4</v>
      </c>
      <c r="X86" s="450">
        <v>0.34429999999999999</v>
      </c>
      <c r="Y86" s="453"/>
      <c r="Z86" s="453"/>
      <c r="AA86" s="453"/>
      <c r="AB86" s="453"/>
      <c r="AC86" s="453"/>
      <c r="AD86" s="453"/>
      <c r="AE86" s="453"/>
      <c r="AF86" s="453"/>
      <c r="AG86" s="453"/>
      <c r="AI86" s="453">
        <v>1</v>
      </c>
      <c r="AJ86" s="451">
        <v>1</v>
      </c>
      <c r="AK86" s="453"/>
      <c r="AL86" s="453"/>
      <c r="AM86" s="453"/>
      <c r="AN86" s="453"/>
      <c r="AO86" s="453"/>
      <c r="AP86" s="453"/>
      <c r="AQ86" s="453"/>
      <c r="AR86" s="453"/>
      <c r="AS86" s="453"/>
    </row>
    <row r="87" spans="2:45" ht="15" customHeight="1" outlineLevel="1" x14ac:dyDescent="0.25">
      <c r="C87" s="1572"/>
      <c r="D87" s="890" t="s">
        <v>775</v>
      </c>
      <c r="E87" s="890" t="s">
        <v>776</v>
      </c>
      <c r="F87" s="52">
        <v>2.2000000000000002</v>
      </c>
      <c r="G87" s="890" t="s">
        <v>777</v>
      </c>
      <c r="H87" s="52">
        <v>2.2000000000000002</v>
      </c>
      <c r="I87" s="890" t="s">
        <v>777</v>
      </c>
      <c r="J87" s="2084"/>
      <c r="K87" s="2085"/>
      <c r="M87" s="449"/>
      <c r="N87" s="449"/>
      <c r="O87" s="449"/>
      <c r="P87" s="449"/>
      <c r="Q87" s="470"/>
      <c r="V87" s="428" t="s">
        <v>775</v>
      </c>
      <c r="W87" s="444">
        <v>2.2000000000000002</v>
      </c>
      <c r="X87" s="302">
        <v>2.2000000000000002</v>
      </c>
      <c r="Y87" s="444"/>
      <c r="Z87" s="444"/>
      <c r="AA87" s="444"/>
      <c r="AB87" s="444"/>
      <c r="AC87" s="444"/>
      <c r="AD87" s="444"/>
      <c r="AE87" s="444"/>
      <c r="AF87" s="444"/>
      <c r="AG87" s="444"/>
      <c r="AI87" s="444">
        <v>2.2000000000000002</v>
      </c>
      <c r="AJ87" s="302">
        <v>2.2000000000000002</v>
      </c>
      <c r="AK87" s="444"/>
      <c r="AL87" s="444"/>
      <c r="AM87" s="444"/>
      <c r="AN87" s="444"/>
      <c r="AO87" s="444"/>
      <c r="AP87" s="444"/>
      <c r="AQ87" s="444"/>
      <c r="AR87" s="444"/>
      <c r="AS87" s="444"/>
    </row>
    <row r="88" spans="2:45" ht="30" customHeight="1" outlineLevel="1" x14ac:dyDescent="0.25">
      <c r="C88" s="1572"/>
      <c r="D88" s="890" t="s">
        <v>778</v>
      </c>
      <c r="E88" s="890" t="s">
        <v>779</v>
      </c>
      <c r="F88" s="1479">
        <v>4.5</v>
      </c>
      <c r="G88" s="890" t="s">
        <v>780</v>
      </c>
      <c r="H88" s="1479">
        <v>3.7</v>
      </c>
      <c r="I88" s="890" t="s">
        <v>781</v>
      </c>
      <c r="J88" s="2084"/>
      <c r="K88" s="2085"/>
      <c r="M88" s="423"/>
      <c r="N88" s="1573"/>
      <c r="O88" s="449"/>
      <c r="P88" s="449"/>
      <c r="Q88" s="470"/>
      <c r="V88" s="428" t="s">
        <v>778</v>
      </c>
      <c r="W88" s="432">
        <v>4.5</v>
      </c>
      <c r="X88" s="337">
        <v>4.5</v>
      </c>
      <c r="Y88" s="432"/>
      <c r="Z88" s="432"/>
      <c r="AA88" s="432"/>
      <c r="AB88" s="432"/>
      <c r="AC88" s="432"/>
      <c r="AD88" s="432"/>
      <c r="AE88" s="432"/>
      <c r="AF88" s="432"/>
      <c r="AG88" s="432"/>
      <c r="AI88" s="444">
        <v>3.7</v>
      </c>
      <c r="AJ88" s="337">
        <v>3.7</v>
      </c>
      <c r="AK88" s="444"/>
      <c r="AL88" s="444"/>
      <c r="AM88" s="444"/>
      <c r="AN88" s="444"/>
      <c r="AO88" s="444"/>
      <c r="AP88" s="444"/>
      <c r="AQ88" s="444"/>
      <c r="AR88" s="444"/>
      <c r="AS88" s="444"/>
    </row>
    <row r="89" spans="2:45" s="422" customFormat="1" ht="15" customHeight="1" outlineLevel="1" x14ac:dyDescent="0.25">
      <c r="B89" s="514"/>
      <c r="C89" s="1572"/>
      <c r="D89" s="890" t="s">
        <v>782</v>
      </c>
      <c r="E89" s="890" t="s">
        <v>783</v>
      </c>
      <c r="F89" s="1479">
        <v>1.5</v>
      </c>
      <c r="G89" s="890" t="s">
        <v>391</v>
      </c>
      <c r="H89" s="1479">
        <v>1.5</v>
      </c>
      <c r="I89" s="890" t="s">
        <v>391</v>
      </c>
      <c r="J89" s="2084"/>
      <c r="K89" s="2085"/>
      <c r="L89" s="130"/>
      <c r="M89" s="423"/>
      <c r="N89" s="423"/>
      <c r="O89" s="423"/>
      <c r="P89" s="423"/>
      <c r="Q89" s="478"/>
      <c r="R89" s="514"/>
      <c r="S89" s="514"/>
      <c r="T89" s="514"/>
      <c r="U89" s="514"/>
      <c r="V89" s="428" t="s">
        <v>782</v>
      </c>
      <c r="W89" s="432">
        <v>1.5</v>
      </c>
      <c r="X89" s="337">
        <v>1.5</v>
      </c>
      <c r="Y89" s="432"/>
      <c r="Z89" s="432"/>
      <c r="AA89" s="432"/>
      <c r="AB89" s="432"/>
      <c r="AC89" s="432"/>
      <c r="AD89" s="432"/>
      <c r="AE89" s="432"/>
      <c r="AF89" s="432"/>
      <c r="AG89" s="432"/>
      <c r="AI89" s="432">
        <v>1.5</v>
      </c>
      <c r="AJ89" s="337">
        <v>1.5</v>
      </c>
      <c r="AK89" s="432"/>
      <c r="AL89" s="432"/>
      <c r="AM89" s="432"/>
      <c r="AN89" s="432"/>
      <c r="AO89" s="432"/>
      <c r="AP89" s="432"/>
      <c r="AQ89" s="432"/>
      <c r="AR89" s="432"/>
      <c r="AS89" s="432"/>
    </row>
    <row r="90" spans="2:45" ht="30" customHeight="1" outlineLevel="1" x14ac:dyDescent="0.25">
      <c r="C90" s="1572"/>
      <c r="D90" s="890" t="s">
        <v>784</v>
      </c>
      <c r="E90" s="890" t="s">
        <v>785</v>
      </c>
      <c r="F90" s="1479">
        <v>4.5</v>
      </c>
      <c r="G90" s="890" t="s">
        <v>780</v>
      </c>
      <c r="H90" s="1479">
        <v>3.7</v>
      </c>
      <c r="I90" s="890" t="s">
        <v>781</v>
      </c>
      <c r="J90" s="2084"/>
      <c r="K90" s="2085"/>
      <c r="M90" s="423"/>
      <c r="N90" s="449"/>
      <c r="O90" s="449"/>
      <c r="P90" s="449"/>
      <c r="Q90" s="470"/>
      <c r="V90" s="428" t="s">
        <v>784</v>
      </c>
      <c r="W90" s="432">
        <v>4.5</v>
      </c>
      <c r="X90" s="337">
        <v>4.5</v>
      </c>
      <c r="Y90" s="432"/>
      <c r="Z90" s="432"/>
      <c r="AA90" s="432"/>
      <c r="AB90" s="432"/>
      <c r="AC90" s="432"/>
      <c r="AD90" s="432"/>
      <c r="AE90" s="432"/>
      <c r="AF90" s="432"/>
      <c r="AG90" s="432"/>
      <c r="AI90" s="444">
        <v>3.7</v>
      </c>
      <c r="AJ90" s="337">
        <v>3.7</v>
      </c>
      <c r="AK90" s="444"/>
      <c r="AL90" s="444"/>
      <c r="AM90" s="444"/>
      <c r="AN90" s="444"/>
      <c r="AO90" s="444"/>
      <c r="AP90" s="444"/>
      <c r="AQ90" s="444"/>
      <c r="AR90" s="444"/>
      <c r="AS90" s="444"/>
    </row>
    <row r="91" spans="2:45" ht="46.5" customHeight="1" outlineLevel="1" x14ac:dyDescent="0.25">
      <c r="C91" s="1572"/>
      <c r="D91" s="890" t="s">
        <v>528</v>
      </c>
      <c r="E91" s="890" t="s">
        <v>786</v>
      </c>
      <c r="F91" s="938">
        <v>4.2926829268292686</v>
      </c>
      <c r="G91" s="890" t="s">
        <v>1789</v>
      </c>
      <c r="H91" s="938">
        <v>2.0214368482039395</v>
      </c>
      <c r="I91" s="890" t="s">
        <v>787</v>
      </c>
      <c r="J91" s="2084"/>
      <c r="K91" s="2085"/>
      <c r="M91" s="1574"/>
      <c r="N91" s="449"/>
      <c r="O91" s="449"/>
      <c r="P91" s="449"/>
      <c r="Q91" s="470"/>
      <c r="V91" s="428" t="s">
        <v>528</v>
      </c>
      <c r="W91" s="455">
        <v>4.3185840707964598</v>
      </c>
      <c r="X91" s="454">
        <v>4.2926829268292686</v>
      </c>
      <c r="Y91" s="455"/>
      <c r="Z91" s="455"/>
      <c r="AA91" s="455"/>
      <c r="AB91" s="455"/>
      <c r="AC91" s="455"/>
      <c r="AD91" s="455"/>
      <c r="AE91" s="455"/>
      <c r="AF91" s="455"/>
      <c r="AG91" s="455"/>
      <c r="AI91" s="444">
        <v>2.0699999999999998</v>
      </c>
      <c r="AJ91" s="454">
        <v>2.0214368482039395</v>
      </c>
      <c r="AK91" s="444"/>
      <c r="AL91" s="444"/>
      <c r="AM91" s="444"/>
      <c r="AN91" s="444"/>
      <c r="AO91" s="444"/>
      <c r="AP91" s="444"/>
      <c r="AQ91" s="444"/>
      <c r="AR91" s="444"/>
      <c r="AS91" s="444"/>
    </row>
    <row r="92" spans="2:45" ht="60" customHeight="1" outlineLevel="1" x14ac:dyDescent="0.25">
      <c r="C92" s="1572"/>
      <c r="D92" s="437" t="s">
        <v>788</v>
      </c>
      <c r="E92" s="890" t="s">
        <v>789</v>
      </c>
      <c r="F92" s="52">
        <v>0.75</v>
      </c>
      <c r="G92" s="890" t="s">
        <v>790</v>
      </c>
      <c r="H92" s="1039">
        <v>0.75</v>
      </c>
      <c r="I92" s="890" t="s">
        <v>790</v>
      </c>
      <c r="J92" s="2084"/>
      <c r="K92" s="2085"/>
      <c r="M92" s="449"/>
      <c r="N92" s="449"/>
      <c r="O92" s="449"/>
      <c r="P92" s="449"/>
      <c r="Q92" s="470"/>
      <c r="V92" s="415" t="s">
        <v>788</v>
      </c>
      <c r="W92" s="310">
        <v>0.75</v>
      </c>
      <c r="X92" s="302">
        <v>0.75</v>
      </c>
      <c r="Y92" s="310"/>
      <c r="Z92" s="310"/>
      <c r="AA92" s="310"/>
      <c r="AB92" s="310"/>
      <c r="AC92" s="310"/>
      <c r="AD92" s="310"/>
      <c r="AE92" s="310"/>
      <c r="AF92" s="310"/>
      <c r="AG92" s="310"/>
      <c r="AI92" s="310">
        <v>0.75</v>
      </c>
      <c r="AJ92" s="302">
        <v>0.75</v>
      </c>
      <c r="AK92" s="310"/>
      <c r="AL92" s="310"/>
      <c r="AM92" s="310"/>
      <c r="AN92" s="310"/>
      <c r="AO92" s="310"/>
      <c r="AP92" s="310"/>
      <c r="AQ92" s="310"/>
      <c r="AR92" s="310"/>
      <c r="AS92" s="310"/>
    </row>
    <row r="93" spans="2:45" ht="15" customHeight="1" outlineLevel="1" x14ac:dyDescent="0.25">
      <c r="C93" s="1572"/>
      <c r="D93" s="437">
        <v>365.25</v>
      </c>
      <c r="E93" s="890" t="s">
        <v>173</v>
      </c>
      <c r="F93" s="1479">
        <v>365</v>
      </c>
      <c r="G93" s="890" t="s">
        <v>760</v>
      </c>
      <c r="H93" s="417">
        <v>365</v>
      </c>
      <c r="I93" s="890"/>
      <c r="J93" s="2084"/>
      <c r="K93" s="2085"/>
      <c r="M93" s="423"/>
      <c r="N93" s="449"/>
      <c r="O93" s="449"/>
      <c r="P93" s="449"/>
      <c r="Q93" s="470"/>
      <c r="V93" s="415">
        <v>365.25</v>
      </c>
      <c r="W93" s="432">
        <v>365</v>
      </c>
      <c r="X93" s="337">
        <v>365</v>
      </c>
      <c r="Y93" s="432"/>
      <c r="Z93" s="432"/>
      <c r="AA93" s="432"/>
      <c r="AB93" s="432"/>
      <c r="AC93" s="432"/>
      <c r="AD93" s="432"/>
      <c r="AE93" s="432"/>
      <c r="AF93" s="432"/>
      <c r="AG93" s="432"/>
      <c r="AI93" s="310">
        <v>365</v>
      </c>
      <c r="AJ93" s="337">
        <v>365</v>
      </c>
      <c r="AK93" s="310"/>
      <c r="AL93" s="310"/>
      <c r="AM93" s="310"/>
      <c r="AN93" s="310"/>
      <c r="AO93" s="310"/>
      <c r="AP93" s="310"/>
      <c r="AQ93" s="310"/>
      <c r="AR93" s="310"/>
      <c r="AS93" s="310"/>
    </row>
    <row r="94" spans="2:45" ht="15" customHeight="1" outlineLevel="1" x14ac:dyDescent="0.25">
      <c r="C94" s="1572"/>
      <c r="D94" s="437" t="s">
        <v>791</v>
      </c>
      <c r="E94" s="890" t="s">
        <v>792</v>
      </c>
      <c r="F94" s="936">
        <v>1.1754385964912279</v>
      </c>
      <c r="G94" s="890" t="s">
        <v>1789</v>
      </c>
      <c r="H94" s="458">
        <v>1</v>
      </c>
      <c r="I94" s="906" t="s">
        <v>1790</v>
      </c>
      <c r="J94" s="2084"/>
      <c r="K94" s="2085"/>
      <c r="M94" s="1575"/>
      <c r="N94" s="1576"/>
      <c r="O94" s="1577"/>
      <c r="P94" s="1577"/>
      <c r="Q94" s="470"/>
      <c r="V94" s="415" t="s">
        <v>791</v>
      </c>
      <c r="W94" s="459">
        <v>1.1754385964912279</v>
      </c>
      <c r="X94" s="457">
        <v>1.1754385964912279</v>
      </c>
      <c r="Y94" s="459"/>
      <c r="Z94" s="459"/>
      <c r="AA94" s="459"/>
      <c r="AB94" s="459"/>
      <c r="AC94" s="459"/>
      <c r="AD94" s="459"/>
      <c r="AE94" s="459"/>
      <c r="AF94" s="459"/>
      <c r="AG94" s="459"/>
      <c r="AI94" s="460">
        <v>1</v>
      </c>
      <c r="AJ94" s="457">
        <v>1</v>
      </c>
      <c r="AK94" s="460"/>
      <c r="AL94" s="460"/>
      <c r="AM94" s="460"/>
      <c r="AN94" s="460"/>
      <c r="AO94" s="460"/>
      <c r="AP94" s="460"/>
      <c r="AQ94" s="460"/>
      <c r="AR94" s="460"/>
      <c r="AS94" s="460"/>
    </row>
    <row r="95" spans="2:45" ht="15" customHeight="1" outlineLevel="1" x14ac:dyDescent="0.25">
      <c r="C95" s="1572"/>
      <c r="D95" s="437">
        <v>8.33</v>
      </c>
      <c r="E95" s="906" t="s">
        <v>793</v>
      </c>
      <c r="F95" s="52">
        <v>8.33</v>
      </c>
      <c r="G95" s="906" t="s">
        <v>794</v>
      </c>
      <c r="H95" s="1039">
        <v>8.33</v>
      </c>
      <c r="I95" s="906" t="s">
        <v>794</v>
      </c>
      <c r="J95" s="2084"/>
      <c r="K95" s="2085"/>
      <c r="M95" s="449"/>
      <c r="N95" s="449"/>
      <c r="O95" s="449"/>
      <c r="P95" s="449"/>
      <c r="Q95" s="470"/>
      <c r="V95" s="415">
        <v>8.33</v>
      </c>
      <c r="W95" s="310">
        <v>8.33</v>
      </c>
      <c r="X95" s="302">
        <v>8.33</v>
      </c>
      <c r="Y95" s="310"/>
      <c r="Z95" s="310"/>
      <c r="AA95" s="310"/>
      <c r="AB95" s="310"/>
      <c r="AC95" s="310"/>
      <c r="AD95" s="310"/>
      <c r="AE95" s="310"/>
      <c r="AF95" s="310"/>
      <c r="AG95" s="310"/>
      <c r="AI95" s="310">
        <v>8.33</v>
      </c>
      <c r="AJ95" s="302">
        <v>8.33</v>
      </c>
      <c r="AK95" s="310"/>
      <c r="AL95" s="310"/>
      <c r="AM95" s="310"/>
      <c r="AN95" s="310"/>
      <c r="AO95" s="310"/>
      <c r="AP95" s="310"/>
      <c r="AQ95" s="310"/>
      <c r="AR95" s="310"/>
      <c r="AS95" s="310"/>
    </row>
    <row r="96" spans="2:45" ht="15" customHeight="1" outlineLevel="1" x14ac:dyDescent="0.25">
      <c r="C96" s="1572"/>
      <c r="D96" s="437">
        <v>1</v>
      </c>
      <c r="E96" s="890" t="s">
        <v>795</v>
      </c>
      <c r="F96" s="52">
        <v>1</v>
      </c>
      <c r="G96" s="890" t="s">
        <v>796</v>
      </c>
      <c r="H96" s="1039">
        <v>1</v>
      </c>
      <c r="I96" s="890" t="s">
        <v>796</v>
      </c>
      <c r="J96" s="2084"/>
      <c r="K96" s="2085"/>
      <c r="M96" s="449"/>
      <c r="N96" s="485"/>
      <c r="O96" s="485"/>
      <c r="P96" s="485"/>
      <c r="Q96" s="470"/>
      <c r="V96" s="415">
        <v>1</v>
      </c>
      <c r="W96" s="310">
        <v>1</v>
      </c>
      <c r="X96" s="302">
        <v>1</v>
      </c>
      <c r="Y96" s="310"/>
      <c r="Z96" s="310"/>
      <c r="AA96" s="310"/>
      <c r="AB96" s="310"/>
      <c r="AC96" s="310"/>
      <c r="AD96" s="310"/>
      <c r="AE96" s="310"/>
      <c r="AF96" s="310"/>
      <c r="AG96" s="310"/>
      <c r="AI96" s="312">
        <v>1</v>
      </c>
      <c r="AJ96" s="302">
        <v>1</v>
      </c>
      <c r="AK96" s="312"/>
      <c r="AL96" s="312"/>
      <c r="AM96" s="312"/>
      <c r="AN96" s="312"/>
      <c r="AO96" s="312"/>
      <c r="AP96" s="312"/>
      <c r="AQ96" s="312"/>
      <c r="AR96" s="312"/>
      <c r="AS96" s="312"/>
    </row>
    <row r="97" spans="2:45" ht="60" customHeight="1" outlineLevel="1" x14ac:dyDescent="0.25">
      <c r="C97" s="1572"/>
      <c r="D97" s="890" t="s">
        <v>797</v>
      </c>
      <c r="E97" s="890" t="s">
        <v>798</v>
      </c>
      <c r="F97" s="1479">
        <v>93</v>
      </c>
      <c r="G97" s="890" t="s">
        <v>799</v>
      </c>
      <c r="H97" s="417">
        <v>93</v>
      </c>
      <c r="I97" s="890" t="s">
        <v>799</v>
      </c>
      <c r="J97" s="2084"/>
      <c r="K97" s="2085"/>
      <c r="M97" s="423"/>
      <c r="N97" s="449"/>
      <c r="O97" s="449"/>
      <c r="P97" s="449"/>
      <c r="Q97" s="470"/>
      <c r="V97" s="428" t="s">
        <v>797</v>
      </c>
      <c r="W97" s="432">
        <v>93</v>
      </c>
      <c r="X97" s="337">
        <v>93</v>
      </c>
      <c r="Y97" s="432"/>
      <c r="Z97" s="432"/>
      <c r="AA97" s="432"/>
      <c r="AB97" s="432"/>
      <c r="AC97" s="432"/>
      <c r="AD97" s="432"/>
      <c r="AE97" s="432"/>
      <c r="AF97" s="432"/>
      <c r="AG97" s="432"/>
      <c r="AI97" s="310">
        <v>93</v>
      </c>
      <c r="AJ97" s="337">
        <v>93</v>
      </c>
      <c r="AK97" s="310"/>
      <c r="AL97" s="310"/>
      <c r="AM97" s="310"/>
      <c r="AN97" s="310"/>
      <c r="AO97" s="310"/>
      <c r="AP97" s="310"/>
      <c r="AQ97" s="310"/>
      <c r="AR97" s="310"/>
      <c r="AS97" s="310"/>
    </row>
    <row r="98" spans="2:45" s="422" customFormat="1" ht="45" customHeight="1" outlineLevel="1" x14ac:dyDescent="0.25">
      <c r="B98" s="514"/>
      <c r="C98" s="1572"/>
      <c r="D98" s="890" t="s">
        <v>800</v>
      </c>
      <c r="E98" s="890" t="s">
        <v>801</v>
      </c>
      <c r="F98" s="1479">
        <v>61.3</v>
      </c>
      <c r="G98" s="890" t="s">
        <v>802</v>
      </c>
      <c r="H98" s="417">
        <v>61.3</v>
      </c>
      <c r="I98" s="890" t="s">
        <v>802</v>
      </c>
      <c r="J98" s="2084"/>
      <c r="K98" s="2085"/>
      <c r="L98" s="130"/>
      <c r="M98" s="423"/>
      <c r="N98" s="449"/>
      <c r="O98" s="449"/>
      <c r="P98" s="449"/>
      <c r="Q98" s="478"/>
      <c r="R98" s="514"/>
      <c r="S98" s="514"/>
      <c r="T98" s="514"/>
      <c r="U98" s="514"/>
      <c r="V98" s="428" t="s">
        <v>800</v>
      </c>
      <c r="W98" s="432">
        <v>61.3</v>
      </c>
      <c r="X98" s="337">
        <v>61.3</v>
      </c>
      <c r="Y98" s="432"/>
      <c r="Z98" s="432"/>
      <c r="AA98" s="432"/>
      <c r="AB98" s="432"/>
      <c r="AC98" s="432"/>
      <c r="AD98" s="432"/>
      <c r="AE98" s="432"/>
      <c r="AF98" s="432"/>
      <c r="AG98" s="432"/>
      <c r="AI98" s="310">
        <v>61.3</v>
      </c>
      <c r="AJ98" s="337">
        <v>61.3</v>
      </c>
      <c r="AK98" s="310"/>
      <c r="AL98" s="310"/>
      <c r="AM98" s="310"/>
      <c r="AN98" s="310"/>
      <c r="AO98" s="310"/>
      <c r="AP98" s="310"/>
      <c r="AQ98" s="310"/>
      <c r="AR98" s="310"/>
      <c r="AS98" s="310"/>
    </row>
    <row r="99" spans="2:45" s="422" customFormat="1" ht="45" customHeight="1" outlineLevel="1" x14ac:dyDescent="0.25">
      <c r="B99" s="514"/>
      <c r="C99" s="1572"/>
      <c r="D99" s="890" t="s">
        <v>803</v>
      </c>
      <c r="E99" s="890" t="s">
        <v>804</v>
      </c>
      <c r="F99" s="52">
        <v>0.98</v>
      </c>
      <c r="G99" s="906" t="s">
        <v>805</v>
      </c>
      <c r="H99" s="1039">
        <v>0.98</v>
      </c>
      <c r="I99" s="906" t="s">
        <v>805</v>
      </c>
      <c r="J99" s="2084"/>
      <c r="K99" s="2085"/>
      <c r="L99" s="130"/>
      <c r="M99" s="449"/>
      <c r="N99" s="449"/>
      <c r="O99" s="449"/>
      <c r="P99" s="449"/>
      <c r="Q99" s="478"/>
      <c r="R99" s="514"/>
      <c r="S99" s="514"/>
      <c r="T99" s="514"/>
      <c r="U99" s="514"/>
      <c r="V99" s="428" t="s">
        <v>803</v>
      </c>
      <c r="W99" s="310">
        <v>0.98</v>
      </c>
      <c r="X99" s="302">
        <v>0.98</v>
      </c>
      <c r="Y99" s="310"/>
      <c r="Z99" s="310"/>
      <c r="AA99" s="310"/>
      <c r="AB99" s="310"/>
      <c r="AC99" s="310"/>
      <c r="AD99" s="310"/>
      <c r="AE99" s="310"/>
      <c r="AF99" s="310"/>
      <c r="AG99" s="310"/>
      <c r="AI99" s="310">
        <v>0.98</v>
      </c>
      <c r="AJ99" s="302">
        <v>0.98</v>
      </c>
      <c r="AK99" s="310"/>
      <c r="AL99" s="310"/>
      <c r="AM99" s="310"/>
      <c r="AN99" s="310"/>
      <c r="AO99" s="310"/>
      <c r="AP99" s="310"/>
      <c r="AQ99" s="310"/>
      <c r="AR99" s="310"/>
      <c r="AS99" s="310"/>
    </row>
    <row r="100" spans="2:45" s="422" customFormat="1" ht="30" customHeight="1" outlineLevel="1" x14ac:dyDescent="0.25">
      <c r="B100" s="514"/>
      <c r="C100" s="1572"/>
      <c r="D100" s="890">
        <v>3412</v>
      </c>
      <c r="E100" s="906" t="s">
        <v>806</v>
      </c>
      <c r="F100" s="506">
        <v>3413</v>
      </c>
      <c r="G100" s="906" t="s">
        <v>546</v>
      </c>
      <c r="H100" s="462">
        <v>3413</v>
      </c>
      <c r="I100" s="906" t="s">
        <v>546</v>
      </c>
      <c r="J100" s="2084"/>
      <c r="K100" s="2085"/>
      <c r="L100" s="130"/>
      <c r="M100" s="486"/>
      <c r="N100" s="449"/>
      <c r="O100" s="486"/>
      <c r="P100" s="449"/>
      <c r="Q100" s="478"/>
      <c r="R100" s="514"/>
      <c r="S100" s="514"/>
      <c r="T100" s="514"/>
      <c r="U100" s="514"/>
      <c r="V100" s="428">
        <v>3412</v>
      </c>
      <c r="W100" s="463">
        <v>3413</v>
      </c>
      <c r="X100" s="461">
        <v>3413</v>
      </c>
      <c r="Y100" s="463"/>
      <c r="Z100" s="463"/>
      <c r="AA100" s="463"/>
      <c r="AB100" s="463"/>
      <c r="AC100" s="463"/>
      <c r="AD100" s="463"/>
      <c r="AE100" s="463"/>
      <c r="AF100" s="463"/>
      <c r="AG100" s="463"/>
      <c r="AI100" s="463">
        <v>3413</v>
      </c>
      <c r="AJ100" s="461">
        <v>3413</v>
      </c>
      <c r="AK100" s="463"/>
      <c r="AL100" s="463"/>
      <c r="AM100" s="463"/>
      <c r="AN100" s="463"/>
      <c r="AO100" s="463"/>
      <c r="AP100" s="463"/>
      <c r="AQ100" s="463"/>
      <c r="AR100" s="463"/>
      <c r="AS100" s="463"/>
    </row>
    <row r="101" spans="2:45" s="422" customFormat="1" ht="15" customHeight="1" outlineLevel="1" x14ac:dyDescent="0.25">
      <c r="B101" s="514"/>
      <c r="C101" s="1572"/>
      <c r="D101" s="890" t="s">
        <v>736</v>
      </c>
      <c r="E101" s="890" t="s">
        <v>769</v>
      </c>
      <c r="F101" s="507">
        <v>0.89859999999999995</v>
      </c>
      <c r="G101" s="890" t="s">
        <v>1789</v>
      </c>
      <c r="H101" s="465">
        <v>1</v>
      </c>
      <c r="I101" s="906" t="s">
        <v>1790</v>
      </c>
      <c r="J101" s="2084"/>
      <c r="K101" s="2085"/>
      <c r="L101" s="130"/>
      <c r="M101" s="480"/>
      <c r="N101" s="1578"/>
      <c r="O101" s="1578"/>
      <c r="P101" s="480"/>
      <c r="Q101" s="478"/>
      <c r="R101" s="514"/>
      <c r="S101" s="514"/>
      <c r="T101" s="514"/>
      <c r="U101" s="514"/>
      <c r="V101" s="428" t="s">
        <v>736</v>
      </c>
      <c r="W101" s="466">
        <v>0.86</v>
      </c>
      <c r="X101" s="464">
        <v>0.89859999999999995</v>
      </c>
      <c r="Y101" s="466"/>
      <c r="Z101" s="466"/>
      <c r="AA101" s="466"/>
      <c r="AB101" s="466"/>
      <c r="AC101" s="466"/>
      <c r="AD101" s="466"/>
      <c r="AE101" s="466"/>
      <c r="AF101" s="466"/>
      <c r="AG101" s="466"/>
      <c r="AI101" s="467">
        <v>1</v>
      </c>
      <c r="AJ101" s="468">
        <v>1</v>
      </c>
      <c r="AK101" s="467"/>
      <c r="AL101" s="467"/>
      <c r="AM101" s="467"/>
      <c r="AN101" s="467"/>
      <c r="AO101" s="467"/>
      <c r="AP101" s="467"/>
      <c r="AQ101" s="467"/>
      <c r="AR101" s="467"/>
      <c r="AS101" s="467"/>
    </row>
    <row r="102" spans="2:45" s="422" customFormat="1" ht="15" customHeight="1" outlineLevel="1" x14ac:dyDescent="0.25">
      <c r="B102" s="514"/>
      <c r="C102" s="1572"/>
      <c r="D102" s="890" t="s">
        <v>58</v>
      </c>
      <c r="E102" s="890" t="s">
        <v>574</v>
      </c>
      <c r="F102" s="507">
        <v>0.52966101694915257</v>
      </c>
      <c r="G102" s="890" t="s">
        <v>1789</v>
      </c>
      <c r="H102" s="465">
        <v>1</v>
      </c>
      <c r="I102" s="906" t="s">
        <v>1790</v>
      </c>
      <c r="J102" s="2084"/>
      <c r="K102" s="2085"/>
      <c r="L102" s="130"/>
      <c r="M102" s="1579"/>
      <c r="N102" s="1578"/>
      <c r="O102" s="1578"/>
      <c r="P102" s="480"/>
      <c r="Q102" s="478"/>
      <c r="R102" s="514"/>
      <c r="S102" s="514"/>
      <c r="T102" s="514"/>
      <c r="U102" s="514"/>
      <c r="V102" s="428" t="s">
        <v>58</v>
      </c>
      <c r="W102" s="466">
        <v>0.53354522213777378</v>
      </c>
      <c r="X102" s="464">
        <v>0.52966101694915257</v>
      </c>
      <c r="Y102" s="466"/>
      <c r="Z102" s="466"/>
      <c r="AA102" s="466"/>
      <c r="AB102" s="466"/>
      <c r="AC102" s="466"/>
      <c r="AD102" s="466"/>
      <c r="AE102" s="466"/>
      <c r="AF102" s="466"/>
      <c r="AG102" s="466"/>
      <c r="AI102" s="467">
        <v>1</v>
      </c>
      <c r="AJ102" s="468">
        <v>1</v>
      </c>
      <c r="AK102" s="467"/>
      <c r="AL102" s="467"/>
      <c r="AM102" s="467"/>
      <c r="AN102" s="467"/>
      <c r="AO102" s="467"/>
      <c r="AP102" s="467"/>
      <c r="AQ102" s="467"/>
      <c r="AR102" s="467"/>
      <c r="AS102" s="467"/>
    </row>
    <row r="103" spans="2:45" outlineLevel="1" x14ac:dyDescent="0.25">
      <c r="B103" s="1087"/>
      <c r="C103" s="1434"/>
      <c r="D103" s="899" t="s">
        <v>738</v>
      </c>
      <c r="E103" s="899" t="s">
        <v>504</v>
      </c>
      <c r="F103" s="525">
        <v>10</v>
      </c>
      <c r="G103" s="525"/>
      <c r="H103" s="525">
        <v>10</v>
      </c>
      <c r="I103" s="525"/>
      <c r="J103" s="2084"/>
      <c r="K103" s="2085"/>
      <c r="L103" s="904"/>
      <c r="M103" s="1452"/>
      <c r="N103" s="904"/>
      <c r="O103" s="904"/>
      <c r="P103" s="904"/>
      <c r="Q103" s="904"/>
      <c r="V103" s="158" t="s">
        <v>738</v>
      </c>
      <c r="W103" s="406">
        <v>10</v>
      </c>
      <c r="X103" s="406">
        <v>10</v>
      </c>
      <c r="Y103" s="406"/>
      <c r="Z103" s="406"/>
      <c r="AA103" s="406"/>
      <c r="AB103" s="406"/>
      <c r="AC103" s="406"/>
      <c r="AD103" s="406"/>
      <c r="AE103" s="406"/>
      <c r="AF103" s="406"/>
      <c r="AG103" s="406"/>
      <c r="AI103" s="406">
        <v>10</v>
      </c>
      <c r="AJ103" s="406">
        <v>10</v>
      </c>
      <c r="AK103" s="406"/>
      <c r="AL103" s="406"/>
      <c r="AM103" s="406"/>
      <c r="AN103" s="406"/>
      <c r="AO103" s="406"/>
      <c r="AP103" s="406"/>
      <c r="AQ103" s="406"/>
      <c r="AR103" s="406"/>
      <c r="AS103" s="406"/>
    </row>
    <row r="104" spans="2:45" outlineLevel="1" x14ac:dyDescent="0.25">
      <c r="B104" s="1087"/>
      <c r="C104" s="1434"/>
      <c r="D104" s="407" t="s">
        <v>24</v>
      </c>
      <c r="E104" s="899" t="s">
        <v>506</v>
      </c>
      <c r="F104" s="526">
        <v>3</v>
      </c>
      <c r="G104" s="526"/>
      <c r="H104" s="526">
        <v>3</v>
      </c>
      <c r="I104" s="526"/>
      <c r="J104" s="2084"/>
      <c r="K104" s="2085"/>
      <c r="L104" s="904"/>
      <c r="M104" s="1452"/>
      <c r="N104" s="904"/>
      <c r="O104" s="904"/>
      <c r="P104" s="904"/>
      <c r="Q104" s="904"/>
      <c r="V104" s="162" t="s">
        <v>24</v>
      </c>
      <c r="W104" s="408">
        <v>3</v>
      </c>
      <c r="X104" s="408">
        <v>3</v>
      </c>
      <c r="Y104" s="409"/>
      <c r="Z104" s="409"/>
      <c r="AA104" s="409"/>
      <c r="AB104" s="409"/>
      <c r="AC104" s="409"/>
      <c r="AD104" s="409"/>
      <c r="AE104" s="409"/>
      <c r="AF104" s="409"/>
      <c r="AG104" s="409"/>
      <c r="AI104" s="408">
        <v>3</v>
      </c>
      <c r="AJ104" s="408">
        <v>3</v>
      </c>
      <c r="AK104" s="409"/>
      <c r="AL104" s="409"/>
      <c r="AM104" s="409"/>
      <c r="AN104" s="409"/>
      <c r="AO104" s="409"/>
      <c r="AP104" s="409"/>
      <c r="AQ104" s="409"/>
      <c r="AR104" s="409"/>
      <c r="AS104" s="409"/>
    </row>
    <row r="105" spans="2:45" x14ac:dyDescent="0.25">
      <c r="D105" s="469"/>
      <c r="E105" s="469"/>
      <c r="F105" s="251"/>
      <c r="G105" s="251"/>
      <c r="H105" s="251"/>
      <c r="I105" s="251"/>
      <c r="J105" s="251"/>
      <c r="K105" s="251"/>
    </row>
    <row r="107" spans="2:45" s="165" customFormat="1" x14ac:dyDescent="0.25">
      <c r="B107" s="2022" t="s">
        <v>807</v>
      </c>
      <c r="C107" s="2023"/>
      <c r="D107" s="2023"/>
      <c r="E107" s="2023"/>
      <c r="F107" s="2023"/>
      <c r="G107" s="2023"/>
      <c r="H107" s="2023"/>
      <c r="I107" s="1992"/>
      <c r="J107" s="1992"/>
      <c r="K107" s="1992"/>
      <c r="L107" s="1992"/>
      <c r="M107" s="1992"/>
      <c r="N107" s="1993"/>
      <c r="V107" s="2022" t="str">
        <f>B107</f>
        <v>Kit Faucet Aerators (Bathroom)</v>
      </c>
      <c r="W107" s="2023"/>
      <c r="X107" s="2023"/>
      <c r="Y107" s="2023"/>
      <c r="Z107" s="2023"/>
      <c r="AA107" s="2023"/>
      <c r="AB107" s="2023"/>
      <c r="AC107" s="2024"/>
      <c r="AD107" s="2024"/>
      <c r="AE107" s="2024"/>
      <c r="AF107" s="2024"/>
      <c r="AG107" s="2024"/>
      <c r="AH107" s="2025"/>
    </row>
    <row r="108" spans="2:45" ht="18" customHeight="1" x14ac:dyDescent="0.25"/>
    <row r="109" spans="2:45" ht="45" x14ac:dyDescent="0.25">
      <c r="C109" s="184" t="s">
        <v>16</v>
      </c>
      <c r="D109" s="184" t="s">
        <v>509</v>
      </c>
      <c r="E109" s="184" t="s">
        <v>18</v>
      </c>
      <c r="F109" s="184" t="s">
        <v>19</v>
      </c>
      <c r="G109" s="184" t="s">
        <v>20</v>
      </c>
      <c r="H109" s="184" t="s">
        <v>21</v>
      </c>
      <c r="I109" s="184" t="s">
        <v>771</v>
      </c>
      <c r="J109" s="184" t="s">
        <v>22</v>
      </c>
      <c r="K109" s="184" t="s">
        <v>23</v>
      </c>
      <c r="L109" s="184" t="s">
        <v>24</v>
      </c>
      <c r="M109" s="184" t="s">
        <v>25</v>
      </c>
      <c r="P109" s="470"/>
      <c r="Q109" s="470"/>
      <c r="V109" s="48"/>
      <c r="W109" s="49">
        <f>$W$6</f>
        <v>43252</v>
      </c>
      <c r="X109" s="49">
        <f>$X$6</f>
        <v>43465</v>
      </c>
      <c r="Y109" s="49" t="str">
        <f>$Y$6</f>
        <v>-</v>
      </c>
      <c r="Z109" s="49" t="str">
        <f>$Z$6</f>
        <v>-</v>
      </c>
      <c r="AA109" s="49" t="str">
        <f>$AA$6</f>
        <v>-</v>
      </c>
      <c r="AB109" s="49" t="str">
        <f>$AB$6</f>
        <v>-</v>
      </c>
      <c r="AC109" s="49" t="str">
        <f>$AC$6</f>
        <v>-</v>
      </c>
      <c r="AD109" s="49" t="str">
        <f>$AD$6</f>
        <v>-</v>
      </c>
      <c r="AE109" s="49" t="str">
        <f>$AE$6</f>
        <v>-</v>
      </c>
      <c r="AF109" s="49" t="str">
        <f>$AF$6</f>
        <v>-</v>
      </c>
      <c r="AG109" s="49" t="str">
        <f>$AG$6</f>
        <v>-</v>
      </c>
    </row>
    <row r="110" spans="2:45" x14ac:dyDescent="0.25">
      <c r="C110" s="115"/>
      <c r="D110" s="726" t="s">
        <v>726</v>
      </c>
      <c r="E110" s="726" t="s">
        <v>808</v>
      </c>
      <c r="F110" s="498">
        <f>F121*(F122*F123-F124*F125)*F126*F127*F128/F129*I110*F137*F136</f>
        <v>6.9503628343201109</v>
      </c>
      <c r="G110" s="1039" t="s">
        <v>513</v>
      </c>
      <c r="H110" s="170">
        <f>VLOOKUP(G110,'CP FACTORS'!$A$3:$B$38, 2, FALSE)</f>
        <v>8.8731800000000003E-5</v>
      </c>
      <c r="I110" s="1580">
        <f>F130*F131*(F132-F133)/(F134*F135)</f>
        <v>6.1514796366832714E-2</v>
      </c>
      <c r="J110" s="1397">
        <f>F110*H110</f>
        <v>6.167182049423252E-4</v>
      </c>
      <c r="K110" s="123">
        <f>F138</f>
        <v>10</v>
      </c>
      <c r="L110" s="471">
        <f>F139</f>
        <v>3</v>
      </c>
      <c r="M110" s="1531" t="s">
        <v>31</v>
      </c>
      <c r="P110" s="470"/>
      <c r="Q110" s="472"/>
      <c r="R110" s="1413"/>
      <c r="V110" s="176" t="str">
        <f>F109</f>
        <v>kWh Annual Savings</v>
      </c>
      <c r="W110" s="1198">
        <v>7.963038337806803</v>
      </c>
      <c r="X110" s="1199">
        <v>6.9503628343201109</v>
      </c>
      <c r="Y110" s="176"/>
      <c r="Z110" s="176"/>
      <c r="AA110" s="176"/>
      <c r="AB110" s="176"/>
      <c r="AC110" s="176"/>
      <c r="AD110" s="176"/>
      <c r="AE110" s="176"/>
      <c r="AF110" s="176"/>
      <c r="AG110" s="176"/>
    </row>
    <row r="111" spans="2:45" x14ac:dyDescent="0.25">
      <c r="C111" s="115"/>
      <c r="D111" s="1555" t="s">
        <v>614</v>
      </c>
      <c r="E111" s="726" t="str">
        <f>E110</f>
        <v>Kit Faucet Aerator (Bathroom)</v>
      </c>
      <c r="F111" s="1581">
        <f>H121*(H122*H123-H124*H125)*H126*H127*H128/H129*I111*H137*H136</f>
        <v>37.583340890617215</v>
      </c>
      <c r="G111" s="1039" t="s">
        <v>513</v>
      </c>
      <c r="H111" s="170">
        <f>VLOOKUP(G111,'CP FACTORS'!$A$3:$B$38, 2, FALSE)</f>
        <v>8.8731800000000003E-5</v>
      </c>
      <c r="I111" s="1580">
        <f>H130*H131*(H132-H133)/(H134*H135)</f>
        <v>6.1514796366832714E-2</v>
      </c>
      <c r="J111" s="1397">
        <f>F111*H111</f>
        <v>3.3348374872380687E-3</v>
      </c>
      <c r="K111" s="123">
        <f>H138</f>
        <v>10</v>
      </c>
      <c r="L111" s="471">
        <f>H139</f>
        <v>3</v>
      </c>
      <c r="M111" s="1531" t="s">
        <v>31</v>
      </c>
      <c r="P111" s="470"/>
      <c r="Q111" s="470"/>
      <c r="R111" s="1413"/>
      <c r="V111" s="176" t="str">
        <f>V110</f>
        <v>kWh Annual Savings</v>
      </c>
      <c r="W111" s="1198">
        <v>33.463803164371527</v>
      </c>
      <c r="X111" s="1199">
        <v>37.583340890617215</v>
      </c>
      <c r="Y111" s="176"/>
      <c r="Z111" s="176"/>
      <c r="AA111" s="176"/>
      <c r="AB111" s="176"/>
      <c r="AC111" s="176"/>
      <c r="AD111" s="176"/>
      <c r="AE111" s="176"/>
      <c r="AF111" s="176"/>
      <c r="AG111" s="176"/>
    </row>
    <row r="112" spans="2:45" outlineLevel="1" x14ac:dyDescent="0.25">
      <c r="G112" s="1582"/>
      <c r="P112" s="470"/>
      <c r="Q112" s="470"/>
    </row>
    <row r="113" spans="4:45" outlineLevel="1" x14ac:dyDescent="0.25">
      <c r="D113" s="1418" t="s">
        <v>463</v>
      </c>
    </row>
    <row r="114" spans="4:45" outlineLevel="1" x14ac:dyDescent="0.25"/>
    <row r="115" spans="4:45" outlineLevel="1" x14ac:dyDescent="0.25"/>
    <row r="116" spans="4:45" outlineLevel="1" x14ac:dyDescent="0.25"/>
    <row r="117" spans="4:45" outlineLevel="1" x14ac:dyDescent="0.25"/>
    <row r="118" spans="4:45" outlineLevel="1" x14ac:dyDescent="0.25"/>
    <row r="119" spans="4:45" outlineLevel="1" x14ac:dyDescent="0.25">
      <c r="J119" s="514"/>
      <c r="K119" s="514"/>
      <c r="L119" s="514"/>
      <c r="V119" s="48" t="s">
        <v>26</v>
      </c>
      <c r="W119" s="49">
        <f>$W$6</f>
        <v>43252</v>
      </c>
      <c r="X119" s="49">
        <f>$X$6</f>
        <v>43465</v>
      </c>
      <c r="Y119" s="49" t="str">
        <f>$Y$6</f>
        <v>-</v>
      </c>
      <c r="Z119" s="49" t="str">
        <f>$Z$6</f>
        <v>-</v>
      </c>
      <c r="AA119" s="49" t="str">
        <f>$AA$6</f>
        <v>-</v>
      </c>
      <c r="AB119" s="49" t="str">
        <f>$AB$6</f>
        <v>-</v>
      </c>
      <c r="AC119" s="49" t="str">
        <f>$AC$6</f>
        <v>-</v>
      </c>
      <c r="AD119" s="49" t="str">
        <f>$AD$6</f>
        <v>-</v>
      </c>
      <c r="AE119" s="49" t="str">
        <f>$AE$6</f>
        <v>-</v>
      </c>
      <c r="AF119" s="49" t="str">
        <f>$AF$6</f>
        <v>-</v>
      </c>
      <c r="AG119" s="49" t="str">
        <f>$AG$6</f>
        <v>-</v>
      </c>
      <c r="AH119" s="447"/>
      <c r="AI119" s="49">
        <f>$W$6</f>
        <v>43252</v>
      </c>
      <c r="AJ119" s="49">
        <f>$X$6</f>
        <v>43465</v>
      </c>
      <c r="AK119" s="49" t="str">
        <f>$Y$6</f>
        <v>-</v>
      </c>
      <c r="AL119" s="49" t="str">
        <f>$Z$6</f>
        <v>-</v>
      </c>
      <c r="AM119" s="49" t="str">
        <f>$AA$6</f>
        <v>-</v>
      </c>
      <c r="AN119" s="49" t="str">
        <f>$AB$6</f>
        <v>-</v>
      </c>
      <c r="AO119" s="49" t="str">
        <f>$AC$6</f>
        <v>-</v>
      </c>
      <c r="AP119" s="49" t="str">
        <f>$AD$6</f>
        <v>-</v>
      </c>
      <c r="AQ119" s="49" t="str">
        <f>$AE$6</f>
        <v>-</v>
      </c>
      <c r="AR119" s="49" t="str">
        <f>$AF$6</f>
        <v>-</v>
      </c>
      <c r="AS119" s="49" t="str">
        <f>$AG$6</f>
        <v>-</v>
      </c>
    </row>
    <row r="120" spans="4:45" ht="15" customHeight="1" outlineLevel="1" x14ac:dyDescent="0.25">
      <c r="D120" s="1098" t="s">
        <v>465</v>
      </c>
      <c r="E120" s="1098" t="s">
        <v>466</v>
      </c>
      <c r="F120" s="184" t="s">
        <v>746</v>
      </c>
      <c r="G120" s="184" t="s">
        <v>747</v>
      </c>
      <c r="H120" s="184" t="s">
        <v>748</v>
      </c>
      <c r="I120" s="184" t="s">
        <v>749</v>
      </c>
      <c r="J120" s="184" t="s">
        <v>468</v>
      </c>
      <c r="K120" s="184"/>
      <c r="V120" s="62"/>
      <c r="W120" s="63" t="s">
        <v>746</v>
      </c>
      <c r="X120" s="63" t="s">
        <v>746</v>
      </c>
      <c r="Y120" s="63" t="s">
        <v>746</v>
      </c>
      <c r="Z120" s="63" t="s">
        <v>746</v>
      </c>
      <c r="AA120" s="63" t="s">
        <v>746</v>
      </c>
      <c r="AB120" s="63" t="s">
        <v>746</v>
      </c>
      <c r="AC120" s="63" t="s">
        <v>746</v>
      </c>
      <c r="AD120" s="63" t="s">
        <v>746</v>
      </c>
      <c r="AE120" s="63" t="s">
        <v>746</v>
      </c>
      <c r="AF120" s="63" t="s">
        <v>746</v>
      </c>
      <c r="AG120" s="63" t="s">
        <v>746</v>
      </c>
      <c r="AH120" s="130"/>
      <c r="AI120" s="63" t="s">
        <v>748</v>
      </c>
      <c r="AJ120" s="63" t="s">
        <v>748</v>
      </c>
      <c r="AK120" s="63" t="s">
        <v>748</v>
      </c>
      <c r="AL120" s="63" t="s">
        <v>748</v>
      </c>
      <c r="AM120" s="63" t="s">
        <v>748</v>
      </c>
      <c r="AN120" s="63" t="s">
        <v>748</v>
      </c>
      <c r="AO120" s="63" t="s">
        <v>748</v>
      </c>
      <c r="AP120" s="63" t="s">
        <v>748</v>
      </c>
      <c r="AQ120" s="63" t="s">
        <v>748</v>
      </c>
      <c r="AR120" s="63" t="s">
        <v>748</v>
      </c>
      <c r="AS120" s="63" t="s">
        <v>748</v>
      </c>
    </row>
    <row r="121" spans="4:45" ht="15" customHeight="1" outlineLevel="1" x14ac:dyDescent="0.25">
      <c r="D121" s="890" t="s">
        <v>773</v>
      </c>
      <c r="E121" s="890" t="s">
        <v>774</v>
      </c>
      <c r="F121" s="509">
        <v>0.34429999999999999</v>
      </c>
      <c r="G121" s="890" t="s">
        <v>1789</v>
      </c>
      <c r="H121" s="481">
        <v>1</v>
      </c>
      <c r="I121" s="890" t="s">
        <v>1790</v>
      </c>
      <c r="J121" s="2084"/>
      <c r="K121" s="2085"/>
      <c r="L121" s="514"/>
      <c r="V121" s="428" t="s">
        <v>773</v>
      </c>
      <c r="W121" s="466">
        <v>0.4</v>
      </c>
      <c r="X121" s="473">
        <v>0.34429999999999999</v>
      </c>
      <c r="Y121" s="453"/>
      <c r="Z121" s="453"/>
      <c r="AA121" s="453"/>
      <c r="AB121" s="453"/>
      <c r="AC121" s="453"/>
      <c r="AD121" s="453"/>
      <c r="AE121" s="453"/>
      <c r="AF121" s="453"/>
      <c r="AG121" s="453"/>
      <c r="AI121" s="453">
        <v>1</v>
      </c>
      <c r="AJ121" s="451">
        <v>1</v>
      </c>
      <c r="AK121" s="453"/>
      <c r="AL121" s="453"/>
      <c r="AM121" s="453"/>
      <c r="AN121" s="453"/>
      <c r="AO121" s="453"/>
      <c r="AP121" s="453"/>
      <c r="AQ121" s="453"/>
      <c r="AR121" s="453"/>
      <c r="AS121" s="453"/>
    </row>
    <row r="122" spans="4:45" ht="15" customHeight="1" outlineLevel="1" x14ac:dyDescent="0.25">
      <c r="D122" s="890" t="s">
        <v>775</v>
      </c>
      <c r="E122" s="890" t="s">
        <v>776</v>
      </c>
      <c r="F122" s="52">
        <v>2.2000000000000002</v>
      </c>
      <c r="G122" s="890" t="s">
        <v>777</v>
      </c>
      <c r="H122" s="52">
        <v>2.2000000000000002</v>
      </c>
      <c r="I122" s="890" t="s">
        <v>777</v>
      </c>
      <c r="J122" s="2084"/>
      <c r="K122" s="2085"/>
      <c r="L122" s="514"/>
      <c r="V122" s="428" t="s">
        <v>775</v>
      </c>
      <c r="W122" s="444">
        <v>2.2000000000000002</v>
      </c>
      <c r="X122" s="302">
        <v>2.2000000000000002</v>
      </c>
      <c r="Y122" s="444"/>
      <c r="Z122" s="444"/>
      <c r="AA122" s="444"/>
      <c r="AB122" s="444"/>
      <c r="AC122" s="444"/>
      <c r="AD122" s="444"/>
      <c r="AE122" s="444"/>
      <c r="AF122" s="444"/>
      <c r="AG122" s="444"/>
      <c r="AI122" s="444">
        <v>2.2000000000000002</v>
      </c>
      <c r="AJ122" s="302">
        <v>2.2000000000000002</v>
      </c>
      <c r="AK122" s="444"/>
      <c r="AL122" s="444"/>
      <c r="AM122" s="444"/>
      <c r="AN122" s="444"/>
      <c r="AO122" s="444"/>
      <c r="AP122" s="444"/>
      <c r="AQ122" s="444"/>
      <c r="AR122" s="444"/>
      <c r="AS122" s="444"/>
    </row>
    <row r="123" spans="4:45" ht="30" customHeight="1" outlineLevel="1" x14ac:dyDescent="0.25">
      <c r="D123" s="890" t="s">
        <v>778</v>
      </c>
      <c r="E123" s="726" t="s">
        <v>779</v>
      </c>
      <c r="F123" s="1479">
        <v>1.6</v>
      </c>
      <c r="G123" s="890" t="s">
        <v>809</v>
      </c>
      <c r="H123" s="1479">
        <v>1.6</v>
      </c>
      <c r="I123" s="890" t="s">
        <v>809</v>
      </c>
      <c r="J123" s="2084"/>
      <c r="K123" s="2085"/>
      <c r="L123" s="514"/>
      <c r="V123" s="428" t="s">
        <v>778</v>
      </c>
      <c r="W123" s="432">
        <v>1.6</v>
      </c>
      <c r="X123" s="337">
        <v>1.6</v>
      </c>
      <c r="Y123" s="432"/>
      <c r="Z123" s="432"/>
      <c r="AA123" s="432"/>
      <c r="AB123" s="432"/>
      <c r="AC123" s="432"/>
      <c r="AD123" s="432"/>
      <c r="AE123" s="432"/>
      <c r="AF123" s="432"/>
      <c r="AG123" s="432"/>
      <c r="AI123" s="444">
        <v>1.6</v>
      </c>
      <c r="AJ123" s="337">
        <v>1.6</v>
      </c>
      <c r="AK123" s="444"/>
      <c r="AL123" s="444"/>
      <c r="AM123" s="444"/>
      <c r="AN123" s="444"/>
      <c r="AO123" s="444"/>
      <c r="AP123" s="444"/>
      <c r="AQ123" s="444"/>
      <c r="AR123" s="444"/>
      <c r="AS123" s="444"/>
    </row>
    <row r="124" spans="4:45" ht="15" customHeight="1" outlineLevel="1" x14ac:dyDescent="0.25">
      <c r="D124" s="890" t="s">
        <v>782</v>
      </c>
      <c r="E124" s="890" t="s">
        <v>783</v>
      </c>
      <c r="F124" s="1479">
        <v>1.5</v>
      </c>
      <c r="G124" s="890" t="s">
        <v>391</v>
      </c>
      <c r="H124" s="1479">
        <v>1.5</v>
      </c>
      <c r="I124" s="890" t="s">
        <v>391</v>
      </c>
      <c r="J124" s="2084"/>
      <c r="K124" s="2085"/>
      <c r="L124" s="514"/>
      <c r="V124" s="428" t="s">
        <v>782</v>
      </c>
      <c r="W124" s="432">
        <v>1.5</v>
      </c>
      <c r="X124" s="337">
        <v>1.5</v>
      </c>
      <c r="Y124" s="432"/>
      <c r="Z124" s="432"/>
      <c r="AA124" s="432"/>
      <c r="AB124" s="432"/>
      <c r="AC124" s="432"/>
      <c r="AD124" s="432"/>
      <c r="AE124" s="432"/>
      <c r="AF124" s="432"/>
      <c r="AG124" s="432"/>
      <c r="AH124" s="422"/>
      <c r="AI124" s="432">
        <v>1.5</v>
      </c>
      <c r="AJ124" s="337">
        <v>1.5</v>
      </c>
      <c r="AK124" s="432"/>
      <c r="AL124" s="432"/>
      <c r="AM124" s="432"/>
      <c r="AN124" s="432"/>
      <c r="AO124" s="432"/>
      <c r="AP124" s="432"/>
      <c r="AQ124" s="432"/>
      <c r="AR124" s="432"/>
      <c r="AS124" s="432"/>
    </row>
    <row r="125" spans="4:45" ht="30" customHeight="1" outlineLevel="1" x14ac:dyDescent="0.25">
      <c r="D125" s="890" t="s">
        <v>784</v>
      </c>
      <c r="E125" s="726" t="s">
        <v>785</v>
      </c>
      <c r="F125" s="1479">
        <v>1.6</v>
      </c>
      <c r="G125" s="890" t="s">
        <v>809</v>
      </c>
      <c r="H125" s="1479">
        <v>1.6</v>
      </c>
      <c r="I125" s="890" t="s">
        <v>809</v>
      </c>
      <c r="J125" s="2084"/>
      <c r="K125" s="2085"/>
      <c r="L125" s="514"/>
      <c r="V125" s="428" t="s">
        <v>784</v>
      </c>
      <c r="W125" s="432">
        <v>1.6</v>
      </c>
      <c r="X125" s="337">
        <v>1.6</v>
      </c>
      <c r="Y125" s="432"/>
      <c r="Z125" s="432"/>
      <c r="AA125" s="432"/>
      <c r="AB125" s="432"/>
      <c r="AC125" s="432"/>
      <c r="AD125" s="432"/>
      <c r="AE125" s="432"/>
      <c r="AF125" s="432"/>
      <c r="AG125" s="432"/>
      <c r="AI125" s="444">
        <v>1.6</v>
      </c>
      <c r="AJ125" s="337">
        <v>1.6</v>
      </c>
      <c r="AK125" s="444"/>
      <c r="AL125" s="444"/>
      <c r="AM125" s="444"/>
      <c r="AN125" s="444"/>
      <c r="AO125" s="444"/>
      <c r="AP125" s="444"/>
      <c r="AQ125" s="444"/>
      <c r="AR125" s="444"/>
      <c r="AS125" s="444"/>
    </row>
    <row r="126" spans="4:45" ht="30" outlineLevel="1" x14ac:dyDescent="0.25">
      <c r="D126" s="890" t="s">
        <v>528</v>
      </c>
      <c r="E126" s="321" t="s">
        <v>786</v>
      </c>
      <c r="F126" s="938">
        <v>4.2926829268292686</v>
      </c>
      <c r="G126" s="890" t="s">
        <v>1789</v>
      </c>
      <c r="H126" s="938">
        <v>2.02</v>
      </c>
      <c r="I126" s="890" t="s">
        <v>1791</v>
      </c>
      <c r="J126" s="2084"/>
      <c r="K126" s="2085"/>
      <c r="L126" s="514"/>
      <c r="V126" s="428" t="s">
        <v>528</v>
      </c>
      <c r="W126" s="455">
        <v>4.3185840707964598</v>
      </c>
      <c r="X126" s="454">
        <v>4.2926829268292686</v>
      </c>
      <c r="Y126" s="455"/>
      <c r="Z126" s="455"/>
      <c r="AA126" s="455"/>
      <c r="AB126" s="455"/>
      <c r="AC126" s="455"/>
      <c r="AD126" s="455"/>
      <c r="AE126" s="455"/>
      <c r="AF126" s="455"/>
      <c r="AG126" s="455"/>
      <c r="AI126" s="474">
        <v>2.0214368482039395</v>
      </c>
      <c r="AJ126" s="454">
        <v>2.02</v>
      </c>
      <c r="AK126" s="444"/>
      <c r="AL126" s="444"/>
      <c r="AM126" s="444"/>
      <c r="AN126" s="444"/>
      <c r="AO126" s="444"/>
      <c r="AP126" s="444"/>
      <c r="AQ126" s="444"/>
      <c r="AR126" s="444"/>
      <c r="AS126" s="444"/>
    </row>
    <row r="127" spans="4:45" ht="60" customHeight="1" outlineLevel="1" x14ac:dyDescent="0.25">
      <c r="D127" s="437" t="s">
        <v>788</v>
      </c>
      <c r="E127" s="906" t="s">
        <v>789</v>
      </c>
      <c r="F127" s="52">
        <v>0.9</v>
      </c>
      <c r="G127" s="890" t="s">
        <v>790</v>
      </c>
      <c r="H127" s="52">
        <v>0.9</v>
      </c>
      <c r="I127" s="890" t="s">
        <v>790</v>
      </c>
      <c r="J127" s="2084"/>
      <c r="K127" s="2085"/>
      <c r="L127" s="514"/>
      <c r="V127" s="415" t="s">
        <v>788</v>
      </c>
      <c r="W127" s="310">
        <v>0.9</v>
      </c>
      <c r="X127" s="302">
        <v>0.9</v>
      </c>
      <c r="Y127" s="310"/>
      <c r="Z127" s="310"/>
      <c r="AA127" s="310"/>
      <c r="AB127" s="310"/>
      <c r="AC127" s="310"/>
      <c r="AD127" s="310"/>
      <c r="AE127" s="310"/>
      <c r="AF127" s="310"/>
      <c r="AG127" s="310"/>
      <c r="AI127" s="310">
        <v>0.9</v>
      </c>
      <c r="AJ127" s="302">
        <v>0.9</v>
      </c>
      <c r="AK127" s="310"/>
      <c r="AL127" s="310"/>
      <c r="AM127" s="310"/>
      <c r="AN127" s="310"/>
      <c r="AO127" s="310"/>
      <c r="AP127" s="310"/>
      <c r="AQ127" s="310"/>
      <c r="AR127" s="310"/>
      <c r="AS127" s="310"/>
    </row>
    <row r="128" spans="4:45" ht="15" customHeight="1" outlineLevel="1" x14ac:dyDescent="0.25">
      <c r="D128" s="437">
        <v>365.25</v>
      </c>
      <c r="E128" s="890" t="s">
        <v>173</v>
      </c>
      <c r="F128" s="1479">
        <v>365</v>
      </c>
      <c r="G128" s="890" t="s">
        <v>760</v>
      </c>
      <c r="H128" s="1479">
        <v>365</v>
      </c>
      <c r="I128" s="890"/>
      <c r="J128" s="2084"/>
      <c r="K128" s="2085"/>
      <c r="L128" s="514"/>
      <c r="V128" s="415">
        <v>365.25</v>
      </c>
      <c r="W128" s="432">
        <v>365</v>
      </c>
      <c r="X128" s="337">
        <v>365</v>
      </c>
      <c r="Y128" s="432"/>
      <c r="Z128" s="432"/>
      <c r="AA128" s="432"/>
      <c r="AB128" s="432"/>
      <c r="AC128" s="432"/>
      <c r="AD128" s="432"/>
      <c r="AE128" s="432"/>
      <c r="AF128" s="432"/>
      <c r="AG128" s="432"/>
      <c r="AI128" s="310">
        <v>365</v>
      </c>
      <c r="AJ128" s="337">
        <v>365</v>
      </c>
      <c r="AK128" s="310"/>
      <c r="AL128" s="310"/>
      <c r="AM128" s="310"/>
      <c r="AN128" s="310"/>
      <c r="AO128" s="310"/>
      <c r="AP128" s="310"/>
      <c r="AQ128" s="310"/>
      <c r="AR128" s="310"/>
      <c r="AS128" s="310"/>
    </row>
    <row r="129" spans="2:45" ht="30" customHeight="1" outlineLevel="1" thickBot="1" x14ac:dyDescent="0.3">
      <c r="D129" s="437" t="s">
        <v>791</v>
      </c>
      <c r="E129" s="890" t="s">
        <v>792</v>
      </c>
      <c r="F129" s="936">
        <v>2.4005847953216377</v>
      </c>
      <c r="G129" s="906" t="s">
        <v>1789</v>
      </c>
      <c r="H129" s="936">
        <v>1.2164351851851851</v>
      </c>
      <c r="I129" s="1583" t="s">
        <v>1792</v>
      </c>
      <c r="J129" s="2084"/>
      <c r="K129" s="2085"/>
      <c r="L129" s="514"/>
      <c r="V129" s="415" t="s">
        <v>791</v>
      </c>
      <c r="W129" s="459">
        <v>2.4005847953216377</v>
      </c>
      <c r="X129" s="457">
        <v>2.4005847953216377</v>
      </c>
      <c r="Y129" s="459"/>
      <c r="Z129" s="459"/>
      <c r="AA129" s="459"/>
      <c r="AB129" s="459"/>
      <c r="AC129" s="459"/>
      <c r="AD129" s="459"/>
      <c r="AE129" s="459"/>
      <c r="AF129" s="459"/>
      <c r="AG129" s="459"/>
      <c r="AI129" s="460">
        <v>1.4</v>
      </c>
      <c r="AJ129" s="475">
        <v>1.2164351851851851</v>
      </c>
      <c r="AK129" s="460"/>
      <c r="AL129" s="460"/>
      <c r="AM129" s="460"/>
      <c r="AN129" s="460"/>
      <c r="AO129" s="460"/>
      <c r="AP129" s="460"/>
      <c r="AQ129" s="460"/>
      <c r="AR129" s="460"/>
      <c r="AS129" s="460"/>
    </row>
    <row r="130" spans="2:45" ht="15" customHeight="1" outlineLevel="1" x14ac:dyDescent="0.25">
      <c r="D130" s="437">
        <v>8.33</v>
      </c>
      <c r="E130" s="906" t="s">
        <v>793</v>
      </c>
      <c r="F130" s="52">
        <v>8.33</v>
      </c>
      <c r="G130" s="906" t="s">
        <v>794</v>
      </c>
      <c r="H130" s="1039">
        <v>8.33</v>
      </c>
      <c r="I130" s="906" t="s">
        <v>794</v>
      </c>
      <c r="J130" s="2084"/>
      <c r="K130" s="2085"/>
      <c r="L130" s="514"/>
      <c r="V130" s="415">
        <v>8.33</v>
      </c>
      <c r="W130" s="310">
        <v>8.33</v>
      </c>
      <c r="X130" s="302">
        <v>8.33</v>
      </c>
      <c r="Y130" s="310"/>
      <c r="Z130" s="310"/>
      <c r="AA130" s="310"/>
      <c r="AB130" s="310"/>
      <c r="AC130" s="310"/>
      <c r="AD130" s="310"/>
      <c r="AE130" s="310"/>
      <c r="AF130" s="310"/>
      <c r="AG130" s="310"/>
      <c r="AI130" s="310">
        <v>8.33</v>
      </c>
      <c r="AJ130" s="302">
        <v>8.33</v>
      </c>
      <c r="AK130" s="310"/>
      <c r="AL130" s="310"/>
      <c r="AM130" s="310"/>
      <c r="AN130" s="310"/>
      <c r="AO130" s="310"/>
      <c r="AP130" s="310"/>
      <c r="AQ130" s="310"/>
      <c r="AR130" s="310"/>
      <c r="AS130" s="310"/>
    </row>
    <row r="131" spans="2:45" ht="15" customHeight="1" outlineLevel="1" x14ac:dyDescent="0.25">
      <c r="D131" s="437">
        <v>1</v>
      </c>
      <c r="E131" s="890" t="s">
        <v>795</v>
      </c>
      <c r="F131" s="52">
        <v>1</v>
      </c>
      <c r="G131" s="890" t="s">
        <v>796</v>
      </c>
      <c r="H131" s="1039">
        <v>1</v>
      </c>
      <c r="I131" s="890" t="s">
        <v>796</v>
      </c>
      <c r="J131" s="2084"/>
      <c r="K131" s="2085"/>
      <c r="L131" s="514"/>
      <c r="V131" s="415">
        <v>1</v>
      </c>
      <c r="W131" s="310">
        <v>1</v>
      </c>
      <c r="X131" s="302">
        <v>1</v>
      </c>
      <c r="Y131" s="310"/>
      <c r="Z131" s="310"/>
      <c r="AA131" s="310"/>
      <c r="AB131" s="310"/>
      <c r="AC131" s="310"/>
      <c r="AD131" s="310"/>
      <c r="AE131" s="310"/>
      <c r="AF131" s="310"/>
      <c r="AG131" s="310"/>
      <c r="AI131" s="312">
        <v>1</v>
      </c>
      <c r="AJ131" s="302">
        <v>1</v>
      </c>
      <c r="AK131" s="312"/>
      <c r="AL131" s="312"/>
      <c r="AM131" s="312"/>
      <c r="AN131" s="312"/>
      <c r="AO131" s="312"/>
      <c r="AP131" s="312"/>
      <c r="AQ131" s="312"/>
      <c r="AR131" s="312"/>
      <c r="AS131" s="312"/>
    </row>
    <row r="132" spans="2:45" ht="60" customHeight="1" outlineLevel="1" x14ac:dyDescent="0.25">
      <c r="D132" s="890" t="s">
        <v>797</v>
      </c>
      <c r="E132" s="890" t="s">
        <v>798</v>
      </c>
      <c r="F132" s="1479">
        <v>86</v>
      </c>
      <c r="G132" s="890" t="s">
        <v>799</v>
      </c>
      <c r="H132" s="123">
        <v>86</v>
      </c>
      <c r="I132" s="890" t="s">
        <v>799</v>
      </c>
      <c r="J132" s="2084"/>
      <c r="K132" s="2085"/>
      <c r="L132" s="514"/>
      <c r="V132" s="428" t="s">
        <v>797</v>
      </c>
      <c r="W132" s="432">
        <v>86</v>
      </c>
      <c r="X132" s="337">
        <v>86</v>
      </c>
      <c r="Y132" s="432"/>
      <c r="Z132" s="432"/>
      <c r="AA132" s="432"/>
      <c r="AB132" s="432"/>
      <c r="AC132" s="432"/>
      <c r="AD132" s="432"/>
      <c r="AE132" s="432"/>
      <c r="AF132" s="432"/>
      <c r="AG132" s="432"/>
      <c r="AI132" s="310">
        <v>86</v>
      </c>
      <c r="AJ132" s="337">
        <v>86</v>
      </c>
      <c r="AK132" s="310"/>
      <c r="AL132" s="310"/>
      <c r="AM132" s="310"/>
      <c r="AN132" s="310"/>
      <c r="AO132" s="310"/>
      <c r="AP132" s="310"/>
      <c r="AQ132" s="310"/>
      <c r="AR132" s="310"/>
      <c r="AS132" s="310"/>
    </row>
    <row r="133" spans="2:45" s="422" customFormat="1" ht="45" customHeight="1" outlineLevel="1" x14ac:dyDescent="0.25">
      <c r="B133" s="514"/>
      <c r="C133" s="616"/>
      <c r="D133" s="890" t="s">
        <v>800</v>
      </c>
      <c r="E133" s="890" t="s">
        <v>801</v>
      </c>
      <c r="F133" s="1479">
        <v>61.3</v>
      </c>
      <c r="G133" s="906" t="s">
        <v>802</v>
      </c>
      <c r="H133" s="500">
        <v>61.3</v>
      </c>
      <c r="I133" s="906" t="s">
        <v>802</v>
      </c>
      <c r="J133" s="2084"/>
      <c r="K133" s="2085"/>
      <c r="L133" s="514"/>
      <c r="M133" s="514"/>
      <c r="N133" s="514"/>
      <c r="O133" s="514"/>
      <c r="P133" s="514"/>
      <c r="Q133" s="514"/>
      <c r="R133" s="514"/>
      <c r="S133" s="514"/>
      <c r="T133" s="514"/>
      <c r="U133" s="514"/>
      <c r="V133" s="428" t="s">
        <v>800</v>
      </c>
      <c r="W133" s="432">
        <v>61.3</v>
      </c>
      <c r="X133" s="337">
        <v>61.3</v>
      </c>
      <c r="Y133" s="432"/>
      <c r="Z133" s="432"/>
      <c r="AA133" s="432"/>
      <c r="AB133" s="432"/>
      <c r="AC133" s="432"/>
      <c r="AD133" s="432"/>
      <c r="AE133" s="432"/>
      <c r="AF133" s="432"/>
      <c r="AG133" s="432"/>
      <c r="AI133" s="310">
        <v>61.3</v>
      </c>
      <c r="AJ133" s="337">
        <v>61.3</v>
      </c>
      <c r="AK133" s="310"/>
      <c r="AL133" s="310"/>
      <c r="AM133" s="310"/>
      <c r="AN133" s="310"/>
      <c r="AO133" s="310"/>
      <c r="AP133" s="310"/>
      <c r="AQ133" s="310"/>
      <c r="AR133" s="310"/>
      <c r="AS133" s="310"/>
    </row>
    <row r="134" spans="2:45" s="422" customFormat="1" ht="45" customHeight="1" outlineLevel="1" x14ac:dyDescent="0.25">
      <c r="B134" s="514"/>
      <c r="C134" s="616"/>
      <c r="D134" s="890" t="s">
        <v>803</v>
      </c>
      <c r="E134" s="890" t="s">
        <v>804</v>
      </c>
      <c r="F134" s="52">
        <v>0.98</v>
      </c>
      <c r="G134" s="906" t="s">
        <v>805</v>
      </c>
      <c r="H134" s="1039">
        <v>0.98</v>
      </c>
      <c r="I134" s="906" t="s">
        <v>805</v>
      </c>
      <c r="J134" s="2084"/>
      <c r="K134" s="2085"/>
      <c r="L134" s="514"/>
      <c r="M134" s="514"/>
      <c r="N134" s="514"/>
      <c r="O134" s="514"/>
      <c r="P134" s="514"/>
      <c r="Q134" s="514"/>
      <c r="R134" s="514"/>
      <c r="S134" s="514"/>
      <c r="T134" s="514"/>
      <c r="U134" s="514"/>
      <c r="V134" s="428" t="s">
        <v>803</v>
      </c>
      <c r="W134" s="310">
        <v>0.98</v>
      </c>
      <c r="X134" s="302">
        <v>0.98</v>
      </c>
      <c r="Y134" s="310"/>
      <c r="Z134" s="310"/>
      <c r="AA134" s="310"/>
      <c r="AB134" s="310"/>
      <c r="AC134" s="310"/>
      <c r="AD134" s="310"/>
      <c r="AE134" s="310"/>
      <c r="AF134" s="310"/>
      <c r="AG134" s="310"/>
      <c r="AI134" s="310">
        <v>0.98</v>
      </c>
      <c r="AJ134" s="302">
        <v>0.98</v>
      </c>
      <c r="AK134" s="310"/>
      <c r="AL134" s="310"/>
      <c r="AM134" s="310"/>
      <c r="AN134" s="310"/>
      <c r="AO134" s="310"/>
      <c r="AP134" s="310"/>
      <c r="AQ134" s="310"/>
      <c r="AR134" s="310"/>
      <c r="AS134" s="310"/>
    </row>
    <row r="135" spans="2:45" s="422" customFormat="1" ht="30" customHeight="1" outlineLevel="1" x14ac:dyDescent="0.25">
      <c r="B135" s="514"/>
      <c r="C135" s="616"/>
      <c r="D135" s="890">
        <v>3412</v>
      </c>
      <c r="E135" s="906" t="s">
        <v>806</v>
      </c>
      <c r="F135" s="506">
        <v>3413</v>
      </c>
      <c r="G135" s="906" t="s">
        <v>546</v>
      </c>
      <c r="H135" s="462">
        <v>3413</v>
      </c>
      <c r="I135" s="906" t="s">
        <v>546</v>
      </c>
      <c r="J135" s="2084"/>
      <c r="K135" s="2085"/>
      <c r="L135" s="514"/>
      <c r="M135" s="514"/>
      <c r="N135" s="514"/>
      <c r="O135" s="514"/>
      <c r="P135" s="514"/>
      <c r="Q135" s="514"/>
      <c r="R135" s="514"/>
      <c r="S135" s="514"/>
      <c r="T135" s="514"/>
      <c r="U135" s="514"/>
      <c r="V135" s="428">
        <v>3412</v>
      </c>
      <c r="W135" s="463">
        <v>3412</v>
      </c>
      <c r="X135" s="461">
        <v>3413</v>
      </c>
      <c r="Y135" s="463"/>
      <c r="Z135" s="463"/>
      <c r="AA135" s="463"/>
      <c r="AB135" s="463"/>
      <c r="AC135" s="463"/>
      <c r="AD135" s="463"/>
      <c r="AE135" s="463"/>
      <c r="AF135" s="463"/>
      <c r="AG135" s="463"/>
      <c r="AI135" s="463">
        <v>3413</v>
      </c>
      <c r="AJ135" s="461">
        <v>3413</v>
      </c>
      <c r="AK135" s="463"/>
      <c r="AL135" s="463"/>
      <c r="AM135" s="463"/>
      <c r="AN135" s="463"/>
      <c r="AO135" s="463"/>
      <c r="AP135" s="463"/>
      <c r="AQ135" s="463"/>
      <c r="AR135" s="463"/>
      <c r="AS135" s="463"/>
    </row>
    <row r="136" spans="2:45" s="422" customFormat="1" ht="15" customHeight="1" outlineLevel="1" x14ac:dyDescent="0.25">
      <c r="B136" s="514"/>
      <c r="C136" s="616"/>
      <c r="D136" s="890" t="s">
        <v>736</v>
      </c>
      <c r="E136" s="890" t="s">
        <v>769</v>
      </c>
      <c r="F136" s="507">
        <v>0.89859999999999995</v>
      </c>
      <c r="G136" s="890" t="s">
        <v>1789</v>
      </c>
      <c r="H136" s="908">
        <v>1</v>
      </c>
      <c r="I136" s="906" t="s">
        <v>1790</v>
      </c>
      <c r="J136" s="2084"/>
      <c r="K136" s="2085"/>
      <c r="L136" s="514"/>
      <c r="M136" s="514"/>
      <c r="N136" s="514"/>
      <c r="O136" s="514"/>
      <c r="P136" s="514"/>
      <c r="Q136" s="514"/>
      <c r="R136" s="514"/>
      <c r="S136" s="514"/>
      <c r="T136" s="514"/>
      <c r="U136" s="514"/>
      <c r="V136" s="428" t="s">
        <v>736</v>
      </c>
      <c r="W136" s="466">
        <v>0.86</v>
      </c>
      <c r="X136" s="464">
        <v>0.89859999999999995</v>
      </c>
      <c r="Y136" s="466"/>
      <c r="Z136" s="466"/>
      <c r="AA136" s="466"/>
      <c r="AB136" s="466"/>
      <c r="AC136" s="466"/>
      <c r="AD136" s="466"/>
      <c r="AE136" s="466"/>
      <c r="AF136" s="466"/>
      <c r="AG136" s="466"/>
      <c r="AI136" s="467">
        <v>1</v>
      </c>
      <c r="AJ136" s="468">
        <v>1</v>
      </c>
      <c r="AK136" s="467"/>
      <c r="AL136" s="467"/>
      <c r="AM136" s="467"/>
      <c r="AN136" s="467"/>
      <c r="AO136" s="467"/>
      <c r="AP136" s="467"/>
      <c r="AQ136" s="467"/>
      <c r="AR136" s="467"/>
      <c r="AS136" s="467"/>
    </row>
    <row r="137" spans="2:45" s="422" customFormat="1" ht="15" customHeight="1" outlineLevel="1" x14ac:dyDescent="0.25">
      <c r="B137" s="514"/>
      <c r="C137" s="616"/>
      <c r="D137" s="890" t="s">
        <v>58</v>
      </c>
      <c r="E137" s="890" t="s">
        <v>574</v>
      </c>
      <c r="F137" s="507">
        <v>0.55508474576271183</v>
      </c>
      <c r="G137" s="890" t="s">
        <v>1789</v>
      </c>
      <c r="H137" s="908">
        <v>1</v>
      </c>
      <c r="I137" s="906" t="s">
        <v>1790</v>
      </c>
      <c r="J137" s="2084"/>
      <c r="K137" s="2085"/>
      <c r="L137" s="514"/>
      <c r="M137" s="514"/>
      <c r="N137" s="514"/>
      <c r="O137" s="514"/>
      <c r="P137" s="514"/>
      <c r="Q137" s="514"/>
      <c r="R137" s="514"/>
      <c r="S137" s="514"/>
      <c r="T137" s="514"/>
      <c r="U137" s="514"/>
      <c r="V137" s="428" t="s">
        <v>58</v>
      </c>
      <c r="W137" s="466">
        <v>0.56837606837606836</v>
      </c>
      <c r="X137" s="464">
        <v>0.55508474576271183</v>
      </c>
      <c r="Y137" s="466"/>
      <c r="Z137" s="466"/>
      <c r="AA137" s="466"/>
      <c r="AB137" s="466"/>
      <c r="AC137" s="466"/>
      <c r="AD137" s="466"/>
      <c r="AE137" s="466"/>
      <c r="AF137" s="466"/>
      <c r="AG137" s="466"/>
      <c r="AI137" s="467">
        <v>1</v>
      </c>
      <c r="AJ137" s="468">
        <v>1</v>
      </c>
      <c r="AK137" s="467"/>
      <c r="AL137" s="467"/>
      <c r="AM137" s="467"/>
      <c r="AN137" s="467"/>
      <c r="AO137" s="467"/>
      <c r="AP137" s="467"/>
      <c r="AQ137" s="467"/>
      <c r="AR137" s="467"/>
      <c r="AS137" s="467"/>
    </row>
    <row r="138" spans="2:45" outlineLevel="1" x14ac:dyDescent="0.25">
      <c r="B138" s="1087"/>
      <c r="C138" s="1434"/>
      <c r="D138" s="899" t="s">
        <v>738</v>
      </c>
      <c r="E138" s="899" t="s">
        <v>504</v>
      </c>
      <c r="F138" s="525">
        <v>10</v>
      </c>
      <c r="G138" s="890"/>
      <c r="H138" s="525">
        <v>10</v>
      </c>
      <c r="I138" s="525"/>
      <c r="J138" s="2084"/>
      <c r="K138" s="2085"/>
      <c r="L138" s="904"/>
      <c r="M138" s="1452"/>
      <c r="N138" s="904"/>
      <c r="O138" s="904"/>
      <c r="P138" s="904"/>
      <c r="Q138" s="904"/>
      <c r="V138" s="158" t="s">
        <v>738</v>
      </c>
      <c r="W138" s="406">
        <v>10</v>
      </c>
      <c r="X138" s="406">
        <v>10</v>
      </c>
      <c r="Y138" s="406"/>
      <c r="Z138" s="406"/>
      <c r="AA138" s="406"/>
      <c r="AB138" s="406"/>
      <c r="AC138" s="406"/>
      <c r="AD138" s="406"/>
      <c r="AE138" s="406"/>
      <c r="AF138" s="406"/>
      <c r="AG138" s="406"/>
      <c r="AI138" s="406">
        <v>10</v>
      </c>
      <c r="AJ138" s="406">
        <v>10</v>
      </c>
      <c r="AK138" s="406"/>
      <c r="AL138" s="406"/>
      <c r="AM138" s="406"/>
      <c r="AN138" s="406"/>
      <c r="AO138" s="406"/>
      <c r="AP138" s="406"/>
      <c r="AQ138" s="406"/>
      <c r="AR138" s="406"/>
      <c r="AS138" s="406"/>
    </row>
    <row r="139" spans="2:45" outlineLevel="1" x14ac:dyDescent="0.25">
      <c r="B139" s="1087"/>
      <c r="C139" s="1434"/>
      <c r="D139" s="407" t="s">
        <v>24</v>
      </c>
      <c r="E139" s="899" t="s">
        <v>506</v>
      </c>
      <c r="F139" s="526">
        <v>3</v>
      </c>
      <c r="G139" s="526"/>
      <c r="H139" s="526">
        <v>3</v>
      </c>
      <c r="I139" s="526"/>
      <c r="J139" s="2084"/>
      <c r="K139" s="2085"/>
      <c r="L139" s="904"/>
      <c r="M139" s="1452"/>
      <c r="N139" s="904"/>
      <c r="O139" s="904"/>
      <c r="P139" s="904"/>
      <c r="Q139" s="904"/>
      <c r="V139" s="162" t="s">
        <v>24</v>
      </c>
      <c r="W139" s="408">
        <v>3</v>
      </c>
      <c r="X139" s="408">
        <v>3</v>
      </c>
      <c r="Y139" s="409"/>
      <c r="Z139" s="409"/>
      <c r="AA139" s="409"/>
      <c r="AB139" s="409"/>
      <c r="AC139" s="409"/>
      <c r="AD139" s="409"/>
      <c r="AE139" s="409"/>
      <c r="AF139" s="409"/>
      <c r="AG139" s="409"/>
      <c r="AI139" s="408">
        <v>3</v>
      </c>
      <c r="AJ139" s="408">
        <v>3</v>
      </c>
      <c r="AK139" s="409"/>
      <c r="AL139" s="409"/>
      <c r="AM139" s="409"/>
      <c r="AN139" s="409"/>
      <c r="AO139" s="409"/>
      <c r="AP139" s="409"/>
      <c r="AQ139" s="409"/>
      <c r="AR139" s="409"/>
      <c r="AS139" s="409"/>
    </row>
    <row r="142" spans="2:45" s="165" customFormat="1" x14ac:dyDescent="0.25">
      <c r="B142" s="2022" t="s">
        <v>810</v>
      </c>
      <c r="C142" s="2023"/>
      <c r="D142" s="2023"/>
      <c r="E142" s="2023"/>
      <c r="F142" s="2023"/>
      <c r="G142" s="2023"/>
      <c r="H142" s="2023"/>
      <c r="I142" s="1992"/>
      <c r="J142" s="1992"/>
      <c r="K142" s="1992"/>
      <c r="L142" s="1992"/>
      <c r="M142" s="1992"/>
      <c r="N142" s="1993"/>
      <c r="V142" s="2022" t="str">
        <f>B142</f>
        <v xml:space="preserve">Low Flow Showerheads </v>
      </c>
      <c r="W142" s="2023"/>
      <c r="X142" s="2023"/>
      <c r="Y142" s="2023"/>
      <c r="Z142" s="2023"/>
      <c r="AA142" s="2023"/>
      <c r="AB142" s="2023"/>
      <c r="AC142" s="2024"/>
      <c r="AD142" s="2024"/>
      <c r="AE142" s="2024"/>
      <c r="AF142" s="2024"/>
      <c r="AG142" s="2024"/>
      <c r="AH142" s="2025"/>
    </row>
    <row r="143" spans="2:45" ht="15.75" customHeight="1" x14ac:dyDescent="0.25">
      <c r="D143" s="1584"/>
      <c r="P143" s="470"/>
      <c r="Q143" s="470"/>
      <c r="R143" s="470"/>
    </row>
    <row r="144" spans="2:45" ht="48.75" customHeight="1" x14ac:dyDescent="0.25">
      <c r="C144" s="184" t="s">
        <v>16</v>
      </c>
      <c r="D144" s="184" t="s">
        <v>509</v>
      </c>
      <c r="E144" s="184" t="s">
        <v>18</v>
      </c>
      <c r="F144" s="184" t="s">
        <v>19</v>
      </c>
      <c r="G144" s="184" t="s">
        <v>20</v>
      </c>
      <c r="H144" s="184" t="s">
        <v>21</v>
      </c>
      <c r="I144" s="184" t="s">
        <v>771</v>
      </c>
      <c r="J144" s="184" t="s">
        <v>22</v>
      </c>
      <c r="K144" s="184" t="s">
        <v>23</v>
      </c>
      <c r="L144" s="184" t="s">
        <v>24</v>
      </c>
      <c r="M144" s="184" t="s">
        <v>25</v>
      </c>
      <c r="P144" s="470"/>
      <c r="Q144" s="470"/>
      <c r="R144" s="470"/>
      <c r="V144" s="48" t="s">
        <v>26</v>
      </c>
      <c r="W144" s="49">
        <f>$W$6</f>
        <v>43252</v>
      </c>
      <c r="X144" s="49">
        <f>$X$6</f>
        <v>43465</v>
      </c>
      <c r="Y144" s="49" t="str">
        <f>$Y$6</f>
        <v>-</v>
      </c>
      <c r="Z144" s="49" t="str">
        <f>$Z$6</f>
        <v>-</v>
      </c>
      <c r="AA144" s="49" t="str">
        <f>$AA$6</f>
        <v>-</v>
      </c>
      <c r="AB144" s="49" t="str">
        <f>$AB$6</f>
        <v>-</v>
      </c>
      <c r="AC144" s="49" t="str">
        <f>$AC$6</f>
        <v>-</v>
      </c>
      <c r="AD144" s="49" t="str">
        <f>$AD$6</f>
        <v>-</v>
      </c>
      <c r="AE144" s="49" t="str">
        <f>$AE$6</f>
        <v>-</v>
      </c>
      <c r="AF144" s="49" t="str">
        <f>$AF$6</f>
        <v>-</v>
      </c>
      <c r="AG144" s="49" t="str">
        <f>$AG$6</f>
        <v>-</v>
      </c>
    </row>
    <row r="145" spans="2:45" x14ac:dyDescent="0.25">
      <c r="C145" s="414"/>
      <c r="D145" s="890" t="s">
        <v>726</v>
      </c>
      <c r="E145" s="890" t="s">
        <v>811</v>
      </c>
      <c r="F145" s="123">
        <f>$F$156*($F$157*$F$158-$F$159*$F$160)*$F$161*$F$162*$F$163/$F$164*$I$145*$F$172*$F$171</f>
        <v>59.397111130550108</v>
      </c>
      <c r="G145" s="1039" t="s">
        <v>513</v>
      </c>
      <c r="H145" s="418">
        <f>VLOOKUP(G145,'CP FACTORS'!$A$3:$B$38, 2, FALSE)</f>
        <v>8.8731800000000003E-5</v>
      </c>
      <c r="I145" s="474">
        <f>$F$165*$F$166*($F$167-$F$168)/($F$169*$F$170)</f>
        <v>0.10886576787807739</v>
      </c>
      <c r="J145" s="1585">
        <f>F145*H145</f>
        <v>5.2704125854137465E-3</v>
      </c>
      <c r="K145" s="123">
        <f>F173</f>
        <v>10</v>
      </c>
      <c r="L145" s="925">
        <f>F174</f>
        <v>7</v>
      </c>
      <c r="M145" s="420" t="s">
        <v>31</v>
      </c>
      <c r="P145" s="470"/>
      <c r="Q145" s="477"/>
      <c r="R145" s="1413"/>
      <c r="V145" s="176" t="str">
        <f>F144</f>
        <v>kWh Annual Savings</v>
      </c>
      <c r="W145" s="1198">
        <v>73.604221215365854</v>
      </c>
      <c r="X145" s="1197">
        <v>59.397111130550108</v>
      </c>
      <c r="Y145" s="176"/>
      <c r="Z145" s="176"/>
      <c r="AA145" s="176"/>
      <c r="AB145" s="176"/>
      <c r="AC145" s="176"/>
      <c r="AD145" s="176"/>
      <c r="AE145" s="176"/>
      <c r="AF145" s="176"/>
      <c r="AG145" s="176"/>
    </row>
    <row r="146" spans="2:45" s="161" customFormat="1" x14ac:dyDescent="0.25">
      <c r="B146" s="130"/>
      <c r="C146" s="414"/>
      <c r="D146" s="890" t="s">
        <v>614</v>
      </c>
      <c r="E146" s="890" t="s">
        <v>811</v>
      </c>
      <c r="F146" s="123">
        <f>$H$156*($H$157*$H$158-$H$159*$H$160)*$H$161*$H$162*$H$163/$H$164*$I$146*$H$172*$H$171</f>
        <v>259.13086719005258</v>
      </c>
      <c r="G146" s="1039" t="s">
        <v>513</v>
      </c>
      <c r="H146" s="418">
        <f>VLOOKUP(G146,'CP FACTORS'!$A$3:$B$38, 2, FALSE)</f>
        <v>8.8731800000000003E-5</v>
      </c>
      <c r="I146" s="474">
        <f>$H$165*$H$166*($H$167-$H$168)/($H$169*$H$170)</f>
        <v>0.10886576787807739</v>
      </c>
      <c r="J146" s="1585">
        <f>F146*H146</f>
        <v>2.2993148281334308E-2</v>
      </c>
      <c r="K146" s="123">
        <f>F174</f>
        <v>7</v>
      </c>
      <c r="L146" s="925">
        <f>F175</f>
        <v>0</v>
      </c>
      <c r="M146" s="420" t="s">
        <v>31</v>
      </c>
      <c r="N146" s="130"/>
      <c r="O146" s="130"/>
      <c r="P146" s="470"/>
      <c r="Q146" s="477"/>
      <c r="R146" s="1413"/>
      <c r="S146" s="130"/>
      <c r="T146" s="130"/>
      <c r="U146" s="130"/>
      <c r="V146" s="1140" t="str">
        <f>V145</f>
        <v>kWh Annual Savings</v>
      </c>
      <c r="W146" s="1199" t="s">
        <v>742</v>
      </c>
      <c r="X146" s="1200">
        <v>259.13086719005258</v>
      </c>
      <c r="Y146" s="1140"/>
      <c r="Z146" s="1140"/>
      <c r="AA146" s="1140"/>
      <c r="AB146" s="1140"/>
      <c r="AC146" s="1140"/>
      <c r="AD146" s="1140"/>
      <c r="AE146" s="1140"/>
      <c r="AF146" s="1140"/>
      <c r="AG146" s="1140"/>
    </row>
    <row r="147" spans="2:45" outlineLevel="1" x14ac:dyDescent="0.25">
      <c r="D147" s="469"/>
      <c r="E147" s="1586"/>
      <c r="F147" s="1587"/>
      <c r="G147" s="251"/>
      <c r="H147" s="251"/>
      <c r="J147" s="251"/>
      <c r="K147" s="251"/>
      <c r="L147" s="251"/>
      <c r="P147" s="470"/>
      <c r="Q147" s="470"/>
      <c r="R147" s="1413"/>
    </row>
    <row r="148" spans="2:45" outlineLevel="1" x14ac:dyDescent="0.25">
      <c r="D148" s="1418" t="s">
        <v>463</v>
      </c>
      <c r="E148" s="469"/>
      <c r="F148" s="251"/>
      <c r="G148" s="251"/>
      <c r="H148" s="251"/>
      <c r="I148" s="251"/>
      <c r="J148" s="251"/>
      <c r="K148" s="251"/>
      <c r="P148" s="470"/>
      <c r="Q148" s="470"/>
      <c r="R148" s="470"/>
    </row>
    <row r="149" spans="2:45" outlineLevel="1" x14ac:dyDescent="0.25">
      <c r="D149" s="469"/>
      <c r="E149" s="469"/>
      <c r="F149" s="251"/>
      <c r="G149" s="251"/>
      <c r="I149" s="251"/>
      <c r="J149" s="251"/>
      <c r="K149" s="251"/>
    </row>
    <row r="150" spans="2:45" outlineLevel="1" x14ac:dyDescent="0.25">
      <c r="D150" s="469"/>
      <c r="E150" s="469"/>
      <c r="F150" s="251"/>
      <c r="G150" s="251"/>
      <c r="I150" s="251"/>
      <c r="J150" s="251"/>
      <c r="K150" s="251"/>
    </row>
    <row r="151" spans="2:45" ht="24" customHeight="1" outlineLevel="1" x14ac:dyDescent="0.25">
      <c r="D151" s="469"/>
      <c r="E151" s="469"/>
      <c r="F151" s="251"/>
      <c r="G151" s="251"/>
      <c r="I151" s="251"/>
      <c r="J151" s="251"/>
      <c r="K151" s="251"/>
    </row>
    <row r="152" spans="2:45" outlineLevel="1" x14ac:dyDescent="0.25">
      <c r="D152" s="469"/>
      <c r="F152" s="251"/>
      <c r="G152" s="251"/>
      <c r="H152" s="251"/>
      <c r="I152" s="251"/>
      <c r="J152" s="251"/>
      <c r="K152" s="251"/>
    </row>
    <row r="153" spans="2:45" outlineLevel="1" x14ac:dyDescent="0.25">
      <c r="D153" s="469"/>
      <c r="F153" s="251"/>
      <c r="G153" s="251"/>
      <c r="H153" s="251"/>
      <c r="I153" s="251"/>
      <c r="J153" s="251"/>
      <c r="K153" s="251"/>
    </row>
    <row r="154" spans="2:45" outlineLevel="1" x14ac:dyDescent="0.25">
      <c r="D154" s="469"/>
      <c r="E154" s="469"/>
      <c r="F154" s="251"/>
      <c r="G154" s="251"/>
      <c r="H154" s="251"/>
      <c r="I154" s="251"/>
      <c r="J154" s="251"/>
      <c r="K154" s="251"/>
      <c r="M154" s="470"/>
      <c r="N154" s="470"/>
      <c r="V154" s="48" t="s">
        <v>26</v>
      </c>
      <c r="W154" s="49">
        <f>$W$6</f>
        <v>43252</v>
      </c>
      <c r="X154" s="49">
        <f>$X$6</f>
        <v>43465</v>
      </c>
      <c r="Y154" s="49" t="str">
        <f>$Y$6</f>
        <v>-</v>
      </c>
      <c r="Z154" s="49" t="str">
        <f>$Z$6</f>
        <v>-</v>
      </c>
      <c r="AA154" s="49" t="str">
        <f>$AA$6</f>
        <v>-</v>
      </c>
      <c r="AB154" s="49" t="str">
        <f>$AB$6</f>
        <v>-</v>
      </c>
      <c r="AC154" s="49" t="str">
        <f>$AC$6</f>
        <v>-</v>
      </c>
      <c r="AD154" s="49" t="str">
        <f>$AD$6</f>
        <v>-</v>
      </c>
      <c r="AE154" s="49" t="str">
        <f>$AE$6</f>
        <v>-</v>
      </c>
      <c r="AF154" s="49" t="str">
        <f>$AF$6</f>
        <v>-</v>
      </c>
      <c r="AG154" s="49" t="str">
        <f>$AG$6</f>
        <v>-</v>
      </c>
      <c r="AI154" s="1161">
        <f>$W$6</f>
        <v>43252</v>
      </c>
      <c r="AJ154" s="1161">
        <f>$X$6</f>
        <v>43465</v>
      </c>
      <c r="AK154" s="1161" t="str">
        <f>$Y$6</f>
        <v>-</v>
      </c>
      <c r="AL154" s="1161" t="str">
        <f>$Z$6</f>
        <v>-</v>
      </c>
      <c r="AM154" s="1161" t="str">
        <f>$AA$6</f>
        <v>-</v>
      </c>
      <c r="AN154" s="1161" t="str">
        <f>$AB$6</f>
        <v>-</v>
      </c>
      <c r="AO154" s="1161" t="str">
        <f>$AC$6</f>
        <v>-</v>
      </c>
      <c r="AP154" s="1161" t="str">
        <f>$AD$6</f>
        <v>-</v>
      </c>
      <c r="AQ154" s="1161" t="str">
        <f>$AE$6</f>
        <v>-</v>
      </c>
      <c r="AR154" s="1161" t="str">
        <f>$AF$6</f>
        <v>-</v>
      </c>
      <c r="AS154" s="1161" t="str">
        <f>$AG$6</f>
        <v>-</v>
      </c>
    </row>
    <row r="155" spans="2:45" ht="15" customHeight="1" outlineLevel="1" x14ac:dyDescent="0.25">
      <c r="D155" s="1098" t="s">
        <v>465</v>
      </c>
      <c r="E155" s="1098" t="s">
        <v>466</v>
      </c>
      <c r="F155" s="184" t="s">
        <v>746</v>
      </c>
      <c r="G155" s="184" t="s">
        <v>747</v>
      </c>
      <c r="H155" s="184" t="s">
        <v>748</v>
      </c>
      <c r="I155" s="184" t="s">
        <v>749</v>
      </c>
      <c r="J155" s="184" t="s">
        <v>468</v>
      </c>
      <c r="M155" s="449"/>
      <c r="N155" s="478"/>
      <c r="V155" s="62"/>
      <c r="W155" s="63" t="s">
        <v>746</v>
      </c>
      <c r="X155" s="63" t="s">
        <v>746</v>
      </c>
      <c r="Y155" s="63" t="s">
        <v>746</v>
      </c>
      <c r="Z155" s="63" t="s">
        <v>746</v>
      </c>
      <c r="AA155" s="63" t="s">
        <v>746</v>
      </c>
      <c r="AB155" s="63" t="s">
        <v>746</v>
      </c>
      <c r="AC155" s="63" t="s">
        <v>746</v>
      </c>
      <c r="AD155" s="63" t="s">
        <v>746</v>
      </c>
      <c r="AE155" s="63" t="s">
        <v>746</v>
      </c>
      <c r="AF155" s="63" t="s">
        <v>746</v>
      </c>
      <c r="AG155" s="63" t="s">
        <v>746</v>
      </c>
      <c r="AI155" s="1162" t="s">
        <v>748</v>
      </c>
      <c r="AJ155" s="1162" t="s">
        <v>748</v>
      </c>
      <c r="AK155" s="1162" t="s">
        <v>748</v>
      </c>
      <c r="AL155" s="1162" t="s">
        <v>748</v>
      </c>
      <c r="AM155" s="1162" t="s">
        <v>748</v>
      </c>
      <c r="AN155" s="1162" t="s">
        <v>748</v>
      </c>
      <c r="AO155" s="1162" t="s">
        <v>748</v>
      </c>
      <c r="AP155" s="1162" t="s">
        <v>748</v>
      </c>
      <c r="AQ155" s="1162" t="s">
        <v>748</v>
      </c>
      <c r="AR155" s="1162" t="s">
        <v>748</v>
      </c>
      <c r="AS155" s="1162" t="s">
        <v>748</v>
      </c>
    </row>
    <row r="156" spans="2:45" s="422" customFormat="1" ht="33" customHeight="1" outlineLevel="1" thickBot="1" x14ac:dyDescent="0.3">
      <c r="B156" s="514"/>
      <c r="C156" s="1572"/>
      <c r="D156" s="890" t="s">
        <v>773</v>
      </c>
      <c r="E156" s="890" t="s">
        <v>774</v>
      </c>
      <c r="F156" s="509">
        <v>0.34429999999999999</v>
      </c>
      <c r="G156" s="1588" t="s">
        <v>1789</v>
      </c>
      <c r="H156" s="481">
        <v>1</v>
      </c>
      <c r="I156" s="1588" t="s">
        <v>1839</v>
      </c>
      <c r="J156" s="807"/>
      <c r="K156" s="514"/>
      <c r="L156" s="130"/>
      <c r="M156" s="480"/>
      <c r="N156" s="480"/>
      <c r="O156" s="514"/>
      <c r="P156" s="514"/>
      <c r="Q156" s="514"/>
      <c r="R156" s="514"/>
      <c r="S156" s="514"/>
      <c r="T156" s="514"/>
      <c r="U156" s="514"/>
      <c r="V156" s="428" t="s">
        <v>773</v>
      </c>
      <c r="W156" s="466">
        <v>0.4</v>
      </c>
      <c r="X156" s="473">
        <v>0.34429999999999999</v>
      </c>
      <c r="Y156" s="481"/>
      <c r="Z156" s="481"/>
      <c r="AA156" s="481"/>
      <c r="AB156" s="481"/>
      <c r="AC156" s="481"/>
      <c r="AD156" s="481"/>
      <c r="AE156" s="481"/>
      <c r="AF156" s="481"/>
      <c r="AG156" s="481"/>
      <c r="AI156" s="901" t="s">
        <v>742</v>
      </c>
      <c r="AJ156" s="450">
        <v>1</v>
      </c>
      <c r="AK156" s="901"/>
      <c r="AL156" s="901"/>
      <c r="AM156" s="901"/>
      <c r="AN156" s="901"/>
      <c r="AO156" s="901"/>
      <c r="AP156" s="901"/>
      <c r="AQ156" s="901"/>
      <c r="AR156" s="901"/>
      <c r="AS156" s="901"/>
    </row>
    <row r="157" spans="2:45" s="422" customFormat="1" ht="105" outlineLevel="1" x14ac:dyDescent="0.25">
      <c r="B157" s="514"/>
      <c r="C157" s="1572"/>
      <c r="D157" s="890" t="s">
        <v>775</v>
      </c>
      <c r="E157" s="890" t="s">
        <v>812</v>
      </c>
      <c r="F157" s="52">
        <v>2.35</v>
      </c>
      <c r="G157" s="890" t="s">
        <v>813</v>
      </c>
      <c r="H157" s="52">
        <v>2.35</v>
      </c>
      <c r="I157" s="890" t="s">
        <v>1840</v>
      </c>
      <c r="J157" s="807"/>
      <c r="K157" s="514"/>
      <c r="L157" s="130"/>
      <c r="M157" s="449"/>
      <c r="N157" s="449"/>
      <c r="O157" s="514"/>
      <c r="P157" s="514"/>
      <c r="Q157" s="514"/>
      <c r="R157" s="514"/>
      <c r="S157" s="514"/>
      <c r="T157" s="514"/>
      <c r="U157" s="514"/>
      <c r="V157" s="428" t="s">
        <v>775</v>
      </c>
      <c r="W157" s="444">
        <v>2.35</v>
      </c>
      <c r="X157" s="302">
        <v>2.35</v>
      </c>
      <c r="Y157" s="52"/>
      <c r="Z157" s="52"/>
      <c r="AA157" s="52"/>
      <c r="AB157" s="52"/>
      <c r="AC157" s="52"/>
      <c r="AD157" s="52"/>
      <c r="AE157" s="52"/>
      <c r="AF157" s="52"/>
      <c r="AG157" s="52"/>
      <c r="AI157" s="901" t="s">
        <v>742</v>
      </c>
      <c r="AJ157" s="1152">
        <v>2.35</v>
      </c>
      <c r="AK157" s="909"/>
      <c r="AL157" s="909"/>
      <c r="AM157" s="909"/>
      <c r="AN157" s="909"/>
      <c r="AO157" s="909"/>
      <c r="AP157" s="909"/>
      <c r="AQ157" s="909"/>
      <c r="AR157" s="909"/>
      <c r="AS157" s="909"/>
    </row>
    <row r="158" spans="2:45" s="422" customFormat="1" ht="60" outlineLevel="1" x14ac:dyDescent="0.25">
      <c r="B158" s="514"/>
      <c r="C158" s="1572"/>
      <c r="D158" s="890" t="s">
        <v>778</v>
      </c>
      <c r="E158" s="890" t="s">
        <v>814</v>
      </c>
      <c r="F158" s="1589">
        <v>7.8</v>
      </c>
      <c r="G158" s="890" t="s">
        <v>815</v>
      </c>
      <c r="H158" s="1589">
        <v>7.8</v>
      </c>
      <c r="I158" s="890" t="s">
        <v>1839</v>
      </c>
      <c r="J158" s="807"/>
      <c r="K158" s="514"/>
      <c r="L158" s="130"/>
      <c r="M158" s="449"/>
      <c r="N158" s="449"/>
      <c r="O158" s="514"/>
      <c r="P158" s="514"/>
      <c r="Q158" s="514"/>
      <c r="R158" s="514"/>
      <c r="S158" s="514"/>
      <c r="T158" s="514"/>
      <c r="U158" s="514"/>
      <c r="V158" s="428" t="s">
        <v>778</v>
      </c>
      <c r="W158" s="444">
        <v>7.8</v>
      </c>
      <c r="X158" s="482">
        <v>7.8</v>
      </c>
      <c r="Y158" s="483"/>
      <c r="Z158" s="483"/>
      <c r="AA158" s="483"/>
      <c r="AB158" s="483"/>
      <c r="AC158" s="483"/>
      <c r="AD158" s="483"/>
      <c r="AE158" s="483"/>
      <c r="AF158" s="483"/>
      <c r="AG158" s="483"/>
      <c r="AI158" s="901" t="s">
        <v>742</v>
      </c>
      <c r="AJ158" s="1159">
        <v>7.8</v>
      </c>
      <c r="AK158" s="909"/>
      <c r="AL158" s="909"/>
      <c r="AM158" s="909"/>
      <c r="AN158" s="909"/>
      <c r="AO158" s="909"/>
      <c r="AP158" s="909"/>
      <c r="AQ158" s="909"/>
      <c r="AR158" s="909"/>
      <c r="AS158" s="909"/>
    </row>
    <row r="159" spans="2:45" s="422" customFormat="1" ht="30" outlineLevel="1" x14ac:dyDescent="0.25">
      <c r="B159" s="514"/>
      <c r="C159" s="1572"/>
      <c r="D159" s="890" t="s">
        <v>782</v>
      </c>
      <c r="E159" s="890" t="s">
        <v>816</v>
      </c>
      <c r="F159" s="1589">
        <v>1.5</v>
      </c>
      <c r="G159" s="890" t="s">
        <v>391</v>
      </c>
      <c r="H159" s="1589">
        <v>1.5</v>
      </c>
      <c r="I159" s="890" t="s">
        <v>1840</v>
      </c>
      <c r="J159" s="807"/>
      <c r="K159" s="514"/>
      <c r="L159" s="130"/>
      <c r="M159" s="449"/>
      <c r="N159" s="449"/>
      <c r="O159" s="514"/>
      <c r="P159" s="514"/>
      <c r="Q159" s="514"/>
      <c r="R159" s="514"/>
      <c r="S159" s="514"/>
      <c r="T159" s="514"/>
      <c r="U159" s="514"/>
      <c r="V159" s="428" t="s">
        <v>782</v>
      </c>
      <c r="W159" s="444">
        <v>1.5</v>
      </c>
      <c r="X159" s="482">
        <v>1.5</v>
      </c>
      <c r="Y159" s="483"/>
      <c r="Z159" s="483"/>
      <c r="AA159" s="483"/>
      <c r="AB159" s="483"/>
      <c r="AC159" s="483"/>
      <c r="AD159" s="483"/>
      <c r="AE159" s="483"/>
      <c r="AF159" s="483"/>
      <c r="AG159" s="483"/>
      <c r="AI159" s="901" t="s">
        <v>742</v>
      </c>
      <c r="AJ159" s="1159">
        <v>1.5</v>
      </c>
      <c r="AK159" s="1163"/>
      <c r="AL159" s="1163"/>
      <c r="AM159" s="1163"/>
      <c r="AN159" s="1163"/>
      <c r="AO159" s="1163"/>
      <c r="AP159" s="1163"/>
      <c r="AQ159" s="1163"/>
      <c r="AR159" s="1163"/>
      <c r="AS159" s="1163"/>
    </row>
    <row r="160" spans="2:45" s="422" customFormat="1" ht="60" outlineLevel="1" x14ac:dyDescent="0.25">
      <c r="B160" s="514"/>
      <c r="C160" s="1572"/>
      <c r="D160" s="890" t="s">
        <v>784</v>
      </c>
      <c r="E160" s="890" t="s">
        <v>817</v>
      </c>
      <c r="F160" s="1589">
        <v>7.8</v>
      </c>
      <c r="G160" s="890" t="s">
        <v>780</v>
      </c>
      <c r="H160" s="1479">
        <v>7.8</v>
      </c>
      <c r="I160" s="890" t="s">
        <v>1839</v>
      </c>
      <c r="J160" s="807"/>
      <c r="K160" s="514"/>
      <c r="L160" s="130"/>
      <c r="M160" s="449"/>
      <c r="N160" s="449"/>
      <c r="O160" s="514"/>
      <c r="P160" s="514"/>
      <c r="Q160" s="514"/>
      <c r="R160" s="514"/>
      <c r="S160" s="514"/>
      <c r="T160" s="514"/>
      <c r="U160" s="514"/>
      <c r="V160" s="428" t="s">
        <v>784</v>
      </c>
      <c r="W160" s="444">
        <v>7.8</v>
      </c>
      <c r="X160" s="482">
        <v>7.8</v>
      </c>
      <c r="Y160" s="483"/>
      <c r="Z160" s="483"/>
      <c r="AA160" s="483"/>
      <c r="AB160" s="483"/>
      <c r="AC160" s="483"/>
      <c r="AD160" s="483"/>
      <c r="AE160" s="483"/>
      <c r="AF160" s="483"/>
      <c r="AG160" s="483"/>
      <c r="AI160" s="901" t="s">
        <v>742</v>
      </c>
      <c r="AJ160" s="1153">
        <v>7.8</v>
      </c>
      <c r="AK160" s="909"/>
      <c r="AL160" s="909"/>
      <c r="AM160" s="909"/>
      <c r="AN160" s="909"/>
      <c r="AO160" s="909"/>
      <c r="AP160" s="909"/>
      <c r="AQ160" s="909"/>
      <c r="AR160" s="909"/>
      <c r="AS160" s="909"/>
    </row>
    <row r="161" spans="2:45" s="422" customFormat="1" ht="30.75" outlineLevel="1" thickBot="1" x14ac:dyDescent="0.3">
      <c r="B161" s="514"/>
      <c r="C161" s="1572"/>
      <c r="D161" s="890" t="s">
        <v>528</v>
      </c>
      <c r="E161" s="890" t="s">
        <v>818</v>
      </c>
      <c r="F161" s="1590">
        <v>4.2926829268292686</v>
      </c>
      <c r="G161" s="1588" t="s">
        <v>1789</v>
      </c>
      <c r="H161" s="938">
        <v>2</v>
      </c>
      <c r="I161" s="890" t="s">
        <v>1839</v>
      </c>
      <c r="J161" s="807"/>
      <c r="K161" s="514"/>
      <c r="L161" s="514"/>
      <c r="M161" s="485"/>
      <c r="N161" s="485"/>
      <c r="O161" s="514"/>
      <c r="P161" s="514"/>
      <c r="Q161" s="514"/>
      <c r="R161" s="514"/>
      <c r="S161" s="514"/>
      <c r="T161" s="514"/>
      <c r="U161" s="514"/>
      <c r="V161" s="428" t="s">
        <v>528</v>
      </c>
      <c r="W161" s="443">
        <v>4.3185840707964598</v>
      </c>
      <c r="X161" s="484">
        <v>4.2926829268292686</v>
      </c>
      <c r="Y161" s="483"/>
      <c r="Z161" s="483"/>
      <c r="AA161" s="483"/>
      <c r="AB161" s="483"/>
      <c r="AC161" s="483"/>
      <c r="AD161" s="483"/>
      <c r="AE161" s="483"/>
      <c r="AF161" s="483"/>
      <c r="AG161" s="483"/>
      <c r="AI161" s="901" t="s">
        <v>742</v>
      </c>
      <c r="AJ161" s="454">
        <v>2</v>
      </c>
      <c r="AK161" s="909"/>
      <c r="AL161" s="909"/>
      <c r="AM161" s="909"/>
      <c r="AN161" s="909"/>
      <c r="AO161" s="909"/>
      <c r="AP161" s="909"/>
      <c r="AQ161" s="909"/>
      <c r="AR161" s="909"/>
      <c r="AS161" s="909"/>
    </row>
    <row r="162" spans="2:45" s="422" customFormat="1" ht="60" outlineLevel="1" x14ac:dyDescent="0.25">
      <c r="B162" s="514"/>
      <c r="C162" s="1572"/>
      <c r="D162" s="890" t="s">
        <v>819</v>
      </c>
      <c r="E162" s="890" t="s">
        <v>820</v>
      </c>
      <c r="F162" s="1039">
        <v>0.6</v>
      </c>
      <c r="G162" s="890" t="s">
        <v>821</v>
      </c>
      <c r="H162" s="52">
        <v>0.6</v>
      </c>
      <c r="I162" s="890" t="s">
        <v>1839</v>
      </c>
      <c r="J162" s="807"/>
      <c r="K162" s="514"/>
      <c r="L162" s="514"/>
      <c r="M162" s="449"/>
      <c r="N162" s="449"/>
      <c r="O162" s="514"/>
      <c r="P162" s="514"/>
      <c r="Q162" s="514"/>
      <c r="R162" s="514"/>
      <c r="S162" s="514"/>
      <c r="T162" s="514"/>
      <c r="U162" s="514"/>
      <c r="V162" s="428" t="s">
        <v>819</v>
      </c>
      <c r="W162" s="444">
        <v>0.6</v>
      </c>
      <c r="X162" s="444">
        <v>0.6</v>
      </c>
      <c r="Y162" s="483"/>
      <c r="Z162" s="483"/>
      <c r="AA162" s="483"/>
      <c r="AB162" s="483"/>
      <c r="AC162" s="483"/>
      <c r="AD162" s="483"/>
      <c r="AE162" s="483"/>
      <c r="AF162" s="483"/>
      <c r="AG162" s="483"/>
      <c r="AI162" s="901" t="s">
        <v>742</v>
      </c>
      <c r="AJ162" s="1152">
        <v>0.6</v>
      </c>
      <c r="AK162" s="116"/>
      <c r="AL162" s="116"/>
      <c r="AM162" s="116"/>
      <c r="AN162" s="116"/>
      <c r="AO162" s="116"/>
      <c r="AP162" s="116"/>
      <c r="AQ162" s="116"/>
      <c r="AR162" s="116"/>
      <c r="AS162" s="116"/>
    </row>
    <row r="163" spans="2:45" s="422" customFormat="1" outlineLevel="1" x14ac:dyDescent="0.25">
      <c r="B163" s="514"/>
      <c r="C163" s="1572"/>
      <c r="D163" s="890">
        <v>365.25</v>
      </c>
      <c r="E163" s="890" t="s">
        <v>822</v>
      </c>
      <c r="F163" s="1589">
        <v>365</v>
      </c>
      <c r="G163" s="890" t="s">
        <v>760</v>
      </c>
      <c r="H163" s="1479">
        <v>365</v>
      </c>
      <c r="I163" s="890" t="s">
        <v>1839</v>
      </c>
      <c r="J163" s="807"/>
      <c r="K163" s="514"/>
      <c r="L163" s="514"/>
      <c r="M163" s="449"/>
      <c r="N163" s="449"/>
      <c r="O163" s="514"/>
      <c r="P163" s="514"/>
      <c r="Q163" s="514"/>
      <c r="R163" s="514"/>
      <c r="S163" s="514"/>
      <c r="T163" s="514"/>
      <c r="U163" s="514"/>
      <c r="V163" s="428">
        <v>365.25</v>
      </c>
      <c r="W163" s="444">
        <v>365</v>
      </c>
      <c r="X163" s="482">
        <v>365</v>
      </c>
      <c r="Y163" s="483"/>
      <c r="Z163" s="483"/>
      <c r="AA163" s="483"/>
      <c r="AB163" s="483"/>
      <c r="AC163" s="483"/>
      <c r="AD163" s="483"/>
      <c r="AE163" s="483"/>
      <c r="AF163" s="483"/>
      <c r="AG163" s="483"/>
      <c r="AI163" s="901" t="s">
        <v>742</v>
      </c>
      <c r="AJ163" s="1153">
        <v>365</v>
      </c>
      <c r="AK163" s="116"/>
      <c r="AL163" s="116"/>
      <c r="AM163" s="116"/>
      <c r="AN163" s="116"/>
      <c r="AO163" s="116"/>
      <c r="AP163" s="116"/>
      <c r="AQ163" s="116"/>
      <c r="AR163" s="116"/>
      <c r="AS163" s="116"/>
    </row>
    <row r="164" spans="2:45" s="422" customFormat="1" ht="43.5" customHeight="1" outlineLevel="1" thickBot="1" x14ac:dyDescent="0.3">
      <c r="B164" s="514"/>
      <c r="C164" s="1572"/>
      <c r="D164" s="890" t="s">
        <v>823</v>
      </c>
      <c r="E164" s="890" t="s">
        <v>824</v>
      </c>
      <c r="F164" s="1590">
        <v>2.0048076923076925</v>
      </c>
      <c r="G164" s="1588" t="s">
        <v>1789</v>
      </c>
      <c r="H164" s="1591">
        <v>1.22</v>
      </c>
      <c r="I164" s="1583" t="s">
        <v>1839</v>
      </c>
      <c r="J164" s="807"/>
      <c r="K164" s="514"/>
      <c r="L164" s="514"/>
      <c r="M164" s="485"/>
      <c r="N164" s="485"/>
      <c r="O164" s="514"/>
      <c r="P164" s="514"/>
      <c r="Q164" s="514"/>
      <c r="R164" s="514"/>
      <c r="S164" s="514"/>
      <c r="T164" s="514"/>
      <c r="U164" s="514"/>
      <c r="V164" s="428" t="s">
        <v>823</v>
      </c>
      <c r="W164" s="443">
        <v>2.0647058823529409</v>
      </c>
      <c r="X164" s="484">
        <v>2.0048076923076925</v>
      </c>
      <c r="Y164" s="483"/>
      <c r="Z164" s="483"/>
      <c r="AA164" s="483"/>
      <c r="AB164" s="483"/>
      <c r="AC164" s="483"/>
      <c r="AD164" s="483"/>
      <c r="AE164" s="483"/>
      <c r="AF164" s="483"/>
      <c r="AG164" s="483"/>
      <c r="AI164" s="901" t="s">
        <v>742</v>
      </c>
      <c r="AJ164" s="1160">
        <v>1.22</v>
      </c>
      <c r="AK164" s="1164"/>
      <c r="AL164" s="1164"/>
      <c r="AM164" s="1164"/>
      <c r="AN164" s="1164"/>
      <c r="AO164" s="1164"/>
      <c r="AP164" s="1164"/>
      <c r="AQ164" s="1164"/>
      <c r="AR164" s="1164"/>
      <c r="AS164" s="1164"/>
    </row>
    <row r="165" spans="2:45" s="422" customFormat="1" outlineLevel="1" x14ac:dyDescent="0.25">
      <c r="B165" s="514"/>
      <c r="C165" s="1572"/>
      <c r="D165" s="890">
        <v>8.33</v>
      </c>
      <c r="E165" s="906" t="s">
        <v>793</v>
      </c>
      <c r="F165" s="1589">
        <v>8.33</v>
      </c>
      <c r="G165" s="906" t="s">
        <v>794</v>
      </c>
      <c r="H165" s="1039">
        <v>8.33</v>
      </c>
      <c r="I165" s="906"/>
      <c r="J165" s="807"/>
      <c r="K165" s="514"/>
      <c r="L165" s="514"/>
      <c r="M165" s="449"/>
      <c r="N165" s="449"/>
      <c r="O165" s="514"/>
      <c r="P165" s="514"/>
      <c r="Q165" s="514"/>
      <c r="R165" s="514"/>
      <c r="S165" s="514"/>
      <c r="T165" s="514"/>
      <c r="U165" s="514"/>
      <c r="V165" s="428">
        <v>8.33</v>
      </c>
      <c r="W165" s="444">
        <v>8.33</v>
      </c>
      <c r="X165" s="482">
        <v>8.33</v>
      </c>
      <c r="Y165" s="483"/>
      <c r="Z165" s="483"/>
      <c r="AA165" s="483"/>
      <c r="AB165" s="483"/>
      <c r="AC165" s="483"/>
      <c r="AD165" s="483"/>
      <c r="AE165" s="483"/>
      <c r="AF165" s="483"/>
      <c r="AG165" s="483"/>
      <c r="AI165" s="901" t="s">
        <v>742</v>
      </c>
      <c r="AJ165" s="909">
        <v>8.33</v>
      </c>
      <c r="AK165" s="116"/>
      <c r="AL165" s="116"/>
      <c r="AM165" s="116"/>
      <c r="AN165" s="116"/>
      <c r="AO165" s="116"/>
      <c r="AP165" s="116"/>
      <c r="AQ165" s="116"/>
      <c r="AR165" s="116"/>
      <c r="AS165" s="116"/>
    </row>
    <row r="166" spans="2:45" s="422" customFormat="1" outlineLevel="1" x14ac:dyDescent="0.25">
      <c r="B166" s="514"/>
      <c r="C166" s="1572"/>
      <c r="D166" s="890">
        <v>1</v>
      </c>
      <c r="E166" s="890" t="s">
        <v>795</v>
      </c>
      <c r="F166" s="1589">
        <v>1</v>
      </c>
      <c r="G166" s="890" t="s">
        <v>796</v>
      </c>
      <c r="H166" s="1039">
        <v>1</v>
      </c>
      <c r="I166" s="890"/>
      <c r="J166" s="807"/>
      <c r="K166" s="514"/>
      <c r="L166" s="514"/>
      <c r="M166" s="449"/>
      <c r="N166" s="449"/>
      <c r="O166" s="514"/>
      <c r="P166" s="514"/>
      <c r="Q166" s="514"/>
      <c r="R166" s="514"/>
      <c r="S166" s="514"/>
      <c r="T166" s="514"/>
      <c r="U166" s="514"/>
      <c r="V166" s="428">
        <v>1</v>
      </c>
      <c r="W166" s="444">
        <v>1</v>
      </c>
      <c r="X166" s="482">
        <v>1</v>
      </c>
      <c r="Y166" s="483"/>
      <c r="Z166" s="483"/>
      <c r="AA166" s="483"/>
      <c r="AB166" s="483"/>
      <c r="AC166" s="483"/>
      <c r="AD166" s="483"/>
      <c r="AE166" s="483"/>
      <c r="AF166" s="483"/>
      <c r="AG166" s="483"/>
      <c r="AI166" s="901" t="s">
        <v>742</v>
      </c>
      <c r="AJ166" s="909">
        <v>1</v>
      </c>
      <c r="AK166" s="1165"/>
      <c r="AL166" s="1165"/>
      <c r="AM166" s="1165"/>
      <c r="AN166" s="1165"/>
      <c r="AO166" s="1165"/>
      <c r="AP166" s="1165"/>
      <c r="AQ166" s="1165"/>
      <c r="AR166" s="1165"/>
      <c r="AS166" s="1165"/>
    </row>
    <row r="167" spans="2:45" s="422" customFormat="1" ht="105" outlineLevel="1" x14ac:dyDescent="0.25">
      <c r="B167" s="514"/>
      <c r="C167" s="1572"/>
      <c r="D167" s="890" t="s">
        <v>825</v>
      </c>
      <c r="E167" s="890" t="s">
        <v>826</v>
      </c>
      <c r="F167" s="1039">
        <v>105</v>
      </c>
      <c r="G167" s="890" t="s">
        <v>827</v>
      </c>
      <c r="H167" s="123">
        <v>105</v>
      </c>
      <c r="I167" s="890" t="s">
        <v>1839</v>
      </c>
      <c r="J167" s="807"/>
      <c r="K167" s="514"/>
      <c r="L167" s="514"/>
      <c r="M167" s="449"/>
      <c r="N167" s="449"/>
      <c r="O167" s="514"/>
      <c r="P167" s="514"/>
      <c r="Q167" s="514"/>
      <c r="R167" s="514"/>
      <c r="S167" s="514"/>
      <c r="T167" s="514"/>
      <c r="U167" s="514"/>
      <c r="V167" s="428" t="s">
        <v>825</v>
      </c>
      <c r="W167" s="444">
        <v>105</v>
      </c>
      <c r="X167" s="444">
        <v>105</v>
      </c>
      <c r="Y167" s="483"/>
      <c r="Z167" s="483"/>
      <c r="AA167" s="483"/>
      <c r="AB167" s="483"/>
      <c r="AC167" s="483"/>
      <c r="AD167" s="483"/>
      <c r="AE167" s="483"/>
      <c r="AF167" s="483"/>
      <c r="AG167" s="483"/>
      <c r="AI167" s="901" t="s">
        <v>742</v>
      </c>
      <c r="AJ167" s="1154">
        <v>105</v>
      </c>
      <c r="AK167" s="116"/>
      <c r="AL167" s="116"/>
      <c r="AM167" s="116"/>
      <c r="AN167" s="116"/>
      <c r="AO167" s="116"/>
      <c r="AP167" s="116"/>
      <c r="AQ167" s="116"/>
      <c r="AR167" s="116"/>
      <c r="AS167" s="116"/>
    </row>
    <row r="168" spans="2:45" s="422" customFormat="1" ht="60" outlineLevel="1" x14ac:dyDescent="0.25">
      <c r="B168" s="514"/>
      <c r="C168" s="1572"/>
      <c r="D168" s="890" t="s">
        <v>800</v>
      </c>
      <c r="E168" s="890" t="s">
        <v>801</v>
      </c>
      <c r="F168" s="1039">
        <v>61.3</v>
      </c>
      <c r="G168" s="890" t="s">
        <v>802</v>
      </c>
      <c r="H168" s="500">
        <v>61.3</v>
      </c>
      <c r="I168" s="906" t="s">
        <v>1839</v>
      </c>
      <c r="J168" s="807"/>
      <c r="K168" s="514"/>
      <c r="L168" s="514"/>
      <c r="M168" s="449"/>
      <c r="N168" s="449"/>
      <c r="O168" s="514"/>
      <c r="P168" s="514"/>
      <c r="Q168" s="514"/>
      <c r="R168" s="514"/>
      <c r="S168" s="514"/>
      <c r="T168" s="514"/>
      <c r="U168" s="514"/>
      <c r="V168" s="428" t="s">
        <v>800</v>
      </c>
      <c r="W168" s="444">
        <v>61.3</v>
      </c>
      <c r="X168" s="444">
        <v>61.3</v>
      </c>
      <c r="Y168" s="483"/>
      <c r="Z168" s="483"/>
      <c r="AA168" s="483"/>
      <c r="AB168" s="483"/>
      <c r="AC168" s="483"/>
      <c r="AD168" s="483"/>
      <c r="AE168" s="483"/>
      <c r="AF168" s="483"/>
      <c r="AG168" s="483"/>
      <c r="AI168" s="901" t="s">
        <v>742</v>
      </c>
      <c r="AJ168" s="1155">
        <v>61.3</v>
      </c>
      <c r="AK168" s="116"/>
      <c r="AL168" s="116"/>
      <c r="AM168" s="116"/>
      <c r="AN168" s="116"/>
      <c r="AO168" s="116"/>
      <c r="AP168" s="116"/>
      <c r="AQ168" s="116"/>
      <c r="AR168" s="116"/>
      <c r="AS168" s="116"/>
    </row>
    <row r="169" spans="2:45" s="422" customFormat="1" ht="75" outlineLevel="1" x14ac:dyDescent="0.25">
      <c r="B169" s="514"/>
      <c r="C169" s="1572"/>
      <c r="D169" s="890" t="s">
        <v>803</v>
      </c>
      <c r="E169" s="890" t="s">
        <v>804</v>
      </c>
      <c r="F169" s="1039">
        <v>0.98</v>
      </c>
      <c r="G169" s="906" t="s">
        <v>805</v>
      </c>
      <c r="H169" s="1039">
        <v>0.98</v>
      </c>
      <c r="I169" s="906" t="s">
        <v>1839</v>
      </c>
      <c r="J169" s="807"/>
      <c r="K169" s="514"/>
      <c r="L169" s="514"/>
      <c r="M169" s="449"/>
      <c r="N169" s="449"/>
      <c r="O169" s="514"/>
      <c r="P169" s="514"/>
      <c r="Q169" s="514"/>
      <c r="R169" s="514"/>
      <c r="S169" s="514"/>
      <c r="T169" s="514"/>
      <c r="U169" s="514"/>
      <c r="V169" s="428" t="s">
        <v>803</v>
      </c>
      <c r="W169" s="444">
        <v>0.98</v>
      </c>
      <c r="X169" s="444">
        <v>0.98</v>
      </c>
      <c r="Y169" s="483"/>
      <c r="Z169" s="483"/>
      <c r="AA169" s="483"/>
      <c r="AB169" s="483"/>
      <c r="AC169" s="483"/>
      <c r="AD169" s="483"/>
      <c r="AE169" s="483"/>
      <c r="AF169" s="483"/>
      <c r="AG169" s="483"/>
      <c r="AI169" s="901" t="s">
        <v>742</v>
      </c>
      <c r="AJ169" s="909">
        <v>0.98</v>
      </c>
      <c r="AK169" s="116"/>
      <c r="AL169" s="116"/>
      <c r="AM169" s="116"/>
      <c r="AN169" s="116"/>
      <c r="AO169" s="116"/>
      <c r="AP169" s="116"/>
      <c r="AQ169" s="116"/>
      <c r="AR169" s="116"/>
      <c r="AS169" s="116"/>
    </row>
    <row r="170" spans="2:45" s="422" customFormat="1" ht="30" outlineLevel="1" x14ac:dyDescent="0.25">
      <c r="B170" s="514"/>
      <c r="C170" s="1572"/>
      <c r="D170" s="890">
        <v>3412</v>
      </c>
      <c r="E170" s="906" t="s">
        <v>806</v>
      </c>
      <c r="F170" s="462">
        <v>3412</v>
      </c>
      <c r="G170" s="906" t="s">
        <v>546</v>
      </c>
      <c r="H170" s="462">
        <v>3412</v>
      </c>
      <c r="I170" s="906" t="s">
        <v>1839</v>
      </c>
      <c r="J170" s="807"/>
      <c r="K170" s="514"/>
      <c r="L170" s="514"/>
      <c r="M170" s="486"/>
      <c r="N170" s="486"/>
      <c r="O170" s="514"/>
      <c r="P170" s="514"/>
      <c r="Q170" s="514"/>
      <c r="R170" s="514"/>
      <c r="S170" s="514"/>
      <c r="T170" s="514"/>
      <c r="U170" s="514"/>
      <c r="V170" s="428">
        <v>3412</v>
      </c>
      <c r="W170" s="476">
        <v>3412</v>
      </c>
      <c r="X170" s="476">
        <v>3412</v>
      </c>
      <c r="Y170" s="483"/>
      <c r="Z170" s="483"/>
      <c r="AA170" s="483"/>
      <c r="AB170" s="483"/>
      <c r="AC170" s="483"/>
      <c r="AD170" s="483"/>
      <c r="AE170" s="483"/>
      <c r="AF170" s="483"/>
      <c r="AG170" s="483"/>
      <c r="AI170" s="901" t="s">
        <v>742</v>
      </c>
      <c r="AJ170" s="1156">
        <v>3412</v>
      </c>
      <c r="AK170" s="1166"/>
      <c r="AL170" s="1166"/>
      <c r="AM170" s="1166"/>
      <c r="AN170" s="1166"/>
      <c r="AO170" s="1166"/>
      <c r="AP170" s="1166"/>
      <c r="AQ170" s="1166"/>
      <c r="AR170" s="1166"/>
      <c r="AS170" s="1166"/>
    </row>
    <row r="171" spans="2:45" s="422" customFormat="1" ht="40.5" customHeight="1" outlineLevel="1" x14ac:dyDescent="0.25">
      <c r="B171" s="514"/>
      <c r="C171" s="1572"/>
      <c r="D171" s="890" t="s">
        <v>736</v>
      </c>
      <c r="E171" s="890" t="s">
        <v>769</v>
      </c>
      <c r="F171" s="1592">
        <v>0.89859999999999995</v>
      </c>
      <c r="G171" s="1150" t="s">
        <v>1789</v>
      </c>
      <c r="H171" s="1593">
        <v>1</v>
      </c>
      <c r="I171" s="906" t="s">
        <v>1839</v>
      </c>
      <c r="J171" s="807"/>
      <c r="K171" s="514"/>
      <c r="L171" s="514"/>
      <c r="M171" s="480"/>
      <c r="N171" s="480"/>
      <c r="O171" s="514"/>
      <c r="P171" s="514"/>
      <c r="Q171" s="514"/>
      <c r="R171" s="514"/>
      <c r="S171" s="514"/>
      <c r="T171" s="514"/>
      <c r="U171" s="514"/>
      <c r="V171" s="428" t="s">
        <v>736</v>
      </c>
      <c r="W171" s="467">
        <v>0.86</v>
      </c>
      <c r="X171" s="487">
        <v>0.89859999999999995</v>
      </c>
      <c r="Y171" s="483"/>
      <c r="Z171" s="483"/>
      <c r="AA171" s="483"/>
      <c r="AB171" s="483"/>
      <c r="AC171" s="483"/>
      <c r="AD171" s="483"/>
      <c r="AE171" s="483"/>
      <c r="AF171" s="483"/>
      <c r="AG171" s="483"/>
      <c r="AI171" s="901" t="s">
        <v>742</v>
      </c>
      <c r="AJ171" s="901">
        <v>1</v>
      </c>
      <c r="AK171" s="1167"/>
      <c r="AL171" s="1167"/>
      <c r="AM171" s="1167"/>
      <c r="AN171" s="1167"/>
      <c r="AO171" s="1167"/>
      <c r="AP171" s="1167"/>
      <c r="AQ171" s="1167"/>
      <c r="AR171" s="1167"/>
      <c r="AS171" s="1167"/>
    </row>
    <row r="172" spans="2:45" s="422" customFormat="1" ht="31.5" customHeight="1" outlineLevel="1" x14ac:dyDescent="0.25">
      <c r="B172" s="514"/>
      <c r="C172" s="1572"/>
      <c r="D172" s="890" t="s">
        <v>58</v>
      </c>
      <c r="E172" s="890" t="s">
        <v>574</v>
      </c>
      <c r="F172" s="1592">
        <v>0.5672268907563025</v>
      </c>
      <c r="G172" s="1150" t="s">
        <v>1789</v>
      </c>
      <c r="H172" s="1593">
        <v>1</v>
      </c>
      <c r="I172" s="906" t="s">
        <v>1839</v>
      </c>
      <c r="J172" s="807"/>
      <c r="K172" s="514"/>
      <c r="L172" s="514"/>
      <c r="M172" s="480"/>
      <c r="N172" s="480"/>
      <c r="O172" s="514"/>
      <c r="P172" s="514"/>
      <c r="Q172" s="514"/>
      <c r="R172" s="514"/>
      <c r="S172" s="514"/>
      <c r="T172" s="514"/>
      <c r="U172" s="514"/>
      <c r="V172" s="428" t="s">
        <v>58</v>
      </c>
      <c r="W172" s="467">
        <v>0.64716066481994461</v>
      </c>
      <c r="X172" s="487">
        <v>0.5672268907563025</v>
      </c>
      <c r="Y172" s="52"/>
      <c r="Z172" s="52"/>
      <c r="AA172" s="52"/>
      <c r="AB172" s="52"/>
      <c r="AC172" s="52"/>
      <c r="AD172" s="52"/>
      <c r="AE172" s="52"/>
      <c r="AF172" s="52"/>
      <c r="AG172" s="52"/>
      <c r="AI172" s="901" t="s">
        <v>742</v>
      </c>
      <c r="AJ172" s="901">
        <v>1</v>
      </c>
      <c r="AK172" s="1167"/>
      <c r="AL172" s="1167"/>
      <c r="AM172" s="1167"/>
      <c r="AN172" s="1167"/>
      <c r="AO172" s="1167"/>
      <c r="AP172" s="1167"/>
      <c r="AQ172" s="1167"/>
      <c r="AR172" s="1167"/>
      <c r="AS172" s="1167"/>
    </row>
    <row r="173" spans="2:45" outlineLevel="1" x14ac:dyDescent="0.25">
      <c r="B173" s="1087"/>
      <c r="C173" s="1434"/>
      <c r="D173" s="899" t="s">
        <v>738</v>
      </c>
      <c r="E173" s="899" t="s">
        <v>504</v>
      </c>
      <c r="F173" s="525">
        <v>10</v>
      </c>
      <c r="G173" s="914"/>
      <c r="H173" s="525">
        <v>10</v>
      </c>
      <c r="I173" s="525"/>
      <c r="J173" s="807"/>
      <c r="K173" s="514"/>
      <c r="L173" s="904"/>
      <c r="M173" s="1452"/>
      <c r="N173" s="904"/>
      <c r="O173" s="904"/>
      <c r="P173" s="904"/>
      <c r="Q173" s="904"/>
      <c r="V173" s="158" t="s">
        <v>738</v>
      </c>
      <c r="W173" s="406">
        <v>10</v>
      </c>
      <c r="X173" s="406">
        <v>10</v>
      </c>
      <c r="Y173" s="406"/>
      <c r="Z173" s="406"/>
      <c r="AA173" s="406"/>
      <c r="AB173" s="406"/>
      <c r="AC173" s="406"/>
      <c r="AD173" s="406"/>
      <c r="AE173" s="406"/>
      <c r="AF173" s="406"/>
      <c r="AG173" s="406"/>
      <c r="AI173" s="901" t="s">
        <v>742</v>
      </c>
      <c r="AJ173" s="1157">
        <v>10</v>
      </c>
      <c r="AK173" s="848"/>
      <c r="AL173" s="848"/>
      <c r="AM173" s="848"/>
      <c r="AN173" s="848"/>
      <c r="AO173" s="848"/>
      <c r="AP173" s="848"/>
      <c r="AQ173" s="848"/>
      <c r="AR173" s="848"/>
      <c r="AS173" s="848"/>
    </row>
    <row r="174" spans="2:45" outlineLevel="1" x14ac:dyDescent="0.25">
      <c r="B174" s="1087"/>
      <c r="C174" s="1434"/>
      <c r="D174" s="407" t="s">
        <v>24</v>
      </c>
      <c r="E174" s="899" t="s">
        <v>506</v>
      </c>
      <c r="F174" s="526">
        <v>7</v>
      </c>
      <c r="G174" s="890"/>
      <c r="H174" s="526">
        <v>7</v>
      </c>
      <c r="I174" s="526"/>
      <c r="J174" s="807"/>
      <c r="K174" s="514"/>
      <c r="L174" s="904"/>
      <c r="M174" s="1452"/>
      <c r="N174" s="904"/>
      <c r="O174" s="904"/>
      <c r="P174" s="904"/>
      <c r="Q174" s="904"/>
      <c r="V174" s="162" t="s">
        <v>24</v>
      </c>
      <c r="W174" s="408">
        <v>7</v>
      </c>
      <c r="X174" s="408">
        <v>7</v>
      </c>
      <c r="Y174" s="409"/>
      <c r="Z174" s="409"/>
      <c r="AA174" s="409"/>
      <c r="AB174" s="409"/>
      <c r="AC174" s="409"/>
      <c r="AD174" s="409"/>
      <c r="AE174" s="409"/>
      <c r="AF174" s="409"/>
      <c r="AG174" s="409"/>
      <c r="AI174" s="901" t="s">
        <v>742</v>
      </c>
      <c r="AJ174" s="1158">
        <v>7</v>
      </c>
      <c r="AK174" s="1168"/>
      <c r="AL174" s="1168"/>
      <c r="AM174" s="1168"/>
      <c r="AN174" s="1168"/>
      <c r="AO174" s="1168"/>
      <c r="AP174" s="1168"/>
      <c r="AQ174" s="1168"/>
      <c r="AR174" s="1168"/>
      <c r="AS174" s="1168"/>
    </row>
    <row r="177" spans="2:45" s="165" customFormat="1" x14ac:dyDescent="0.25">
      <c r="B177" s="2022" t="s">
        <v>828</v>
      </c>
      <c r="C177" s="2023"/>
      <c r="D177" s="2023"/>
      <c r="E177" s="2023"/>
      <c r="F177" s="2023"/>
      <c r="G177" s="2023"/>
      <c r="H177" s="2023"/>
      <c r="I177" s="1992"/>
      <c r="J177" s="1992"/>
      <c r="K177" s="1992"/>
      <c r="L177" s="1992"/>
      <c r="M177" s="1992"/>
      <c r="N177" s="1993"/>
      <c r="V177" s="2022" t="str">
        <f>B177</f>
        <v>Pipe Insulation</v>
      </c>
      <c r="W177" s="2023"/>
      <c r="X177" s="2023"/>
      <c r="Y177" s="2023"/>
      <c r="Z177" s="2023"/>
      <c r="AA177" s="2023"/>
      <c r="AB177" s="2023"/>
      <c r="AC177" s="2024"/>
      <c r="AD177" s="2024"/>
      <c r="AE177" s="2024"/>
      <c r="AF177" s="2024"/>
      <c r="AG177" s="2024"/>
      <c r="AH177" s="2025"/>
    </row>
    <row r="178" spans="2:45" ht="18" customHeight="1" x14ac:dyDescent="0.25"/>
    <row r="179" spans="2:45" ht="45" x14ac:dyDescent="0.25">
      <c r="C179" s="184" t="s">
        <v>16</v>
      </c>
      <c r="D179" s="184" t="s">
        <v>509</v>
      </c>
      <c r="E179" s="184" t="s">
        <v>18</v>
      </c>
      <c r="F179" s="184" t="s">
        <v>19</v>
      </c>
      <c r="G179" s="184" t="s">
        <v>20</v>
      </c>
      <c r="H179" s="184" t="s">
        <v>21</v>
      </c>
      <c r="I179" s="184" t="s">
        <v>22</v>
      </c>
      <c r="J179" s="184" t="s">
        <v>23</v>
      </c>
      <c r="K179" s="184" t="s">
        <v>24</v>
      </c>
      <c r="L179" s="184" t="s">
        <v>25</v>
      </c>
      <c r="P179" s="1594"/>
      <c r="Q179" s="1594"/>
      <c r="V179" s="48" t="s">
        <v>26</v>
      </c>
      <c r="W179" s="49">
        <f>$W$6</f>
        <v>43252</v>
      </c>
      <c r="X179" s="49">
        <f>$X$6</f>
        <v>43465</v>
      </c>
      <c r="Y179" s="49" t="str">
        <f>$Y$6</f>
        <v>-</v>
      </c>
      <c r="Z179" s="49" t="str">
        <f>$Z$6</f>
        <v>-</v>
      </c>
      <c r="AA179" s="49" t="str">
        <f>$AA$6</f>
        <v>-</v>
      </c>
      <c r="AB179" s="49" t="str">
        <f>$AB$6</f>
        <v>-</v>
      </c>
      <c r="AC179" s="49" t="str">
        <f>$AC$6</f>
        <v>-</v>
      </c>
      <c r="AD179" s="49" t="str">
        <f>$AD$6</f>
        <v>-</v>
      </c>
      <c r="AE179" s="49" t="str">
        <f>$AE$6</f>
        <v>-</v>
      </c>
      <c r="AF179" s="49" t="str">
        <f>$AF$6</f>
        <v>-</v>
      </c>
      <c r="AG179" s="49" t="str">
        <f>$AG$6</f>
        <v>-</v>
      </c>
      <c r="AH179" s="447"/>
      <c r="AI179" s="447"/>
      <c r="AJ179" s="447"/>
      <c r="AK179" s="447"/>
      <c r="AL179" s="447"/>
      <c r="AM179" s="447"/>
      <c r="AN179" s="447"/>
      <c r="AO179" s="447"/>
      <c r="AP179" s="447"/>
      <c r="AQ179" s="447"/>
      <c r="AR179" s="447"/>
      <c r="AS179" s="447"/>
    </row>
    <row r="180" spans="2:45" x14ac:dyDescent="0.25">
      <c r="C180" s="414"/>
      <c r="D180" s="890" t="s">
        <v>726</v>
      </c>
      <c r="E180" s="890" t="s">
        <v>828</v>
      </c>
      <c r="F180" s="123">
        <f>((((F188/F189)-(F190/F191))*F192*F193*F194)/(F195*F196))*F197*F198*F199</f>
        <v>3.3686994747178916</v>
      </c>
      <c r="G180" s="1039" t="s">
        <v>513</v>
      </c>
      <c r="H180" s="418">
        <f>VLOOKUP(G180,'CP FACTORS'!$A$3:$B$38, 2, FALSE)</f>
        <v>8.8731800000000003E-5</v>
      </c>
      <c r="I180" s="1585">
        <f>F180*H180</f>
        <v>2.9891076805077304E-4</v>
      </c>
      <c r="J180" s="123">
        <f>F202</f>
        <v>12</v>
      </c>
      <c r="K180" s="471">
        <f>F203</f>
        <v>2.87</v>
      </c>
      <c r="L180" s="1595" t="s">
        <v>829</v>
      </c>
      <c r="M180" s="489"/>
      <c r="P180" s="165"/>
      <c r="Q180" s="477"/>
      <c r="R180" s="1413"/>
      <c r="S180" s="529"/>
      <c r="T180" s="1568"/>
      <c r="U180" s="1594"/>
      <c r="V180" s="176" t="str">
        <f>F179</f>
        <v>kWh Annual Savings</v>
      </c>
      <c r="W180" s="82">
        <v>10.441734565420308</v>
      </c>
      <c r="X180" s="1202">
        <v>3.3686994747178916</v>
      </c>
      <c r="Y180" s="176"/>
      <c r="Z180" s="176"/>
      <c r="AA180" s="176"/>
      <c r="AB180" s="176"/>
      <c r="AC180" s="176"/>
      <c r="AD180" s="176"/>
      <c r="AE180" s="176"/>
      <c r="AF180" s="176"/>
      <c r="AG180" s="176"/>
    </row>
    <row r="181" spans="2:45" x14ac:dyDescent="0.25">
      <c r="C181" s="414"/>
      <c r="D181" s="1555" t="s">
        <v>614</v>
      </c>
      <c r="E181" s="890" t="s">
        <v>828</v>
      </c>
      <c r="F181" s="123">
        <f>((((H188/H189)-(H190/H191))*H192*H193*H194)/(H195*H196))*H197*H198*H199</f>
        <v>16.471996316343358</v>
      </c>
      <c r="G181" s="1039" t="s">
        <v>513</v>
      </c>
      <c r="H181" s="418">
        <f>VLOOKUP(G181,'CP FACTORS'!$A$3:$B$38, 2, FALSE)</f>
        <v>8.8731800000000003E-5</v>
      </c>
      <c r="I181" s="1585">
        <f>F181*H181</f>
        <v>1.4615898827425155E-3</v>
      </c>
      <c r="J181" s="123">
        <f>H202</f>
        <v>0</v>
      </c>
      <c r="K181" s="471">
        <f>H203</f>
        <v>0</v>
      </c>
      <c r="L181" s="1595" t="s">
        <v>829</v>
      </c>
      <c r="M181" s="489"/>
      <c r="O181" s="251"/>
      <c r="P181" s="165"/>
      <c r="Q181" s="165"/>
      <c r="R181" s="1413"/>
      <c r="S181" s="529"/>
      <c r="T181" s="1594"/>
      <c r="U181" s="1594"/>
      <c r="V181" s="176" t="str">
        <f>V180</f>
        <v>kWh Annual Savings</v>
      </c>
      <c r="W181" s="82">
        <v>16.471996316343358</v>
      </c>
      <c r="X181" s="78">
        <v>16.471996316343358</v>
      </c>
      <c r="Y181" s="176"/>
      <c r="Z181" s="176"/>
      <c r="AA181" s="176"/>
      <c r="AB181" s="176"/>
      <c r="AC181" s="176"/>
      <c r="AD181" s="176"/>
      <c r="AE181" s="176"/>
      <c r="AF181" s="176"/>
      <c r="AG181" s="176"/>
    </row>
    <row r="182" spans="2:45" outlineLevel="1" x14ac:dyDescent="0.25">
      <c r="O182" s="251"/>
      <c r="P182" s="165"/>
      <c r="Q182" s="165"/>
    </row>
    <row r="183" spans="2:45" outlineLevel="1" x14ac:dyDescent="0.25">
      <c r="D183" s="1418" t="s">
        <v>463</v>
      </c>
      <c r="O183" s="1596"/>
      <c r="P183" s="1596"/>
      <c r="Q183" s="1596"/>
    </row>
    <row r="184" spans="2:45" outlineLevel="1" x14ac:dyDescent="0.25">
      <c r="O184" s="1596"/>
      <c r="P184" s="1596"/>
      <c r="Q184" s="1596"/>
    </row>
    <row r="185" spans="2:45" outlineLevel="1" x14ac:dyDescent="0.25">
      <c r="M185" s="503"/>
      <c r="N185" s="251"/>
      <c r="O185" s="251"/>
      <c r="P185" s="251"/>
      <c r="Q185" s="251"/>
    </row>
    <row r="186" spans="2:45" outlineLevel="1" x14ac:dyDescent="0.25">
      <c r="M186" s="503"/>
      <c r="N186" s="251"/>
      <c r="O186" s="251"/>
      <c r="P186" s="251"/>
      <c r="V186" s="490" t="s">
        <v>26</v>
      </c>
      <c r="W186" s="491">
        <f>$W$6</f>
        <v>43252</v>
      </c>
      <c r="X186" s="491">
        <f>$X$6</f>
        <v>43465</v>
      </c>
      <c r="Y186" s="491" t="str">
        <f>$Y$6</f>
        <v>-</v>
      </c>
      <c r="Z186" s="491" t="str">
        <f>$Z$6</f>
        <v>-</v>
      </c>
      <c r="AA186" s="491" t="str">
        <f>$AA$6</f>
        <v>-</v>
      </c>
      <c r="AB186" s="491" t="str">
        <f>$AB$6</f>
        <v>-</v>
      </c>
      <c r="AC186" s="491" t="str">
        <f>$AC$6</f>
        <v>-</v>
      </c>
      <c r="AD186" s="491" t="str">
        <f>$AD$6</f>
        <v>-</v>
      </c>
      <c r="AE186" s="491" t="str">
        <f>$AE$6</f>
        <v>-</v>
      </c>
      <c r="AF186" s="491" t="str">
        <f>$AF$6</f>
        <v>-</v>
      </c>
      <c r="AG186" s="491" t="str">
        <f>$AG$6</f>
        <v>-</v>
      </c>
      <c r="AH186" s="447"/>
      <c r="AI186" s="491">
        <f>$W$6</f>
        <v>43252</v>
      </c>
      <c r="AJ186" s="491">
        <f>$X$6</f>
        <v>43465</v>
      </c>
      <c r="AK186" s="491" t="str">
        <f>$Y$6</f>
        <v>-</v>
      </c>
      <c r="AL186" s="491" t="str">
        <f>$Z$6</f>
        <v>-</v>
      </c>
      <c r="AM186" s="491" t="str">
        <f>$AA$6</f>
        <v>-</v>
      </c>
      <c r="AN186" s="491" t="str">
        <f>$AB$6</f>
        <v>-</v>
      </c>
      <c r="AO186" s="491" t="str">
        <f>$AC$6</f>
        <v>-</v>
      </c>
      <c r="AP186" s="491" t="str">
        <f>$AD$6</f>
        <v>-</v>
      </c>
      <c r="AQ186" s="491" t="str">
        <f>$AE$6</f>
        <v>-</v>
      </c>
      <c r="AR186" s="491" t="str">
        <f>$AF$6</f>
        <v>-</v>
      </c>
      <c r="AS186" s="491" t="str">
        <f>$AG$6</f>
        <v>-</v>
      </c>
    </row>
    <row r="187" spans="2:45" ht="15" customHeight="1" outlineLevel="1" x14ac:dyDescent="0.25">
      <c r="D187" s="1098" t="s">
        <v>465</v>
      </c>
      <c r="E187" s="1098" t="s">
        <v>466</v>
      </c>
      <c r="F187" s="184" t="s">
        <v>746</v>
      </c>
      <c r="G187" s="184" t="s">
        <v>747</v>
      </c>
      <c r="H187" s="184" t="s">
        <v>748</v>
      </c>
      <c r="I187" s="184" t="s">
        <v>749</v>
      </c>
      <c r="J187" s="2075" t="s">
        <v>468</v>
      </c>
      <c r="K187" s="2081"/>
      <c r="L187" s="2076"/>
      <c r="M187" s="1597"/>
      <c r="N187" s="305"/>
      <c r="O187" s="251"/>
      <c r="P187" s="251"/>
      <c r="V187" s="492"/>
      <c r="W187" s="63" t="s">
        <v>746</v>
      </c>
      <c r="X187" s="63" t="s">
        <v>746</v>
      </c>
      <c r="Y187" s="63" t="s">
        <v>746</v>
      </c>
      <c r="Z187" s="63" t="s">
        <v>746</v>
      </c>
      <c r="AA187" s="63" t="s">
        <v>746</v>
      </c>
      <c r="AB187" s="63" t="s">
        <v>746</v>
      </c>
      <c r="AC187" s="63" t="s">
        <v>746</v>
      </c>
      <c r="AD187" s="63" t="s">
        <v>746</v>
      </c>
      <c r="AE187" s="63" t="s">
        <v>746</v>
      </c>
      <c r="AF187" s="63" t="s">
        <v>746</v>
      </c>
      <c r="AG187" s="63" t="s">
        <v>746</v>
      </c>
      <c r="AI187" s="63" t="s">
        <v>748</v>
      </c>
      <c r="AJ187" s="63" t="s">
        <v>748</v>
      </c>
      <c r="AK187" s="63" t="s">
        <v>748</v>
      </c>
      <c r="AL187" s="63" t="s">
        <v>748</v>
      </c>
      <c r="AM187" s="63" t="s">
        <v>748</v>
      </c>
      <c r="AN187" s="63" t="s">
        <v>748</v>
      </c>
      <c r="AO187" s="63" t="s">
        <v>748</v>
      </c>
      <c r="AP187" s="63" t="s">
        <v>748</v>
      </c>
      <c r="AQ187" s="63" t="s">
        <v>748</v>
      </c>
      <c r="AR187" s="63" t="s">
        <v>748</v>
      </c>
      <c r="AS187" s="63" t="s">
        <v>748</v>
      </c>
    </row>
    <row r="188" spans="2:45" ht="30" customHeight="1" outlineLevel="1" x14ac:dyDescent="0.25">
      <c r="D188" s="1598" t="s">
        <v>1878</v>
      </c>
      <c r="E188" s="321" t="s">
        <v>831</v>
      </c>
      <c r="F188" s="495">
        <f>(PI()*F200)/12</f>
        <v>0.19634954084936207</v>
      </c>
      <c r="G188" s="321"/>
      <c r="H188" s="495">
        <f>(PI()*H200)/12</f>
        <v>0.19634954084936207</v>
      </c>
      <c r="I188" s="321"/>
      <c r="J188" s="2082" t="s">
        <v>832</v>
      </c>
      <c r="K188" s="2082"/>
      <c r="L188" s="2082"/>
      <c r="M188" s="503"/>
      <c r="N188" s="251"/>
      <c r="O188" s="251"/>
      <c r="P188" s="251"/>
      <c r="V188" s="493" t="s">
        <v>830</v>
      </c>
      <c r="W188" s="494">
        <f>(PI()*W200)/12</f>
        <v>0.19634954084936207</v>
      </c>
      <c r="X188" s="494">
        <f>(PI()*X200)/12</f>
        <v>0.19634954084936207</v>
      </c>
      <c r="Y188" s="494" t="str">
        <f t="shared" ref="Y188:AG203" si="1">IF(Y$6="-","",X188)</f>
        <v/>
      </c>
      <c r="Z188" s="494" t="str">
        <f t="shared" si="1"/>
        <v/>
      </c>
      <c r="AA188" s="494" t="str">
        <f t="shared" si="1"/>
        <v/>
      </c>
      <c r="AB188" s="494" t="str">
        <f t="shared" si="1"/>
        <v/>
      </c>
      <c r="AC188" s="494" t="str">
        <f t="shared" si="1"/>
        <v/>
      </c>
      <c r="AD188" s="494" t="str">
        <f t="shared" si="1"/>
        <v/>
      </c>
      <c r="AE188" s="494" t="str">
        <f t="shared" si="1"/>
        <v/>
      </c>
      <c r="AF188" s="494" t="str">
        <f t="shared" si="1"/>
        <v/>
      </c>
      <c r="AG188" s="494" t="str">
        <f t="shared" si="1"/>
        <v/>
      </c>
      <c r="AI188" s="494">
        <f>(PI()*AI200)/12</f>
        <v>0.19634954084936207</v>
      </c>
      <c r="AJ188" s="494">
        <f>(PI()*AJ200)/12</f>
        <v>0.19634954084936207</v>
      </c>
      <c r="AK188" s="495"/>
      <c r="AL188" s="495"/>
      <c r="AM188" s="495"/>
      <c r="AN188" s="495"/>
      <c r="AO188" s="495"/>
      <c r="AP188" s="495"/>
      <c r="AQ188" s="495"/>
      <c r="AR188" s="495"/>
      <c r="AS188" s="495"/>
    </row>
    <row r="189" spans="2:45" ht="42" customHeight="1" outlineLevel="1" x14ac:dyDescent="0.25">
      <c r="D189" s="1598" t="s">
        <v>1879</v>
      </c>
      <c r="E189" s="321" t="s">
        <v>1880</v>
      </c>
      <c r="F189" s="160">
        <v>1</v>
      </c>
      <c r="G189" s="1599" t="s">
        <v>834</v>
      </c>
      <c r="H189" s="160">
        <v>1</v>
      </c>
      <c r="I189" s="321" t="s">
        <v>834</v>
      </c>
      <c r="J189" s="2083" t="s">
        <v>523</v>
      </c>
      <c r="K189" s="2083" t="s">
        <v>523</v>
      </c>
      <c r="L189" s="2083" t="s">
        <v>523</v>
      </c>
      <c r="M189" s="503"/>
      <c r="N189" s="251"/>
      <c r="O189" s="251"/>
      <c r="P189" s="251"/>
      <c r="V189" s="493" t="s">
        <v>833</v>
      </c>
      <c r="W189" s="160">
        <v>1</v>
      </c>
      <c r="X189" s="160">
        <v>1</v>
      </c>
      <c r="Y189" s="160" t="str">
        <f t="shared" si="1"/>
        <v/>
      </c>
      <c r="Z189" s="160" t="str">
        <f t="shared" si="1"/>
        <v/>
      </c>
      <c r="AA189" s="160" t="str">
        <f t="shared" si="1"/>
        <v/>
      </c>
      <c r="AB189" s="160" t="str">
        <f t="shared" si="1"/>
        <v/>
      </c>
      <c r="AC189" s="160" t="str">
        <f t="shared" si="1"/>
        <v/>
      </c>
      <c r="AD189" s="160" t="str">
        <f t="shared" si="1"/>
        <v/>
      </c>
      <c r="AE189" s="160" t="str">
        <f t="shared" si="1"/>
        <v/>
      </c>
      <c r="AF189" s="160" t="str">
        <f t="shared" si="1"/>
        <v/>
      </c>
      <c r="AG189" s="160" t="str">
        <f t="shared" si="1"/>
        <v/>
      </c>
      <c r="AI189" s="160">
        <v>1</v>
      </c>
      <c r="AJ189" s="160">
        <v>1</v>
      </c>
      <c r="AK189" s="160"/>
      <c r="AL189" s="160"/>
      <c r="AM189" s="160"/>
      <c r="AN189" s="160"/>
      <c r="AO189" s="160"/>
      <c r="AP189" s="160"/>
      <c r="AQ189" s="160"/>
      <c r="AR189" s="160"/>
      <c r="AS189" s="160"/>
    </row>
    <row r="190" spans="2:45" ht="60" customHeight="1" outlineLevel="1" x14ac:dyDescent="0.4">
      <c r="D190" s="437" t="s">
        <v>1881</v>
      </c>
      <c r="E190" s="890" t="s">
        <v>836</v>
      </c>
      <c r="F190" s="76">
        <f>(PI()*(F200+(F201*2))/12)</f>
        <v>0.45814892864851148</v>
      </c>
      <c r="G190" s="890" t="s">
        <v>837</v>
      </c>
      <c r="H190" s="76">
        <f>(PI()*(H200+(H201*2))/12)</f>
        <v>0.45814892864851148</v>
      </c>
      <c r="I190" s="890" t="s">
        <v>837</v>
      </c>
      <c r="J190" s="2080" t="s">
        <v>838</v>
      </c>
      <c r="K190" s="2080"/>
      <c r="L190" s="2080"/>
      <c r="M190" s="503"/>
      <c r="N190" s="251"/>
      <c r="O190" s="251"/>
      <c r="P190" s="251"/>
      <c r="V190" s="493" t="s">
        <v>835</v>
      </c>
      <c r="W190" s="496">
        <f>(PI()*(W200+(W201*2))/12)</f>
        <v>0.45814892864851148</v>
      </c>
      <c r="X190" s="496">
        <f>(PI()*(X200+(X201*2))/12)</f>
        <v>0.45814892864851148</v>
      </c>
      <c r="Y190" s="496" t="str">
        <f t="shared" si="1"/>
        <v/>
      </c>
      <c r="Z190" s="496" t="str">
        <f t="shared" si="1"/>
        <v/>
      </c>
      <c r="AA190" s="496" t="str">
        <f t="shared" si="1"/>
        <v/>
      </c>
      <c r="AB190" s="496" t="str">
        <f t="shared" si="1"/>
        <v/>
      </c>
      <c r="AC190" s="496" t="str">
        <f t="shared" si="1"/>
        <v/>
      </c>
      <c r="AD190" s="496" t="str">
        <f t="shared" si="1"/>
        <v/>
      </c>
      <c r="AE190" s="496" t="str">
        <f t="shared" si="1"/>
        <v/>
      </c>
      <c r="AF190" s="496" t="str">
        <f t="shared" si="1"/>
        <v/>
      </c>
      <c r="AG190" s="496" t="str">
        <f t="shared" si="1"/>
        <v/>
      </c>
      <c r="AI190" s="496">
        <f>(PI()*(AI200+(AI201*2))/12)</f>
        <v>0.45814892864851148</v>
      </c>
      <c r="AJ190" s="496">
        <f>(PI()*(AJ200+(AJ201*2))/12)</f>
        <v>0.45814892864851148</v>
      </c>
      <c r="AK190" s="497"/>
      <c r="AL190" s="497"/>
      <c r="AM190" s="497"/>
      <c r="AN190" s="497"/>
      <c r="AO190" s="497"/>
      <c r="AP190" s="497"/>
      <c r="AQ190" s="497"/>
      <c r="AR190" s="497"/>
      <c r="AS190" s="497"/>
    </row>
    <row r="191" spans="2:45" ht="30" customHeight="1" outlineLevel="1" x14ac:dyDescent="0.25">
      <c r="D191" s="437" t="s">
        <v>1882</v>
      </c>
      <c r="E191" s="890" t="s">
        <v>840</v>
      </c>
      <c r="F191" s="499">
        <f>4+1</f>
        <v>5</v>
      </c>
      <c r="G191" s="890" t="s">
        <v>837</v>
      </c>
      <c r="H191" s="499">
        <v>5</v>
      </c>
      <c r="I191" s="890" t="s">
        <v>837</v>
      </c>
      <c r="J191" s="2080" t="s">
        <v>841</v>
      </c>
      <c r="K191" s="2080"/>
      <c r="L191" s="2080"/>
      <c r="M191" s="503"/>
      <c r="N191" s="251"/>
      <c r="O191" s="251"/>
      <c r="P191" s="251"/>
      <c r="V191" s="493" t="s">
        <v>839</v>
      </c>
      <c r="W191" s="499">
        <f>4+1</f>
        <v>5</v>
      </c>
      <c r="X191" s="499">
        <f>4+1</f>
        <v>5</v>
      </c>
      <c r="Y191" s="499" t="str">
        <f t="shared" si="1"/>
        <v/>
      </c>
      <c r="Z191" s="499" t="str">
        <f t="shared" si="1"/>
        <v/>
      </c>
      <c r="AA191" s="499" t="str">
        <f t="shared" si="1"/>
        <v/>
      </c>
      <c r="AB191" s="499" t="str">
        <f t="shared" si="1"/>
        <v/>
      </c>
      <c r="AC191" s="499" t="str">
        <f t="shared" si="1"/>
        <v/>
      </c>
      <c r="AD191" s="499" t="str">
        <f t="shared" si="1"/>
        <v/>
      </c>
      <c r="AE191" s="499" t="str">
        <f t="shared" si="1"/>
        <v/>
      </c>
      <c r="AF191" s="499" t="str">
        <f t="shared" si="1"/>
        <v/>
      </c>
      <c r="AG191" s="499" t="str">
        <f t="shared" si="1"/>
        <v/>
      </c>
      <c r="AI191" s="499">
        <v>5</v>
      </c>
      <c r="AJ191" s="499">
        <v>5</v>
      </c>
      <c r="AK191" s="499"/>
      <c r="AL191" s="499"/>
      <c r="AM191" s="499"/>
      <c r="AN191" s="499"/>
      <c r="AO191" s="499"/>
      <c r="AP191" s="499"/>
      <c r="AQ191" s="499"/>
      <c r="AR191" s="499"/>
      <c r="AS191" s="499"/>
    </row>
    <row r="192" spans="2:45" ht="30" customHeight="1" outlineLevel="1" x14ac:dyDescent="0.25">
      <c r="D192" s="1561" t="s">
        <v>842</v>
      </c>
      <c r="E192" s="890" t="s">
        <v>843</v>
      </c>
      <c r="F192" s="502">
        <v>1</v>
      </c>
      <c r="G192" s="890" t="s">
        <v>844</v>
      </c>
      <c r="H192" s="502">
        <v>1</v>
      </c>
      <c r="I192" s="890" t="s">
        <v>844</v>
      </c>
      <c r="J192" s="2080" t="s">
        <v>523</v>
      </c>
      <c r="K192" s="2080" t="s">
        <v>523</v>
      </c>
      <c r="L192" s="2080" t="s">
        <v>523</v>
      </c>
      <c r="M192" s="503"/>
      <c r="N192" s="251"/>
      <c r="O192" s="251"/>
      <c r="P192" s="251"/>
      <c r="V192" s="501" t="s">
        <v>842</v>
      </c>
      <c r="W192" s="502">
        <v>1</v>
      </c>
      <c r="X192" s="502">
        <v>1</v>
      </c>
      <c r="Y192" s="502" t="str">
        <f t="shared" si="1"/>
        <v/>
      </c>
      <c r="Z192" s="502" t="str">
        <f t="shared" si="1"/>
        <v/>
      </c>
      <c r="AA192" s="502" t="str">
        <f t="shared" si="1"/>
        <v/>
      </c>
      <c r="AB192" s="502" t="str">
        <f t="shared" si="1"/>
        <v/>
      </c>
      <c r="AC192" s="502" t="str">
        <f t="shared" si="1"/>
        <v/>
      </c>
      <c r="AD192" s="502" t="str">
        <f t="shared" si="1"/>
        <v/>
      </c>
      <c r="AE192" s="502" t="str">
        <f t="shared" si="1"/>
        <v/>
      </c>
      <c r="AF192" s="502" t="str">
        <f t="shared" si="1"/>
        <v/>
      </c>
      <c r="AG192" s="502" t="str">
        <f t="shared" si="1"/>
        <v/>
      </c>
      <c r="AI192" s="502">
        <v>1</v>
      </c>
      <c r="AJ192" s="502">
        <v>1</v>
      </c>
      <c r="AK192" s="502"/>
      <c r="AL192" s="502"/>
      <c r="AM192" s="502"/>
      <c r="AN192" s="502"/>
      <c r="AO192" s="502"/>
      <c r="AP192" s="502"/>
      <c r="AQ192" s="502"/>
      <c r="AR192" s="502"/>
      <c r="AS192" s="502"/>
    </row>
    <row r="193" spans="2:45" ht="45" outlineLevel="1" x14ac:dyDescent="0.25">
      <c r="D193" s="437" t="s">
        <v>1470</v>
      </c>
      <c r="E193" s="890" t="s">
        <v>846</v>
      </c>
      <c r="F193" s="502">
        <v>60</v>
      </c>
      <c r="G193" s="890" t="s">
        <v>834</v>
      </c>
      <c r="H193" s="502">
        <v>60</v>
      </c>
      <c r="I193" s="890" t="s">
        <v>834</v>
      </c>
      <c r="J193" s="2080" t="s">
        <v>847</v>
      </c>
      <c r="K193" s="2080"/>
      <c r="L193" s="2080"/>
      <c r="M193" s="503"/>
      <c r="N193" s="251"/>
      <c r="O193" s="251"/>
      <c r="P193" s="251"/>
      <c r="V193" s="493" t="s">
        <v>845</v>
      </c>
      <c r="W193" s="502">
        <v>60</v>
      </c>
      <c r="X193" s="502">
        <v>60</v>
      </c>
      <c r="Y193" s="502" t="str">
        <f t="shared" si="1"/>
        <v/>
      </c>
      <c r="Z193" s="502" t="str">
        <f t="shared" si="1"/>
        <v/>
      </c>
      <c r="AA193" s="502" t="str">
        <f t="shared" si="1"/>
        <v/>
      </c>
      <c r="AB193" s="502" t="str">
        <f t="shared" si="1"/>
        <v/>
      </c>
      <c r="AC193" s="502" t="str">
        <f t="shared" si="1"/>
        <v/>
      </c>
      <c r="AD193" s="502" t="str">
        <f t="shared" si="1"/>
        <v/>
      </c>
      <c r="AE193" s="502" t="str">
        <f t="shared" si="1"/>
        <v/>
      </c>
      <c r="AF193" s="502" t="str">
        <f t="shared" si="1"/>
        <v/>
      </c>
      <c r="AG193" s="502" t="str">
        <f t="shared" si="1"/>
        <v/>
      </c>
      <c r="AI193" s="502">
        <v>60</v>
      </c>
      <c r="AJ193" s="502">
        <v>60</v>
      </c>
      <c r="AK193" s="502"/>
      <c r="AL193" s="502"/>
      <c r="AM193" s="502"/>
      <c r="AN193" s="502"/>
      <c r="AO193" s="502"/>
      <c r="AP193" s="502"/>
      <c r="AQ193" s="502"/>
      <c r="AR193" s="502"/>
      <c r="AS193" s="502"/>
    </row>
    <row r="194" spans="2:45" ht="30" customHeight="1" outlineLevel="1" x14ac:dyDescent="0.25">
      <c r="D194" s="437" t="s">
        <v>65</v>
      </c>
      <c r="E194" s="890" t="s">
        <v>848</v>
      </c>
      <c r="F194" s="52">
        <v>8766</v>
      </c>
      <c r="G194" s="890" t="s">
        <v>834</v>
      </c>
      <c r="H194" s="502">
        <v>8766</v>
      </c>
      <c r="I194" s="890" t="s">
        <v>834</v>
      </c>
      <c r="J194" s="2080" t="s">
        <v>847</v>
      </c>
      <c r="K194" s="2080"/>
      <c r="L194" s="2080"/>
      <c r="M194" s="503"/>
      <c r="N194" s="251"/>
      <c r="O194" s="251"/>
      <c r="P194" s="251"/>
      <c r="V194" s="493" t="s">
        <v>65</v>
      </c>
      <c r="W194" s="52">
        <v>8766</v>
      </c>
      <c r="X194" s="52">
        <v>8766</v>
      </c>
      <c r="Y194" s="52" t="str">
        <f t="shared" si="1"/>
        <v/>
      </c>
      <c r="Z194" s="52" t="str">
        <f t="shared" si="1"/>
        <v/>
      </c>
      <c r="AA194" s="52" t="str">
        <f t="shared" si="1"/>
        <v/>
      </c>
      <c r="AB194" s="52" t="str">
        <f t="shared" si="1"/>
        <v/>
      </c>
      <c r="AC194" s="52" t="str">
        <f t="shared" si="1"/>
        <v/>
      </c>
      <c r="AD194" s="52" t="str">
        <f t="shared" si="1"/>
        <v/>
      </c>
      <c r="AE194" s="52" t="str">
        <f t="shared" si="1"/>
        <v/>
      </c>
      <c r="AF194" s="52" t="str">
        <f t="shared" si="1"/>
        <v/>
      </c>
      <c r="AG194" s="52" t="str">
        <f t="shared" si="1"/>
        <v/>
      </c>
      <c r="AI194" s="502">
        <v>8766</v>
      </c>
      <c r="AJ194" s="502">
        <v>8766</v>
      </c>
      <c r="AK194" s="52"/>
      <c r="AL194" s="52"/>
      <c r="AM194" s="52"/>
      <c r="AN194" s="52"/>
      <c r="AO194" s="52"/>
      <c r="AP194" s="52"/>
      <c r="AQ194" s="52"/>
      <c r="AR194" s="52"/>
      <c r="AS194" s="52"/>
    </row>
    <row r="195" spans="2:45" ht="30" customHeight="1" outlineLevel="1" x14ac:dyDescent="0.25">
      <c r="D195" s="437" t="s">
        <v>1883</v>
      </c>
      <c r="E195" s="890" t="s">
        <v>850</v>
      </c>
      <c r="F195" s="505">
        <v>0.98</v>
      </c>
      <c r="G195" s="890" t="s">
        <v>834</v>
      </c>
      <c r="H195" s="502">
        <v>0.98</v>
      </c>
      <c r="I195" s="890" t="s">
        <v>834</v>
      </c>
      <c r="J195" s="2080" t="s">
        <v>523</v>
      </c>
      <c r="K195" s="2080" t="s">
        <v>523</v>
      </c>
      <c r="L195" s="2080" t="s">
        <v>523</v>
      </c>
      <c r="M195" s="503"/>
      <c r="N195" s="251"/>
      <c r="O195" s="251"/>
      <c r="P195" s="251"/>
      <c r="V195" s="493" t="s">
        <v>849</v>
      </c>
      <c r="W195" s="505">
        <v>0.98</v>
      </c>
      <c r="X195" s="505">
        <v>0.98</v>
      </c>
      <c r="Y195" s="505" t="str">
        <f t="shared" si="1"/>
        <v/>
      </c>
      <c r="Z195" s="505" t="str">
        <f t="shared" si="1"/>
        <v/>
      </c>
      <c r="AA195" s="505" t="str">
        <f t="shared" si="1"/>
        <v/>
      </c>
      <c r="AB195" s="505" t="str">
        <f t="shared" si="1"/>
        <v/>
      </c>
      <c r="AC195" s="505" t="str">
        <f t="shared" si="1"/>
        <v/>
      </c>
      <c r="AD195" s="505" t="str">
        <f t="shared" si="1"/>
        <v/>
      </c>
      <c r="AE195" s="505" t="str">
        <f t="shared" si="1"/>
        <v/>
      </c>
      <c r="AF195" s="505" t="str">
        <f t="shared" si="1"/>
        <v/>
      </c>
      <c r="AG195" s="505" t="str">
        <f t="shared" si="1"/>
        <v/>
      </c>
      <c r="AI195" s="502">
        <v>0.98</v>
      </c>
      <c r="AJ195" s="502">
        <v>0.98</v>
      </c>
      <c r="AK195" s="505"/>
      <c r="AL195" s="505"/>
      <c r="AM195" s="505"/>
      <c r="AN195" s="505"/>
      <c r="AO195" s="505"/>
      <c r="AP195" s="505"/>
      <c r="AQ195" s="505"/>
      <c r="AR195" s="505"/>
      <c r="AS195" s="505"/>
    </row>
    <row r="196" spans="2:45" ht="30" customHeight="1" outlineLevel="1" x14ac:dyDescent="0.25">
      <c r="D196" s="437">
        <v>3412</v>
      </c>
      <c r="E196" s="890" t="s">
        <v>851</v>
      </c>
      <c r="F196" s="506">
        <v>3412</v>
      </c>
      <c r="G196" s="890" t="s">
        <v>834</v>
      </c>
      <c r="H196" s="502">
        <v>3412</v>
      </c>
      <c r="I196" s="890" t="s">
        <v>834</v>
      </c>
      <c r="J196" s="2080" t="s">
        <v>847</v>
      </c>
      <c r="K196" s="2080"/>
      <c r="L196" s="2080"/>
      <c r="O196" s="251"/>
      <c r="P196" s="251"/>
      <c r="V196" s="493">
        <v>3412</v>
      </c>
      <c r="W196" s="506">
        <v>3412</v>
      </c>
      <c r="X196" s="506">
        <v>3412</v>
      </c>
      <c r="Y196" s="506" t="str">
        <f t="shared" si="1"/>
        <v/>
      </c>
      <c r="Z196" s="506" t="str">
        <f t="shared" si="1"/>
        <v/>
      </c>
      <c r="AA196" s="506" t="str">
        <f t="shared" si="1"/>
        <v/>
      </c>
      <c r="AB196" s="506" t="str">
        <f t="shared" si="1"/>
        <v/>
      </c>
      <c r="AC196" s="506" t="str">
        <f t="shared" si="1"/>
        <v/>
      </c>
      <c r="AD196" s="506" t="str">
        <f t="shared" si="1"/>
        <v/>
      </c>
      <c r="AE196" s="506" t="str">
        <f t="shared" si="1"/>
        <v/>
      </c>
      <c r="AF196" s="506" t="str">
        <f t="shared" si="1"/>
        <v/>
      </c>
      <c r="AG196" s="506" t="str">
        <f t="shared" si="1"/>
        <v/>
      </c>
      <c r="AI196" s="502">
        <v>3412</v>
      </c>
      <c r="AJ196" s="502">
        <v>3412</v>
      </c>
      <c r="AK196" s="506"/>
      <c r="AL196" s="506"/>
      <c r="AM196" s="506"/>
      <c r="AN196" s="506"/>
      <c r="AO196" s="506"/>
      <c r="AP196" s="506"/>
      <c r="AQ196" s="506"/>
      <c r="AR196" s="506"/>
      <c r="AS196" s="506"/>
    </row>
    <row r="197" spans="2:45" s="422" customFormat="1" ht="30" customHeight="1" outlineLevel="1" x14ac:dyDescent="0.25">
      <c r="B197" s="514"/>
      <c r="C197" s="1572"/>
      <c r="D197" s="890" t="s">
        <v>852</v>
      </c>
      <c r="E197" s="890" t="s">
        <v>774</v>
      </c>
      <c r="F197" s="507">
        <v>0.34429999999999999</v>
      </c>
      <c r="G197" s="890" t="s">
        <v>1789</v>
      </c>
      <c r="H197" s="481">
        <v>1</v>
      </c>
      <c r="I197" s="906" t="s">
        <v>1790</v>
      </c>
      <c r="J197" s="2080"/>
      <c r="K197" s="2080"/>
      <c r="L197" s="2080"/>
      <c r="M197" s="503"/>
      <c r="N197" s="503"/>
      <c r="O197" s="503"/>
      <c r="P197" s="503"/>
      <c r="Q197" s="514"/>
      <c r="R197" s="514"/>
      <c r="S197" s="514"/>
      <c r="T197" s="514"/>
      <c r="U197" s="514"/>
      <c r="V197" s="117" t="s">
        <v>852</v>
      </c>
      <c r="W197" s="507">
        <v>1</v>
      </c>
      <c r="X197" s="464">
        <v>0.34429999999999999</v>
      </c>
      <c r="Y197" s="507" t="str">
        <f t="shared" si="1"/>
        <v/>
      </c>
      <c r="Z197" s="507" t="str">
        <f t="shared" si="1"/>
        <v/>
      </c>
      <c r="AA197" s="507" t="str">
        <f t="shared" si="1"/>
        <v/>
      </c>
      <c r="AB197" s="507" t="str">
        <f t="shared" si="1"/>
        <v/>
      </c>
      <c r="AC197" s="507" t="str">
        <f t="shared" si="1"/>
        <v/>
      </c>
      <c r="AD197" s="507" t="str">
        <f t="shared" si="1"/>
        <v/>
      </c>
      <c r="AE197" s="507" t="str">
        <f t="shared" si="1"/>
        <v/>
      </c>
      <c r="AF197" s="507" t="str">
        <f t="shared" si="1"/>
        <v/>
      </c>
      <c r="AG197" s="507" t="str">
        <f t="shared" si="1"/>
        <v/>
      </c>
      <c r="AI197" s="481">
        <v>1</v>
      </c>
      <c r="AJ197" s="481">
        <v>1</v>
      </c>
      <c r="AK197" s="508"/>
      <c r="AL197" s="508"/>
      <c r="AM197" s="508"/>
      <c r="AN197" s="508"/>
      <c r="AO197" s="508"/>
      <c r="AP197" s="508"/>
      <c r="AQ197" s="508"/>
      <c r="AR197" s="508"/>
      <c r="AS197" s="508"/>
    </row>
    <row r="198" spans="2:45" s="422" customFormat="1" ht="30" customHeight="1" outlineLevel="1" x14ac:dyDescent="0.25">
      <c r="B198" s="514"/>
      <c r="C198" s="1572"/>
      <c r="D198" s="890" t="s">
        <v>736</v>
      </c>
      <c r="E198" s="890" t="s">
        <v>769</v>
      </c>
      <c r="F198" s="509">
        <v>0.89859999999999995</v>
      </c>
      <c r="G198" s="890" t="s">
        <v>1789</v>
      </c>
      <c r="H198" s="481">
        <v>1</v>
      </c>
      <c r="I198" s="906" t="s">
        <v>1790</v>
      </c>
      <c r="J198" s="2080"/>
      <c r="K198" s="2080"/>
      <c r="L198" s="2080"/>
      <c r="M198" s="503"/>
      <c r="N198" s="503"/>
      <c r="O198" s="503"/>
      <c r="P198" s="503"/>
      <c r="Q198" s="514"/>
      <c r="R198" s="514"/>
      <c r="S198" s="514"/>
      <c r="T198" s="514"/>
      <c r="U198" s="514"/>
      <c r="V198" s="117" t="s">
        <v>736</v>
      </c>
      <c r="W198" s="509">
        <v>0.86</v>
      </c>
      <c r="X198" s="473">
        <v>0.89859999999999995</v>
      </c>
      <c r="Y198" s="509" t="str">
        <f t="shared" si="1"/>
        <v/>
      </c>
      <c r="Z198" s="509" t="str">
        <f t="shared" si="1"/>
        <v/>
      </c>
      <c r="AA198" s="509" t="str">
        <f t="shared" si="1"/>
        <v/>
      </c>
      <c r="AB198" s="509" t="str">
        <f t="shared" si="1"/>
        <v/>
      </c>
      <c r="AC198" s="509" t="str">
        <f t="shared" si="1"/>
        <v/>
      </c>
      <c r="AD198" s="509" t="str">
        <f t="shared" si="1"/>
        <v/>
      </c>
      <c r="AE198" s="509" t="str">
        <f t="shared" si="1"/>
        <v/>
      </c>
      <c r="AF198" s="509" t="str">
        <f t="shared" si="1"/>
        <v/>
      </c>
      <c r="AG198" s="509" t="str">
        <f t="shared" si="1"/>
        <v/>
      </c>
      <c r="AI198" s="481">
        <v>1</v>
      </c>
      <c r="AJ198" s="481">
        <v>1</v>
      </c>
      <c r="AK198" s="510"/>
      <c r="AL198" s="510"/>
      <c r="AM198" s="510"/>
      <c r="AN198" s="510"/>
      <c r="AO198" s="510"/>
      <c r="AP198" s="510"/>
      <c r="AQ198" s="510"/>
      <c r="AR198" s="510"/>
      <c r="AS198" s="510"/>
    </row>
    <row r="199" spans="2:45" s="422" customFormat="1" outlineLevel="1" x14ac:dyDescent="0.25">
      <c r="B199" s="514"/>
      <c r="C199" s="1572"/>
      <c r="D199" s="890" t="s">
        <v>58</v>
      </c>
      <c r="E199" s="890" t="s">
        <v>574</v>
      </c>
      <c r="F199" s="509">
        <v>0.66101694915254239</v>
      </c>
      <c r="G199" s="890" t="s">
        <v>1789</v>
      </c>
      <c r="H199" s="481">
        <v>1</v>
      </c>
      <c r="I199" s="906" t="s">
        <v>1790</v>
      </c>
      <c r="J199" s="2080"/>
      <c r="K199" s="2080"/>
      <c r="L199" s="2080"/>
      <c r="M199" s="503"/>
      <c r="N199" s="503"/>
      <c r="O199" s="503"/>
      <c r="P199" s="503"/>
      <c r="Q199" s="514"/>
      <c r="R199" s="514"/>
      <c r="S199" s="514"/>
      <c r="T199" s="514"/>
      <c r="U199" s="514"/>
      <c r="V199" s="117" t="s">
        <v>58</v>
      </c>
      <c r="W199" s="509">
        <v>0.73710263085776917</v>
      </c>
      <c r="X199" s="473">
        <v>0.66101694915254239</v>
      </c>
      <c r="Y199" s="509" t="str">
        <f t="shared" si="1"/>
        <v/>
      </c>
      <c r="Z199" s="509" t="str">
        <f t="shared" si="1"/>
        <v/>
      </c>
      <c r="AA199" s="509" t="str">
        <f t="shared" si="1"/>
        <v/>
      </c>
      <c r="AB199" s="509" t="str">
        <f t="shared" si="1"/>
        <v/>
      </c>
      <c r="AC199" s="509" t="str">
        <f t="shared" si="1"/>
        <v/>
      </c>
      <c r="AD199" s="509" t="str">
        <f t="shared" si="1"/>
        <v/>
      </c>
      <c r="AE199" s="509" t="str">
        <f t="shared" si="1"/>
        <v/>
      </c>
      <c r="AF199" s="509" t="str">
        <f t="shared" si="1"/>
        <v/>
      </c>
      <c r="AG199" s="509" t="str">
        <f t="shared" si="1"/>
        <v/>
      </c>
      <c r="AI199" s="481">
        <v>1</v>
      </c>
      <c r="AJ199" s="481">
        <v>1</v>
      </c>
      <c r="AK199" s="481"/>
      <c r="AL199" s="481"/>
      <c r="AM199" s="481"/>
      <c r="AN199" s="481"/>
      <c r="AO199" s="481"/>
      <c r="AP199" s="481"/>
      <c r="AQ199" s="481"/>
      <c r="AR199" s="481"/>
      <c r="AS199" s="481"/>
    </row>
    <row r="200" spans="2:45" s="422" customFormat="1" ht="30" outlineLevel="1" x14ac:dyDescent="0.25">
      <c r="B200" s="514"/>
      <c r="C200" s="1572"/>
      <c r="D200" s="890" t="s">
        <v>853</v>
      </c>
      <c r="E200" s="890" t="s">
        <v>854</v>
      </c>
      <c r="F200" s="513">
        <v>0.75</v>
      </c>
      <c r="G200" s="511"/>
      <c r="H200" s="513">
        <v>0.75</v>
      </c>
      <c r="I200" s="906"/>
      <c r="J200" s="2080"/>
      <c r="K200" s="2080"/>
      <c r="L200" s="2080"/>
      <c r="M200" s="503"/>
      <c r="N200" s="1600" t="s">
        <v>855</v>
      </c>
      <c r="O200" s="503"/>
      <c r="P200" s="503"/>
      <c r="Q200" s="514"/>
      <c r="R200" s="514"/>
      <c r="S200" s="514"/>
      <c r="T200" s="514"/>
      <c r="U200" s="514"/>
      <c r="V200" s="321" t="s">
        <v>853</v>
      </c>
      <c r="W200" s="513">
        <v>0.75</v>
      </c>
      <c r="X200" s="513">
        <v>0.75</v>
      </c>
      <c r="Y200" s="513"/>
      <c r="Z200" s="513"/>
      <c r="AA200" s="513"/>
      <c r="AB200" s="513"/>
      <c r="AC200" s="513"/>
      <c r="AD200" s="513"/>
      <c r="AE200" s="513"/>
      <c r="AF200" s="513"/>
      <c r="AG200" s="513"/>
      <c r="AH200" s="514"/>
      <c r="AI200" s="513">
        <v>0.75</v>
      </c>
      <c r="AJ200" s="513">
        <v>0.75</v>
      </c>
      <c r="AK200" s="513"/>
      <c r="AL200" s="513"/>
      <c r="AM200" s="513"/>
      <c r="AN200" s="513"/>
      <c r="AO200" s="513"/>
      <c r="AP200" s="513"/>
      <c r="AQ200" s="513"/>
      <c r="AR200" s="513"/>
      <c r="AS200" s="513"/>
    </row>
    <row r="201" spans="2:45" s="422" customFormat="1" outlineLevel="1" x14ac:dyDescent="0.25">
      <c r="B201" s="514"/>
      <c r="C201" s="1572"/>
      <c r="D201" s="890" t="s">
        <v>856</v>
      </c>
      <c r="E201" s="890" t="s">
        <v>857</v>
      </c>
      <c r="F201" s="513">
        <v>0.5</v>
      </c>
      <c r="G201" s="511"/>
      <c r="H201" s="513">
        <v>0.5</v>
      </c>
      <c r="I201" s="906"/>
      <c r="J201" s="2080"/>
      <c r="K201" s="2080"/>
      <c r="L201" s="2080"/>
      <c r="M201" s="503"/>
      <c r="N201" s="503"/>
      <c r="O201" s="503"/>
      <c r="P201" s="503"/>
      <c r="Q201" s="514"/>
      <c r="R201" s="514"/>
      <c r="S201" s="514"/>
      <c r="T201" s="514"/>
      <c r="U201" s="514"/>
      <c r="V201" s="167" t="s">
        <v>857</v>
      </c>
      <c r="W201" s="513">
        <v>0.5</v>
      </c>
      <c r="X201" s="513">
        <v>0.5</v>
      </c>
      <c r="Y201" s="515"/>
      <c r="Z201" s="515"/>
      <c r="AA201" s="515"/>
      <c r="AB201" s="515"/>
      <c r="AC201" s="515"/>
      <c r="AD201" s="515"/>
      <c r="AE201" s="515"/>
      <c r="AF201" s="515"/>
      <c r="AG201" s="515"/>
      <c r="AH201" s="441"/>
      <c r="AI201" s="513">
        <v>0.5</v>
      </c>
      <c r="AJ201" s="513">
        <v>0.5</v>
      </c>
      <c r="AK201" s="513"/>
      <c r="AL201" s="513"/>
      <c r="AM201" s="513"/>
      <c r="AN201" s="513"/>
      <c r="AO201" s="513"/>
      <c r="AP201" s="513"/>
      <c r="AQ201" s="513"/>
      <c r="AR201" s="513"/>
      <c r="AS201" s="513"/>
    </row>
    <row r="202" spans="2:45" outlineLevel="1" x14ac:dyDescent="0.25">
      <c r="B202" s="1087"/>
      <c r="C202" s="1434"/>
      <c r="D202" s="899" t="s">
        <v>738</v>
      </c>
      <c r="E202" s="899" t="s">
        <v>504</v>
      </c>
      <c r="F202" s="123">
        <v>12</v>
      </c>
      <c r="G202" s="525"/>
      <c r="H202" s="123">
        <f>G202</f>
        <v>0</v>
      </c>
      <c r="I202" s="906"/>
      <c r="J202" s="2080"/>
      <c r="K202" s="2080"/>
      <c r="L202" s="2080"/>
      <c r="M202" s="1452"/>
      <c r="N202" s="904"/>
      <c r="O202" s="904"/>
      <c r="P202" s="904"/>
      <c r="Q202" s="904"/>
      <c r="V202" s="158" t="s">
        <v>738</v>
      </c>
      <c r="W202" s="123">
        <v>12</v>
      </c>
      <c r="X202" s="123">
        <f>W202</f>
        <v>12</v>
      </c>
      <c r="Y202" s="123" t="str">
        <f t="shared" si="1"/>
        <v/>
      </c>
      <c r="Z202" s="123" t="str">
        <f t="shared" si="1"/>
        <v/>
      </c>
      <c r="AA202" s="123" t="str">
        <f t="shared" si="1"/>
        <v/>
      </c>
      <c r="AB202" s="123" t="str">
        <f t="shared" si="1"/>
        <v/>
      </c>
      <c r="AC202" s="123" t="str">
        <f t="shared" si="1"/>
        <v/>
      </c>
      <c r="AD202" s="123" t="str">
        <f t="shared" si="1"/>
        <v/>
      </c>
      <c r="AE202" s="123" t="str">
        <f t="shared" si="1"/>
        <v/>
      </c>
      <c r="AF202" s="123" t="str">
        <f t="shared" si="1"/>
        <v/>
      </c>
      <c r="AG202" s="123" t="str">
        <f t="shared" si="1"/>
        <v/>
      </c>
      <c r="AI202" s="123">
        <v>12</v>
      </c>
      <c r="AJ202" s="123">
        <f>AI202</f>
        <v>12</v>
      </c>
      <c r="AK202" s="406"/>
      <c r="AL202" s="406"/>
      <c r="AM202" s="406"/>
      <c r="AN202" s="406"/>
      <c r="AO202" s="406"/>
      <c r="AP202" s="406"/>
      <c r="AQ202" s="406"/>
      <c r="AR202" s="406"/>
      <c r="AS202" s="406"/>
    </row>
    <row r="203" spans="2:45" outlineLevel="1" x14ac:dyDescent="0.25">
      <c r="B203" s="1087"/>
      <c r="C203" s="1434"/>
      <c r="D203" s="407" t="s">
        <v>24</v>
      </c>
      <c r="E203" s="899" t="s">
        <v>506</v>
      </c>
      <c r="F203" s="471">
        <v>2.87</v>
      </c>
      <c r="G203" s="526"/>
      <c r="H203" s="516">
        <f>G203</f>
        <v>0</v>
      </c>
      <c r="I203" s="906"/>
      <c r="J203" s="2080"/>
      <c r="K203" s="2080"/>
      <c r="L203" s="2080"/>
      <c r="M203" s="1452"/>
      <c r="N203" s="904"/>
      <c r="O203" s="904"/>
      <c r="P203" s="904"/>
      <c r="Q203" s="904"/>
      <c r="V203" s="162" t="s">
        <v>24</v>
      </c>
      <c r="W203" s="516">
        <v>2.87</v>
      </c>
      <c r="X203" s="516">
        <f>W203</f>
        <v>2.87</v>
      </c>
      <c r="Y203" s="516" t="str">
        <f t="shared" si="1"/>
        <v/>
      </c>
      <c r="Z203" s="516" t="str">
        <f t="shared" si="1"/>
        <v/>
      </c>
      <c r="AA203" s="516" t="str">
        <f t="shared" si="1"/>
        <v/>
      </c>
      <c r="AB203" s="516" t="str">
        <f t="shared" si="1"/>
        <v/>
      </c>
      <c r="AC203" s="516" t="str">
        <f t="shared" si="1"/>
        <v/>
      </c>
      <c r="AD203" s="516" t="str">
        <f t="shared" si="1"/>
        <v/>
      </c>
      <c r="AE203" s="516" t="str">
        <f t="shared" si="1"/>
        <v/>
      </c>
      <c r="AF203" s="516" t="str">
        <f t="shared" si="1"/>
        <v/>
      </c>
      <c r="AG203" s="516" t="str">
        <f t="shared" si="1"/>
        <v/>
      </c>
      <c r="AI203" s="516">
        <v>2.87</v>
      </c>
      <c r="AJ203" s="516">
        <f>AI203</f>
        <v>2.87</v>
      </c>
      <c r="AK203" s="409"/>
      <c r="AL203" s="409"/>
      <c r="AM203" s="409"/>
      <c r="AN203" s="409"/>
      <c r="AO203" s="409"/>
      <c r="AP203" s="409"/>
      <c r="AQ203" s="409"/>
      <c r="AR203" s="409"/>
      <c r="AS203" s="409"/>
    </row>
    <row r="204" spans="2:45" x14ac:dyDescent="0.25">
      <c r="M204" s="503"/>
      <c r="N204" s="251"/>
      <c r="O204" s="251"/>
      <c r="P204" s="251"/>
    </row>
    <row r="205" spans="2:45" x14ac:dyDescent="0.25">
      <c r="M205" s="503"/>
      <c r="N205" s="251"/>
      <c r="O205" s="251"/>
      <c r="P205" s="251"/>
    </row>
    <row r="206" spans="2:45" x14ac:dyDescent="0.25">
      <c r="B206" s="2022" t="s">
        <v>858</v>
      </c>
      <c r="C206" s="2023"/>
      <c r="D206" s="2023"/>
      <c r="E206" s="2023"/>
      <c r="F206" s="2023"/>
      <c r="G206" s="2023"/>
      <c r="H206" s="2023"/>
      <c r="I206" s="1992"/>
      <c r="J206" s="1992"/>
      <c r="K206" s="1992"/>
      <c r="L206" s="1992"/>
      <c r="M206" s="1992"/>
      <c r="N206" s="1993"/>
      <c r="V206" s="2022" t="str">
        <f>B206</f>
        <v>Advanced Power Strips Tier 1  / Load Sensing</v>
      </c>
      <c r="W206" s="2023"/>
      <c r="X206" s="2023"/>
      <c r="Y206" s="2023"/>
      <c r="Z206" s="2023"/>
      <c r="AA206" s="2023"/>
      <c r="AB206" s="2023"/>
      <c r="AC206" s="2024"/>
      <c r="AD206" s="2024"/>
      <c r="AE206" s="2024"/>
      <c r="AF206" s="2024"/>
      <c r="AG206" s="2024"/>
      <c r="AH206" s="2025"/>
    </row>
    <row r="208" spans="2:45" ht="45" x14ac:dyDescent="0.25">
      <c r="C208" s="184" t="s">
        <v>16</v>
      </c>
      <c r="D208" s="184" t="s">
        <v>509</v>
      </c>
      <c r="E208" s="184" t="s">
        <v>18</v>
      </c>
      <c r="F208" s="184" t="s">
        <v>19</v>
      </c>
      <c r="G208" s="184" t="s">
        <v>20</v>
      </c>
      <c r="H208" s="184" t="s">
        <v>21</v>
      </c>
      <c r="I208" s="184" t="s">
        <v>22</v>
      </c>
      <c r="J208" s="184" t="s">
        <v>23</v>
      </c>
      <c r="K208" s="184" t="s">
        <v>24</v>
      </c>
      <c r="L208" s="184" t="s">
        <v>25</v>
      </c>
      <c r="V208" s="48" t="s">
        <v>26</v>
      </c>
      <c r="W208" s="49">
        <f>$W$6</f>
        <v>43252</v>
      </c>
      <c r="X208" s="49">
        <f>$X$6</f>
        <v>43465</v>
      </c>
      <c r="Y208" s="49"/>
      <c r="Z208" s="49" t="str">
        <f>$Z$6</f>
        <v>-</v>
      </c>
      <c r="AA208" s="49" t="str">
        <f>$AA$6</f>
        <v>-</v>
      </c>
      <c r="AB208" s="49" t="str">
        <f>$AB$6</f>
        <v>-</v>
      </c>
      <c r="AC208" s="49" t="str">
        <f>$AC$6</f>
        <v>-</v>
      </c>
      <c r="AD208" s="49" t="str">
        <f>$AD$6</f>
        <v>-</v>
      </c>
      <c r="AE208" s="49" t="str">
        <f>$AE$6</f>
        <v>-</v>
      </c>
      <c r="AF208" s="49" t="str">
        <f>$AF$6</f>
        <v>-</v>
      </c>
      <c r="AG208" s="49" t="str">
        <f>$AG$6</f>
        <v>-</v>
      </c>
    </row>
    <row r="209" spans="2:69" s="56" customFormat="1" ht="30" x14ac:dyDescent="0.25">
      <c r="B209" s="130"/>
      <c r="C209" s="414"/>
      <c r="D209" s="890" t="s">
        <v>1831</v>
      </c>
      <c r="E209" s="890" t="s">
        <v>859</v>
      </c>
      <c r="F209" s="123">
        <f>(F223*F225+G223*G225)*H226</f>
        <v>31</v>
      </c>
      <c r="G209" s="517" t="s">
        <v>641</v>
      </c>
      <c r="H209" s="418">
        <f>VLOOKUP(G209,'CP FACTORS'!$A$3:$B$38, 2, FALSE)</f>
        <v>1.148238E-4</v>
      </c>
      <c r="I209" s="1585">
        <f t="shared" ref="I209:I214" si="2">F209*H209</f>
        <v>3.5595378E-3</v>
      </c>
      <c r="J209" s="123">
        <f t="shared" ref="J209:J214" si="3">$F$228</f>
        <v>10</v>
      </c>
      <c r="K209" s="471">
        <f t="shared" ref="K209:K214" si="4">$F$229</f>
        <v>20</v>
      </c>
      <c r="L209" s="420" t="s">
        <v>31</v>
      </c>
      <c r="M209" s="503"/>
      <c r="N209" s="251"/>
      <c r="O209" s="130"/>
      <c r="P209" s="130"/>
      <c r="Q209" s="130"/>
      <c r="R209" s="1413"/>
      <c r="S209" s="130"/>
      <c r="T209" s="130"/>
      <c r="U209" s="130"/>
      <c r="V209" s="176" t="str">
        <f>F208</f>
        <v>kWh Annual Savings</v>
      </c>
      <c r="W209" s="1201">
        <v>31</v>
      </c>
      <c r="X209" s="1201">
        <v>31</v>
      </c>
      <c r="Y209" s="176"/>
      <c r="Z209" s="176"/>
      <c r="AA209" s="176"/>
      <c r="AB209" s="176"/>
      <c r="AC209" s="176"/>
      <c r="AD209" s="176"/>
      <c r="AE209" s="176"/>
      <c r="AF209" s="176"/>
      <c r="AG209" s="176"/>
    </row>
    <row r="210" spans="2:69" s="56" customFormat="1" ht="30" x14ac:dyDescent="0.25">
      <c r="B210" s="130"/>
      <c r="C210" s="414"/>
      <c r="D210" s="890" t="s">
        <v>1832</v>
      </c>
      <c r="E210" s="890" t="s">
        <v>860</v>
      </c>
      <c r="F210" s="123">
        <f>(F223*F225+G223*G225)*I226</f>
        <v>24.18</v>
      </c>
      <c r="G210" s="517" t="s">
        <v>641</v>
      </c>
      <c r="H210" s="418">
        <f>VLOOKUP(G210,'CP FACTORS'!$A$3:$B$38, 2, FALSE)</f>
        <v>1.148238E-4</v>
      </c>
      <c r="I210" s="1585">
        <f t="shared" si="2"/>
        <v>2.7764394839999997E-3</v>
      </c>
      <c r="J210" s="123">
        <f t="shared" si="3"/>
        <v>10</v>
      </c>
      <c r="K210" s="471">
        <f t="shared" si="4"/>
        <v>20</v>
      </c>
      <c r="L210" s="420" t="s">
        <v>31</v>
      </c>
      <c r="M210" s="503"/>
      <c r="N210" s="251"/>
      <c r="O210" s="130"/>
      <c r="P210" s="130"/>
      <c r="Q210" s="130"/>
      <c r="R210" s="1413"/>
      <c r="S210" s="130"/>
      <c r="T210" s="130"/>
      <c r="U210" s="130"/>
      <c r="V210" s="176" t="str">
        <f>V209</f>
        <v>kWh Annual Savings</v>
      </c>
      <c r="W210" s="1201">
        <v>24.18</v>
      </c>
      <c r="X210" s="1201">
        <v>24.18</v>
      </c>
      <c r="Y210" s="176"/>
      <c r="Z210" s="176"/>
      <c r="AA210" s="176"/>
      <c r="AB210" s="176"/>
      <c r="AC210" s="176"/>
      <c r="AD210" s="176"/>
      <c r="AE210" s="176"/>
      <c r="AF210" s="176"/>
      <c r="AG210" s="176"/>
    </row>
    <row r="211" spans="2:69" s="56" customFormat="1" ht="30" x14ac:dyDescent="0.25">
      <c r="B211" s="130"/>
      <c r="C211" s="414"/>
      <c r="D211" s="890" t="s">
        <v>1833</v>
      </c>
      <c r="E211" s="890" t="s">
        <v>861</v>
      </c>
      <c r="F211" s="123">
        <f>(F223*F224+G223*G224)*H226</f>
        <v>75.099999999999994</v>
      </c>
      <c r="G211" s="517" t="s">
        <v>641</v>
      </c>
      <c r="H211" s="418">
        <f>VLOOKUP(G211,'CP FACTORS'!$A$3:$B$38, 2, FALSE)</f>
        <v>1.148238E-4</v>
      </c>
      <c r="I211" s="1585">
        <f t="shared" si="2"/>
        <v>8.6232673799999989E-3</v>
      </c>
      <c r="J211" s="123">
        <f t="shared" si="3"/>
        <v>10</v>
      </c>
      <c r="K211" s="471">
        <f t="shared" si="4"/>
        <v>20</v>
      </c>
      <c r="L211" s="420" t="s">
        <v>31</v>
      </c>
      <c r="M211" s="503"/>
      <c r="N211" s="251"/>
      <c r="O211" s="130"/>
      <c r="P211" s="130"/>
      <c r="Q211" s="130"/>
      <c r="R211" s="1413"/>
      <c r="S211" s="130"/>
      <c r="T211" s="130"/>
      <c r="U211" s="130"/>
      <c r="V211" s="176" t="str">
        <f>V210</f>
        <v>kWh Annual Savings</v>
      </c>
      <c r="W211" s="1201">
        <v>75.099999999999994</v>
      </c>
      <c r="X211" s="1201">
        <v>75.099999999999994</v>
      </c>
      <c r="Y211" s="176"/>
      <c r="Z211" s="176"/>
      <c r="AA211" s="176"/>
      <c r="AB211" s="176"/>
      <c r="AC211" s="176"/>
      <c r="AD211" s="176"/>
      <c r="AE211" s="176"/>
      <c r="AF211" s="176"/>
      <c r="AG211" s="176"/>
    </row>
    <row r="212" spans="2:69" s="56" customFormat="1" ht="30" x14ac:dyDescent="0.25">
      <c r="B212" s="130"/>
      <c r="C212" s="414"/>
      <c r="D212" s="890" t="s">
        <v>1834</v>
      </c>
      <c r="E212" s="890" t="s">
        <v>862</v>
      </c>
      <c r="F212" s="123">
        <f>(F223*F224+G223*G224)*I226</f>
        <v>58.577999999999996</v>
      </c>
      <c r="G212" s="517" t="s">
        <v>641</v>
      </c>
      <c r="H212" s="418">
        <f>VLOOKUP(G212,'CP FACTORS'!$A$3:$B$38, 2, FALSE)</f>
        <v>1.148238E-4</v>
      </c>
      <c r="I212" s="1585">
        <f t="shared" si="2"/>
        <v>6.7261485563999994E-3</v>
      </c>
      <c r="J212" s="123">
        <f t="shared" si="3"/>
        <v>10</v>
      </c>
      <c r="K212" s="471">
        <f t="shared" si="4"/>
        <v>20</v>
      </c>
      <c r="L212" s="420" t="s">
        <v>31</v>
      </c>
      <c r="M212" s="503"/>
      <c r="N212" s="251"/>
      <c r="O212" s="130"/>
      <c r="P212" s="130"/>
      <c r="Q212" s="130"/>
      <c r="R212" s="1413"/>
      <c r="S212" s="130"/>
      <c r="T212" s="130"/>
      <c r="U212" s="130"/>
      <c r="V212" s="176" t="str">
        <f>V211</f>
        <v>kWh Annual Savings</v>
      </c>
      <c r="W212" s="1201">
        <v>58.577999999999996</v>
      </c>
      <c r="X212" s="1201">
        <v>58.577999999999996</v>
      </c>
      <c r="Y212" s="176"/>
      <c r="Z212" s="176"/>
      <c r="AA212" s="176"/>
      <c r="AB212" s="176"/>
      <c r="AC212" s="176"/>
      <c r="AD212" s="176"/>
      <c r="AE212" s="176"/>
      <c r="AF212" s="176"/>
      <c r="AG212" s="176"/>
    </row>
    <row r="213" spans="2:69" s="56" customFormat="1" ht="30" x14ac:dyDescent="0.25">
      <c r="B213" s="130"/>
      <c r="C213" s="414"/>
      <c r="D213" s="890" t="s">
        <v>1835</v>
      </c>
      <c r="E213" s="890" t="s">
        <v>863</v>
      </c>
      <c r="F213" s="123">
        <f>(F223*H225+G223*H224)*H226</f>
        <v>59.224000000000004</v>
      </c>
      <c r="G213" s="517" t="s">
        <v>641</v>
      </c>
      <c r="H213" s="418">
        <f>VLOOKUP(G213,'CP FACTORS'!$A$3:$B$38, 2, FALSE)</f>
        <v>1.148238E-4</v>
      </c>
      <c r="I213" s="1585">
        <f t="shared" si="2"/>
        <v>6.8003247311999998E-3</v>
      </c>
      <c r="J213" s="123">
        <f t="shared" si="3"/>
        <v>10</v>
      </c>
      <c r="K213" s="471">
        <f t="shared" si="4"/>
        <v>20</v>
      </c>
      <c r="L213" s="420" t="s">
        <v>31</v>
      </c>
      <c r="M213" s="503"/>
      <c r="N213" s="251"/>
      <c r="O213" s="130"/>
      <c r="P213" s="130"/>
      <c r="Q213" s="130"/>
      <c r="R213" s="1413"/>
      <c r="S213" s="130"/>
      <c r="T213" s="130"/>
      <c r="U213" s="130"/>
      <c r="V213" s="176" t="str">
        <f>V212</f>
        <v>kWh Annual Savings</v>
      </c>
      <c r="W213" s="1201">
        <v>59.224000000000004</v>
      </c>
      <c r="X213" s="1201">
        <v>59.224000000000004</v>
      </c>
      <c r="Y213" s="176"/>
      <c r="Z213" s="176"/>
      <c r="AA213" s="176"/>
      <c r="AB213" s="176"/>
      <c r="AC213" s="176"/>
      <c r="AD213" s="176"/>
      <c r="AE213" s="176"/>
      <c r="AF213" s="176"/>
      <c r="AG213" s="176"/>
    </row>
    <row r="214" spans="2:69" s="56" customFormat="1" ht="30" x14ac:dyDescent="0.25">
      <c r="B214" s="130"/>
      <c r="C214" s="414"/>
      <c r="D214" s="890" t="s">
        <v>1836</v>
      </c>
      <c r="E214" s="890" t="s">
        <v>864</v>
      </c>
      <c r="F214" s="123">
        <f>(F223*I225+G223*I224)*I226</f>
        <v>42.066960000000002</v>
      </c>
      <c r="G214" s="517" t="s">
        <v>641</v>
      </c>
      <c r="H214" s="418">
        <f>VLOOKUP(G214,'CP FACTORS'!$A$3:$B$38, 2, FALSE)</f>
        <v>1.148238E-4</v>
      </c>
      <c r="I214" s="1585">
        <f t="shared" si="2"/>
        <v>4.8302882016479998E-3</v>
      </c>
      <c r="J214" s="123">
        <f t="shared" si="3"/>
        <v>10</v>
      </c>
      <c r="K214" s="471">
        <f t="shared" si="4"/>
        <v>20</v>
      </c>
      <c r="L214" s="420" t="s">
        <v>31</v>
      </c>
      <c r="M214" s="503"/>
      <c r="N214" s="251"/>
      <c r="O214" s="130"/>
      <c r="P214" s="130"/>
      <c r="Q214" s="130"/>
      <c r="R214" s="1413"/>
      <c r="S214" s="130"/>
      <c r="T214" s="130"/>
      <c r="U214" s="130"/>
      <c r="V214" s="176" t="str">
        <f>V213</f>
        <v>kWh Annual Savings</v>
      </c>
      <c r="W214" s="1201">
        <v>42.066960000000002</v>
      </c>
      <c r="X214" s="1201">
        <v>42.066960000000002</v>
      </c>
      <c r="Y214" s="176"/>
      <c r="Z214" s="176"/>
      <c r="AA214" s="176"/>
      <c r="AB214" s="176"/>
      <c r="AC214" s="176"/>
      <c r="AD214" s="176"/>
      <c r="AE214" s="176"/>
      <c r="AF214" s="176"/>
      <c r="AG214" s="176"/>
    </row>
    <row r="215" spans="2:69" outlineLevel="1" x14ac:dyDescent="0.25">
      <c r="X215" s="187" t="s">
        <v>651</v>
      </c>
    </row>
    <row r="216" spans="2:69" outlineLevel="1" x14ac:dyDescent="0.25">
      <c r="D216" s="1418" t="s">
        <v>463</v>
      </c>
    </row>
    <row r="217" spans="2:69" outlineLevel="1" x14ac:dyDescent="0.25"/>
    <row r="218" spans="2:69" outlineLevel="1" x14ac:dyDescent="0.25"/>
    <row r="219" spans="2:69" outlineLevel="1" x14ac:dyDescent="0.25"/>
    <row r="220" spans="2:69" outlineLevel="1" x14ac:dyDescent="0.25"/>
    <row r="221" spans="2:69" outlineLevel="1" x14ac:dyDescent="0.25">
      <c r="D221" s="358" t="s">
        <v>465</v>
      </c>
      <c r="E221" s="534" t="s">
        <v>466</v>
      </c>
      <c r="F221" s="534" t="s">
        <v>865</v>
      </c>
      <c r="G221" s="534" t="s">
        <v>866</v>
      </c>
      <c r="H221" s="2075" t="s">
        <v>867</v>
      </c>
      <c r="I221" s="2076"/>
      <c r="J221" s="534" t="s">
        <v>655</v>
      </c>
      <c r="K221" s="514"/>
      <c r="M221" s="130"/>
      <c r="V221" s="48" t="s">
        <v>26</v>
      </c>
      <c r="W221" s="49">
        <f>$W$6</f>
        <v>43252</v>
      </c>
      <c r="X221" s="49">
        <f>$X$6</f>
        <v>43465</v>
      </c>
      <c r="Y221" s="49" t="str">
        <f>$Y$6</f>
        <v>-</v>
      </c>
      <c r="Z221" s="49" t="str">
        <f>$Z$6</f>
        <v>-</v>
      </c>
      <c r="AA221" s="49" t="str">
        <f>$AA$6</f>
        <v>-</v>
      </c>
      <c r="AB221" s="49" t="str">
        <f>$AB$6</f>
        <v>-</v>
      </c>
      <c r="AC221" s="49" t="str">
        <f>$AC$6</f>
        <v>-</v>
      </c>
      <c r="AD221" s="49" t="str">
        <f>$AD$6</f>
        <v>-</v>
      </c>
      <c r="AE221" s="49" t="str">
        <f>$AE$6</f>
        <v>-</v>
      </c>
      <c r="AF221" s="49" t="str">
        <f>$AF$6</f>
        <v>-</v>
      </c>
      <c r="AG221" s="49" t="str">
        <f>$AG$6</f>
        <v>-</v>
      </c>
      <c r="AH221" s="447"/>
      <c r="AI221" s="49">
        <f>$W$6</f>
        <v>43252</v>
      </c>
      <c r="AJ221" s="49">
        <f>$X$6</f>
        <v>43465</v>
      </c>
      <c r="AK221" s="49" t="str">
        <f>$Y$6</f>
        <v>-</v>
      </c>
      <c r="AL221" s="49" t="str">
        <f>$Z$6</f>
        <v>-</v>
      </c>
      <c r="AM221" s="49" t="str">
        <f>$AA$6</f>
        <v>-</v>
      </c>
      <c r="AN221" s="49" t="str">
        <f>$AB$6</f>
        <v>-</v>
      </c>
      <c r="AO221" s="49" t="str">
        <f>$AC$6</f>
        <v>-</v>
      </c>
      <c r="AP221" s="49" t="str">
        <f>$AD$6</f>
        <v>-</v>
      </c>
      <c r="AQ221" s="49" t="str">
        <f>$AE$6</f>
        <v>-</v>
      </c>
      <c r="AR221" s="49" t="str">
        <f>$AF$6</f>
        <v>-</v>
      </c>
      <c r="AS221" s="49" t="str">
        <f>$AG$6</f>
        <v>-</v>
      </c>
      <c r="AT221" s="447"/>
      <c r="AU221" s="49">
        <f>$W$6</f>
        <v>43252</v>
      </c>
      <c r="AV221" s="49">
        <f>$X$6</f>
        <v>43465</v>
      </c>
      <c r="AW221" s="49" t="str">
        <f>$Y$6</f>
        <v>-</v>
      </c>
      <c r="AX221" s="49" t="str">
        <f>$Z$6</f>
        <v>-</v>
      </c>
      <c r="AY221" s="49" t="str">
        <f>$AA$6</f>
        <v>-</v>
      </c>
      <c r="AZ221" s="49" t="str">
        <f>$AB$6</f>
        <v>-</v>
      </c>
      <c r="BA221" s="49" t="str">
        <f>$AC$6</f>
        <v>-</v>
      </c>
      <c r="BB221" s="49" t="str">
        <f>$AD$6</f>
        <v>-</v>
      </c>
      <c r="BC221" s="49" t="str">
        <f>$AE$6</f>
        <v>-</v>
      </c>
      <c r="BD221" s="49" t="str">
        <f>$AF$6</f>
        <v>-</v>
      </c>
      <c r="BE221" s="49" t="str">
        <f>$AG$6</f>
        <v>-</v>
      </c>
      <c r="BF221" s="447"/>
      <c r="BG221" s="49">
        <f>$W$6</f>
        <v>43252</v>
      </c>
      <c r="BH221" s="49">
        <f>$X$6</f>
        <v>43465</v>
      </c>
      <c r="BI221" s="49" t="str">
        <f>$Y$6</f>
        <v>-</v>
      </c>
      <c r="BJ221" s="49" t="str">
        <f>$Z$6</f>
        <v>-</v>
      </c>
      <c r="BK221" s="49" t="str">
        <f>$AA$6</f>
        <v>-</v>
      </c>
      <c r="BL221" s="49" t="str">
        <f>$AB$6</f>
        <v>-</v>
      </c>
      <c r="BM221" s="49" t="str">
        <f>$AC$6</f>
        <v>-</v>
      </c>
      <c r="BN221" s="49" t="str">
        <f>$AD$6</f>
        <v>-</v>
      </c>
      <c r="BO221" s="49" t="str">
        <f>$AE$6</f>
        <v>-</v>
      </c>
      <c r="BP221" s="49" t="str">
        <f>$AF$6</f>
        <v>-</v>
      </c>
      <c r="BQ221" s="49" t="str">
        <f>$AG$6</f>
        <v>-</v>
      </c>
    </row>
    <row r="222" spans="2:69" ht="30" outlineLevel="1" x14ac:dyDescent="0.25">
      <c r="D222" s="518"/>
      <c r="E222" s="519"/>
      <c r="F222" s="519"/>
      <c r="G222" s="519"/>
      <c r="H222" s="184" t="s">
        <v>868</v>
      </c>
      <c r="I222" s="184" t="s">
        <v>869</v>
      </c>
      <c r="J222" s="519"/>
      <c r="K222" s="514"/>
      <c r="M222" s="130"/>
      <c r="V222" s="62"/>
      <c r="W222" s="63" t="s">
        <v>865</v>
      </c>
      <c r="X222" s="63" t="s">
        <v>865</v>
      </c>
      <c r="Y222" s="63" t="s">
        <v>865</v>
      </c>
      <c r="Z222" s="63" t="s">
        <v>865</v>
      </c>
      <c r="AA222" s="63" t="s">
        <v>865</v>
      </c>
      <c r="AB222" s="63" t="s">
        <v>865</v>
      </c>
      <c r="AC222" s="63" t="s">
        <v>865</v>
      </c>
      <c r="AD222" s="63" t="s">
        <v>865</v>
      </c>
      <c r="AE222" s="63" t="s">
        <v>865</v>
      </c>
      <c r="AF222" s="63" t="s">
        <v>865</v>
      </c>
      <c r="AG222" s="63" t="s">
        <v>865</v>
      </c>
      <c r="AI222" s="63" t="str">
        <f>G221</f>
        <v>Entertainment</v>
      </c>
      <c r="AJ222" s="63" t="str">
        <f>AI222</f>
        <v>Entertainment</v>
      </c>
      <c r="AK222" s="63" t="str">
        <f t="shared" ref="AK222:AS222" si="5">AJ222</f>
        <v>Entertainment</v>
      </c>
      <c r="AL222" s="63" t="str">
        <f t="shared" si="5"/>
        <v>Entertainment</v>
      </c>
      <c r="AM222" s="63" t="str">
        <f t="shared" si="5"/>
        <v>Entertainment</v>
      </c>
      <c r="AN222" s="63" t="str">
        <f t="shared" si="5"/>
        <v>Entertainment</v>
      </c>
      <c r="AO222" s="63" t="str">
        <f t="shared" si="5"/>
        <v>Entertainment</v>
      </c>
      <c r="AP222" s="63" t="str">
        <f t="shared" si="5"/>
        <v>Entertainment</v>
      </c>
      <c r="AQ222" s="63" t="str">
        <f t="shared" si="5"/>
        <v>Entertainment</v>
      </c>
      <c r="AR222" s="63" t="str">
        <f t="shared" si="5"/>
        <v>Entertainment</v>
      </c>
      <c r="AS222" s="63" t="str">
        <f t="shared" si="5"/>
        <v>Entertainment</v>
      </c>
      <c r="AU222" s="63" t="str">
        <f>CONCATENATE(H221," ",H222)</f>
        <v>Location Unknown TOS / NC / DI</v>
      </c>
      <c r="AV222" s="63" t="str">
        <f>AU222</f>
        <v>Location Unknown TOS / NC / DI</v>
      </c>
      <c r="AW222" s="63" t="str">
        <f t="shared" ref="AW222:BE222" si="6">AV222</f>
        <v>Location Unknown TOS / NC / DI</v>
      </c>
      <c r="AX222" s="63" t="str">
        <f t="shared" si="6"/>
        <v>Location Unknown TOS / NC / DI</v>
      </c>
      <c r="AY222" s="63" t="str">
        <f t="shared" si="6"/>
        <v>Location Unknown TOS / NC / DI</v>
      </c>
      <c r="AZ222" s="63" t="str">
        <f t="shared" si="6"/>
        <v>Location Unknown TOS / NC / DI</v>
      </c>
      <c r="BA222" s="63" t="str">
        <f t="shared" si="6"/>
        <v>Location Unknown TOS / NC / DI</v>
      </c>
      <c r="BB222" s="63" t="str">
        <f t="shared" si="6"/>
        <v>Location Unknown TOS / NC / DI</v>
      </c>
      <c r="BC222" s="63" t="str">
        <f t="shared" si="6"/>
        <v>Location Unknown TOS / NC / DI</v>
      </c>
      <c r="BD222" s="63" t="str">
        <f t="shared" si="6"/>
        <v>Location Unknown TOS / NC / DI</v>
      </c>
      <c r="BE222" s="63" t="str">
        <f t="shared" si="6"/>
        <v>Location Unknown TOS / NC / DI</v>
      </c>
      <c r="BG222" s="63" t="str">
        <f>CONCATENATE(H221," ",I222)</f>
        <v>Location Unknown KITS</v>
      </c>
      <c r="BH222" s="63" t="str">
        <f>BG222</f>
        <v>Location Unknown KITS</v>
      </c>
      <c r="BI222" s="63" t="str">
        <f t="shared" ref="BI222:BQ222" si="7">BH222</f>
        <v>Location Unknown KITS</v>
      </c>
      <c r="BJ222" s="63" t="str">
        <f t="shared" si="7"/>
        <v>Location Unknown KITS</v>
      </c>
      <c r="BK222" s="63" t="str">
        <f t="shared" si="7"/>
        <v>Location Unknown KITS</v>
      </c>
      <c r="BL222" s="63" t="str">
        <f t="shared" si="7"/>
        <v>Location Unknown KITS</v>
      </c>
      <c r="BM222" s="63" t="str">
        <f t="shared" si="7"/>
        <v>Location Unknown KITS</v>
      </c>
      <c r="BN222" s="63" t="str">
        <f t="shared" si="7"/>
        <v>Location Unknown KITS</v>
      </c>
      <c r="BO222" s="63" t="str">
        <f t="shared" si="7"/>
        <v>Location Unknown KITS</v>
      </c>
      <c r="BP222" s="63" t="str">
        <f t="shared" si="7"/>
        <v>Location Unknown KITS</v>
      </c>
      <c r="BQ222" s="63" t="str">
        <f t="shared" si="7"/>
        <v>Location Unknown KITS</v>
      </c>
    </row>
    <row r="223" spans="2:69" outlineLevel="1" x14ac:dyDescent="0.25">
      <c r="D223" s="321" t="s">
        <v>870</v>
      </c>
      <c r="E223" s="321" t="s">
        <v>871</v>
      </c>
      <c r="F223" s="52">
        <v>31</v>
      </c>
      <c r="G223" s="52">
        <v>75.099999999999994</v>
      </c>
      <c r="H223" s="1601"/>
      <c r="I223" s="1601"/>
      <c r="J223" s="1150"/>
      <c r="K223" s="514"/>
      <c r="M223" s="130"/>
      <c r="V223" s="117" t="s">
        <v>871</v>
      </c>
      <c r="W223" s="520">
        <v>31</v>
      </c>
      <c r="X223" s="520">
        <v>31</v>
      </c>
      <c r="Y223" s="520"/>
      <c r="Z223" s="520"/>
      <c r="AA223" s="520"/>
      <c r="AB223" s="520"/>
      <c r="AC223" s="520"/>
      <c r="AD223" s="520"/>
      <c r="AE223" s="520"/>
      <c r="AF223" s="520"/>
      <c r="AG223" s="520"/>
      <c r="AI223" s="302">
        <v>75.099999999999994</v>
      </c>
      <c r="AJ223" s="302">
        <v>75.099999999999994</v>
      </c>
      <c r="AK223" s="520"/>
      <c r="AL223" s="520"/>
      <c r="AM223" s="520"/>
      <c r="AN223" s="520"/>
      <c r="AO223" s="520"/>
      <c r="AP223" s="520"/>
      <c r="AQ223" s="520"/>
      <c r="AR223" s="520"/>
      <c r="AS223" s="520"/>
      <c r="AU223" s="302"/>
      <c r="AV223" s="302"/>
      <c r="AW223" s="520"/>
      <c r="AX223" s="520"/>
      <c r="AY223" s="520"/>
      <c r="AZ223" s="520"/>
      <c r="BA223" s="520"/>
      <c r="BB223" s="520"/>
      <c r="BC223" s="520"/>
      <c r="BD223" s="520"/>
      <c r="BE223" s="520"/>
      <c r="BG223" s="520"/>
      <c r="BH223" s="520"/>
      <c r="BI223" s="520"/>
      <c r="BJ223" s="520"/>
      <c r="BK223" s="520"/>
      <c r="BL223" s="520"/>
      <c r="BM223" s="520"/>
      <c r="BN223" s="520"/>
      <c r="BO223" s="520"/>
      <c r="BP223" s="520"/>
      <c r="BQ223" s="520"/>
    </row>
    <row r="224" spans="2:69" ht="27" customHeight="1" outlineLevel="1" x14ac:dyDescent="0.25">
      <c r="D224" s="321" t="s">
        <v>872</v>
      </c>
      <c r="E224" s="726" t="s">
        <v>873</v>
      </c>
      <c r="F224" s="243">
        <v>0</v>
      </c>
      <c r="G224" s="243">
        <v>1</v>
      </c>
      <c r="H224" s="243">
        <v>0.64</v>
      </c>
      <c r="I224" s="243">
        <v>0.52</v>
      </c>
      <c r="J224" s="1039"/>
      <c r="K224" s="514"/>
      <c r="M224" s="130"/>
      <c r="V224" s="355" t="s">
        <v>873</v>
      </c>
      <c r="W224" s="522">
        <v>0</v>
      </c>
      <c r="X224" s="522">
        <v>0</v>
      </c>
      <c r="Y224" s="522"/>
      <c r="Z224" s="522"/>
      <c r="AA224" s="522"/>
      <c r="AB224" s="522"/>
      <c r="AC224" s="522"/>
      <c r="AD224" s="522"/>
      <c r="AE224" s="522"/>
      <c r="AF224" s="522"/>
      <c r="AG224" s="522"/>
      <c r="AI224" s="521">
        <v>1</v>
      </c>
      <c r="AJ224" s="521">
        <v>1</v>
      </c>
      <c r="AK224" s="522"/>
      <c r="AL224" s="522"/>
      <c r="AM224" s="522"/>
      <c r="AN224" s="522"/>
      <c r="AO224" s="522"/>
      <c r="AP224" s="522"/>
      <c r="AQ224" s="522"/>
      <c r="AR224" s="522"/>
      <c r="AS224" s="522"/>
      <c r="AU224" s="521">
        <f>1-AU225</f>
        <v>0.64</v>
      </c>
      <c r="AV224" s="521">
        <f>1-AV225</f>
        <v>0.64</v>
      </c>
      <c r="AW224" s="522"/>
      <c r="AX224" s="522"/>
      <c r="AY224" s="522"/>
      <c r="AZ224" s="522"/>
      <c r="BA224" s="522"/>
      <c r="BB224" s="522"/>
      <c r="BC224" s="522"/>
      <c r="BD224" s="522"/>
      <c r="BE224" s="522"/>
      <c r="BG224" s="521">
        <f>1-BG225</f>
        <v>0.52</v>
      </c>
      <c r="BH224" s="521">
        <f>1-BH225</f>
        <v>0.52</v>
      </c>
      <c r="BI224" s="522"/>
      <c r="BJ224" s="522"/>
      <c r="BK224" s="522"/>
      <c r="BL224" s="522"/>
      <c r="BM224" s="522"/>
      <c r="BN224" s="522"/>
      <c r="BO224" s="522"/>
      <c r="BP224" s="522"/>
      <c r="BQ224" s="522"/>
    </row>
    <row r="225" spans="2:69" outlineLevel="1" x14ac:dyDescent="0.25">
      <c r="D225" s="321" t="s">
        <v>874</v>
      </c>
      <c r="E225" s="726" t="s">
        <v>875</v>
      </c>
      <c r="F225" s="243">
        <v>1</v>
      </c>
      <c r="G225" s="243">
        <v>0</v>
      </c>
      <c r="H225" s="243">
        <v>0.36</v>
      </c>
      <c r="I225" s="243">
        <v>0.48</v>
      </c>
      <c r="J225" s="1150"/>
      <c r="K225" s="514"/>
      <c r="M225" s="130"/>
      <c r="V225" s="355" t="s">
        <v>875</v>
      </c>
      <c r="W225" s="523">
        <v>1</v>
      </c>
      <c r="X225" s="523">
        <v>1</v>
      </c>
      <c r="Y225" s="523"/>
      <c r="Z225" s="523"/>
      <c r="AA225" s="523"/>
      <c r="AB225" s="523"/>
      <c r="AC225" s="523"/>
      <c r="AD225" s="523"/>
      <c r="AE225" s="523"/>
      <c r="AF225" s="523"/>
      <c r="AG225" s="523"/>
      <c r="AI225" s="521">
        <v>0</v>
      </c>
      <c r="AJ225" s="521">
        <v>0</v>
      </c>
      <c r="AK225" s="523"/>
      <c r="AL225" s="523"/>
      <c r="AM225" s="523"/>
      <c r="AN225" s="523"/>
      <c r="AO225" s="523"/>
      <c r="AP225" s="523"/>
      <c r="AQ225" s="523"/>
      <c r="AR225" s="523"/>
      <c r="AS225" s="523"/>
      <c r="AU225" s="521">
        <v>0.36</v>
      </c>
      <c r="AV225" s="521">
        <v>0.36</v>
      </c>
      <c r="AW225" s="523"/>
      <c r="AX225" s="523"/>
      <c r="AY225" s="523"/>
      <c r="AZ225" s="523"/>
      <c r="BA225" s="523"/>
      <c r="BB225" s="523"/>
      <c r="BC225" s="523"/>
      <c r="BD225" s="523"/>
      <c r="BE225" s="523"/>
      <c r="BG225" s="521">
        <v>0.48</v>
      </c>
      <c r="BH225" s="521">
        <v>0.48</v>
      </c>
      <c r="BI225" s="523"/>
      <c r="BJ225" s="523"/>
      <c r="BK225" s="523"/>
      <c r="BL225" s="523"/>
      <c r="BM225" s="523"/>
      <c r="BN225" s="523"/>
      <c r="BO225" s="523"/>
      <c r="BP225" s="523"/>
      <c r="BQ225" s="523"/>
    </row>
    <row r="226" spans="2:69" outlineLevel="1" x14ac:dyDescent="0.25">
      <c r="D226" s="321" t="s">
        <v>58</v>
      </c>
      <c r="E226" s="890" t="s">
        <v>876</v>
      </c>
      <c r="F226" s="1602"/>
      <c r="G226" s="1603"/>
      <c r="H226" s="243">
        <v>1</v>
      </c>
      <c r="I226" s="243">
        <v>0.78</v>
      </c>
      <c r="J226" s="1039"/>
      <c r="K226" s="514"/>
      <c r="M226" s="130"/>
      <c r="V226" s="428" t="s">
        <v>876</v>
      </c>
      <c r="W226" s="524"/>
      <c r="X226" s="524"/>
      <c r="Y226" s="524"/>
      <c r="Z226" s="524"/>
      <c r="AA226" s="524"/>
      <c r="AB226" s="524"/>
      <c r="AC226" s="524"/>
      <c r="AD226" s="524"/>
      <c r="AE226" s="524"/>
      <c r="AF226" s="524"/>
      <c r="AG226" s="524"/>
      <c r="AI226" s="524"/>
      <c r="AJ226" s="524"/>
      <c r="AK226" s="524"/>
      <c r="AL226" s="524"/>
      <c r="AM226" s="524"/>
      <c r="AN226" s="524"/>
      <c r="AO226" s="524"/>
      <c r="AP226" s="524"/>
      <c r="AQ226" s="524"/>
      <c r="AR226" s="524"/>
      <c r="AS226" s="524"/>
      <c r="AU226" s="453">
        <v>1</v>
      </c>
      <c r="AV226" s="453">
        <v>1</v>
      </c>
      <c r="AW226" s="524"/>
      <c r="AX226" s="524"/>
      <c r="AY226" s="524"/>
      <c r="AZ226" s="524"/>
      <c r="BA226" s="524"/>
      <c r="BB226" s="524"/>
      <c r="BC226" s="524"/>
      <c r="BD226" s="524"/>
      <c r="BE226" s="524"/>
      <c r="BG226" s="453">
        <v>0.78</v>
      </c>
      <c r="BH226" s="453">
        <v>0.78</v>
      </c>
      <c r="BI226" s="524"/>
      <c r="BJ226" s="524"/>
      <c r="BK226" s="524"/>
      <c r="BL226" s="524"/>
      <c r="BM226" s="524"/>
      <c r="BN226" s="524"/>
      <c r="BO226" s="524"/>
      <c r="BP226" s="524"/>
      <c r="BQ226" s="524"/>
    </row>
    <row r="227" spans="2:69" outlineLevel="1" x14ac:dyDescent="0.25">
      <c r="D227" s="321" t="s">
        <v>574</v>
      </c>
      <c r="E227" s="890" t="s">
        <v>574</v>
      </c>
      <c r="F227" s="243">
        <v>0.47315310825962376</v>
      </c>
      <c r="G227" s="1603"/>
      <c r="H227" s="908"/>
      <c r="I227" s="908"/>
      <c r="J227" s="1039"/>
      <c r="K227" s="514"/>
      <c r="M227" s="130"/>
      <c r="V227" s="428" t="s">
        <v>574</v>
      </c>
      <c r="W227" s="453">
        <v>0.47315310825962376</v>
      </c>
      <c r="X227" s="453">
        <v>0.47315310825962376</v>
      </c>
      <c r="Y227" s="466"/>
      <c r="Z227" s="466"/>
      <c r="AA227" s="466"/>
      <c r="AB227" s="466"/>
      <c r="AC227" s="466"/>
      <c r="AD227" s="466"/>
      <c r="AE227" s="466"/>
      <c r="AF227" s="466"/>
      <c r="AG227" s="466"/>
      <c r="AI227" s="466"/>
      <c r="AJ227" s="466"/>
      <c r="AK227" s="466"/>
      <c r="AL227" s="466"/>
      <c r="AM227" s="466"/>
      <c r="AN227" s="466"/>
      <c r="AO227" s="466"/>
      <c r="AP227" s="466"/>
      <c r="AQ227" s="466"/>
      <c r="AR227" s="466"/>
      <c r="AS227" s="466"/>
      <c r="AU227" s="453"/>
      <c r="AV227" s="453"/>
      <c r="AW227" s="466"/>
      <c r="AX227" s="466"/>
      <c r="AY227" s="466"/>
      <c r="AZ227" s="466"/>
      <c r="BA227" s="466"/>
      <c r="BB227" s="466"/>
      <c r="BC227" s="466"/>
      <c r="BD227" s="466"/>
      <c r="BE227" s="466"/>
      <c r="BG227" s="466"/>
      <c r="BH227" s="466"/>
      <c r="BI227" s="466"/>
      <c r="BJ227" s="466"/>
      <c r="BK227" s="466"/>
      <c r="BL227" s="466"/>
      <c r="BM227" s="466"/>
      <c r="BN227" s="466"/>
      <c r="BO227" s="466"/>
      <c r="BP227" s="466"/>
      <c r="BQ227" s="466"/>
    </row>
    <row r="228" spans="2:69" outlineLevel="1" x14ac:dyDescent="0.25">
      <c r="B228" s="1087"/>
      <c r="C228" s="1434"/>
      <c r="D228" s="899" t="s">
        <v>738</v>
      </c>
      <c r="E228" s="899" t="s">
        <v>504</v>
      </c>
      <c r="F228" s="2077">
        <v>10</v>
      </c>
      <c r="G228" s="2078"/>
      <c r="H228" s="2078"/>
      <c r="I228" s="2078"/>
      <c r="J228" s="1091"/>
      <c r="K228" s="514"/>
      <c r="L228" s="904"/>
      <c r="M228" s="1452"/>
      <c r="N228" s="904"/>
      <c r="O228" s="904"/>
      <c r="P228" s="904"/>
      <c r="Q228" s="904"/>
      <c r="V228" s="158" t="s">
        <v>738</v>
      </c>
      <c r="W228" s="406">
        <v>10</v>
      </c>
      <c r="X228" s="406">
        <v>10</v>
      </c>
      <c r="Y228" s="406"/>
      <c r="Z228" s="406"/>
      <c r="AA228" s="406"/>
      <c r="AB228" s="406"/>
      <c r="AC228" s="406"/>
      <c r="AD228" s="406"/>
      <c r="AE228" s="406"/>
      <c r="AF228" s="406"/>
      <c r="AG228" s="406"/>
    </row>
    <row r="229" spans="2:69" outlineLevel="1" x14ac:dyDescent="0.25">
      <c r="B229" s="1087"/>
      <c r="C229" s="1434"/>
      <c r="D229" s="407" t="s">
        <v>24</v>
      </c>
      <c r="E229" s="899" t="s">
        <v>506</v>
      </c>
      <c r="F229" s="2079">
        <v>20</v>
      </c>
      <c r="G229" s="2078"/>
      <c r="H229" s="2078"/>
      <c r="I229" s="2078"/>
      <c r="J229" s="1091"/>
      <c r="K229" s="514"/>
      <c r="L229" s="904"/>
      <c r="M229" s="1452"/>
      <c r="N229" s="904"/>
      <c r="O229" s="904"/>
      <c r="P229" s="904"/>
      <c r="Q229" s="904"/>
      <c r="V229" s="162" t="s">
        <v>24</v>
      </c>
      <c r="W229" s="408">
        <v>20</v>
      </c>
      <c r="X229" s="408">
        <v>20</v>
      </c>
      <c r="Y229" s="408"/>
      <c r="Z229" s="408"/>
      <c r="AA229" s="408"/>
      <c r="AB229" s="408"/>
      <c r="AC229" s="408"/>
      <c r="AD229" s="408"/>
      <c r="AE229" s="408"/>
      <c r="AF229" s="408"/>
      <c r="AG229" s="408"/>
    </row>
  </sheetData>
  <mergeCells count="91">
    <mergeCell ref="A1:O1"/>
    <mergeCell ref="D2:J2"/>
    <mergeCell ref="B4:N4"/>
    <mergeCell ref="V4:AH4"/>
    <mergeCell ref="D17:D18"/>
    <mergeCell ref="V17:V18"/>
    <mergeCell ref="D22:D23"/>
    <mergeCell ref="V22:V23"/>
    <mergeCell ref="D24:D25"/>
    <mergeCell ref="V24:V25"/>
    <mergeCell ref="D26:D27"/>
    <mergeCell ref="V26:V27"/>
    <mergeCell ref="D30:D31"/>
    <mergeCell ref="V30:V31"/>
    <mergeCell ref="B34:N34"/>
    <mergeCell ref="V34:AH34"/>
    <mergeCell ref="D55:D57"/>
    <mergeCell ref="E55:E57"/>
    <mergeCell ref="V55:V57"/>
    <mergeCell ref="J91:K91"/>
    <mergeCell ref="D58:D60"/>
    <mergeCell ref="E58:E60"/>
    <mergeCell ref="V58:V60"/>
    <mergeCell ref="B72:N72"/>
    <mergeCell ref="V72:AH72"/>
    <mergeCell ref="J85:K85"/>
    <mergeCell ref="J86:K86"/>
    <mergeCell ref="J87:K87"/>
    <mergeCell ref="J88:K88"/>
    <mergeCell ref="J89:K89"/>
    <mergeCell ref="J90:K90"/>
    <mergeCell ref="J103:K103"/>
    <mergeCell ref="J92:K92"/>
    <mergeCell ref="J93:K93"/>
    <mergeCell ref="J94:K94"/>
    <mergeCell ref="J95:K95"/>
    <mergeCell ref="J96:K96"/>
    <mergeCell ref="J97:K97"/>
    <mergeCell ref="J98:K98"/>
    <mergeCell ref="J99:K99"/>
    <mergeCell ref="J100:K100"/>
    <mergeCell ref="J101:K101"/>
    <mergeCell ref="J102:K102"/>
    <mergeCell ref="J129:K129"/>
    <mergeCell ref="J104:K104"/>
    <mergeCell ref="B107:N107"/>
    <mergeCell ref="V107:AH107"/>
    <mergeCell ref="J121:K121"/>
    <mergeCell ref="J122:K122"/>
    <mergeCell ref="J123:K123"/>
    <mergeCell ref="J124:K124"/>
    <mergeCell ref="J125:K125"/>
    <mergeCell ref="J126:K126"/>
    <mergeCell ref="J127:K127"/>
    <mergeCell ref="J128:K128"/>
    <mergeCell ref="V142:AH142"/>
    <mergeCell ref="J130:K130"/>
    <mergeCell ref="J131:K131"/>
    <mergeCell ref="J132:K132"/>
    <mergeCell ref="J133:K133"/>
    <mergeCell ref="J134:K134"/>
    <mergeCell ref="J135:K135"/>
    <mergeCell ref="J136:K136"/>
    <mergeCell ref="J137:K137"/>
    <mergeCell ref="J138:K138"/>
    <mergeCell ref="J139:K139"/>
    <mergeCell ref="B142:N142"/>
    <mergeCell ref="J196:L196"/>
    <mergeCell ref="B177:N177"/>
    <mergeCell ref="V177:AH177"/>
    <mergeCell ref="J187:L187"/>
    <mergeCell ref="J188:L188"/>
    <mergeCell ref="J189:L189"/>
    <mergeCell ref="J190:L190"/>
    <mergeCell ref="J191:L191"/>
    <mergeCell ref="J192:L192"/>
    <mergeCell ref="J193:L193"/>
    <mergeCell ref="J194:L194"/>
    <mergeCell ref="J195:L195"/>
    <mergeCell ref="V206:AH206"/>
    <mergeCell ref="H221:I221"/>
    <mergeCell ref="F228:I228"/>
    <mergeCell ref="F229:I229"/>
    <mergeCell ref="J197:L197"/>
    <mergeCell ref="J198:L198"/>
    <mergeCell ref="J199:L199"/>
    <mergeCell ref="J200:L200"/>
    <mergeCell ref="J201:L201"/>
    <mergeCell ref="J202:L202"/>
    <mergeCell ref="J203:L203"/>
    <mergeCell ref="B206:N206"/>
  </mergeCells>
  <hyperlinks>
    <hyperlink ref="G97" r:id="rId1" display="http://ilsagfiles.org/SAG_files/Technical_Reference_Manual/Version_5/Final/IL-TRM_Version_5.0_dated_February-11-2016_Final_Compiled_Volumes_1-4.pdf"/>
    <hyperlink ref="G99" r:id="rId2" display="http://www.nrel.gov/docs/fy10osti/47246.pdf"/>
    <hyperlink ref="G92" r:id="rId3" display="http://ilsagfiles.org/SAG_files/Technical_Reference_Manual/Version_5/Final/IL-TRM_Version_5.0_dated_February-11-2016_Final_Compiled_Volumes_1-4.pdf"/>
    <hyperlink ref="I92" r:id="rId4" display="http://ilsagfiles.org/SAG_files/Technical_Reference_Manual/Version_5/Final/IL-TRM_Version_5.0_dated_February-11-2016_Final_Compiled_Volumes_1-4.pdf"/>
    <hyperlink ref="G132" r:id="rId5" display="http://ilsagfiles.org/SAG_files/Technical_Reference_Manual/Version_5/Final/IL-TRM_Version_5.0_dated_February-11-2016_Final_Compiled_Volumes_1-4.pdf"/>
    <hyperlink ref="G134" r:id="rId6" display="http://www.nrel.gov/docs/fy10osti/47246.pdf"/>
    <hyperlink ref="G133" r:id="rId7" display="https://www.efis.psc.mo.gov/mpsc/commoncomponents/viewdocument.asp?DocId=935658483"/>
    <hyperlink ref="I133" r:id="rId8" display="https://www.efis.psc.mo.gov/mpsc/commoncomponents/viewdocument.asp?DocId=935658483"/>
    <hyperlink ref="G127" r:id="rId9" display="http://ilsagfiles.org/SAG_files/Technical_Reference_Manual/Version_5/Final/IL-TRM_Version_5.0_dated_February-11-2016_Final_Compiled_Volumes_1-4.pdf"/>
    <hyperlink ref="I127" r:id="rId10" display="http://ilsagfiles.org/SAG_files/Technical_Reference_Manual/Version_5/Final/IL-TRM_Version_5.0_dated_February-11-2016_Final_Compiled_Volumes_1-4.pdf"/>
    <hyperlink ref="G168" r:id="rId11" display="https://www.efis.psc.mo.gov/mpsc/commoncomponents/viewdocument.asp?DocId=935658483"/>
    <hyperlink ref="G169" r:id="rId12" display="http://www.nrel.gov/docs/fy10osti/47246.pdf"/>
  </hyperlinks>
  <pageMargins left="0.7" right="0.7" top="0.75" bottom="0.75" header="0.3" footer="0.3"/>
  <pageSetup scale="10" fitToHeight="0" orientation="landscape" r:id="rId13"/>
  <rowBreaks count="1" manualBreakCount="1">
    <brk id="205" max="69" man="1"/>
  </rowBreaks>
  <drawing r:id="rId14"/>
  <legacyDrawing r:id="rId1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H2090"/>
  <sheetViews>
    <sheetView showGridLines="0" topLeftCell="A943" zoomScale="55" zoomScaleNormal="55" zoomScaleSheetLayoutView="85" workbookViewId="0">
      <selection activeCell="F2117" sqref="F2117"/>
    </sheetView>
  </sheetViews>
  <sheetFormatPr defaultRowHeight="15" outlineLevelRow="1" x14ac:dyDescent="0.25"/>
  <cols>
    <col min="1" max="1" width="3.28515625" style="395" customWidth="1"/>
    <col min="2" max="2" width="9.140625" style="130"/>
    <col min="3" max="3" width="11.140625" style="616" customWidth="1"/>
    <col min="4" max="4" width="18.140625" style="658" customWidth="1"/>
    <col min="5" max="5" width="66.85546875" style="658" customWidth="1"/>
    <col min="6" max="6" width="61.85546875" style="130" customWidth="1"/>
    <col min="7" max="7" width="20.42578125" style="658" customWidth="1"/>
    <col min="8" max="8" width="17" style="130" customWidth="1"/>
    <col min="9" max="9" width="12.42578125" style="130" customWidth="1"/>
    <col min="10" max="10" width="11.7109375" style="130" customWidth="1"/>
    <col min="11" max="11" width="12.5703125" style="130" customWidth="1"/>
    <col min="12" max="12" width="53" style="130" customWidth="1"/>
    <col min="13" max="13" width="49.5703125" style="130" customWidth="1"/>
    <col min="14" max="14" width="15.85546875" style="130" customWidth="1"/>
    <col min="15" max="15" width="14.140625" style="130" customWidth="1"/>
    <col min="16" max="16" width="15.85546875" style="130" customWidth="1"/>
    <col min="17" max="17" width="17" style="130" customWidth="1"/>
    <col min="18" max="18" width="23.5703125" style="130" customWidth="1"/>
    <col min="19" max="19" width="14" style="130" customWidth="1"/>
    <col min="20" max="21" width="9.140625" style="130" customWidth="1"/>
    <col min="22" max="22" width="20.5703125" customWidth="1"/>
    <col min="23" max="23" width="15.42578125" customWidth="1"/>
    <col min="24" max="24" width="18" customWidth="1"/>
    <col min="25" max="33" width="15.42578125" customWidth="1"/>
  </cols>
  <sheetData>
    <row r="1" spans="1:34" s="22" customFormat="1" ht="18.75" x14ac:dyDescent="0.3">
      <c r="A1" s="2028" t="s">
        <v>877</v>
      </c>
      <c r="B1" s="2097"/>
      <c r="C1" s="2097"/>
      <c r="D1" s="2097"/>
      <c r="E1" s="2097"/>
      <c r="F1" s="2097"/>
      <c r="G1" s="2097"/>
      <c r="H1" s="2097"/>
      <c r="I1" s="2097"/>
      <c r="J1" s="2097"/>
      <c r="K1" s="2097"/>
      <c r="L1" s="2097"/>
      <c r="M1" s="2097"/>
      <c r="N1" s="2097"/>
      <c r="O1" s="2097"/>
      <c r="P1" s="2030"/>
      <c r="Q1" s="2225"/>
      <c r="R1" s="2225"/>
      <c r="S1" s="1222"/>
      <c r="T1" s="1222"/>
      <c r="U1" s="1222"/>
      <c r="V1" s="27"/>
      <c r="W1" s="28"/>
      <c r="X1" s="28"/>
      <c r="Y1" s="29"/>
      <c r="Z1" s="29"/>
      <c r="AA1" s="29"/>
      <c r="AB1" s="29"/>
      <c r="AC1" s="29"/>
      <c r="AD1" s="29"/>
      <c r="AE1" s="29"/>
      <c r="AF1" s="29"/>
      <c r="AG1" s="29"/>
      <c r="AH1" s="29"/>
    </row>
    <row r="2" spans="1:34" s="22" customFormat="1" ht="30" hidden="1" customHeight="1" outlineLevel="1" x14ac:dyDescent="0.35">
      <c r="B2" s="1226"/>
      <c r="C2" s="1229"/>
      <c r="D2" s="2002" t="s">
        <v>1858</v>
      </c>
      <c r="E2" s="2032"/>
      <c r="F2" s="2033"/>
      <c r="G2" s="2033"/>
      <c r="H2" s="2033"/>
      <c r="I2" s="2033"/>
      <c r="J2" s="2033"/>
      <c r="K2" s="1228"/>
      <c r="L2" s="1228"/>
      <c r="M2" s="1222"/>
      <c r="N2" s="1222"/>
      <c r="O2" s="1222"/>
      <c r="P2" s="1222"/>
      <c r="Q2" s="1222"/>
      <c r="R2" s="1222"/>
      <c r="S2" s="1222"/>
      <c r="T2" s="1222"/>
      <c r="U2" s="1222"/>
    </row>
    <row r="3" spans="1:34" s="24" customFormat="1" ht="33.75" customHeight="1" collapsed="1" x14ac:dyDescent="0.25">
      <c r="B3" s="1223"/>
      <c r="C3" s="1224"/>
      <c r="D3" s="1409"/>
      <c r="E3" s="1409"/>
      <c r="F3" s="1224"/>
      <c r="G3" s="1409"/>
      <c r="H3" s="1224"/>
      <c r="I3" s="1224"/>
      <c r="J3" s="1224"/>
      <c r="K3" s="1223"/>
      <c r="L3" s="1223"/>
      <c r="M3" s="1529"/>
      <c r="N3" s="1223"/>
      <c r="O3" s="1223"/>
      <c r="P3" s="1223"/>
      <c r="Q3" s="1223"/>
      <c r="R3" s="1223"/>
      <c r="S3" s="1223"/>
      <c r="T3" s="1223"/>
      <c r="U3" s="1223"/>
    </row>
    <row r="4" spans="1:34" x14ac:dyDescent="0.25">
      <c r="B4" s="2022" t="s">
        <v>878</v>
      </c>
      <c r="C4" s="2023"/>
      <c r="D4" s="2023"/>
      <c r="E4" s="2023"/>
      <c r="F4" s="2023"/>
      <c r="G4" s="2023"/>
      <c r="H4" s="2023"/>
      <c r="I4" s="2023"/>
      <c r="J4" s="2023"/>
      <c r="K4" s="2023"/>
      <c r="L4" s="2023"/>
      <c r="M4" s="2023"/>
      <c r="N4" s="2023"/>
      <c r="O4" s="2023"/>
      <c r="P4" s="2023"/>
      <c r="Q4" s="2196"/>
      <c r="R4" s="904"/>
      <c r="V4" s="2022" t="str">
        <f>B4</f>
        <v>ECM/ Blower Motor</v>
      </c>
      <c r="W4" s="2023"/>
      <c r="X4" s="2023"/>
      <c r="Y4" s="2023"/>
      <c r="Z4" s="2023"/>
      <c r="AA4" s="2023"/>
      <c r="AB4" s="2023"/>
      <c r="AC4" s="2024"/>
      <c r="AD4" s="2024"/>
      <c r="AE4" s="2024"/>
      <c r="AF4" s="2024"/>
      <c r="AG4" s="2024"/>
      <c r="AH4" s="2025"/>
    </row>
    <row r="5" spans="1:34" x14ac:dyDescent="0.25">
      <c r="B5" s="1087"/>
      <c r="C5" s="1434"/>
      <c r="D5" s="1435"/>
      <c r="E5" s="1435"/>
      <c r="F5" s="1436"/>
      <c r="G5" s="1435"/>
      <c r="H5" s="1436"/>
      <c r="I5" s="1436"/>
      <c r="J5" s="1436"/>
      <c r="K5" s="1436"/>
      <c r="L5" s="1437"/>
      <c r="M5" s="904"/>
      <c r="N5" s="904"/>
      <c r="O5" s="904"/>
      <c r="P5" s="904"/>
      <c r="Q5" s="904"/>
      <c r="R5" s="904"/>
    </row>
    <row r="6" spans="1:34" ht="45" x14ac:dyDescent="0.25">
      <c r="B6" s="1087"/>
      <c r="C6" s="184" t="s">
        <v>16</v>
      </c>
      <c r="D6" s="184" t="s">
        <v>509</v>
      </c>
      <c r="E6" s="184" t="s">
        <v>18</v>
      </c>
      <c r="F6" s="184" t="s">
        <v>19</v>
      </c>
      <c r="G6" s="184" t="s">
        <v>20</v>
      </c>
      <c r="H6" s="184" t="s">
        <v>21</v>
      </c>
      <c r="I6" s="184" t="s">
        <v>724</v>
      </c>
      <c r="J6" s="184" t="s">
        <v>725</v>
      </c>
      <c r="K6" s="184" t="s">
        <v>879</v>
      </c>
      <c r="L6" s="184" t="s">
        <v>880</v>
      </c>
      <c r="M6" s="184" t="s">
        <v>22</v>
      </c>
      <c r="N6" s="448" t="s">
        <v>23</v>
      </c>
      <c r="O6" s="184" t="s">
        <v>24</v>
      </c>
      <c r="P6" s="184" t="s">
        <v>25</v>
      </c>
      <c r="Q6" s="904"/>
      <c r="V6" s="48" t="s">
        <v>26</v>
      </c>
      <c r="W6" s="49">
        <v>43252</v>
      </c>
      <c r="X6" s="49">
        <v>43465</v>
      </c>
      <c r="Y6" s="49" t="s">
        <v>27</v>
      </c>
      <c r="Z6" s="49" t="s">
        <v>27</v>
      </c>
      <c r="AA6" s="49" t="s">
        <v>27</v>
      </c>
      <c r="AB6" s="49" t="s">
        <v>27</v>
      </c>
      <c r="AC6" s="49" t="s">
        <v>27</v>
      </c>
      <c r="AD6" s="49" t="s">
        <v>27</v>
      </c>
      <c r="AE6" s="49" t="s">
        <v>27</v>
      </c>
      <c r="AF6" s="49" t="s">
        <v>27</v>
      </c>
      <c r="AG6" s="49" t="s">
        <v>27</v>
      </c>
    </row>
    <row r="7" spans="1:34" x14ac:dyDescent="0.25">
      <c r="B7" s="1087"/>
      <c r="C7" s="1531"/>
      <c r="D7" s="1531" t="s">
        <v>1773</v>
      </c>
      <c r="E7" s="1066" t="s">
        <v>881</v>
      </c>
      <c r="F7" s="1077">
        <f t="shared" ref="F7:F18" si="0">I7+J7+K7+L7</f>
        <v>619.79873095030314</v>
      </c>
      <c r="G7" s="1066" t="s">
        <v>728</v>
      </c>
      <c r="H7" s="170">
        <f>VLOOKUP(G7,'CP FACTORS'!$A$3:$B$38, 2, FALSE)</f>
        <v>4.6608050000000002E-4</v>
      </c>
      <c r="I7" s="1062">
        <f t="shared" ref="I7:I18" si="1">(1-I33)*400*I$45/I$46*I62</f>
        <v>264.30782359704136</v>
      </c>
      <c r="J7" s="1533">
        <f t="shared" ref="J7:J18" si="2">(1-I47)*70*I$59/I$60*I62</f>
        <v>33.500123943123533</v>
      </c>
      <c r="K7" s="1145">
        <f>(25*I$59/I$60+2960*10%-30)*I62</f>
        <v>321.99078341013825</v>
      </c>
      <c r="L7" s="1604">
        <v>0</v>
      </c>
      <c r="M7" s="1605">
        <f t="shared" ref="M7:M18" si="3">H7*F7</f>
        <v>0.28887610242068279</v>
      </c>
      <c r="N7" s="525">
        <f>I74</f>
        <v>20</v>
      </c>
      <c r="O7" s="526">
        <f>I86</f>
        <v>0</v>
      </c>
      <c r="P7" s="1531" t="s">
        <v>31</v>
      </c>
      <c r="Q7" s="904"/>
      <c r="V7" s="176" t="s">
        <v>19</v>
      </c>
      <c r="W7" s="1184">
        <v>591.90332067911811</v>
      </c>
      <c r="X7" s="1183">
        <v>619.79873095030314</v>
      </c>
      <c r="Y7" s="176"/>
      <c r="Z7" s="176"/>
      <c r="AA7" s="176"/>
      <c r="AB7" s="176"/>
      <c r="AC7" s="176"/>
      <c r="AD7" s="176"/>
      <c r="AE7" s="176"/>
      <c r="AF7" s="176"/>
      <c r="AG7" s="176"/>
    </row>
    <row r="8" spans="1:34" x14ac:dyDescent="0.25">
      <c r="B8" s="1087"/>
      <c r="C8" s="1531"/>
      <c r="D8" s="1531" t="s">
        <v>1772</v>
      </c>
      <c r="E8" s="1066" t="s">
        <v>882</v>
      </c>
      <c r="F8" s="1077">
        <f t="shared" si="0"/>
        <v>619.79873095030314</v>
      </c>
      <c r="G8" s="1066" t="s">
        <v>728</v>
      </c>
      <c r="H8" s="170">
        <f>VLOOKUP(G8,'CP FACTORS'!$A$3:$B$38, 2, FALSE)</f>
        <v>4.6608050000000002E-4</v>
      </c>
      <c r="I8" s="1062">
        <f t="shared" si="1"/>
        <v>264.30782359704136</v>
      </c>
      <c r="J8" s="1533">
        <f t="shared" si="2"/>
        <v>33.500123943123533</v>
      </c>
      <c r="K8" s="1145">
        <f t="shared" ref="K8:K12" si="4">(25*I$59/I$60+2960*10%-30)*I63</f>
        <v>321.99078341013825</v>
      </c>
      <c r="L8" s="1604">
        <v>0</v>
      </c>
      <c r="M8" s="1605">
        <f t="shared" si="3"/>
        <v>0.28887610242068279</v>
      </c>
      <c r="N8" s="525">
        <f t="shared" ref="N8:N18" si="5">I75</f>
        <v>20</v>
      </c>
      <c r="O8" s="526">
        <f t="shared" ref="O8:O18" si="6">I87</f>
        <v>0</v>
      </c>
      <c r="P8" s="1531" t="s">
        <v>31</v>
      </c>
      <c r="Q8" s="904"/>
      <c r="V8" s="176" t="s">
        <v>19</v>
      </c>
      <c r="W8" s="1184">
        <v>591.90332067911811</v>
      </c>
      <c r="X8" s="1183">
        <v>619.79873095030314</v>
      </c>
      <c r="Y8" s="176"/>
      <c r="Z8" s="176"/>
      <c r="AA8" s="176"/>
      <c r="AB8" s="176"/>
      <c r="AC8" s="176"/>
      <c r="AD8" s="176"/>
      <c r="AE8" s="176"/>
      <c r="AF8" s="176"/>
      <c r="AG8" s="176"/>
    </row>
    <row r="9" spans="1:34" x14ac:dyDescent="0.25">
      <c r="B9" s="1087"/>
      <c r="C9" s="1531"/>
      <c r="D9" s="1531" t="s">
        <v>1773</v>
      </c>
      <c r="E9" s="1066" t="s">
        <v>883</v>
      </c>
      <c r="F9" s="1077">
        <f t="shared" si="0"/>
        <v>619.79873095030314</v>
      </c>
      <c r="G9" s="1066" t="s">
        <v>728</v>
      </c>
      <c r="H9" s="170">
        <f>VLOOKUP(G9,'CP FACTORS'!$A$3:$B$38, 2, FALSE)</f>
        <v>4.6608050000000002E-4</v>
      </c>
      <c r="I9" s="1062">
        <f t="shared" si="1"/>
        <v>264.30782359704136</v>
      </c>
      <c r="J9" s="1533">
        <f t="shared" si="2"/>
        <v>33.500123943123533</v>
      </c>
      <c r="K9" s="1145">
        <f t="shared" si="4"/>
        <v>321.99078341013825</v>
      </c>
      <c r="L9" s="1604">
        <v>0</v>
      </c>
      <c r="M9" s="1605">
        <f t="shared" si="3"/>
        <v>0.28887610242068279</v>
      </c>
      <c r="N9" s="525">
        <f t="shared" si="5"/>
        <v>6</v>
      </c>
      <c r="O9" s="526">
        <f t="shared" si="6"/>
        <v>96.828432298395683</v>
      </c>
      <c r="P9" s="1531" t="s">
        <v>31</v>
      </c>
      <c r="Q9" s="904"/>
      <c r="V9" s="176" t="s">
        <v>19</v>
      </c>
      <c r="W9" s="1184">
        <v>591.90332067911811</v>
      </c>
      <c r="X9" s="1183">
        <v>619.79873095030314</v>
      </c>
      <c r="Y9" s="176"/>
      <c r="Z9" s="176"/>
      <c r="AA9" s="176"/>
      <c r="AB9" s="176"/>
      <c r="AC9" s="176"/>
      <c r="AD9" s="176"/>
      <c r="AE9" s="176"/>
      <c r="AF9" s="176"/>
      <c r="AG9" s="176"/>
    </row>
    <row r="10" spans="1:34" x14ac:dyDescent="0.25">
      <c r="B10" s="1087"/>
      <c r="C10" s="1531"/>
      <c r="D10" s="1531" t="s">
        <v>1773</v>
      </c>
      <c r="E10" s="1066" t="s">
        <v>884</v>
      </c>
      <c r="F10" s="1077">
        <f t="shared" si="0"/>
        <v>619.79873095030314</v>
      </c>
      <c r="G10" s="837" t="str">
        <f>'CP FACTORS'!$A$17</f>
        <v>HVAC RES ER2</v>
      </c>
      <c r="H10" s="170">
        <f>VLOOKUP(G10,'CP FACTORS'!$A$3:$B$38, 2, FALSE)</f>
        <v>4.6608050000000002E-4</v>
      </c>
      <c r="I10" s="1062">
        <f t="shared" si="1"/>
        <v>264.30782359704136</v>
      </c>
      <c r="J10" s="1533">
        <f t="shared" si="2"/>
        <v>33.500123943123533</v>
      </c>
      <c r="K10" s="1145">
        <f t="shared" si="4"/>
        <v>321.99078341013825</v>
      </c>
      <c r="L10" s="1604">
        <v>0</v>
      </c>
      <c r="M10" s="1605">
        <f t="shared" si="3"/>
        <v>0.28887610242068279</v>
      </c>
      <c r="N10" s="525">
        <f t="shared" si="5"/>
        <v>12</v>
      </c>
      <c r="O10" s="526">
        <f t="shared" si="6"/>
        <v>0</v>
      </c>
      <c r="P10" s="1531" t="s">
        <v>31</v>
      </c>
      <c r="Q10" s="904"/>
      <c r="V10" s="176" t="s">
        <v>19</v>
      </c>
      <c r="W10" s="1184">
        <v>591.90332067911811</v>
      </c>
      <c r="X10" s="1183">
        <v>619.79873095030314</v>
      </c>
      <c r="Y10" s="176"/>
      <c r="Z10" s="176"/>
      <c r="AA10" s="176"/>
      <c r="AB10" s="176"/>
      <c r="AC10" s="176"/>
      <c r="AD10" s="176"/>
      <c r="AE10" s="176"/>
      <c r="AF10" s="176"/>
      <c r="AG10" s="176"/>
    </row>
    <row r="11" spans="1:34" x14ac:dyDescent="0.25">
      <c r="B11" s="1087"/>
      <c r="C11" s="1531"/>
      <c r="D11" s="1531" t="s">
        <v>1772</v>
      </c>
      <c r="E11" s="1066" t="s">
        <v>885</v>
      </c>
      <c r="F11" s="1077">
        <f t="shared" si="0"/>
        <v>619.79873095030314</v>
      </c>
      <c r="G11" s="837" t="s">
        <v>728</v>
      </c>
      <c r="H11" s="170">
        <f>VLOOKUP(G11,'CP FACTORS'!$A$3:$B$38, 2, FALSE)</f>
        <v>4.6608050000000002E-4</v>
      </c>
      <c r="I11" s="1062">
        <f t="shared" si="1"/>
        <v>264.30782359704136</v>
      </c>
      <c r="J11" s="1533">
        <f t="shared" si="2"/>
        <v>33.500123943123533</v>
      </c>
      <c r="K11" s="1145">
        <f t="shared" si="4"/>
        <v>321.99078341013825</v>
      </c>
      <c r="L11" s="1604">
        <v>0</v>
      </c>
      <c r="M11" s="1605">
        <f t="shared" si="3"/>
        <v>0.28887610242068279</v>
      </c>
      <c r="N11" s="525">
        <f t="shared" si="5"/>
        <v>6</v>
      </c>
      <c r="O11" s="526">
        <f t="shared" si="6"/>
        <v>96.828432298395683</v>
      </c>
      <c r="P11" s="1531" t="s">
        <v>31</v>
      </c>
      <c r="Q11" s="904"/>
      <c r="V11" s="176" t="s">
        <v>19</v>
      </c>
      <c r="W11" s="1184">
        <v>591.90332067911811</v>
      </c>
      <c r="X11" s="1183">
        <v>619.79873095030314</v>
      </c>
      <c r="Y11" s="176"/>
      <c r="Z11" s="176"/>
      <c r="AA11" s="176"/>
      <c r="AB11" s="176"/>
      <c r="AC11" s="176"/>
      <c r="AD11" s="176"/>
      <c r="AE11" s="176"/>
      <c r="AF11" s="176"/>
      <c r="AG11" s="176"/>
    </row>
    <row r="12" spans="1:34" x14ac:dyDescent="0.25">
      <c r="B12" s="1087"/>
      <c r="C12" s="1531"/>
      <c r="D12" s="1531" t="s">
        <v>1772</v>
      </c>
      <c r="E12" s="1066" t="s">
        <v>886</v>
      </c>
      <c r="F12" s="1077">
        <f t="shared" si="0"/>
        <v>619.79873095030314</v>
      </c>
      <c r="G12" s="837" t="str">
        <f>'CP FACTORS'!$A$17</f>
        <v>HVAC RES ER2</v>
      </c>
      <c r="H12" s="170">
        <f>VLOOKUP(G12,'CP FACTORS'!$A$3:$B$38, 2, FALSE)</f>
        <v>4.6608050000000002E-4</v>
      </c>
      <c r="I12" s="1062">
        <f t="shared" si="1"/>
        <v>264.30782359704136</v>
      </c>
      <c r="J12" s="1533">
        <f t="shared" si="2"/>
        <v>33.500123943123533</v>
      </c>
      <c r="K12" s="1145">
        <f t="shared" si="4"/>
        <v>321.99078341013825</v>
      </c>
      <c r="L12" s="1604">
        <v>0</v>
      </c>
      <c r="M12" s="1605">
        <f t="shared" si="3"/>
        <v>0.28887610242068279</v>
      </c>
      <c r="N12" s="525">
        <f t="shared" si="5"/>
        <v>12</v>
      </c>
      <c r="O12" s="526">
        <f t="shared" si="6"/>
        <v>0</v>
      </c>
      <c r="P12" s="1531" t="s">
        <v>31</v>
      </c>
      <c r="Q12" s="904"/>
      <c r="R12" s="1606"/>
      <c r="V12" s="176" t="s">
        <v>19</v>
      </c>
      <c r="W12" s="1184">
        <v>591.90332067911811</v>
      </c>
      <c r="X12" s="1183">
        <v>619.79873095030314</v>
      </c>
      <c r="Y12" s="176"/>
      <c r="Z12" s="176"/>
      <c r="AA12" s="176"/>
      <c r="AB12" s="176"/>
      <c r="AC12" s="176"/>
      <c r="AD12" s="176"/>
      <c r="AE12" s="176"/>
      <c r="AF12" s="176"/>
      <c r="AG12" s="176"/>
    </row>
    <row r="13" spans="1:34" x14ac:dyDescent="0.25">
      <c r="B13" s="1087"/>
      <c r="C13" s="1531"/>
      <c r="D13" s="1531" t="s">
        <v>1773</v>
      </c>
      <c r="E13" s="1066" t="s">
        <v>887</v>
      </c>
      <c r="F13" s="1077">
        <f t="shared" si="0"/>
        <v>3283.7987309503033</v>
      </c>
      <c r="G13" s="837" t="s">
        <v>728</v>
      </c>
      <c r="H13" s="170">
        <f>VLOOKUP(G13,'CP FACTORS'!$A$3:$B$38, 2, FALSE)</f>
        <v>4.6608050000000002E-4</v>
      </c>
      <c r="I13" s="1062">
        <f t="shared" si="1"/>
        <v>264.30782359704136</v>
      </c>
      <c r="J13" s="1533">
        <f t="shared" si="2"/>
        <v>33.500123943123533</v>
      </c>
      <c r="K13" s="1145">
        <v>0</v>
      </c>
      <c r="L13" s="1604">
        <f t="shared" ref="L13:L18" si="7">(25*I$59/I$60+2960-30)*I68</f>
        <v>2985.9907834101382</v>
      </c>
      <c r="M13" s="1605">
        <f t="shared" si="3"/>
        <v>1.5305145544206828</v>
      </c>
      <c r="N13" s="525">
        <f t="shared" si="5"/>
        <v>20</v>
      </c>
      <c r="O13" s="526">
        <f t="shared" si="6"/>
        <v>0</v>
      </c>
      <c r="P13" s="1531" t="s">
        <v>31</v>
      </c>
      <c r="Q13" s="904"/>
      <c r="V13" s="176" t="s">
        <v>19</v>
      </c>
      <c r="W13" s="1184">
        <v>3255.9033206791182</v>
      </c>
      <c r="X13" s="1183">
        <v>3283.7987309503033</v>
      </c>
      <c r="Y13" s="176"/>
      <c r="Z13" s="176"/>
      <c r="AA13" s="176"/>
      <c r="AB13" s="176"/>
      <c r="AC13" s="176"/>
      <c r="AD13" s="176"/>
      <c r="AE13" s="176"/>
      <c r="AF13" s="176"/>
      <c r="AG13" s="176"/>
    </row>
    <row r="14" spans="1:34" x14ac:dyDescent="0.25">
      <c r="B14" s="1087"/>
      <c r="C14" s="1531"/>
      <c r="D14" s="1531" t="s">
        <v>1772</v>
      </c>
      <c r="E14" s="1066" t="s">
        <v>888</v>
      </c>
      <c r="F14" s="1077">
        <f t="shared" si="0"/>
        <v>3283.7987309503033</v>
      </c>
      <c r="G14" s="837" t="s">
        <v>728</v>
      </c>
      <c r="H14" s="170">
        <f>VLOOKUP(G14,'CP FACTORS'!$A$3:$B$38, 2, FALSE)</f>
        <v>4.6608050000000002E-4</v>
      </c>
      <c r="I14" s="1062">
        <f t="shared" si="1"/>
        <v>264.30782359704136</v>
      </c>
      <c r="J14" s="1533">
        <f t="shared" si="2"/>
        <v>33.500123943123533</v>
      </c>
      <c r="K14" s="1607">
        <v>0</v>
      </c>
      <c r="L14" s="1604">
        <f t="shared" si="7"/>
        <v>2985.9907834101382</v>
      </c>
      <c r="M14" s="1605">
        <f t="shared" si="3"/>
        <v>1.5305145544206828</v>
      </c>
      <c r="N14" s="525">
        <f t="shared" si="5"/>
        <v>20</v>
      </c>
      <c r="O14" s="526">
        <f t="shared" si="6"/>
        <v>0</v>
      </c>
      <c r="P14" s="1531" t="s">
        <v>31</v>
      </c>
      <c r="Q14" s="904"/>
      <c r="V14" s="176" t="s">
        <v>19</v>
      </c>
      <c r="W14" s="1184">
        <v>3255.9033206791182</v>
      </c>
      <c r="X14" s="1183">
        <v>3283.7987309503033</v>
      </c>
      <c r="Y14" s="176"/>
      <c r="Z14" s="176"/>
      <c r="AA14" s="176"/>
      <c r="AB14" s="176"/>
      <c r="AC14" s="176"/>
      <c r="AD14" s="176"/>
      <c r="AE14" s="176"/>
      <c r="AF14" s="176"/>
      <c r="AG14" s="176"/>
    </row>
    <row r="15" spans="1:34" x14ac:dyDescent="0.25">
      <c r="B15" s="1087"/>
      <c r="C15" s="1531"/>
      <c r="D15" s="1531" t="s">
        <v>1773</v>
      </c>
      <c r="E15" s="1066" t="s">
        <v>889</v>
      </c>
      <c r="F15" s="1077">
        <f t="shared" si="0"/>
        <v>3283.7987309503033</v>
      </c>
      <c r="G15" s="837" t="s">
        <v>728</v>
      </c>
      <c r="H15" s="170">
        <f>VLOOKUP(G15,'CP FACTORS'!$A$3:$B$38, 2, FALSE)</f>
        <v>4.6608050000000002E-4</v>
      </c>
      <c r="I15" s="1062">
        <f t="shared" si="1"/>
        <v>264.30782359704136</v>
      </c>
      <c r="J15" s="1533">
        <f t="shared" si="2"/>
        <v>33.500123943123533</v>
      </c>
      <c r="K15" s="1607">
        <v>0</v>
      </c>
      <c r="L15" s="1604">
        <f t="shared" si="7"/>
        <v>2985.9907834101382</v>
      </c>
      <c r="M15" s="1605">
        <f t="shared" si="3"/>
        <v>1.5305145544206828</v>
      </c>
      <c r="N15" s="525">
        <f t="shared" si="5"/>
        <v>6</v>
      </c>
      <c r="O15" s="526">
        <f t="shared" si="6"/>
        <v>96.828432298395683</v>
      </c>
      <c r="P15" s="1531" t="s">
        <v>31</v>
      </c>
      <c r="Q15" s="904"/>
      <c r="V15" s="176" t="s">
        <v>19</v>
      </c>
      <c r="W15" s="1184">
        <v>3255.9033206791182</v>
      </c>
      <c r="X15" s="1183">
        <v>3283.7987309503033</v>
      </c>
      <c r="Y15" s="176"/>
      <c r="Z15" s="176"/>
      <c r="AA15" s="176"/>
      <c r="AB15" s="176"/>
      <c r="AC15" s="176"/>
      <c r="AD15" s="176"/>
      <c r="AE15" s="176"/>
      <c r="AF15" s="176"/>
      <c r="AG15" s="176"/>
    </row>
    <row r="16" spans="1:34" x14ac:dyDescent="0.25">
      <c r="B16" s="1087"/>
      <c r="C16" s="1531"/>
      <c r="D16" s="1531" t="s">
        <v>1773</v>
      </c>
      <c r="E16" s="1066" t="s">
        <v>890</v>
      </c>
      <c r="F16" s="1077">
        <f t="shared" si="0"/>
        <v>3283.7987309503033</v>
      </c>
      <c r="G16" s="837" t="str">
        <f>'CP FACTORS'!$A$17</f>
        <v>HVAC RES ER2</v>
      </c>
      <c r="H16" s="170">
        <f>VLOOKUP(G16,'CP FACTORS'!$A$3:$B$38, 2, FALSE)</f>
        <v>4.6608050000000002E-4</v>
      </c>
      <c r="I16" s="1062">
        <f t="shared" si="1"/>
        <v>264.30782359704136</v>
      </c>
      <c r="J16" s="1533">
        <f t="shared" si="2"/>
        <v>33.500123943123533</v>
      </c>
      <c r="K16" s="1607">
        <v>0</v>
      </c>
      <c r="L16" s="1604">
        <f t="shared" si="7"/>
        <v>2985.9907834101382</v>
      </c>
      <c r="M16" s="1605">
        <f t="shared" si="3"/>
        <v>1.5305145544206828</v>
      </c>
      <c r="N16" s="525">
        <f t="shared" si="5"/>
        <v>12</v>
      </c>
      <c r="O16" s="526">
        <f t="shared" si="6"/>
        <v>0</v>
      </c>
      <c r="P16" s="1531" t="s">
        <v>31</v>
      </c>
      <c r="Q16" s="904"/>
      <c r="V16" s="176" t="s">
        <v>19</v>
      </c>
      <c r="W16" s="1184">
        <v>3255.9033206791182</v>
      </c>
      <c r="X16" s="1183">
        <v>3283.7987309503033</v>
      </c>
      <c r="Y16" s="176"/>
      <c r="Z16" s="176"/>
      <c r="AA16" s="176"/>
      <c r="AB16" s="176"/>
      <c r="AC16" s="176"/>
      <c r="AD16" s="176"/>
      <c r="AE16" s="176"/>
      <c r="AF16" s="176"/>
      <c r="AG16" s="176"/>
    </row>
    <row r="17" spans="2:33" x14ac:dyDescent="0.25">
      <c r="B17" s="1087"/>
      <c r="C17" s="1531"/>
      <c r="D17" s="1531" t="s">
        <v>1772</v>
      </c>
      <c r="E17" s="1066" t="s">
        <v>891</v>
      </c>
      <c r="F17" s="1077">
        <f t="shared" si="0"/>
        <v>3283.7987309503033</v>
      </c>
      <c r="G17" s="837" t="s">
        <v>728</v>
      </c>
      <c r="H17" s="170">
        <f>VLOOKUP(G17,'CP FACTORS'!$A$3:$B$38, 2, FALSE)</f>
        <v>4.6608050000000002E-4</v>
      </c>
      <c r="I17" s="1062">
        <f t="shared" si="1"/>
        <v>264.30782359704136</v>
      </c>
      <c r="J17" s="1533">
        <f t="shared" si="2"/>
        <v>33.500123943123533</v>
      </c>
      <c r="K17" s="1607">
        <v>0</v>
      </c>
      <c r="L17" s="1604">
        <f t="shared" si="7"/>
        <v>2985.9907834101382</v>
      </c>
      <c r="M17" s="1605">
        <f t="shared" si="3"/>
        <v>1.5305145544206828</v>
      </c>
      <c r="N17" s="525">
        <f t="shared" si="5"/>
        <v>6</v>
      </c>
      <c r="O17" s="526">
        <f t="shared" si="6"/>
        <v>96.828432298395683</v>
      </c>
      <c r="P17" s="1531" t="s">
        <v>31</v>
      </c>
      <c r="Q17" s="904"/>
      <c r="V17" s="176" t="s">
        <v>19</v>
      </c>
      <c r="W17" s="1184">
        <v>3255.9033206791182</v>
      </c>
      <c r="X17" s="1183">
        <v>3283.7987309503033</v>
      </c>
      <c r="Y17" s="176"/>
      <c r="Z17" s="176"/>
      <c r="AA17" s="176"/>
      <c r="AB17" s="176"/>
      <c r="AC17" s="176"/>
      <c r="AD17" s="176"/>
      <c r="AE17" s="176"/>
      <c r="AF17" s="176"/>
      <c r="AG17" s="176"/>
    </row>
    <row r="18" spans="2:33" x14ac:dyDescent="0.25">
      <c r="B18" s="1087"/>
      <c r="C18" s="1531"/>
      <c r="D18" s="1531" t="s">
        <v>614</v>
      </c>
      <c r="E18" s="1066" t="s">
        <v>892</v>
      </c>
      <c r="F18" s="1077">
        <f t="shared" si="0"/>
        <v>3283.7987309503033</v>
      </c>
      <c r="G18" s="837" t="str">
        <f>'CP FACTORS'!$A$17</f>
        <v>HVAC RES ER2</v>
      </c>
      <c r="H18" s="170">
        <f>VLOOKUP(G18,'CP FACTORS'!$A$3:$B$38, 2, FALSE)</f>
        <v>4.6608050000000002E-4</v>
      </c>
      <c r="I18" s="1062">
        <f t="shared" si="1"/>
        <v>264.30782359704136</v>
      </c>
      <c r="J18" s="1533">
        <f t="shared" si="2"/>
        <v>33.500123943123533</v>
      </c>
      <c r="K18" s="1607">
        <v>0</v>
      </c>
      <c r="L18" s="1604">
        <f t="shared" si="7"/>
        <v>2985.9907834101382</v>
      </c>
      <c r="M18" s="1605">
        <f t="shared" si="3"/>
        <v>1.5305145544206828</v>
      </c>
      <c r="N18" s="525">
        <f t="shared" si="5"/>
        <v>12</v>
      </c>
      <c r="O18" s="526">
        <f t="shared" si="6"/>
        <v>0</v>
      </c>
      <c r="P18" s="1531" t="s">
        <v>31</v>
      </c>
      <c r="Q18" s="904"/>
      <c r="V18" s="176" t="s">
        <v>19</v>
      </c>
      <c r="W18" s="1184">
        <v>3255.9033206791182</v>
      </c>
      <c r="X18" s="1183">
        <v>3283.7987309503033</v>
      </c>
      <c r="Y18" s="176"/>
      <c r="Z18" s="176"/>
      <c r="AA18" s="176"/>
      <c r="AB18" s="176"/>
      <c r="AC18" s="176"/>
      <c r="AD18" s="176"/>
      <c r="AE18" s="176"/>
      <c r="AF18" s="176"/>
      <c r="AG18" s="176"/>
    </row>
    <row r="19" spans="2:33" hidden="1" outlineLevel="1" x14ac:dyDescent="0.25">
      <c r="B19" s="1087"/>
      <c r="C19" s="1434"/>
      <c r="D19" s="1444"/>
      <c r="E19" s="1444"/>
      <c r="F19" s="1445"/>
      <c r="G19" s="1608"/>
      <c r="H19" s="904"/>
      <c r="I19" s="904"/>
      <c r="J19" s="904"/>
      <c r="K19" s="904"/>
      <c r="L19" s="904"/>
      <c r="M19" s="904"/>
      <c r="N19" s="1088"/>
      <c r="O19" s="904"/>
      <c r="P19" s="904"/>
      <c r="Q19" s="904"/>
      <c r="R19" s="904"/>
      <c r="S19" s="529"/>
      <c r="T19" s="529"/>
      <c r="U19" s="529"/>
      <c r="V19" s="395"/>
      <c r="W19" s="395"/>
      <c r="X19" s="529"/>
      <c r="Y19" s="395"/>
      <c r="Z19" s="395"/>
      <c r="AA19" s="395"/>
      <c r="AB19" s="395"/>
    </row>
    <row r="20" spans="2:33" ht="19.5" hidden="1" customHeight="1" outlineLevel="1" x14ac:dyDescent="0.25">
      <c r="B20" s="1087"/>
      <c r="C20" s="1434"/>
      <c r="D20" s="1418" t="s">
        <v>463</v>
      </c>
      <c r="E20" s="1444"/>
      <c r="F20" s="1445"/>
      <c r="G20" s="1444"/>
      <c r="H20" s="904"/>
      <c r="I20" s="904"/>
      <c r="J20" s="904"/>
      <c r="K20" s="904"/>
      <c r="L20" s="904"/>
      <c r="M20" s="904"/>
      <c r="N20" s="1088"/>
      <c r="O20" s="904"/>
      <c r="P20" s="904"/>
      <c r="Q20" s="904"/>
      <c r="R20" s="904"/>
      <c r="S20" s="529"/>
      <c r="T20" s="529"/>
      <c r="U20" s="529"/>
      <c r="V20" s="395"/>
      <c r="W20" s="395"/>
      <c r="X20" s="395"/>
      <c r="Y20" s="395"/>
      <c r="Z20" s="395"/>
      <c r="AA20" s="395"/>
      <c r="AB20" s="395"/>
    </row>
    <row r="21" spans="2:33" ht="19.5" hidden="1" customHeight="1" outlineLevel="1" x14ac:dyDescent="0.4">
      <c r="B21" s="1087"/>
      <c r="C21" s="1447"/>
      <c r="D21" s="1546"/>
      <c r="E21" s="1444"/>
      <c r="F21" s="1445"/>
      <c r="G21" s="1444"/>
      <c r="H21" s="904"/>
      <c r="I21" s="904"/>
      <c r="J21" s="904"/>
      <c r="K21" s="904"/>
      <c r="L21" s="904"/>
      <c r="M21" s="904"/>
      <c r="N21" s="1088"/>
      <c r="O21" s="904"/>
      <c r="P21" s="904"/>
      <c r="Q21" s="904"/>
      <c r="R21" s="904"/>
      <c r="S21" s="1609"/>
      <c r="T21" s="1610"/>
      <c r="U21" s="1610"/>
      <c r="V21" s="530"/>
      <c r="W21" s="530"/>
      <c r="X21" s="530"/>
      <c r="Y21" s="530"/>
      <c r="Z21" s="530"/>
      <c r="AA21" s="531"/>
      <c r="AB21" s="531"/>
      <c r="AC21" s="532"/>
    </row>
    <row r="22" spans="2:33" ht="19.5" hidden="1" customHeight="1" outlineLevel="1" x14ac:dyDescent="0.45">
      <c r="B22" s="1087"/>
      <c r="C22" s="1447"/>
      <c r="D22" s="1546"/>
      <c r="E22" s="1444"/>
      <c r="F22" s="1445"/>
      <c r="G22" s="1444"/>
      <c r="H22" s="904"/>
      <c r="I22" s="904"/>
      <c r="J22" s="904"/>
      <c r="K22" s="904"/>
      <c r="L22" s="904"/>
      <c r="M22" s="904"/>
      <c r="N22" s="1088"/>
      <c r="O22" s="904"/>
      <c r="P22" s="904"/>
      <c r="Q22" s="904"/>
      <c r="R22" s="904"/>
      <c r="S22" s="1609"/>
      <c r="T22" s="1611"/>
      <c r="U22" s="1611"/>
      <c r="V22" s="533"/>
      <c r="W22" s="533"/>
      <c r="X22" s="533"/>
      <c r="Y22" s="533"/>
      <c r="Z22" s="533"/>
      <c r="AA22" s="395"/>
      <c r="AB22" s="395"/>
    </row>
    <row r="23" spans="2:33" ht="19.5" hidden="1" customHeight="1" outlineLevel="1" x14ac:dyDescent="0.45">
      <c r="B23" s="1087"/>
      <c r="C23" s="1447"/>
      <c r="D23" s="1546"/>
      <c r="E23" s="1444"/>
      <c r="F23" s="1445"/>
      <c r="G23" s="1444"/>
      <c r="H23" s="904"/>
      <c r="I23" s="904"/>
      <c r="J23" s="904"/>
      <c r="K23" s="904"/>
      <c r="L23" s="904"/>
      <c r="M23" s="904"/>
      <c r="N23" s="1088"/>
      <c r="O23" s="904"/>
      <c r="P23" s="904"/>
      <c r="Q23" s="904"/>
      <c r="R23" s="904"/>
      <c r="S23" s="1609"/>
      <c r="T23" s="1611"/>
      <c r="U23" s="1611"/>
      <c r="V23" s="533"/>
      <c r="W23" s="533"/>
      <c r="X23" s="533"/>
      <c r="Y23" s="533"/>
      <c r="Z23" s="533"/>
      <c r="AA23" s="395"/>
      <c r="AB23" s="395"/>
    </row>
    <row r="24" spans="2:33" ht="19.5" hidden="1" customHeight="1" outlineLevel="1" x14ac:dyDescent="0.35">
      <c r="B24" s="1087"/>
      <c r="C24" s="1447"/>
      <c r="D24" s="1546"/>
      <c r="E24" s="1444"/>
      <c r="F24" s="1445"/>
      <c r="G24" s="1444"/>
      <c r="H24" s="904"/>
      <c r="I24" s="904"/>
      <c r="J24" s="904"/>
      <c r="K24" s="904"/>
      <c r="L24" s="904"/>
      <c r="M24" s="904"/>
      <c r="N24" s="1088"/>
      <c r="O24" s="904"/>
      <c r="P24" s="904"/>
      <c r="Q24" s="904"/>
      <c r="R24" s="904"/>
      <c r="S24" s="1609"/>
      <c r="T24" s="529"/>
      <c r="U24" s="529"/>
      <c r="V24" s="395"/>
      <c r="W24" s="395"/>
      <c r="X24" s="395"/>
      <c r="Y24" s="395"/>
      <c r="Z24" s="395"/>
      <c r="AA24" s="395"/>
      <c r="AB24" s="395"/>
    </row>
    <row r="25" spans="2:33" ht="19.5" hidden="1" customHeight="1" outlineLevel="1" x14ac:dyDescent="0.25">
      <c r="B25" s="1087"/>
      <c r="C25" s="1447"/>
      <c r="D25" s="1546"/>
      <c r="E25" s="1444"/>
      <c r="F25" s="1445"/>
      <c r="G25" s="1444"/>
      <c r="H25" s="904"/>
      <c r="I25" s="904"/>
      <c r="J25" s="904"/>
      <c r="K25" s="904"/>
      <c r="L25" s="904"/>
      <c r="M25" s="904"/>
      <c r="N25" s="1088"/>
      <c r="O25" s="904"/>
      <c r="P25" s="904"/>
      <c r="Q25" s="904"/>
      <c r="R25" s="904"/>
    </row>
    <row r="26" spans="2:33" ht="19.5" hidden="1" customHeight="1" outlineLevel="1" x14ac:dyDescent="0.25">
      <c r="B26" s="1087"/>
      <c r="C26" s="1454"/>
      <c r="D26" s="1546"/>
      <c r="E26" s="1444"/>
      <c r="F26" s="1445"/>
      <c r="G26" s="1444"/>
      <c r="H26" s="904"/>
      <c r="I26" s="904"/>
      <c r="J26" s="904"/>
      <c r="K26" s="904"/>
      <c r="L26" s="904"/>
      <c r="M26" s="904"/>
      <c r="N26" s="1088"/>
      <c r="O26" s="904"/>
      <c r="P26" s="904"/>
      <c r="Q26" s="904"/>
      <c r="R26" s="904"/>
    </row>
    <row r="27" spans="2:33" ht="19.5" hidden="1" customHeight="1" outlineLevel="1" x14ac:dyDescent="0.25">
      <c r="B27" s="1087"/>
      <c r="C27" s="1454"/>
      <c r="D27" s="1546"/>
      <c r="E27" s="1444"/>
      <c r="F27" s="1445"/>
      <c r="G27" s="1444"/>
      <c r="H27" s="904"/>
      <c r="I27" s="904"/>
      <c r="J27" s="904"/>
      <c r="K27" s="904"/>
      <c r="L27" s="904"/>
      <c r="M27" s="904"/>
      <c r="N27" s="1088"/>
      <c r="O27" s="904"/>
      <c r="P27" s="904"/>
      <c r="Q27" s="904"/>
      <c r="R27" s="904"/>
    </row>
    <row r="28" spans="2:33" ht="19.5" hidden="1" customHeight="1" outlineLevel="1" x14ac:dyDescent="0.25">
      <c r="B28" s="1087"/>
      <c r="C28" s="1455"/>
      <c r="D28" s="1546"/>
      <c r="E28" s="1444"/>
      <c r="F28" s="1445"/>
      <c r="G28" s="1444"/>
      <c r="H28" s="904"/>
      <c r="I28" s="904"/>
      <c r="J28" s="904"/>
      <c r="K28" s="904"/>
      <c r="L28" s="904"/>
      <c r="M28" s="904"/>
      <c r="N28" s="1088"/>
      <c r="O28" s="904"/>
      <c r="P28" s="904"/>
      <c r="Q28" s="904"/>
      <c r="R28" s="904"/>
    </row>
    <row r="29" spans="2:33" ht="19.5" hidden="1" customHeight="1" outlineLevel="1" x14ac:dyDescent="0.25">
      <c r="B29" s="1087"/>
      <c r="C29" s="1455"/>
      <c r="D29" s="1546"/>
      <c r="E29" s="1444"/>
      <c r="F29" s="1445"/>
      <c r="G29" s="1444"/>
      <c r="H29" s="904"/>
      <c r="I29" s="904"/>
      <c r="J29" s="904"/>
      <c r="K29" s="904"/>
      <c r="L29" s="904"/>
      <c r="M29" s="904"/>
      <c r="N29" s="1088"/>
      <c r="O29" s="904"/>
      <c r="P29" s="904"/>
      <c r="Q29" s="904"/>
      <c r="R29" s="904"/>
    </row>
    <row r="30" spans="2:33" ht="21" hidden="1" customHeight="1" outlineLevel="1" x14ac:dyDescent="0.25">
      <c r="B30" s="1087"/>
      <c r="C30" s="1455"/>
      <c r="D30" s="1546"/>
      <c r="E30" s="1444"/>
      <c r="F30" s="1445"/>
      <c r="G30" s="1444"/>
      <c r="H30" s="904"/>
      <c r="I30" s="904"/>
      <c r="J30" s="904"/>
      <c r="K30" s="904"/>
      <c r="L30" s="904"/>
      <c r="M30" s="904"/>
      <c r="N30" s="1088"/>
      <c r="O30" s="904"/>
      <c r="P30" s="904"/>
      <c r="Q30" s="904"/>
      <c r="R30" s="904"/>
    </row>
    <row r="31" spans="2:33" ht="21" hidden="1" customHeight="1" outlineLevel="1" x14ac:dyDescent="0.25">
      <c r="B31" s="1087"/>
      <c r="C31" s="1434"/>
      <c r="D31" s="1444"/>
      <c r="E31" s="1444"/>
      <c r="F31" s="904"/>
      <c r="G31" s="1444"/>
      <c r="H31" s="904"/>
      <c r="I31" s="904"/>
      <c r="J31" s="904"/>
      <c r="K31" s="904"/>
      <c r="L31" s="904"/>
      <c r="M31" s="904"/>
      <c r="N31" s="1088"/>
      <c r="O31" s="904"/>
      <c r="P31" s="904"/>
      <c r="Q31" s="904"/>
      <c r="R31" s="904"/>
    </row>
    <row r="32" spans="2:33" ht="15.75" hidden="1" outlineLevel="1" thickBot="1" x14ac:dyDescent="0.3">
      <c r="B32" s="1087"/>
      <c r="C32" s="1434"/>
      <c r="D32" s="358" t="s">
        <v>465</v>
      </c>
      <c r="E32" s="358" t="s">
        <v>466</v>
      </c>
      <c r="F32" s="2122" t="s">
        <v>514</v>
      </c>
      <c r="G32" s="2122"/>
      <c r="H32" s="2122"/>
      <c r="I32" s="534" t="s">
        <v>467</v>
      </c>
      <c r="J32" s="534" t="s">
        <v>515</v>
      </c>
      <c r="K32" s="534" t="s">
        <v>592</v>
      </c>
      <c r="L32" s="904"/>
      <c r="M32" s="904"/>
      <c r="N32" s="1088"/>
      <c r="O32" s="904"/>
      <c r="P32" s="904"/>
      <c r="Q32" s="904"/>
      <c r="R32" s="904"/>
      <c r="V32" s="48" t="s">
        <v>26</v>
      </c>
      <c r="W32" s="49">
        <v>43252</v>
      </c>
      <c r="X32" s="49">
        <f>$X$6</f>
        <v>43465</v>
      </c>
      <c r="Y32" s="49" t="str">
        <f>$Y$6</f>
        <v>-</v>
      </c>
      <c r="Z32" s="49" t="str">
        <f>$Z$6</f>
        <v>-</v>
      </c>
      <c r="AA32" s="49" t="str">
        <f>$AA$6</f>
        <v>-</v>
      </c>
      <c r="AB32" s="49" t="str">
        <f>$AB$6</f>
        <v>-</v>
      </c>
      <c r="AC32" s="49" t="str">
        <f>$AC$6</f>
        <v>-</v>
      </c>
      <c r="AD32" s="49" t="str">
        <f>$AD$6</f>
        <v>-</v>
      </c>
      <c r="AE32" s="49" t="str">
        <f>$AE$6</f>
        <v>-</v>
      </c>
      <c r="AF32" s="49" t="str">
        <f>$AF$6</f>
        <v>-</v>
      </c>
      <c r="AG32" s="49" t="str">
        <f>$AG$6</f>
        <v>-</v>
      </c>
    </row>
    <row r="33" spans="2:33" hidden="1" outlineLevel="1" x14ac:dyDescent="0.25">
      <c r="B33" s="1087"/>
      <c r="C33" s="1434"/>
      <c r="D33" s="2217" t="s">
        <v>893</v>
      </c>
      <c r="E33" s="2220" t="s">
        <v>894</v>
      </c>
      <c r="F33" s="2209" t="str">
        <f t="shared" ref="F33:F44" si="8">E7</f>
        <v>ECM Auto Fan ROF-SF</v>
      </c>
      <c r="G33" s="2209"/>
      <c r="H33" s="2209"/>
      <c r="I33" s="1612">
        <f>1759/10801</f>
        <v>0.16285529117674288</v>
      </c>
      <c r="J33" s="536" t="s">
        <v>593</v>
      </c>
      <c r="K33" s="537" t="s">
        <v>895</v>
      </c>
      <c r="L33" s="904"/>
      <c r="M33" s="904"/>
      <c r="N33" s="1088"/>
      <c r="O33" s="904"/>
      <c r="P33" s="904"/>
      <c r="Q33" s="904"/>
      <c r="R33" s="904"/>
      <c r="V33" s="2227" t="str">
        <f>D33</f>
        <v>% with New ASHP</v>
      </c>
      <c r="W33" s="538">
        <v>0.16</v>
      </c>
      <c r="X33" s="535">
        <f>1759/10801</f>
        <v>0.16285529117674288</v>
      </c>
      <c r="Y33" s="538"/>
      <c r="Z33" s="538"/>
      <c r="AA33" s="538"/>
      <c r="AB33" s="538"/>
      <c r="AC33" s="538"/>
      <c r="AD33" s="538"/>
      <c r="AE33" s="538"/>
      <c r="AF33" s="538"/>
      <c r="AG33" s="538"/>
    </row>
    <row r="34" spans="2:33" hidden="1" outlineLevel="1" x14ac:dyDescent="0.25">
      <c r="B34" s="1087"/>
      <c r="C34" s="1434"/>
      <c r="D34" s="2218"/>
      <c r="E34" s="2221"/>
      <c r="F34" s="2192" t="str">
        <f t="shared" si="8"/>
        <v>ECM Auto Fan ROF-MF</v>
      </c>
      <c r="G34" s="2192"/>
      <c r="H34" s="2192"/>
      <c r="I34" s="868">
        <f t="shared" ref="I34:I44" si="9">1759/10801</f>
        <v>0.16285529117674288</v>
      </c>
      <c r="J34" s="539" t="s">
        <v>593</v>
      </c>
      <c r="K34" s="540"/>
      <c r="L34" s="904"/>
      <c r="M34" s="904"/>
      <c r="N34" s="1088"/>
      <c r="O34" s="904"/>
      <c r="P34" s="904"/>
      <c r="Q34" s="904"/>
      <c r="R34" s="904"/>
      <c r="V34" s="2227"/>
      <c r="W34" s="109">
        <v>0.16</v>
      </c>
      <c r="X34" s="439">
        <f t="shared" ref="X34:X44" si="10">1759/10801</f>
        <v>0.16285529117674288</v>
      </c>
      <c r="Y34" s="109"/>
      <c r="Z34" s="109"/>
      <c r="AA34" s="109"/>
      <c r="AB34" s="109"/>
      <c r="AC34" s="109"/>
      <c r="AD34" s="109"/>
      <c r="AE34" s="109"/>
      <c r="AF34" s="109"/>
      <c r="AG34" s="109"/>
    </row>
    <row r="35" spans="2:33" hidden="1" outlineLevel="1" x14ac:dyDescent="0.25">
      <c r="B35" s="1087"/>
      <c r="C35" s="1434"/>
      <c r="D35" s="2218"/>
      <c r="E35" s="2222"/>
      <c r="F35" s="2192" t="str">
        <f t="shared" si="8"/>
        <v>ECM Auto Fan ER 1 - SF</v>
      </c>
      <c r="G35" s="2192"/>
      <c r="H35" s="2192"/>
      <c r="I35" s="868">
        <f t="shared" si="9"/>
        <v>0.16285529117674288</v>
      </c>
      <c r="J35" s="539" t="s">
        <v>593</v>
      </c>
      <c r="K35" s="541"/>
      <c r="L35" s="904"/>
      <c r="M35" s="904"/>
      <c r="N35" s="1088"/>
      <c r="O35" s="904"/>
      <c r="P35" s="904"/>
      <c r="Q35" s="904"/>
      <c r="R35" s="904"/>
      <c r="V35" s="2227"/>
      <c r="W35" s="109">
        <v>0.16</v>
      </c>
      <c r="X35" s="439">
        <f t="shared" si="10"/>
        <v>0.16285529117674288</v>
      </c>
      <c r="Y35" s="109"/>
      <c r="Z35" s="109"/>
      <c r="AA35" s="109"/>
      <c r="AB35" s="109"/>
      <c r="AC35" s="109"/>
      <c r="AD35" s="109"/>
      <c r="AE35" s="109"/>
      <c r="AF35" s="109"/>
      <c r="AG35" s="109"/>
    </row>
    <row r="36" spans="2:33" hidden="1" outlineLevel="1" x14ac:dyDescent="0.25">
      <c r="B36" s="1087"/>
      <c r="C36" s="1434"/>
      <c r="D36" s="2218"/>
      <c r="E36" s="2222"/>
      <c r="F36" s="2192" t="str">
        <f t="shared" si="8"/>
        <v>ECM Auto Fan ER2 - SF</v>
      </c>
      <c r="G36" s="2192"/>
      <c r="H36" s="2192"/>
      <c r="I36" s="868">
        <f t="shared" si="9"/>
        <v>0.16285529117674288</v>
      </c>
      <c r="J36" s="539" t="s">
        <v>593</v>
      </c>
      <c r="K36" s="541"/>
      <c r="L36" s="904"/>
      <c r="M36" s="904"/>
      <c r="N36" s="1088"/>
      <c r="O36" s="904"/>
      <c r="P36" s="904"/>
      <c r="Q36" s="904"/>
      <c r="R36" s="904"/>
      <c r="V36" s="2227"/>
      <c r="W36" s="109">
        <v>0.16</v>
      </c>
      <c r="X36" s="439">
        <f t="shared" si="10"/>
        <v>0.16285529117674288</v>
      </c>
      <c r="Y36" s="109"/>
      <c r="Z36" s="109"/>
      <c r="AA36" s="109"/>
      <c r="AB36" s="109"/>
      <c r="AC36" s="109"/>
      <c r="AD36" s="109"/>
      <c r="AE36" s="109"/>
      <c r="AF36" s="109"/>
      <c r="AG36" s="109"/>
    </row>
    <row r="37" spans="2:33" hidden="1" outlineLevel="1" x14ac:dyDescent="0.25">
      <c r="B37" s="1087"/>
      <c r="C37" s="1434"/>
      <c r="D37" s="2218"/>
      <c r="E37" s="2222"/>
      <c r="F37" s="2192" t="str">
        <f t="shared" si="8"/>
        <v>ECM Auto Fan ER 1 - MF</v>
      </c>
      <c r="G37" s="2192"/>
      <c r="H37" s="2192"/>
      <c r="I37" s="868">
        <f t="shared" si="9"/>
        <v>0.16285529117674288</v>
      </c>
      <c r="J37" s="539" t="s">
        <v>593</v>
      </c>
      <c r="K37" s="541"/>
      <c r="L37" s="904"/>
      <c r="M37" s="904"/>
      <c r="N37" s="1088"/>
      <c r="O37" s="904"/>
      <c r="P37" s="904"/>
      <c r="Q37" s="904"/>
      <c r="R37" s="904"/>
      <c r="V37" s="2227"/>
      <c r="W37" s="109">
        <v>0.16</v>
      </c>
      <c r="X37" s="439">
        <f t="shared" si="10"/>
        <v>0.16285529117674288</v>
      </c>
      <c r="Y37" s="109"/>
      <c r="Z37" s="109"/>
      <c r="AA37" s="109"/>
      <c r="AB37" s="109"/>
      <c r="AC37" s="109"/>
      <c r="AD37" s="109"/>
      <c r="AE37" s="109"/>
      <c r="AF37" s="109"/>
      <c r="AG37" s="109"/>
    </row>
    <row r="38" spans="2:33" hidden="1" outlineLevel="1" x14ac:dyDescent="0.25">
      <c r="B38" s="1087"/>
      <c r="C38" s="1434"/>
      <c r="D38" s="2218"/>
      <c r="E38" s="2222"/>
      <c r="F38" s="2192" t="str">
        <f t="shared" si="8"/>
        <v>ECM Auto Fan ER2 - MF</v>
      </c>
      <c r="G38" s="2192"/>
      <c r="H38" s="2192"/>
      <c r="I38" s="868">
        <f t="shared" si="9"/>
        <v>0.16285529117674288</v>
      </c>
      <c r="J38" s="539" t="s">
        <v>593</v>
      </c>
      <c r="K38" s="541"/>
      <c r="L38" s="904"/>
      <c r="M38" s="904"/>
      <c r="N38" s="1088"/>
      <c r="O38" s="904"/>
      <c r="P38" s="904"/>
      <c r="Q38" s="904"/>
      <c r="R38" s="904"/>
      <c r="V38" s="2227"/>
      <c r="W38" s="109">
        <v>0.16</v>
      </c>
      <c r="X38" s="439">
        <f t="shared" si="10"/>
        <v>0.16285529117674288</v>
      </c>
      <c r="Y38" s="109"/>
      <c r="Z38" s="109"/>
      <c r="AA38" s="109"/>
      <c r="AB38" s="109"/>
      <c r="AC38" s="109"/>
      <c r="AD38" s="109"/>
      <c r="AE38" s="109"/>
      <c r="AF38" s="109"/>
      <c r="AG38" s="109"/>
    </row>
    <row r="39" spans="2:33" hidden="1" outlineLevel="1" x14ac:dyDescent="0.25">
      <c r="B39" s="1087"/>
      <c r="C39" s="1434"/>
      <c r="D39" s="2218"/>
      <c r="E39" s="2222"/>
      <c r="F39" s="2192" t="str">
        <f t="shared" si="8"/>
        <v>ECM Continuous Fan ROF- SF</v>
      </c>
      <c r="G39" s="2192"/>
      <c r="H39" s="2192"/>
      <c r="I39" s="868">
        <f t="shared" si="9"/>
        <v>0.16285529117674288</v>
      </c>
      <c r="J39" s="539" t="s">
        <v>593</v>
      </c>
      <c r="K39" s="541"/>
      <c r="L39" s="904"/>
      <c r="M39" s="904"/>
      <c r="N39" s="1088"/>
      <c r="O39" s="904"/>
      <c r="P39" s="904"/>
      <c r="Q39" s="904"/>
      <c r="R39" s="904"/>
      <c r="V39" s="2227"/>
      <c r="W39" s="109">
        <v>0.16</v>
      </c>
      <c r="X39" s="439">
        <f t="shared" si="10"/>
        <v>0.16285529117674288</v>
      </c>
      <c r="Y39" s="109"/>
      <c r="Z39" s="109"/>
      <c r="AA39" s="109"/>
      <c r="AB39" s="109"/>
      <c r="AC39" s="109"/>
      <c r="AD39" s="109"/>
      <c r="AE39" s="109"/>
      <c r="AF39" s="109"/>
      <c r="AG39" s="109"/>
    </row>
    <row r="40" spans="2:33" hidden="1" outlineLevel="1" x14ac:dyDescent="0.25">
      <c r="B40" s="1087"/>
      <c r="C40" s="1434"/>
      <c r="D40" s="2218"/>
      <c r="E40" s="2222"/>
      <c r="F40" s="2192" t="str">
        <f t="shared" si="8"/>
        <v>ECM Continuous Fan ROF- MF</v>
      </c>
      <c r="G40" s="2192"/>
      <c r="H40" s="2192"/>
      <c r="I40" s="868">
        <f t="shared" si="9"/>
        <v>0.16285529117674288</v>
      </c>
      <c r="J40" s="539" t="s">
        <v>593</v>
      </c>
      <c r="K40" s="541"/>
      <c r="L40" s="904"/>
      <c r="M40" s="904"/>
      <c r="N40" s="1088"/>
      <c r="O40" s="904"/>
      <c r="P40" s="904"/>
      <c r="Q40" s="904"/>
      <c r="R40" s="904"/>
      <c r="V40" s="2227"/>
      <c r="W40" s="109">
        <v>0.16</v>
      </c>
      <c r="X40" s="439">
        <f t="shared" si="10"/>
        <v>0.16285529117674288</v>
      </c>
      <c r="Y40" s="109"/>
      <c r="Z40" s="109"/>
      <c r="AA40" s="109"/>
      <c r="AB40" s="109"/>
      <c r="AC40" s="109"/>
      <c r="AD40" s="109"/>
      <c r="AE40" s="109"/>
      <c r="AF40" s="109"/>
      <c r="AG40" s="109"/>
    </row>
    <row r="41" spans="2:33" hidden="1" outlineLevel="1" x14ac:dyDescent="0.25">
      <c r="B41" s="1087"/>
      <c r="C41" s="1434"/>
      <c r="D41" s="2218"/>
      <c r="E41" s="2222"/>
      <c r="F41" s="2192" t="str">
        <f t="shared" si="8"/>
        <v>ECM Continuous Fan ER 1 - SF</v>
      </c>
      <c r="G41" s="2192"/>
      <c r="H41" s="2192"/>
      <c r="I41" s="868">
        <f t="shared" si="9"/>
        <v>0.16285529117674288</v>
      </c>
      <c r="J41" s="539" t="s">
        <v>593</v>
      </c>
      <c r="K41" s="541"/>
      <c r="L41" s="904"/>
      <c r="M41" s="904"/>
      <c r="N41" s="1088"/>
      <c r="O41" s="904"/>
      <c r="P41" s="904"/>
      <c r="Q41" s="904"/>
      <c r="R41" s="904"/>
      <c r="V41" s="2227"/>
      <c r="W41" s="109">
        <v>0.16</v>
      </c>
      <c r="X41" s="439">
        <f t="shared" si="10"/>
        <v>0.16285529117674288</v>
      </c>
      <c r="Y41" s="109"/>
      <c r="Z41" s="109"/>
      <c r="AA41" s="109"/>
      <c r="AB41" s="109"/>
      <c r="AC41" s="109"/>
      <c r="AD41" s="109"/>
      <c r="AE41" s="109"/>
      <c r="AF41" s="109"/>
      <c r="AG41" s="109"/>
    </row>
    <row r="42" spans="2:33" hidden="1" outlineLevel="1" x14ac:dyDescent="0.25">
      <c r="B42" s="1087"/>
      <c r="C42" s="1434"/>
      <c r="D42" s="2218"/>
      <c r="E42" s="2223"/>
      <c r="F42" s="2192" t="str">
        <f t="shared" si="8"/>
        <v>ECM Continuous Fan ER2 - SF</v>
      </c>
      <c r="G42" s="2192"/>
      <c r="H42" s="2192"/>
      <c r="I42" s="868">
        <f t="shared" si="9"/>
        <v>0.16285529117674288</v>
      </c>
      <c r="J42" s="539" t="s">
        <v>593</v>
      </c>
      <c r="K42" s="542"/>
      <c r="L42" s="904"/>
      <c r="M42" s="904"/>
      <c r="N42" s="1088"/>
      <c r="O42" s="904"/>
      <c r="P42" s="904"/>
      <c r="Q42" s="904"/>
      <c r="R42" s="904"/>
      <c r="V42" s="2227"/>
      <c r="W42" s="109">
        <v>0.16</v>
      </c>
      <c r="X42" s="439">
        <f t="shared" si="10"/>
        <v>0.16285529117674288</v>
      </c>
      <c r="Y42" s="109"/>
      <c r="Z42" s="109"/>
      <c r="AA42" s="109"/>
      <c r="AB42" s="109"/>
      <c r="AC42" s="109"/>
      <c r="AD42" s="109"/>
      <c r="AE42" s="109"/>
      <c r="AF42" s="109"/>
      <c r="AG42" s="109"/>
    </row>
    <row r="43" spans="2:33" hidden="1" outlineLevel="1" x14ac:dyDescent="0.25">
      <c r="B43" s="1087"/>
      <c r="C43" s="1434"/>
      <c r="D43" s="2218"/>
      <c r="E43" s="2223"/>
      <c r="F43" s="2192" t="str">
        <f t="shared" si="8"/>
        <v>ECM Continuous Fan ER 1 - MF</v>
      </c>
      <c r="G43" s="2192"/>
      <c r="H43" s="2192"/>
      <c r="I43" s="868">
        <f t="shared" si="9"/>
        <v>0.16285529117674288</v>
      </c>
      <c r="J43" s="539" t="s">
        <v>593</v>
      </c>
      <c r="K43" s="542"/>
      <c r="L43" s="904"/>
      <c r="M43" s="904"/>
      <c r="N43" s="1088"/>
      <c r="O43" s="904"/>
      <c r="P43" s="904"/>
      <c r="Q43" s="904"/>
      <c r="R43" s="904"/>
      <c r="V43" s="2227"/>
      <c r="W43" s="109">
        <v>0.16</v>
      </c>
      <c r="X43" s="439">
        <f t="shared" si="10"/>
        <v>0.16285529117674288</v>
      </c>
      <c r="Y43" s="109"/>
      <c r="Z43" s="109"/>
      <c r="AA43" s="109"/>
      <c r="AB43" s="109"/>
      <c r="AC43" s="109"/>
      <c r="AD43" s="109"/>
      <c r="AE43" s="109"/>
      <c r="AF43" s="109"/>
      <c r="AG43" s="109"/>
    </row>
    <row r="44" spans="2:33" ht="15.75" hidden="1" outlineLevel="1" thickBot="1" x14ac:dyDescent="0.3">
      <c r="B44" s="1087"/>
      <c r="C44" s="1434"/>
      <c r="D44" s="2219"/>
      <c r="E44" s="2224"/>
      <c r="F44" s="2195" t="str">
        <f t="shared" si="8"/>
        <v>ECM Continuous Fan ER2 - MF</v>
      </c>
      <c r="G44" s="2195"/>
      <c r="H44" s="2195"/>
      <c r="I44" s="1613">
        <f t="shared" si="9"/>
        <v>0.16285529117674288</v>
      </c>
      <c r="J44" s="544" t="s">
        <v>593</v>
      </c>
      <c r="K44" s="545"/>
      <c r="L44" s="904"/>
      <c r="M44" s="904"/>
      <c r="N44" s="1088"/>
      <c r="O44" s="904"/>
      <c r="P44" s="904"/>
      <c r="Q44" s="904"/>
      <c r="R44" s="904"/>
      <c r="V44" s="2227"/>
      <c r="W44" s="546">
        <v>0.16</v>
      </c>
      <c r="X44" s="543">
        <f t="shared" si="10"/>
        <v>0.16285529117674288</v>
      </c>
      <c r="Y44" s="546"/>
      <c r="Z44" s="546"/>
      <c r="AA44" s="546"/>
      <c r="AB44" s="546"/>
      <c r="AC44" s="546"/>
      <c r="AD44" s="546"/>
      <c r="AE44" s="546"/>
      <c r="AF44" s="546"/>
      <c r="AG44" s="546"/>
    </row>
    <row r="45" spans="2:33" ht="18" hidden="1" outlineLevel="1" x14ac:dyDescent="0.25">
      <c r="B45" s="1087"/>
      <c r="C45" s="1434"/>
      <c r="D45" s="547" t="s">
        <v>896</v>
      </c>
      <c r="E45" s="548" t="s">
        <v>897</v>
      </c>
      <c r="F45" s="2214" t="s">
        <v>483</v>
      </c>
      <c r="G45" s="2214"/>
      <c r="H45" s="2214"/>
      <c r="I45" s="1614">
        <v>2009</v>
      </c>
      <c r="J45" s="536" t="s">
        <v>593</v>
      </c>
      <c r="K45" s="537"/>
      <c r="L45" s="904"/>
      <c r="M45" s="904"/>
      <c r="N45" s="1088"/>
      <c r="O45" s="904"/>
      <c r="P45" s="904"/>
      <c r="Q45" s="904"/>
      <c r="R45" s="904"/>
      <c r="V45" s="550" t="str">
        <f>D45</f>
        <v>EFLH heating</v>
      </c>
      <c r="W45" s="549">
        <v>2009</v>
      </c>
      <c r="X45" s="549">
        <v>2009</v>
      </c>
      <c r="Y45" s="549"/>
      <c r="Z45" s="549"/>
      <c r="AA45" s="549"/>
      <c r="AB45" s="549"/>
      <c r="AC45" s="549"/>
      <c r="AD45" s="549"/>
      <c r="AE45" s="549"/>
      <c r="AF45" s="549"/>
      <c r="AG45" s="549"/>
    </row>
    <row r="46" spans="2:33" ht="18.75" hidden="1" outlineLevel="1" thickBot="1" x14ac:dyDescent="0.3">
      <c r="B46" s="1087"/>
      <c r="C46" s="1434"/>
      <c r="D46" s="551" t="s">
        <v>898</v>
      </c>
      <c r="E46" s="552" t="s">
        <v>899</v>
      </c>
      <c r="F46" s="2216" t="s">
        <v>483</v>
      </c>
      <c r="G46" s="2216"/>
      <c r="H46" s="2216"/>
      <c r="I46" s="1615">
        <v>2545.25</v>
      </c>
      <c r="J46" s="562" t="s">
        <v>1793</v>
      </c>
      <c r="K46" s="545"/>
      <c r="L46" s="904"/>
      <c r="M46" s="904"/>
      <c r="N46" s="1088"/>
      <c r="O46" s="904"/>
      <c r="P46" s="904"/>
      <c r="Q46" s="904"/>
      <c r="R46" s="904"/>
      <c r="V46" s="550" t="str">
        <f>D46</f>
        <v>WI_EFLH heating</v>
      </c>
      <c r="W46" s="553">
        <v>2545.25</v>
      </c>
      <c r="X46" s="553">
        <v>2545.25</v>
      </c>
      <c r="Y46" s="553"/>
      <c r="Z46" s="553"/>
      <c r="AA46" s="553"/>
      <c r="AB46" s="553"/>
      <c r="AC46" s="553"/>
      <c r="AD46" s="553"/>
      <c r="AE46" s="553"/>
      <c r="AF46" s="553"/>
      <c r="AG46" s="553"/>
    </row>
    <row r="47" spans="2:33" hidden="1" outlineLevel="1" x14ac:dyDescent="0.25">
      <c r="B47" s="1087"/>
      <c r="C47" s="1434"/>
      <c r="D47" s="2217" t="s">
        <v>900</v>
      </c>
      <c r="E47" s="2220" t="s">
        <v>901</v>
      </c>
      <c r="F47" s="2209" t="str">
        <f t="shared" ref="F47:F58" si="11">E7</f>
        <v>ECM Auto Fan ROF-SF</v>
      </c>
      <c r="G47" s="2209"/>
      <c r="H47" s="2209"/>
      <c r="I47" s="1612">
        <f>8493/10801</f>
        <v>0.78631608184427371</v>
      </c>
      <c r="J47" s="536" t="s">
        <v>593</v>
      </c>
      <c r="K47" s="537"/>
      <c r="L47" s="904"/>
      <c r="M47" s="904"/>
      <c r="N47" s="1088"/>
      <c r="O47" s="904"/>
      <c r="P47" s="904"/>
      <c r="Q47" s="904"/>
      <c r="R47" s="904"/>
      <c r="V47" s="2226" t="str">
        <f>D47</f>
        <v>% with New Central Cooling</v>
      </c>
      <c r="W47" s="538">
        <v>0.97</v>
      </c>
      <c r="X47" s="535">
        <f>8493/10801</f>
        <v>0.78631608184427371</v>
      </c>
      <c r="Y47" s="538"/>
      <c r="Z47" s="538"/>
      <c r="AA47" s="538"/>
      <c r="AB47" s="538"/>
      <c r="AC47" s="538"/>
      <c r="AD47" s="538"/>
      <c r="AE47" s="538"/>
      <c r="AF47" s="538"/>
      <c r="AG47" s="538"/>
    </row>
    <row r="48" spans="2:33" hidden="1" outlineLevel="1" x14ac:dyDescent="0.25">
      <c r="B48" s="1087"/>
      <c r="C48" s="1434"/>
      <c r="D48" s="2218"/>
      <c r="E48" s="2221"/>
      <c r="F48" s="2192" t="str">
        <f t="shared" si="11"/>
        <v>ECM Auto Fan ROF-MF</v>
      </c>
      <c r="G48" s="2192"/>
      <c r="H48" s="2192"/>
      <c r="I48" s="868">
        <f t="shared" ref="I48:I58" si="12">8493/10801</f>
        <v>0.78631608184427371</v>
      </c>
      <c r="J48" s="539" t="s">
        <v>593</v>
      </c>
      <c r="K48" s="540"/>
      <c r="L48" s="904"/>
      <c r="M48" s="904"/>
      <c r="N48" s="1088"/>
      <c r="O48" s="904"/>
      <c r="P48" s="904"/>
      <c r="Q48" s="904"/>
      <c r="R48" s="904"/>
      <c r="V48" s="2226"/>
      <c r="W48" s="109">
        <v>0.97</v>
      </c>
      <c r="X48" s="439">
        <f t="shared" ref="X48:X58" si="13">8493/10801</f>
        <v>0.78631608184427371</v>
      </c>
      <c r="Y48" s="109"/>
      <c r="Z48" s="109"/>
      <c r="AA48" s="109"/>
      <c r="AB48" s="109"/>
      <c r="AC48" s="109"/>
      <c r="AD48" s="109"/>
      <c r="AE48" s="109"/>
      <c r="AF48" s="109"/>
      <c r="AG48" s="109"/>
    </row>
    <row r="49" spans="2:33" hidden="1" outlineLevel="1" x14ac:dyDescent="0.25">
      <c r="B49" s="1087"/>
      <c r="C49" s="1434"/>
      <c r="D49" s="2218"/>
      <c r="E49" s="2222"/>
      <c r="F49" s="2192" t="str">
        <f t="shared" si="11"/>
        <v>ECM Auto Fan ER 1 - SF</v>
      </c>
      <c r="G49" s="2192"/>
      <c r="H49" s="2192"/>
      <c r="I49" s="868">
        <f t="shared" si="12"/>
        <v>0.78631608184427371</v>
      </c>
      <c r="J49" s="539" t="s">
        <v>593</v>
      </c>
      <c r="K49" s="541"/>
      <c r="L49" s="904"/>
      <c r="M49" s="904"/>
      <c r="N49" s="1088"/>
      <c r="O49" s="904"/>
      <c r="P49" s="904"/>
      <c r="Q49" s="904"/>
      <c r="R49" s="904"/>
      <c r="V49" s="2226"/>
      <c r="W49" s="109">
        <v>0.97</v>
      </c>
      <c r="X49" s="439">
        <f t="shared" si="13"/>
        <v>0.78631608184427371</v>
      </c>
      <c r="Y49" s="109"/>
      <c r="Z49" s="109"/>
      <c r="AA49" s="109"/>
      <c r="AB49" s="109"/>
      <c r="AC49" s="109"/>
      <c r="AD49" s="109"/>
      <c r="AE49" s="109"/>
      <c r="AF49" s="109"/>
      <c r="AG49" s="109"/>
    </row>
    <row r="50" spans="2:33" ht="15" hidden="1" customHeight="1" outlineLevel="1" x14ac:dyDescent="0.25">
      <c r="B50" s="1087"/>
      <c r="C50" s="1434"/>
      <c r="D50" s="2218"/>
      <c r="E50" s="2222"/>
      <c r="F50" s="2192" t="str">
        <f t="shared" si="11"/>
        <v>ECM Auto Fan ER2 - SF</v>
      </c>
      <c r="G50" s="2192"/>
      <c r="H50" s="2192"/>
      <c r="I50" s="868">
        <f t="shared" si="12"/>
        <v>0.78631608184427371</v>
      </c>
      <c r="J50" s="539" t="s">
        <v>593</v>
      </c>
      <c r="K50" s="541"/>
      <c r="L50" s="1551"/>
      <c r="M50" s="904"/>
      <c r="N50" s="1088"/>
      <c r="O50" s="904"/>
      <c r="P50" s="904"/>
      <c r="Q50" s="904"/>
      <c r="R50" s="904"/>
      <c r="V50" s="2226"/>
      <c r="W50" s="109">
        <v>0.97</v>
      </c>
      <c r="X50" s="439">
        <f t="shared" si="13"/>
        <v>0.78631608184427371</v>
      </c>
      <c r="Y50" s="109"/>
      <c r="Z50" s="109"/>
      <c r="AA50" s="109"/>
      <c r="AB50" s="109"/>
      <c r="AC50" s="109"/>
      <c r="AD50" s="109"/>
      <c r="AE50" s="109"/>
      <c r="AF50" s="109"/>
      <c r="AG50" s="109"/>
    </row>
    <row r="51" spans="2:33" hidden="1" outlineLevel="1" x14ac:dyDescent="0.25">
      <c r="B51" s="1087"/>
      <c r="C51" s="1434"/>
      <c r="D51" s="2218"/>
      <c r="E51" s="2222"/>
      <c r="F51" s="2192" t="str">
        <f t="shared" si="11"/>
        <v>ECM Auto Fan ER 1 - MF</v>
      </c>
      <c r="G51" s="2192"/>
      <c r="H51" s="2192"/>
      <c r="I51" s="868">
        <f t="shared" si="12"/>
        <v>0.78631608184427371</v>
      </c>
      <c r="J51" s="539" t="s">
        <v>593</v>
      </c>
      <c r="K51" s="541"/>
      <c r="L51" s="1551"/>
      <c r="M51" s="904"/>
      <c r="N51" s="1088"/>
      <c r="O51" s="904"/>
      <c r="P51" s="904"/>
      <c r="Q51" s="904"/>
      <c r="R51" s="904"/>
      <c r="V51" s="2226"/>
      <c r="W51" s="109">
        <v>0.97</v>
      </c>
      <c r="X51" s="439">
        <f t="shared" si="13"/>
        <v>0.78631608184427371</v>
      </c>
      <c r="Y51" s="109"/>
      <c r="Z51" s="109"/>
      <c r="AA51" s="109"/>
      <c r="AB51" s="109"/>
      <c r="AC51" s="109"/>
      <c r="AD51" s="109"/>
      <c r="AE51" s="109"/>
      <c r="AF51" s="109"/>
      <c r="AG51" s="109"/>
    </row>
    <row r="52" spans="2:33" hidden="1" outlineLevel="1" x14ac:dyDescent="0.25">
      <c r="B52" s="1087"/>
      <c r="C52" s="1434"/>
      <c r="D52" s="2218"/>
      <c r="E52" s="2222"/>
      <c r="F52" s="2192" t="str">
        <f t="shared" si="11"/>
        <v>ECM Auto Fan ER2 - MF</v>
      </c>
      <c r="G52" s="2192"/>
      <c r="H52" s="2192"/>
      <c r="I52" s="868">
        <f t="shared" si="12"/>
        <v>0.78631608184427371</v>
      </c>
      <c r="J52" s="539" t="s">
        <v>593</v>
      </c>
      <c r="K52" s="541"/>
      <c r="L52" s="1551"/>
      <c r="M52" s="904"/>
      <c r="N52" s="1088"/>
      <c r="O52" s="904"/>
      <c r="P52" s="904"/>
      <c r="Q52" s="904"/>
      <c r="R52" s="1088"/>
      <c r="V52" s="2226"/>
      <c r="W52" s="109">
        <v>0.97</v>
      </c>
      <c r="X52" s="439">
        <f t="shared" si="13"/>
        <v>0.78631608184427371</v>
      </c>
      <c r="Y52" s="109"/>
      <c r="Z52" s="109"/>
      <c r="AA52" s="109"/>
      <c r="AB52" s="109"/>
      <c r="AC52" s="109"/>
      <c r="AD52" s="109"/>
      <c r="AE52" s="109"/>
      <c r="AF52" s="109"/>
      <c r="AG52" s="109"/>
    </row>
    <row r="53" spans="2:33" hidden="1" outlineLevel="1" x14ac:dyDescent="0.25">
      <c r="B53" s="1087"/>
      <c r="C53" s="1434"/>
      <c r="D53" s="2218"/>
      <c r="E53" s="2222"/>
      <c r="F53" s="2192" t="str">
        <f t="shared" si="11"/>
        <v>ECM Continuous Fan ROF- SF</v>
      </c>
      <c r="G53" s="2192"/>
      <c r="H53" s="2192"/>
      <c r="I53" s="868">
        <f t="shared" si="12"/>
        <v>0.78631608184427371</v>
      </c>
      <c r="J53" s="539" t="s">
        <v>593</v>
      </c>
      <c r="K53" s="541"/>
      <c r="L53" s="1551"/>
      <c r="M53" s="904"/>
      <c r="N53" s="1088"/>
      <c r="O53" s="904"/>
      <c r="P53" s="904"/>
      <c r="Q53" s="904"/>
      <c r="R53" s="1088"/>
      <c r="V53" s="2226"/>
      <c r="W53" s="109">
        <v>0.97</v>
      </c>
      <c r="X53" s="439">
        <f t="shared" si="13"/>
        <v>0.78631608184427371</v>
      </c>
      <c r="Y53" s="109"/>
      <c r="Z53" s="109"/>
      <c r="AA53" s="109"/>
      <c r="AB53" s="109"/>
      <c r="AC53" s="109"/>
      <c r="AD53" s="109"/>
      <c r="AE53" s="109"/>
      <c r="AF53" s="109"/>
      <c r="AG53" s="109"/>
    </row>
    <row r="54" spans="2:33" hidden="1" outlineLevel="1" x14ac:dyDescent="0.25">
      <c r="B54" s="1087"/>
      <c r="C54" s="1434"/>
      <c r="D54" s="2218"/>
      <c r="E54" s="2222"/>
      <c r="F54" s="2192" t="str">
        <f t="shared" si="11"/>
        <v>ECM Continuous Fan ROF- MF</v>
      </c>
      <c r="G54" s="2192"/>
      <c r="H54" s="2192"/>
      <c r="I54" s="868">
        <f t="shared" si="12"/>
        <v>0.78631608184427371</v>
      </c>
      <c r="J54" s="539" t="s">
        <v>593</v>
      </c>
      <c r="K54" s="541"/>
      <c r="L54" s="1551"/>
      <c r="M54" s="904"/>
      <c r="N54" s="1088"/>
      <c r="O54" s="904"/>
      <c r="P54" s="904"/>
      <c r="Q54" s="904"/>
      <c r="R54" s="904"/>
      <c r="V54" s="2226"/>
      <c r="W54" s="109">
        <v>0.97</v>
      </c>
      <c r="X54" s="439">
        <f t="shared" si="13"/>
        <v>0.78631608184427371</v>
      </c>
      <c r="Y54" s="109"/>
      <c r="Z54" s="109"/>
      <c r="AA54" s="109"/>
      <c r="AB54" s="109"/>
      <c r="AC54" s="109"/>
      <c r="AD54" s="109"/>
      <c r="AE54" s="109"/>
      <c r="AF54" s="109"/>
      <c r="AG54" s="109"/>
    </row>
    <row r="55" spans="2:33" hidden="1" outlineLevel="1" x14ac:dyDescent="0.25">
      <c r="B55" s="1087"/>
      <c r="C55" s="1434"/>
      <c r="D55" s="2218"/>
      <c r="E55" s="2222"/>
      <c r="F55" s="2192" t="str">
        <f t="shared" si="11"/>
        <v>ECM Continuous Fan ER 1 - SF</v>
      </c>
      <c r="G55" s="2192"/>
      <c r="H55" s="2192"/>
      <c r="I55" s="868">
        <f t="shared" si="12"/>
        <v>0.78631608184427371</v>
      </c>
      <c r="J55" s="539" t="s">
        <v>593</v>
      </c>
      <c r="K55" s="541"/>
      <c r="L55" s="1551"/>
      <c r="M55" s="904"/>
      <c r="N55" s="1088"/>
      <c r="O55" s="904"/>
      <c r="P55" s="904"/>
      <c r="Q55" s="904"/>
      <c r="R55" s="904"/>
      <c r="V55" s="2226"/>
      <c r="W55" s="109">
        <v>0.97</v>
      </c>
      <c r="X55" s="439">
        <f t="shared" si="13"/>
        <v>0.78631608184427371</v>
      </c>
      <c r="Y55" s="109"/>
      <c r="Z55" s="109"/>
      <c r="AA55" s="109"/>
      <c r="AB55" s="109"/>
      <c r="AC55" s="109"/>
      <c r="AD55" s="109"/>
      <c r="AE55" s="109"/>
      <c r="AF55" s="109"/>
      <c r="AG55" s="109"/>
    </row>
    <row r="56" spans="2:33" ht="18" hidden="1" customHeight="1" outlineLevel="1" x14ac:dyDescent="0.25">
      <c r="B56" s="1087"/>
      <c r="C56" s="1447"/>
      <c r="D56" s="2218"/>
      <c r="E56" s="2223"/>
      <c r="F56" s="2192" t="str">
        <f t="shared" si="11"/>
        <v>ECM Continuous Fan ER2 - SF</v>
      </c>
      <c r="G56" s="2192"/>
      <c r="H56" s="2192"/>
      <c r="I56" s="868">
        <f t="shared" si="12"/>
        <v>0.78631608184427371</v>
      </c>
      <c r="J56" s="539" t="s">
        <v>593</v>
      </c>
      <c r="K56" s="542"/>
      <c r="L56" s="1551"/>
      <c r="M56" s="904"/>
      <c r="N56" s="1088"/>
      <c r="O56" s="904"/>
      <c r="P56" s="904"/>
      <c r="Q56" s="904"/>
      <c r="R56" s="904"/>
      <c r="V56" s="2226"/>
      <c r="W56" s="109">
        <v>0.97</v>
      </c>
      <c r="X56" s="439">
        <f t="shared" si="13"/>
        <v>0.78631608184427371</v>
      </c>
      <c r="Y56" s="109"/>
      <c r="Z56" s="109"/>
      <c r="AA56" s="109"/>
      <c r="AB56" s="109"/>
      <c r="AC56" s="109"/>
      <c r="AD56" s="109"/>
      <c r="AE56" s="109"/>
      <c r="AF56" s="109"/>
      <c r="AG56" s="109"/>
    </row>
    <row r="57" spans="2:33" ht="18" hidden="1" customHeight="1" outlineLevel="1" x14ac:dyDescent="0.25">
      <c r="B57" s="1087"/>
      <c r="C57" s="1447"/>
      <c r="D57" s="2218"/>
      <c r="E57" s="2223"/>
      <c r="F57" s="2192" t="str">
        <f t="shared" si="11"/>
        <v>ECM Continuous Fan ER 1 - MF</v>
      </c>
      <c r="G57" s="2192"/>
      <c r="H57" s="2192"/>
      <c r="I57" s="868">
        <f t="shared" si="12"/>
        <v>0.78631608184427371</v>
      </c>
      <c r="J57" s="539" t="s">
        <v>593</v>
      </c>
      <c r="K57" s="542"/>
      <c r="L57" s="1551"/>
      <c r="M57" s="904"/>
      <c r="N57" s="1088"/>
      <c r="O57" s="904"/>
      <c r="P57" s="904"/>
      <c r="Q57" s="904"/>
      <c r="R57" s="904"/>
      <c r="V57" s="2226"/>
      <c r="W57" s="109">
        <v>0.97</v>
      </c>
      <c r="X57" s="439">
        <f t="shared" si="13"/>
        <v>0.78631608184427371</v>
      </c>
      <c r="Y57" s="109"/>
      <c r="Z57" s="109"/>
      <c r="AA57" s="109"/>
      <c r="AB57" s="109"/>
      <c r="AC57" s="109"/>
      <c r="AD57" s="109"/>
      <c r="AE57" s="109"/>
      <c r="AF57" s="109"/>
      <c r="AG57" s="109"/>
    </row>
    <row r="58" spans="2:33" ht="18" hidden="1" customHeight="1" outlineLevel="1" thickBot="1" x14ac:dyDescent="0.3">
      <c r="B58" s="1087"/>
      <c r="C58" s="1447"/>
      <c r="D58" s="2219"/>
      <c r="E58" s="2224"/>
      <c r="F58" s="2195" t="str">
        <f t="shared" si="11"/>
        <v>ECM Continuous Fan ER2 - MF</v>
      </c>
      <c r="G58" s="2195"/>
      <c r="H58" s="2195"/>
      <c r="I58" s="1613">
        <f t="shared" si="12"/>
        <v>0.78631608184427371</v>
      </c>
      <c r="J58" s="544" t="s">
        <v>593</v>
      </c>
      <c r="K58" s="545"/>
      <c r="L58" s="1551"/>
      <c r="M58" s="904"/>
      <c r="N58" s="1088"/>
      <c r="O58" s="904"/>
      <c r="P58" s="904"/>
      <c r="Q58" s="904"/>
      <c r="R58" s="904"/>
      <c r="V58" s="2226"/>
      <c r="W58" s="546">
        <v>0.97</v>
      </c>
      <c r="X58" s="543">
        <f t="shared" si="13"/>
        <v>0.78631608184427371</v>
      </c>
      <c r="Y58" s="546"/>
      <c r="Z58" s="546"/>
      <c r="AA58" s="546"/>
      <c r="AB58" s="546"/>
      <c r="AC58" s="546"/>
      <c r="AD58" s="546"/>
      <c r="AE58" s="546"/>
      <c r="AF58" s="546"/>
      <c r="AG58" s="546"/>
    </row>
    <row r="59" spans="2:33" ht="18" hidden="1" customHeight="1" outlineLevel="1" x14ac:dyDescent="0.25">
      <c r="B59" s="1087"/>
      <c r="C59" s="1447"/>
      <c r="D59" s="547" t="s">
        <v>902</v>
      </c>
      <c r="E59" s="548" t="s">
        <v>903</v>
      </c>
      <c r="F59" s="2214" t="s">
        <v>483</v>
      </c>
      <c r="G59" s="2214"/>
      <c r="H59" s="2214"/>
      <c r="I59" s="1616">
        <v>1215</v>
      </c>
      <c r="J59" s="536" t="s">
        <v>1793</v>
      </c>
      <c r="K59" s="541"/>
      <c r="L59" s="1551"/>
      <c r="M59" s="904"/>
      <c r="N59" s="1088"/>
      <c r="O59" s="904"/>
      <c r="P59" s="904"/>
      <c r="Q59" s="904"/>
      <c r="R59" s="904"/>
      <c r="V59" s="555" t="str">
        <f>D59</f>
        <v>EFLH cooling</v>
      </c>
      <c r="W59" s="556">
        <v>1215</v>
      </c>
      <c r="X59" s="554">
        <v>1215</v>
      </c>
      <c r="Y59" s="556"/>
      <c r="Z59" s="556"/>
      <c r="AA59" s="556"/>
      <c r="AB59" s="556"/>
      <c r="AC59" s="556"/>
      <c r="AD59" s="556"/>
      <c r="AE59" s="556"/>
      <c r="AF59" s="556"/>
      <c r="AG59" s="556"/>
    </row>
    <row r="60" spans="2:33" ht="18" hidden="1" customHeight="1" outlineLevel="1" x14ac:dyDescent="0.25">
      <c r="B60" s="1087"/>
      <c r="C60" s="1447"/>
      <c r="D60" s="557" t="s">
        <v>904</v>
      </c>
      <c r="E60" s="558" t="s">
        <v>905</v>
      </c>
      <c r="F60" s="2215" t="s">
        <v>483</v>
      </c>
      <c r="G60" s="2215"/>
      <c r="H60" s="2215"/>
      <c r="I60" s="1617">
        <v>542.5</v>
      </c>
      <c r="J60" s="539" t="s">
        <v>1793</v>
      </c>
      <c r="K60" s="541"/>
      <c r="L60" s="1551"/>
      <c r="M60" s="904"/>
      <c r="N60" s="1088"/>
      <c r="O60" s="904"/>
      <c r="P60" s="904"/>
      <c r="Q60" s="904"/>
      <c r="R60" s="904"/>
      <c r="V60" s="555" t="str">
        <f>D60</f>
        <v>WI_EFLH cooling</v>
      </c>
      <c r="W60" s="560">
        <v>542.5</v>
      </c>
      <c r="X60" s="560">
        <v>542.5</v>
      </c>
      <c r="Y60" s="560"/>
      <c r="Z60" s="560"/>
      <c r="AA60" s="560"/>
      <c r="AB60" s="560"/>
      <c r="AC60" s="560"/>
      <c r="AD60" s="560"/>
      <c r="AE60" s="560"/>
      <c r="AF60" s="560"/>
      <c r="AG60" s="560"/>
    </row>
    <row r="61" spans="2:33" s="250" customFormat="1" ht="18" hidden="1" customHeight="1" outlineLevel="1" thickBot="1" x14ac:dyDescent="0.3">
      <c r="B61" s="1618"/>
      <c r="C61" s="1619"/>
      <c r="D61" s="551"/>
      <c r="E61" s="552"/>
      <c r="F61" s="2216"/>
      <c r="G61" s="2216"/>
      <c r="H61" s="2216"/>
      <c r="I61" s="1620"/>
      <c r="J61" s="562"/>
      <c r="K61" s="545"/>
      <c r="L61" s="252"/>
      <c r="M61" s="252"/>
      <c r="N61" s="1621"/>
      <c r="O61" s="252"/>
      <c r="P61" s="252"/>
      <c r="Q61" s="252"/>
      <c r="R61" s="252"/>
      <c r="S61" s="251"/>
      <c r="T61" s="251"/>
      <c r="U61" s="251"/>
      <c r="V61" s="563"/>
      <c r="W61" s="561"/>
      <c r="X61" s="561"/>
      <c r="Y61" s="564"/>
      <c r="Z61" s="564"/>
      <c r="AA61" s="564"/>
      <c r="AB61" s="564"/>
      <c r="AC61" s="564"/>
      <c r="AD61" s="564"/>
      <c r="AE61" s="564"/>
      <c r="AF61" s="564"/>
      <c r="AG61" s="564"/>
    </row>
    <row r="62" spans="2:33" ht="18" hidden="1" customHeight="1" outlineLevel="1" x14ac:dyDescent="0.25">
      <c r="B62" s="1087"/>
      <c r="C62" s="1447"/>
      <c r="D62" s="2204" t="s">
        <v>598</v>
      </c>
      <c r="E62" s="2207" t="s">
        <v>906</v>
      </c>
      <c r="F62" s="2209" t="str">
        <f t="shared" ref="F62:F73" si="14">E7</f>
        <v>ECM Auto Fan ROF-SF</v>
      </c>
      <c r="G62" s="2209"/>
      <c r="H62" s="2209"/>
      <c r="I62" s="1622">
        <v>1</v>
      </c>
      <c r="J62" s="566"/>
      <c r="K62" s="567"/>
      <c r="L62" s="1551"/>
      <c r="M62" s="904"/>
      <c r="N62" s="1088"/>
      <c r="O62" s="904"/>
      <c r="P62" s="904"/>
      <c r="Q62" s="904"/>
      <c r="R62" s="904"/>
      <c r="V62" s="2213" t="str">
        <f>D62</f>
        <v>HF</v>
      </c>
      <c r="W62" s="565">
        <v>1</v>
      </c>
      <c r="X62" s="565">
        <v>1</v>
      </c>
      <c r="Y62" s="565"/>
      <c r="Z62" s="565"/>
      <c r="AA62" s="565"/>
      <c r="AB62" s="565"/>
      <c r="AC62" s="565"/>
      <c r="AD62" s="565"/>
      <c r="AE62" s="565"/>
      <c r="AF62" s="565"/>
      <c r="AG62" s="565"/>
    </row>
    <row r="63" spans="2:33" ht="18" hidden="1" customHeight="1" outlineLevel="1" x14ac:dyDescent="0.25">
      <c r="B63" s="1087"/>
      <c r="C63" s="1447"/>
      <c r="D63" s="2204"/>
      <c r="E63" s="2207"/>
      <c r="F63" s="2192" t="str">
        <f t="shared" si="14"/>
        <v>ECM Auto Fan ROF-MF</v>
      </c>
      <c r="G63" s="2192"/>
      <c r="H63" s="2192"/>
      <c r="I63" s="1623">
        <v>1</v>
      </c>
      <c r="J63" s="569"/>
      <c r="K63" s="567"/>
      <c r="L63" s="1551"/>
      <c r="M63" s="904"/>
      <c r="N63" s="1088"/>
      <c r="O63" s="904"/>
      <c r="P63" s="904"/>
      <c r="Q63" s="904"/>
      <c r="R63" s="904"/>
      <c r="V63" s="2213"/>
      <c r="W63" s="568">
        <v>1</v>
      </c>
      <c r="X63" s="568">
        <v>1</v>
      </c>
      <c r="Y63" s="568"/>
      <c r="Z63" s="568"/>
      <c r="AA63" s="568"/>
      <c r="AB63" s="568"/>
      <c r="AC63" s="568"/>
      <c r="AD63" s="568"/>
      <c r="AE63" s="568"/>
      <c r="AF63" s="568"/>
      <c r="AG63" s="568"/>
    </row>
    <row r="64" spans="2:33" ht="18" hidden="1" customHeight="1" outlineLevel="1" x14ac:dyDescent="0.25">
      <c r="B64" s="1087"/>
      <c r="C64" s="1447"/>
      <c r="D64" s="2204"/>
      <c r="E64" s="2207"/>
      <c r="F64" s="2192" t="str">
        <f t="shared" si="14"/>
        <v>ECM Auto Fan ER 1 - SF</v>
      </c>
      <c r="G64" s="2192"/>
      <c r="H64" s="2192"/>
      <c r="I64" s="1142">
        <v>1</v>
      </c>
      <c r="J64" s="569"/>
      <c r="K64" s="570"/>
      <c r="L64" s="1551"/>
      <c r="M64" s="904"/>
      <c r="N64" s="1088"/>
      <c r="O64" s="904"/>
      <c r="P64" s="904"/>
      <c r="Q64" s="904"/>
      <c r="R64" s="904"/>
      <c r="V64" s="2213"/>
      <c r="W64" s="440">
        <v>1</v>
      </c>
      <c r="X64" s="440">
        <v>1</v>
      </c>
      <c r="Y64" s="440"/>
      <c r="Z64" s="440"/>
      <c r="AA64" s="440"/>
      <c r="AB64" s="440"/>
      <c r="AC64" s="440"/>
      <c r="AD64" s="440"/>
      <c r="AE64" s="440"/>
      <c r="AF64" s="440"/>
      <c r="AG64" s="440"/>
    </row>
    <row r="65" spans="2:33" ht="18" hidden="1" customHeight="1" outlineLevel="1" x14ac:dyDescent="0.25">
      <c r="B65" s="1087"/>
      <c r="C65" s="1447"/>
      <c r="D65" s="2204"/>
      <c r="E65" s="2207"/>
      <c r="F65" s="2192" t="str">
        <f t="shared" si="14"/>
        <v>ECM Auto Fan ER2 - SF</v>
      </c>
      <c r="G65" s="2192"/>
      <c r="H65" s="2192"/>
      <c r="I65" s="1142">
        <v>1</v>
      </c>
      <c r="J65" s="569"/>
      <c r="K65" s="541"/>
      <c r="L65" s="1551"/>
      <c r="M65" s="904"/>
      <c r="N65" s="1088"/>
      <c r="O65" s="904"/>
      <c r="P65" s="904"/>
      <c r="Q65" s="904"/>
      <c r="R65" s="904"/>
      <c r="V65" s="2213"/>
      <c r="W65" s="440">
        <v>1</v>
      </c>
      <c r="X65" s="440">
        <v>1</v>
      </c>
      <c r="Y65" s="440"/>
      <c r="Z65" s="440"/>
      <c r="AA65" s="440"/>
      <c r="AB65" s="440"/>
      <c r="AC65" s="440"/>
      <c r="AD65" s="440"/>
      <c r="AE65" s="440"/>
      <c r="AF65" s="440"/>
      <c r="AG65" s="440"/>
    </row>
    <row r="66" spans="2:33" ht="18" hidden="1" customHeight="1" outlineLevel="1" x14ac:dyDescent="0.25">
      <c r="B66" s="1087"/>
      <c r="C66" s="1447"/>
      <c r="D66" s="2204"/>
      <c r="E66" s="2207"/>
      <c r="F66" s="2192" t="str">
        <f t="shared" si="14"/>
        <v>ECM Auto Fan ER 1 - MF</v>
      </c>
      <c r="G66" s="2192"/>
      <c r="H66" s="2192"/>
      <c r="I66" s="1142">
        <v>1</v>
      </c>
      <c r="J66" s="569"/>
      <c r="K66" s="541"/>
      <c r="L66" s="1551"/>
      <c r="M66" s="904"/>
      <c r="N66" s="1088"/>
      <c r="O66" s="904"/>
      <c r="P66" s="904"/>
      <c r="Q66" s="904"/>
      <c r="R66" s="904"/>
      <c r="V66" s="2213"/>
      <c r="W66" s="440">
        <v>1</v>
      </c>
      <c r="X66" s="440">
        <v>1</v>
      </c>
      <c r="Y66" s="440"/>
      <c r="Z66" s="440"/>
      <c r="AA66" s="440"/>
      <c r="AB66" s="440"/>
      <c r="AC66" s="440"/>
      <c r="AD66" s="440"/>
      <c r="AE66" s="440"/>
      <c r="AF66" s="440"/>
      <c r="AG66" s="440"/>
    </row>
    <row r="67" spans="2:33" ht="18" hidden="1" customHeight="1" outlineLevel="1" x14ac:dyDescent="0.25">
      <c r="B67" s="1087"/>
      <c r="C67" s="1447"/>
      <c r="D67" s="2204"/>
      <c r="E67" s="2207"/>
      <c r="F67" s="2192" t="str">
        <f t="shared" si="14"/>
        <v>ECM Auto Fan ER2 - MF</v>
      </c>
      <c r="G67" s="2192"/>
      <c r="H67" s="2192"/>
      <c r="I67" s="1142">
        <v>1</v>
      </c>
      <c r="J67" s="569"/>
      <c r="K67" s="541"/>
      <c r="L67" s="1551"/>
      <c r="M67" s="904"/>
      <c r="N67" s="1088"/>
      <c r="O67" s="904"/>
      <c r="P67" s="904"/>
      <c r="Q67" s="904"/>
      <c r="R67" s="904"/>
      <c r="V67" s="2213"/>
      <c r="W67" s="440">
        <v>1</v>
      </c>
      <c r="X67" s="440">
        <v>1</v>
      </c>
      <c r="Y67" s="440"/>
      <c r="Z67" s="440"/>
      <c r="AA67" s="440"/>
      <c r="AB67" s="440"/>
      <c r="AC67" s="440"/>
      <c r="AD67" s="440"/>
      <c r="AE67" s="440"/>
      <c r="AF67" s="440"/>
      <c r="AG67" s="440"/>
    </row>
    <row r="68" spans="2:33" hidden="1" outlineLevel="1" x14ac:dyDescent="0.25">
      <c r="B68" s="1087"/>
      <c r="C68" s="1454"/>
      <c r="D68" s="2204"/>
      <c r="E68" s="2207"/>
      <c r="F68" s="2192" t="str">
        <f t="shared" si="14"/>
        <v>ECM Continuous Fan ROF- SF</v>
      </c>
      <c r="G68" s="2192"/>
      <c r="H68" s="2192"/>
      <c r="I68" s="1142">
        <v>1</v>
      </c>
      <c r="J68" s="569"/>
      <c r="K68" s="541"/>
      <c r="L68" s="1551"/>
      <c r="M68" s="904"/>
      <c r="N68" s="1088"/>
      <c r="O68" s="904"/>
      <c r="P68" s="904"/>
      <c r="Q68" s="904"/>
      <c r="R68" s="904"/>
      <c r="V68" s="2213"/>
      <c r="W68" s="440">
        <v>1</v>
      </c>
      <c r="X68" s="440">
        <v>1</v>
      </c>
      <c r="Y68" s="440"/>
      <c r="Z68" s="440"/>
      <c r="AA68" s="440"/>
      <c r="AB68" s="440"/>
      <c r="AC68" s="440"/>
      <c r="AD68" s="440"/>
      <c r="AE68" s="440"/>
      <c r="AF68" s="440"/>
      <c r="AG68" s="440"/>
    </row>
    <row r="69" spans="2:33" hidden="1" outlineLevel="1" x14ac:dyDescent="0.25">
      <c r="B69" s="1087"/>
      <c r="C69" s="1454"/>
      <c r="D69" s="2204"/>
      <c r="E69" s="2207"/>
      <c r="F69" s="2192" t="str">
        <f t="shared" si="14"/>
        <v>ECM Continuous Fan ROF- MF</v>
      </c>
      <c r="G69" s="2192"/>
      <c r="H69" s="2192"/>
      <c r="I69" s="1142">
        <v>1</v>
      </c>
      <c r="J69" s="569"/>
      <c r="K69" s="541"/>
      <c r="L69" s="1551"/>
      <c r="M69" s="904"/>
      <c r="N69" s="1088"/>
      <c r="O69" s="904"/>
      <c r="P69" s="904"/>
      <c r="Q69" s="904"/>
      <c r="R69" s="904"/>
      <c r="V69" s="2213"/>
      <c r="W69" s="440">
        <v>1</v>
      </c>
      <c r="X69" s="440">
        <v>1</v>
      </c>
      <c r="Y69" s="440"/>
      <c r="Z69" s="440"/>
      <c r="AA69" s="440"/>
      <c r="AB69" s="440"/>
      <c r="AC69" s="440"/>
      <c r="AD69" s="440"/>
      <c r="AE69" s="440"/>
      <c r="AF69" s="440"/>
      <c r="AG69" s="440"/>
    </row>
    <row r="70" spans="2:33" hidden="1" outlineLevel="1" x14ac:dyDescent="0.25">
      <c r="B70" s="1087"/>
      <c r="C70" s="1455"/>
      <c r="D70" s="2204"/>
      <c r="E70" s="2207"/>
      <c r="F70" s="2192" t="str">
        <f t="shared" si="14"/>
        <v>ECM Continuous Fan ER 1 - SF</v>
      </c>
      <c r="G70" s="2192"/>
      <c r="H70" s="2192"/>
      <c r="I70" s="1142">
        <v>1</v>
      </c>
      <c r="J70" s="569"/>
      <c r="K70" s="541"/>
      <c r="L70" s="1551"/>
      <c r="M70" s="904"/>
      <c r="N70" s="1088"/>
      <c r="O70" s="904"/>
      <c r="P70" s="904"/>
      <c r="Q70" s="904"/>
      <c r="R70" s="904"/>
      <c r="V70" s="2213"/>
      <c r="W70" s="440">
        <v>1</v>
      </c>
      <c r="X70" s="440">
        <v>1</v>
      </c>
      <c r="Y70" s="440"/>
      <c r="Z70" s="440"/>
      <c r="AA70" s="440"/>
      <c r="AB70" s="440"/>
      <c r="AC70" s="440"/>
      <c r="AD70" s="440"/>
      <c r="AE70" s="440"/>
      <c r="AF70" s="440"/>
      <c r="AG70" s="440"/>
    </row>
    <row r="71" spans="2:33" hidden="1" outlineLevel="1" x14ac:dyDescent="0.25">
      <c r="B71" s="1087"/>
      <c r="C71" s="1455"/>
      <c r="D71" s="2204"/>
      <c r="E71" s="2207"/>
      <c r="F71" s="2192" t="str">
        <f t="shared" si="14"/>
        <v>ECM Continuous Fan ER2 - SF</v>
      </c>
      <c r="G71" s="2192"/>
      <c r="H71" s="2192"/>
      <c r="I71" s="1624">
        <v>1</v>
      </c>
      <c r="J71" s="572"/>
      <c r="K71" s="541"/>
      <c r="L71" s="1551"/>
      <c r="M71" s="904"/>
      <c r="N71" s="1088"/>
      <c r="O71" s="904"/>
      <c r="P71" s="904"/>
      <c r="Q71" s="904"/>
      <c r="R71" s="904"/>
      <c r="V71" s="2213"/>
      <c r="W71" s="571">
        <v>1</v>
      </c>
      <c r="X71" s="571">
        <v>1</v>
      </c>
      <c r="Y71" s="571"/>
      <c r="Z71" s="571"/>
      <c r="AA71" s="571"/>
      <c r="AB71" s="571"/>
      <c r="AC71" s="571"/>
      <c r="AD71" s="571"/>
      <c r="AE71" s="571"/>
      <c r="AF71" s="571"/>
      <c r="AG71" s="571"/>
    </row>
    <row r="72" spans="2:33" ht="16.5" hidden="1" customHeight="1" outlineLevel="1" x14ac:dyDescent="0.25">
      <c r="B72" s="1087"/>
      <c r="C72" s="1455"/>
      <c r="D72" s="2204"/>
      <c r="E72" s="2207"/>
      <c r="F72" s="2192" t="str">
        <f t="shared" si="14"/>
        <v>ECM Continuous Fan ER 1 - MF</v>
      </c>
      <c r="G72" s="2192"/>
      <c r="H72" s="2192"/>
      <c r="I72" s="1142">
        <v>1</v>
      </c>
      <c r="J72" s="569"/>
      <c r="K72" s="541"/>
      <c r="L72" s="1551"/>
      <c r="M72" s="904"/>
      <c r="N72" s="1088"/>
      <c r="O72" s="904"/>
      <c r="P72" s="904"/>
      <c r="Q72" s="904"/>
      <c r="R72" s="904"/>
      <c r="V72" s="2213"/>
      <c r="W72" s="440">
        <v>1</v>
      </c>
      <c r="X72" s="440">
        <v>1</v>
      </c>
      <c r="Y72" s="440"/>
      <c r="Z72" s="440"/>
      <c r="AA72" s="440"/>
      <c r="AB72" s="440"/>
      <c r="AC72" s="440"/>
      <c r="AD72" s="440"/>
      <c r="AE72" s="440"/>
      <c r="AF72" s="440"/>
      <c r="AG72" s="440"/>
    </row>
    <row r="73" spans="2:33" ht="15.75" hidden="1" outlineLevel="1" thickBot="1" x14ac:dyDescent="0.3">
      <c r="B73" s="905"/>
      <c r="C73" s="1434"/>
      <c r="D73" s="2205"/>
      <c r="E73" s="2208"/>
      <c r="F73" s="2195" t="str">
        <f t="shared" si="14"/>
        <v>ECM Continuous Fan ER2 - MF</v>
      </c>
      <c r="G73" s="2195"/>
      <c r="H73" s="2195"/>
      <c r="I73" s="1625">
        <v>1</v>
      </c>
      <c r="J73" s="574"/>
      <c r="K73" s="545"/>
      <c r="L73" s="1551"/>
      <c r="M73" s="904"/>
      <c r="N73" s="1088"/>
      <c r="O73" s="904"/>
      <c r="P73" s="904"/>
      <c r="Q73" s="904"/>
      <c r="R73" s="904"/>
      <c r="V73" s="2213"/>
      <c r="W73" s="573">
        <v>1</v>
      </c>
      <c r="X73" s="573">
        <v>1</v>
      </c>
      <c r="Y73" s="573"/>
      <c r="Z73" s="573"/>
      <c r="AA73" s="573"/>
      <c r="AB73" s="573"/>
      <c r="AC73" s="573"/>
      <c r="AD73" s="573"/>
      <c r="AE73" s="573"/>
      <c r="AF73" s="573"/>
      <c r="AG73" s="573"/>
    </row>
    <row r="74" spans="2:33" ht="18" hidden="1" customHeight="1" outlineLevel="1" x14ac:dyDescent="0.25">
      <c r="B74" s="1087"/>
      <c r="C74" s="1447"/>
      <c r="D74" s="2203" t="str">
        <f>N6</f>
        <v>EUL</v>
      </c>
      <c r="E74" s="2206" t="s">
        <v>907</v>
      </c>
      <c r="F74" s="2209" t="str">
        <f t="shared" ref="F74:F85" si="15">E7</f>
        <v>ECM Auto Fan ROF-SF</v>
      </c>
      <c r="G74" s="2209"/>
      <c r="H74" s="2209"/>
      <c r="I74" s="1626">
        <v>20</v>
      </c>
      <c r="J74" s="569"/>
      <c r="K74" s="576" t="s">
        <v>31</v>
      </c>
      <c r="L74" s="1551"/>
      <c r="M74" s="904"/>
      <c r="N74" s="1088"/>
      <c r="O74" s="904"/>
      <c r="P74" s="904"/>
      <c r="Q74" s="904"/>
      <c r="R74" s="904"/>
      <c r="V74" s="2210" t="str">
        <f>D74</f>
        <v>EUL</v>
      </c>
      <c r="W74" s="575">
        <v>20</v>
      </c>
      <c r="X74" s="575">
        <v>20</v>
      </c>
      <c r="Y74" s="575"/>
      <c r="Z74" s="575"/>
      <c r="AA74" s="575"/>
      <c r="AB74" s="575"/>
      <c r="AC74" s="575"/>
      <c r="AD74" s="575"/>
      <c r="AE74" s="575"/>
      <c r="AF74" s="575"/>
      <c r="AG74" s="575"/>
    </row>
    <row r="75" spans="2:33" ht="18" hidden="1" customHeight="1" outlineLevel="1" x14ac:dyDescent="0.25">
      <c r="B75" s="1087"/>
      <c r="C75" s="1447"/>
      <c r="D75" s="2204"/>
      <c r="E75" s="2207"/>
      <c r="F75" s="2192" t="str">
        <f t="shared" si="15"/>
        <v>ECM Auto Fan ROF-MF</v>
      </c>
      <c r="G75" s="2192"/>
      <c r="H75" s="2192"/>
      <c r="I75" s="1627">
        <v>20</v>
      </c>
      <c r="J75" s="569"/>
      <c r="K75" s="567" t="s">
        <v>31</v>
      </c>
      <c r="L75" s="1551"/>
      <c r="M75" s="904"/>
      <c r="N75" s="1088"/>
      <c r="O75" s="904"/>
      <c r="P75" s="904"/>
      <c r="Q75" s="904"/>
      <c r="R75" s="904"/>
      <c r="V75" s="2210"/>
      <c r="W75" s="578">
        <v>20</v>
      </c>
      <c r="X75" s="578">
        <v>20</v>
      </c>
      <c r="Y75" s="578"/>
      <c r="Z75" s="578"/>
      <c r="AA75" s="578"/>
      <c r="AB75" s="578"/>
      <c r="AC75" s="578"/>
      <c r="AD75" s="578"/>
      <c r="AE75" s="578"/>
      <c r="AF75" s="578"/>
      <c r="AG75" s="578"/>
    </row>
    <row r="76" spans="2:33" ht="18" hidden="1" customHeight="1" outlineLevel="1" x14ac:dyDescent="0.25">
      <c r="B76" s="1087"/>
      <c r="C76" s="1447"/>
      <c r="D76" s="2204"/>
      <c r="E76" s="2207"/>
      <c r="F76" s="2192" t="str">
        <f t="shared" si="15"/>
        <v>ECM Auto Fan ER 1 - SF</v>
      </c>
      <c r="G76" s="2192"/>
      <c r="H76" s="2192"/>
      <c r="I76" s="1077">
        <v>6</v>
      </c>
      <c r="J76" s="569"/>
      <c r="K76" s="570" t="s">
        <v>31</v>
      </c>
      <c r="L76" s="1551"/>
      <c r="M76" s="904"/>
      <c r="N76" s="1088"/>
      <c r="O76" s="904"/>
      <c r="P76" s="904"/>
      <c r="Q76" s="904"/>
      <c r="R76" s="904"/>
      <c r="V76" s="2210"/>
      <c r="W76" s="528">
        <v>6</v>
      </c>
      <c r="X76" s="528">
        <v>6</v>
      </c>
      <c r="Y76" s="528"/>
      <c r="Z76" s="528"/>
      <c r="AA76" s="528"/>
      <c r="AB76" s="528"/>
      <c r="AC76" s="528"/>
      <c r="AD76" s="528"/>
      <c r="AE76" s="528"/>
      <c r="AF76" s="528"/>
      <c r="AG76" s="528"/>
    </row>
    <row r="77" spans="2:33" ht="18" hidden="1" customHeight="1" outlineLevel="1" x14ac:dyDescent="0.25">
      <c r="B77" s="1087"/>
      <c r="C77" s="1447"/>
      <c r="D77" s="2204"/>
      <c r="E77" s="2207"/>
      <c r="F77" s="2192" t="str">
        <f t="shared" si="15"/>
        <v>ECM Auto Fan ER2 - SF</v>
      </c>
      <c r="G77" s="2192"/>
      <c r="H77" s="2192"/>
      <c r="I77" s="1077">
        <v>12</v>
      </c>
      <c r="J77" s="569"/>
      <c r="K77" s="541" t="s">
        <v>31</v>
      </c>
      <c r="L77" s="1551"/>
      <c r="M77" s="904"/>
      <c r="N77" s="1088"/>
      <c r="O77" s="904"/>
      <c r="P77" s="904"/>
      <c r="Q77" s="904"/>
      <c r="R77" s="904"/>
      <c r="V77" s="2210"/>
      <c r="W77" s="528">
        <v>12</v>
      </c>
      <c r="X77" s="528">
        <v>12</v>
      </c>
      <c r="Y77" s="528"/>
      <c r="Z77" s="528"/>
      <c r="AA77" s="528"/>
      <c r="AB77" s="528"/>
      <c r="AC77" s="528"/>
      <c r="AD77" s="528"/>
      <c r="AE77" s="528"/>
      <c r="AF77" s="528"/>
      <c r="AG77" s="528"/>
    </row>
    <row r="78" spans="2:33" ht="18" hidden="1" customHeight="1" outlineLevel="1" x14ac:dyDescent="0.25">
      <c r="B78" s="1087"/>
      <c r="C78" s="1447"/>
      <c r="D78" s="2204"/>
      <c r="E78" s="2207"/>
      <c r="F78" s="2192" t="str">
        <f t="shared" si="15"/>
        <v>ECM Auto Fan ER 1 - MF</v>
      </c>
      <c r="G78" s="2192"/>
      <c r="H78" s="2192"/>
      <c r="I78" s="1077">
        <v>6</v>
      </c>
      <c r="J78" s="569"/>
      <c r="K78" s="541" t="s">
        <v>31</v>
      </c>
      <c r="L78" s="1551"/>
      <c r="M78" s="904"/>
      <c r="N78" s="1088"/>
      <c r="O78" s="904"/>
      <c r="P78" s="904"/>
      <c r="Q78" s="904"/>
      <c r="R78" s="904"/>
      <c r="V78" s="2210"/>
      <c r="W78" s="528">
        <v>6</v>
      </c>
      <c r="X78" s="528">
        <v>6</v>
      </c>
      <c r="Y78" s="528"/>
      <c r="Z78" s="528"/>
      <c r="AA78" s="528"/>
      <c r="AB78" s="528"/>
      <c r="AC78" s="528"/>
      <c r="AD78" s="528"/>
      <c r="AE78" s="528"/>
      <c r="AF78" s="528"/>
      <c r="AG78" s="528"/>
    </row>
    <row r="79" spans="2:33" ht="18" hidden="1" customHeight="1" outlineLevel="1" x14ac:dyDescent="0.25">
      <c r="B79" s="1087"/>
      <c r="C79" s="1447"/>
      <c r="D79" s="2204"/>
      <c r="E79" s="2207"/>
      <c r="F79" s="2192" t="str">
        <f t="shared" si="15"/>
        <v>ECM Auto Fan ER2 - MF</v>
      </c>
      <c r="G79" s="2192"/>
      <c r="H79" s="2192"/>
      <c r="I79" s="1077">
        <v>12</v>
      </c>
      <c r="J79" s="569"/>
      <c r="K79" s="541" t="s">
        <v>31</v>
      </c>
      <c r="L79" s="1551"/>
      <c r="M79" s="904"/>
      <c r="N79" s="1088"/>
      <c r="O79" s="904"/>
      <c r="P79" s="904"/>
      <c r="Q79" s="904"/>
      <c r="R79" s="904"/>
      <c r="V79" s="2210"/>
      <c r="W79" s="528">
        <v>12</v>
      </c>
      <c r="X79" s="528">
        <v>12</v>
      </c>
      <c r="Y79" s="528"/>
      <c r="Z79" s="528"/>
      <c r="AA79" s="528"/>
      <c r="AB79" s="528"/>
      <c r="AC79" s="528"/>
      <c r="AD79" s="528"/>
      <c r="AE79" s="528"/>
      <c r="AF79" s="528"/>
      <c r="AG79" s="528"/>
    </row>
    <row r="80" spans="2:33" hidden="1" outlineLevel="1" x14ac:dyDescent="0.25">
      <c r="B80" s="1087"/>
      <c r="C80" s="1454"/>
      <c r="D80" s="2204"/>
      <c r="E80" s="2207"/>
      <c r="F80" s="2192" t="str">
        <f t="shared" si="15"/>
        <v>ECM Continuous Fan ROF- SF</v>
      </c>
      <c r="G80" s="2192"/>
      <c r="H80" s="2192"/>
      <c r="I80" s="1077">
        <v>20</v>
      </c>
      <c r="J80" s="569"/>
      <c r="K80" s="541" t="s">
        <v>31</v>
      </c>
      <c r="L80" s="1551"/>
      <c r="M80" s="904"/>
      <c r="N80" s="1088"/>
      <c r="O80" s="904"/>
      <c r="P80" s="904"/>
      <c r="Q80" s="904"/>
      <c r="R80" s="904"/>
      <c r="V80" s="2210"/>
      <c r="W80" s="528">
        <v>20</v>
      </c>
      <c r="X80" s="528">
        <v>20</v>
      </c>
      <c r="Y80" s="528"/>
      <c r="Z80" s="528"/>
      <c r="AA80" s="528"/>
      <c r="AB80" s="528"/>
      <c r="AC80" s="528"/>
      <c r="AD80" s="528"/>
      <c r="AE80" s="528"/>
      <c r="AF80" s="528"/>
      <c r="AG80" s="528"/>
    </row>
    <row r="81" spans="2:33" ht="30" hidden="1" outlineLevel="1" x14ac:dyDescent="0.25">
      <c r="B81" s="1087"/>
      <c r="C81" s="1454"/>
      <c r="D81" s="2204"/>
      <c r="E81" s="2207"/>
      <c r="F81" s="2192" t="str">
        <f t="shared" si="15"/>
        <v>ECM Continuous Fan ROF- MF</v>
      </c>
      <c r="G81" s="2192"/>
      <c r="H81" s="2192"/>
      <c r="I81" s="1077">
        <v>20</v>
      </c>
      <c r="J81" s="569"/>
      <c r="K81" s="541" t="s">
        <v>31</v>
      </c>
      <c r="L81" s="1551"/>
      <c r="M81" s="904"/>
      <c r="N81" s="1088"/>
      <c r="O81" s="2075" t="s">
        <v>908</v>
      </c>
      <c r="P81" s="2081"/>
      <c r="Q81" s="2076"/>
      <c r="R81" s="534" t="s">
        <v>909</v>
      </c>
      <c r="V81" s="2210"/>
      <c r="W81" s="528">
        <v>20</v>
      </c>
      <c r="X81" s="528">
        <v>20</v>
      </c>
      <c r="Y81" s="528"/>
      <c r="Z81" s="528"/>
      <c r="AA81" s="528"/>
      <c r="AB81" s="528"/>
      <c r="AC81" s="528"/>
      <c r="AD81" s="528"/>
      <c r="AE81" s="528"/>
      <c r="AF81" s="528"/>
      <c r="AG81" s="528"/>
    </row>
    <row r="82" spans="2:33" hidden="1" outlineLevel="1" x14ac:dyDescent="0.25">
      <c r="B82" s="1087"/>
      <c r="C82" s="1455"/>
      <c r="D82" s="2204"/>
      <c r="E82" s="2207"/>
      <c r="F82" s="2192" t="str">
        <f t="shared" si="15"/>
        <v>ECM Continuous Fan ER 1 - SF</v>
      </c>
      <c r="G82" s="2192"/>
      <c r="H82" s="2192"/>
      <c r="I82" s="1077">
        <v>6</v>
      </c>
      <c r="J82" s="569"/>
      <c r="K82" s="541" t="s">
        <v>31</v>
      </c>
      <c r="L82" s="1551"/>
      <c r="M82" s="904"/>
      <c r="N82" s="1088"/>
      <c r="O82" s="2211" t="s">
        <v>910</v>
      </c>
      <c r="P82" s="2212"/>
      <c r="Q82" s="581">
        <v>0</v>
      </c>
      <c r="R82" s="582">
        <f>($Q$92/1+Q82)-$Q$91/((1+$Q$94)^$Q$95)</f>
        <v>96.828432298395683</v>
      </c>
      <c r="V82" s="2210"/>
      <c r="W82" s="528">
        <v>6</v>
      </c>
      <c r="X82" s="528">
        <v>6</v>
      </c>
      <c r="Y82" s="528"/>
      <c r="Z82" s="528"/>
      <c r="AA82" s="528"/>
      <c r="AB82" s="528"/>
      <c r="AC82" s="528"/>
      <c r="AD82" s="528"/>
      <c r="AE82" s="528"/>
      <c r="AF82" s="528"/>
      <c r="AG82" s="528"/>
    </row>
    <row r="83" spans="2:33" hidden="1" outlineLevel="1" x14ac:dyDescent="0.25">
      <c r="B83" s="1087"/>
      <c r="C83" s="1455"/>
      <c r="D83" s="2204"/>
      <c r="E83" s="2207"/>
      <c r="F83" s="2192" t="str">
        <f t="shared" si="15"/>
        <v>ECM Continuous Fan ER2 - SF</v>
      </c>
      <c r="G83" s="2192"/>
      <c r="H83" s="2192"/>
      <c r="I83" s="1628">
        <v>12</v>
      </c>
      <c r="J83" s="572"/>
      <c r="K83" s="541" t="s">
        <v>31</v>
      </c>
      <c r="L83" s="1551"/>
      <c r="M83" s="904"/>
      <c r="N83" s="1088"/>
      <c r="O83" s="2211"/>
      <c r="P83" s="2212"/>
      <c r="Q83" s="526"/>
      <c r="R83" s="582"/>
      <c r="V83" s="2210"/>
      <c r="W83" s="583">
        <v>12</v>
      </c>
      <c r="X83" s="583">
        <v>12</v>
      </c>
      <c r="Y83" s="583"/>
      <c r="Z83" s="583"/>
      <c r="AA83" s="583"/>
      <c r="AB83" s="583"/>
      <c r="AC83" s="583"/>
      <c r="AD83" s="583"/>
      <c r="AE83" s="583"/>
      <c r="AF83" s="583"/>
      <c r="AG83" s="583"/>
    </row>
    <row r="84" spans="2:33" ht="16.5" hidden="1" customHeight="1" outlineLevel="1" x14ac:dyDescent="0.25">
      <c r="B84" s="1087"/>
      <c r="C84" s="1455"/>
      <c r="D84" s="2204"/>
      <c r="E84" s="2207"/>
      <c r="F84" s="2192" t="str">
        <f t="shared" si="15"/>
        <v>ECM Continuous Fan ER 1 - MF</v>
      </c>
      <c r="G84" s="2192"/>
      <c r="H84" s="2192"/>
      <c r="I84" s="1077">
        <v>6</v>
      </c>
      <c r="J84" s="569"/>
      <c r="K84" s="541" t="s">
        <v>31</v>
      </c>
      <c r="L84" s="1551"/>
      <c r="M84" s="904"/>
      <c r="N84" s="1088"/>
      <c r="O84" s="252"/>
      <c r="P84" s="252"/>
      <c r="Q84" s="252"/>
      <c r="R84" s="252"/>
      <c r="V84" s="2210"/>
      <c r="W84" s="528">
        <v>6</v>
      </c>
      <c r="X84" s="528">
        <v>6</v>
      </c>
      <c r="Y84" s="528"/>
      <c r="Z84" s="528"/>
      <c r="AA84" s="528"/>
      <c r="AB84" s="528"/>
      <c r="AC84" s="528"/>
      <c r="AD84" s="528"/>
      <c r="AE84" s="528"/>
      <c r="AF84" s="528"/>
      <c r="AG84" s="528"/>
    </row>
    <row r="85" spans="2:33" ht="15.75" hidden="1" outlineLevel="1" thickBot="1" x14ac:dyDescent="0.3">
      <c r="B85" s="905"/>
      <c r="C85" s="1434"/>
      <c r="D85" s="2205"/>
      <c r="E85" s="2208"/>
      <c r="F85" s="2195" t="str">
        <f t="shared" si="15"/>
        <v>ECM Continuous Fan ER2 - MF</v>
      </c>
      <c r="G85" s="2195"/>
      <c r="H85" s="2195"/>
      <c r="I85" s="1629">
        <v>12</v>
      </c>
      <c r="J85" s="574"/>
      <c r="K85" s="545" t="s">
        <v>31</v>
      </c>
      <c r="L85" s="1551"/>
      <c r="M85" s="904"/>
      <c r="N85" s="1088"/>
      <c r="O85" s="252"/>
      <c r="P85" s="252"/>
      <c r="Q85" s="252"/>
      <c r="R85" s="252"/>
      <c r="V85" s="2210"/>
      <c r="W85" s="584">
        <v>12</v>
      </c>
      <c r="X85" s="584">
        <v>12</v>
      </c>
      <c r="Y85" s="584"/>
      <c r="Z85" s="584"/>
      <c r="AA85" s="584"/>
      <c r="AB85" s="584"/>
      <c r="AC85" s="584"/>
      <c r="AD85" s="584"/>
      <c r="AE85" s="584"/>
      <c r="AF85" s="584"/>
      <c r="AG85" s="584"/>
    </row>
    <row r="86" spans="2:33" ht="18" hidden="1" customHeight="1" outlineLevel="1" x14ac:dyDescent="0.25">
      <c r="B86" s="1087"/>
      <c r="C86" s="1447"/>
      <c r="D86" s="2203" t="str">
        <f>O6</f>
        <v>Inc. Cost</v>
      </c>
      <c r="E86" s="2206" t="s">
        <v>739</v>
      </c>
      <c r="F86" s="2209" t="str">
        <f t="shared" ref="F86:F97" si="16">E7</f>
        <v>ECM Auto Fan ROF-SF</v>
      </c>
      <c r="G86" s="2209"/>
      <c r="H86" s="2209"/>
      <c r="I86" s="1630">
        <f>$Q$82</f>
        <v>0</v>
      </c>
      <c r="J86" s="569"/>
      <c r="K86" s="576" t="s">
        <v>31</v>
      </c>
      <c r="L86" s="1551"/>
      <c r="M86" s="1631"/>
      <c r="N86" s="1088"/>
      <c r="O86" s="252"/>
      <c r="P86" s="252"/>
      <c r="Q86" s="252"/>
      <c r="R86" s="252"/>
      <c r="V86" s="2210" t="str">
        <f>D86</f>
        <v>Inc. Cost</v>
      </c>
      <c r="W86" s="585">
        <f>$Q$82</f>
        <v>0</v>
      </c>
      <c r="X86" s="585">
        <f>$Q$82</f>
        <v>0</v>
      </c>
      <c r="Y86" s="585"/>
      <c r="Z86" s="585"/>
      <c r="AA86" s="585"/>
      <c r="AB86" s="585"/>
      <c r="AC86" s="585"/>
      <c r="AD86" s="585"/>
      <c r="AE86" s="585"/>
      <c r="AF86" s="585"/>
      <c r="AG86" s="585"/>
    </row>
    <row r="87" spans="2:33" ht="18" hidden="1" customHeight="1" outlineLevel="1" x14ac:dyDescent="0.25">
      <c r="B87" s="1087"/>
      <c r="C87" s="1447"/>
      <c r="D87" s="2204"/>
      <c r="E87" s="2207"/>
      <c r="F87" s="2192" t="str">
        <f t="shared" si="16"/>
        <v>ECM Auto Fan ROF-MF</v>
      </c>
      <c r="G87" s="2192"/>
      <c r="H87" s="2192"/>
      <c r="I87" s="1632">
        <f>$Q$82</f>
        <v>0</v>
      </c>
      <c r="J87" s="569"/>
      <c r="K87" s="567" t="s">
        <v>31</v>
      </c>
      <c r="L87" s="1551"/>
      <c r="M87" s="904"/>
      <c r="N87" s="1088"/>
      <c r="O87" s="252"/>
      <c r="P87" s="587"/>
      <c r="Q87" s="252"/>
      <c r="R87" s="587"/>
      <c r="S87" s="904"/>
      <c r="V87" s="2210"/>
      <c r="W87" s="586">
        <f>$Q$82</f>
        <v>0</v>
      </c>
      <c r="X87" s="586">
        <f>$Q$82</f>
        <v>0</v>
      </c>
      <c r="Y87" s="586"/>
      <c r="Z87" s="586"/>
      <c r="AA87" s="586"/>
      <c r="AB87" s="586"/>
      <c r="AC87" s="586"/>
      <c r="AD87" s="586"/>
      <c r="AE87" s="586"/>
      <c r="AF87" s="586"/>
      <c r="AG87" s="586"/>
    </row>
    <row r="88" spans="2:33" ht="18" hidden="1" customHeight="1" outlineLevel="1" x14ac:dyDescent="0.25">
      <c r="B88" s="1087"/>
      <c r="C88" s="1447"/>
      <c r="D88" s="2204"/>
      <c r="E88" s="2207"/>
      <c r="F88" s="2192" t="str">
        <f t="shared" si="16"/>
        <v>ECM Auto Fan ER 1 - SF</v>
      </c>
      <c r="G88" s="2192"/>
      <c r="H88" s="2192"/>
      <c r="I88" s="1633">
        <f>$R$82</f>
        <v>96.828432298395683</v>
      </c>
      <c r="J88" s="569"/>
      <c r="K88" s="570" t="s">
        <v>31</v>
      </c>
      <c r="L88" s="1551"/>
      <c r="M88" s="904"/>
      <c r="N88" s="1088"/>
      <c r="O88" s="252"/>
      <c r="P88" s="252"/>
      <c r="Q88" s="252"/>
      <c r="R88" s="252"/>
      <c r="S88" s="904"/>
      <c r="V88" s="2210"/>
      <c r="W88" s="588">
        <f>$R$82</f>
        <v>96.828432298395683</v>
      </c>
      <c r="X88" s="588">
        <f>$R$82</f>
        <v>96.828432298395683</v>
      </c>
      <c r="Y88" s="588"/>
      <c r="Z88" s="588"/>
      <c r="AA88" s="588"/>
      <c r="AB88" s="588"/>
      <c r="AC88" s="588"/>
      <c r="AD88" s="588"/>
      <c r="AE88" s="588"/>
      <c r="AF88" s="588"/>
      <c r="AG88" s="588"/>
    </row>
    <row r="89" spans="2:33" ht="18" hidden="1" customHeight="1" outlineLevel="1" x14ac:dyDescent="0.25">
      <c r="B89" s="1087"/>
      <c r="C89" s="1447"/>
      <c r="D89" s="2204"/>
      <c r="E89" s="2207"/>
      <c r="F89" s="2192" t="str">
        <f t="shared" si="16"/>
        <v>ECM Auto Fan ER2 - SF</v>
      </c>
      <c r="G89" s="2192"/>
      <c r="H89" s="2192"/>
      <c r="I89" s="1633"/>
      <c r="J89" s="569"/>
      <c r="K89" s="541" t="s">
        <v>31</v>
      </c>
      <c r="L89" s="1551"/>
      <c r="M89" s="904"/>
      <c r="N89" s="1088"/>
      <c r="O89" s="252"/>
      <c r="P89" s="252"/>
      <c r="Q89" s="252"/>
      <c r="R89" s="252"/>
      <c r="S89" s="904"/>
      <c r="T89" s="1634"/>
      <c r="V89" s="2210"/>
      <c r="W89" s="588"/>
      <c r="X89" s="588"/>
      <c r="Y89" s="588"/>
      <c r="Z89" s="588"/>
      <c r="AA89" s="588"/>
      <c r="AB89" s="588"/>
      <c r="AC89" s="588"/>
      <c r="AD89" s="588"/>
      <c r="AE89" s="588"/>
      <c r="AF89" s="588"/>
      <c r="AG89" s="588"/>
    </row>
    <row r="90" spans="2:33" ht="18" hidden="1" customHeight="1" outlineLevel="1" x14ac:dyDescent="0.25">
      <c r="B90" s="1087"/>
      <c r="C90" s="1447"/>
      <c r="D90" s="2204"/>
      <c r="E90" s="2207"/>
      <c r="F90" s="2192" t="str">
        <f t="shared" si="16"/>
        <v>ECM Auto Fan ER 1 - MF</v>
      </c>
      <c r="G90" s="2192"/>
      <c r="H90" s="2192"/>
      <c r="I90" s="1633">
        <f>$R$82</f>
        <v>96.828432298395683</v>
      </c>
      <c r="J90" s="569"/>
      <c r="K90" s="541" t="s">
        <v>31</v>
      </c>
      <c r="L90" s="1551"/>
      <c r="M90" s="1635"/>
      <c r="N90" s="1088"/>
      <c r="O90" s="2075" t="s">
        <v>911</v>
      </c>
      <c r="P90" s="2199"/>
      <c r="Q90" s="2200"/>
      <c r="R90" s="252"/>
      <c r="V90" s="2210"/>
      <c r="W90" s="588">
        <f>$R$82</f>
        <v>96.828432298395683</v>
      </c>
      <c r="X90" s="588">
        <f>$R$82</f>
        <v>96.828432298395683</v>
      </c>
      <c r="Y90" s="588"/>
      <c r="Z90" s="588"/>
      <c r="AA90" s="588"/>
      <c r="AB90" s="588"/>
      <c r="AC90" s="588"/>
      <c r="AD90" s="588"/>
      <c r="AE90" s="588"/>
      <c r="AF90" s="588"/>
      <c r="AG90" s="588"/>
    </row>
    <row r="91" spans="2:33" ht="18" hidden="1" customHeight="1" outlineLevel="1" x14ac:dyDescent="0.25">
      <c r="B91" s="1087"/>
      <c r="C91" s="1447"/>
      <c r="D91" s="2204"/>
      <c r="E91" s="2207"/>
      <c r="F91" s="2192" t="str">
        <f t="shared" si="16"/>
        <v>ECM Auto Fan ER2 - MF</v>
      </c>
      <c r="G91" s="2192"/>
      <c r="H91" s="2192"/>
      <c r="I91" s="1633"/>
      <c r="J91" s="569"/>
      <c r="K91" s="541" t="s">
        <v>31</v>
      </c>
      <c r="L91" s="1551"/>
      <c r="M91" s="904"/>
      <c r="N91" s="1088"/>
      <c r="O91" s="2201" t="s">
        <v>912</v>
      </c>
      <c r="P91" s="2202"/>
      <c r="Q91" s="589">
        <f>Q92*(1+Q93)^Q95</f>
        <v>534.92714915040006</v>
      </c>
      <c r="R91" s="252"/>
      <c r="V91" s="2210"/>
      <c r="W91" s="588"/>
      <c r="X91" s="588"/>
      <c r="Y91" s="588"/>
      <c r="Z91" s="588"/>
      <c r="AA91" s="588"/>
      <c r="AB91" s="588"/>
      <c r="AC91" s="588"/>
      <c r="AD91" s="588"/>
      <c r="AE91" s="588"/>
      <c r="AF91" s="588"/>
      <c r="AG91" s="588"/>
    </row>
    <row r="92" spans="2:33" ht="15" hidden="1" customHeight="1" outlineLevel="1" x14ac:dyDescent="0.25">
      <c r="B92" s="1087"/>
      <c r="C92" s="1454"/>
      <c r="D92" s="2204"/>
      <c r="E92" s="2207"/>
      <c r="F92" s="2192" t="str">
        <f t="shared" si="16"/>
        <v>ECM Continuous Fan ROF- SF</v>
      </c>
      <c r="G92" s="2192"/>
      <c r="H92" s="2192"/>
      <c r="I92" s="1633">
        <f>$Q$82</f>
        <v>0</v>
      </c>
      <c r="J92" s="569"/>
      <c r="K92" s="541" t="s">
        <v>31</v>
      </c>
      <c r="L92" s="1551"/>
      <c r="M92" s="904"/>
      <c r="N92" s="1088"/>
      <c r="O92" s="2201" t="s">
        <v>913</v>
      </c>
      <c r="P92" s="2202"/>
      <c r="Q92" s="590">
        <v>475</v>
      </c>
      <c r="R92" s="591" t="s">
        <v>914</v>
      </c>
      <c r="V92" s="2210"/>
      <c r="W92" s="588">
        <f>$Q$82</f>
        <v>0</v>
      </c>
      <c r="X92" s="588">
        <f>$Q$82</f>
        <v>0</v>
      </c>
      <c r="Y92" s="588"/>
      <c r="Z92" s="588"/>
      <c r="AA92" s="588"/>
      <c r="AB92" s="588"/>
      <c r="AC92" s="588"/>
      <c r="AD92" s="588"/>
      <c r="AE92" s="588"/>
      <c r="AF92" s="588"/>
      <c r="AG92" s="588"/>
    </row>
    <row r="93" spans="2:33" hidden="1" outlineLevel="1" x14ac:dyDescent="0.25">
      <c r="B93" s="1087"/>
      <c r="C93" s="1454"/>
      <c r="D93" s="2204"/>
      <c r="E93" s="2207"/>
      <c r="F93" s="2192" t="str">
        <f t="shared" si="16"/>
        <v>ECM Continuous Fan ROF- MF</v>
      </c>
      <c r="G93" s="2192"/>
      <c r="H93" s="2192"/>
      <c r="I93" s="1633">
        <f>$Q$82</f>
        <v>0</v>
      </c>
      <c r="J93" s="569"/>
      <c r="K93" s="541" t="s">
        <v>31</v>
      </c>
      <c r="L93" s="1551"/>
      <c r="M93" s="904"/>
      <c r="N93" s="1088"/>
      <c r="O93" s="2201" t="s">
        <v>915</v>
      </c>
      <c r="P93" s="2202"/>
      <c r="Q93" s="592">
        <v>0.02</v>
      </c>
      <c r="R93" s="252"/>
      <c r="V93" s="2210"/>
      <c r="W93" s="588">
        <f>$Q$82</f>
        <v>0</v>
      </c>
      <c r="X93" s="588">
        <f>$Q$82</f>
        <v>0</v>
      </c>
      <c r="Y93" s="588"/>
      <c r="Z93" s="588"/>
      <c r="AA93" s="588"/>
      <c r="AB93" s="588"/>
      <c r="AC93" s="588"/>
      <c r="AD93" s="588"/>
      <c r="AE93" s="588"/>
      <c r="AF93" s="588"/>
      <c r="AG93" s="588"/>
    </row>
    <row r="94" spans="2:33" hidden="1" outlineLevel="1" x14ac:dyDescent="0.25">
      <c r="B94" s="1087"/>
      <c r="C94" s="1455"/>
      <c r="D94" s="2204"/>
      <c r="E94" s="2207"/>
      <c r="F94" s="2192" t="str">
        <f t="shared" si="16"/>
        <v>ECM Continuous Fan ER 1 - SF</v>
      </c>
      <c r="G94" s="2192"/>
      <c r="H94" s="2192"/>
      <c r="I94" s="1633">
        <f>$R$82</f>
        <v>96.828432298395683</v>
      </c>
      <c r="J94" s="569"/>
      <c r="K94" s="541" t="s">
        <v>31</v>
      </c>
      <c r="L94" s="1551"/>
      <c r="M94" s="904"/>
      <c r="N94" s="1088"/>
      <c r="O94" s="2193" t="s">
        <v>916</v>
      </c>
      <c r="P94" s="2194"/>
      <c r="Q94" s="592">
        <v>5.9499999999999997E-2</v>
      </c>
      <c r="R94" s="252"/>
      <c r="V94" s="2210"/>
      <c r="W94" s="588">
        <f>$R$82</f>
        <v>96.828432298395683</v>
      </c>
      <c r="X94" s="588">
        <f>$R$82</f>
        <v>96.828432298395683</v>
      </c>
      <c r="Y94" s="588"/>
      <c r="Z94" s="588"/>
      <c r="AA94" s="588"/>
      <c r="AB94" s="588"/>
      <c r="AC94" s="588"/>
      <c r="AD94" s="588"/>
      <c r="AE94" s="588"/>
      <c r="AF94" s="588"/>
      <c r="AG94" s="588"/>
    </row>
    <row r="95" spans="2:33" hidden="1" outlineLevel="1" x14ac:dyDescent="0.25">
      <c r="B95" s="1087"/>
      <c r="C95" s="1455"/>
      <c r="D95" s="2204"/>
      <c r="E95" s="2207"/>
      <c r="F95" s="2192" t="str">
        <f t="shared" si="16"/>
        <v>ECM Continuous Fan ER2 - SF</v>
      </c>
      <c r="G95" s="2192"/>
      <c r="H95" s="2192"/>
      <c r="I95" s="1636"/>
      <c r="J95" s="572"/>
      <c r="K95" s="541" t="s">
        <v>31</v>
      </c>
      <c r="L95" s="1551"/>
      <c r="M95" s="904"/>
      <c r="N95" s="1088"/>
      <c r="O95" s="594" t="s">
        <v>917</v>
      </c>
      <c r="P95" s="595"/>
      <c r="Q95" s="590">
        <v>6</v>
      </c>
      <c r="R95" s="252"/>
      <c r="V95" s="2210"/>
      <c r="W95" s="593"/>
      <c r="X95" s="593"/>
      <c r="Y95" s="593"/>
      <c r="Z95" s="593"/>
      <c r="AA95" s="593"/>
      <c r="AB95" s="593"/>
      <c r="AC95" s="593"/>
      <c r="AD95" s="593"/>
      <c r="AE95" s="593"/>
      <c r="AF95" s="593"/>
      <c r="AG95" s="593"/>
    </row>
    <row r="96" spans="2:33" ht="16.5" hidden="1" customHeight="1" outlineLevel="1" x14ac:dyDescent="0.25">
      <c r="B96" s="1087"/>
      <c r="C96" s="1455"/>
      <c r="D96" s="2204"/>
      <c r="E96" s="2207"/>
      <c r="F96" s="2192" t="str">
        <f t="shared" si="16"/>
        <v>ECM Continuous Fan ER 1 - MF</v>
      </c>
      <c r="G96" s="2192"/>
      <c r="H96" s="2192"/>
      <c r="I96" s="1633">
        <f>$R$82</f>
        <v>96.828432298395683</v>
      </c>
      <c r="J96" s="569"/>
      <c r="K96" s="541" t="s">
        <v>31</v>
      </c>
      <c r="L96" s="1551"/>
      <c r="M96" s="904"/>
      <c r="N96" s="1088"/>
      <c r="O96" s="904"/>
      <c r="P96" s="904"/>
      <c r="Q96" s="904"/>
      <c r="R96" s="904"/>
      <c r="V96" s="2210"/>
      <c r="W96" s="588">
        <f>$R$82</f>
        <v>96.828432298395683</v>
      </c>
      <c r="X96" s="588">
        <f>$R$82</f>
        <v>96.828432298395683</v>
      </c>
      <c r="Y96" s="588"/>
      <c r="Z96" s="588"/>
      <c r="AA96" s="588"/>
      <c r="AB96" s="588"/>
      <c r="AC96" s="588"/>
      <c r="AD96" s="588"/>
      <c r="AE96" s="588"/>
      <c r="AF96" s="588"/>
      <c r="AG96" s="588"/>
    </row>
    <row r="97" spans="1:34" ht="15.75" hidden="1" outlineLevel="1" thickBot="1" x14ac:dyDescent="0.3">
      <c r="B97" s="905"/>
      <c r="C97" s="1434"/>
      <c r="D97" s="2205"/>
      <c r="E97" s="2208"/>
      <c r="F97" s="2195" t="str">
        <f t="shared" si="16"/>
        <v>ECM Continuous Fan ER2 - MF</v>
      </c>
      <c r="G97" s="2195"/>
      <c r="H97" s="2195"/>
      <c r="I97" s="1637"/>
      <c r="J97" s="574"/>
      <c r="K97" s="545" t="s">
        <v>31</v>
      </c>
      <c r="L97" s="1551"/>
      <c r="M97" s="904"/>
      <c r="N97" s="1088"/>
      <c r="O97" s="904"/>
      <c r="P97" s="904"/>
      <c r="Q97" s="904"/>
      <c r="R97" s="904"/>
      <c r="V97" s="2210"/>
      <c r="W97" s="596"/>
      <c r="X97" s="596"/>
      <c r="Y97" s="596"/>
      <c r="Z97" s="596"/>
      <c r="AA97" s="596"/>
      <c r="AB97" s="596"/>
      <c r="AC97" s="596"/>
      <c r="AD97" s="596"/>
      <c r="AE97" s="596"/>
      <c r="AF97" s="596"/>
      <c r="AG97" s="596"/>
    </row>
    <row r="98" spans="1:34" collapsed="1" x14ac:dyDescent="0.25">
      <c r="N98" s="616"/>
    </row>
    <row r="100" spans="1:34" x14ac:dyDescent="0.25">
      <c r="A100" s="597"/>
      <c r="B100" s="2022" t="s">
        <v>918</v>
      </c>
      <c r="C100" s="2023"/>
      <c r="D100" s="2023"/>
      <c r="E100" s="2023"/>
      <c r="F100" s="2023"/>
      <c r="G100" s="2023"/>
      <c r="H100" s="2023"/>
      <c r="I100" s="2023"/>
      <c r="J100" s="2023"/>
      <c r="K100" s="2023"/>
      <c r="L100" s="2023"/>
      <c r="M100" s="2023"/>
      <c r="N100" s="2023"/>
      <c r="O100" s="2023"/>
      <c r="P100" s="2023"/>
      <c r="Q100" s="2196"/>
      <c r="V100" s="2022" t="str">
        <f>B100</f>
        <v>Central Air Conditioners</v>
      </c>
      <c r="W100" s="2023"/>
      <c r="X100" s="2023"/>
      <c r="Y100" s="2023"/>
      <c r="Z100" s="2023"/>
      <c r="AA100" s="2023"/>
      <c r="AB100" s="2023"/>
      <c r="AC100" s="2024"/>
      <c r="AD100" s="2024"/>
      <c r="AE100" s="2024"/>
      <c r="AF100" s="2024"/>
      <c r="AG100" s="2024"/>
      <c r="AH100" s="2025"/>
    </row>
    <row r="101" spans="1:34" x14ac:dyDescent="0.25">
      <c r="A101" s="597"/>
      <c r="H101" s="616"/>
      <c r="I101" s="616"/>
      <c r="J101" s="616"/>
      <c r="K101" s="616"/>
      <c r="L101" s="616"/>
      <c r="M101" s="616"/>
      <c r="V101" s="56"/>
      <c r="W101" s="56"/>
      <c r="X101" s="56"/>
      <c r="Y101" s="56"/>
      <c r="Z101" s="56"/>
    </row>
    <row r="102" spans="1:34" x14ac:dyDescent="0.25">
      <c r="A102" s="597"/>
      <c r="H102" s="616"/>
      <c r="I102" s="616"/>
      <c r="J102" s="616"/>
      <c r="K102" s="616"/>
      <c r="L102" s="616"/>
      <c r="M102" s="616"/>
      <c r="V102" s="56"/>
      <c r="W102" s="56"/>
      <c r="X102" s="56"/>
      <c r="Y102" s="56"/>
      <c r="Z102" s="56"/>
    </row>
    <row r="103" spans="1:34" s="56" customFormat="1" ht="45" x14ac:dyDescent="0.25">
      <c r="A103" s="597"/>
      <c r="B103" s="130"/>
      <c r="C103" s="184" t="s">
        <v>16</v>
      </c>
      <c r="D103" s="184" t="s">
        <v>509</v>
      </c>
      <c r="E103" s="184" t="s">
        <v>18</v>
      </c>
      <c r="F103" s="184" t="s">
        <v>19</v>
      </c>
      <c r="G103" s="184" t="s">
        <v>20</v>
      </c>
      <c r="H103" s="184" t="s">
        <v>21</v>
      </c>
      <c r="I103" s="184" t="s">
        <v>22</v>
      </c>
      <c r="J103" s="448" t="s">
        <v>23</v>
      </c>
      <c r="K103" s="184" t="s">
        <v>24</v>
      </c>
      <c r="L103" s="184" t="s">
        <v>919</v>
      </c>
      <c r="M103" s="130"/>
      <c r="N103" s="130"/>
      <c r="O103" s="130"/>
      <c r="P103" s="130"/>
      <c r="Q103" s="130"/>
      <c r="R103" s="130"/>
      <c r="S103" s="130"/>
      <c r="T103" s="130"/>
      <c r="U103" s="130"/>
      <c r="V103" s="48" t="s">
        <v>26</v>
      </c>
      <c r="W103" s="49">
        <v>43252</v>
      </c>
      <c r="X103" s="49">
        <f>$X$6</f>
        <v>43465</v>
      </c>
      <c r="Y103" s="49" t="str">
        <f>$Y$6</f>
        <v>-</v>
      </c>
      <c r="Z103" s="49" t="str">
        <f>$Z$6</f>
        <v>-</v>
      </c>
      <c r="AA103" s="49" t="str">
        <f>$AA$6</f>
        <v>-</v>
      </c>
      <c r="AB103" s="49" t="str">
        <f>$AB$6</f>
        <v>-</v>
      </c>
      <c r="AC103" s="49" t="str">
        <f>$AC$6</f>
        <v>-</v>
      </c>
      <c r="AD103" s="49" t="str">
        <f>$AD$6</f>
        <v>-</v>
      </c>
      <c r="AE103" s="49" t="str">
        <f>$AE$6</f>
        <v>-</v>
      </c>
      <c r="AF103" s="49" t="str">
        <f>$AF$6</f>
        <v>-</v>
      </c>
      <c r="AG103" s="49" t="str">
        <f>$AG$6</f>
        <v>-</v>
      </c>
    </row>
    <row r="104" spans="1:34" s="56" customFormat="1" x14ac:dyDescent="0.25">
      <c r="A104" s="597"/>
      <c r="B104" s="130"/>
      <c r="C104" s="115"/>
      <c r="D104" s="1138" t="s">
        <v>1773</v>
      </c>
      <c r="E104" s="1638" t="s">
        <v>920</v>
      </c>
      <c r="F104" s="1077">
        <f>((J140*J164*(1/J236-1/J212))/1000)*J260</f>
        <v>1572.0312023114329</v>
      </c>
      <c r="G104" s="1151" t="s">
        <v>578</v>
      </c>
      <c r="H104" s="170">
        <f>VLOOKUP(G104,'CP FACTORS'!$A$3:$B$38, 2, FALSE)</f>
        <v>9.4741810000000004E-4</v>
      </c>
      <c r="I104" s="1639">
        <f t="shared" ref="I104:I127" si="17">F104*H104</f>
        <v>1.4893708148346134</v>
      </c>
      <c r="J104" s="598">
        <f>J284</f>
        <v>6</v>
      </c>
      <c r="K104" s="599">
        <f>J308</f>
        <v>592.10416476026353</v>
      </c>
      <c r="L104" s="76">
        <v>3</v>
      </c>
      <c r="M104" s="610"/>
      <c r="N104" s="130"/>
      <c r="O104" s="1640"/>
      <c r="P104" s="130"/>
      <c r="Q104" s="130"/>
      <c r="R104" s="1413"/>
      <c r="S104" s="130"/>
      <c r="T104" s="130"/>
      <c r="U104" s="130"/>
      <c r="V104" s="176" t="s">
        <v>19</v>
      </c>
      <c r="W104" s="601">
        <v>1612.0233596702167</v>
      </c>
      <c r="X104" s="602">
        <v>1572.0312023114329</v>
      </c>
      <c r="Y104" s="254"/>
      <c r="Z104" s="55"/>
      <c r="AA104" s="55"/>
      <c r="AB104" s="55"/>
      <c r="AC104" s="55"/>
      <c r="AD104" s="55"/>
      <c r="AE104" s="55"/>
      <c r="AF104" s="55"/>
      <c r="AG104" s="55"/>
    </row>
    <row r="105" spans="1:34" s="56" customFormat="1" x14ac:dyDescent="0.25">
      <c r="A105" s="597"/>
      <c r="B105" s="130"/>
      <c r="C105" s="115"/>
      <c r="D105" s="1138" t="s">
        <v>1773</v>
      </c>
      <c r="E105" s="1641" t="s">
        <v>921</v>
      </c>
      <c r="F105" s="821">
        <f>((J141*J165*(1/J189-1/J213))/1000)*J261</f>
        <v>200.42516297262068</v>
      </c>
      <c r="G105" s="1151" t="s">
        <v>922</v>
      </c>
      <c r="H105" s="170">
        <f>VLOOKUP(G105,'CP FACTORS'!$A$3:$B$38, 2, FALSE)</f>
        <v>9.4741810000000004E-4</v>
      </c>
      <c r="I105" s="1639">
        <f t="shared" si="17"/>
        <v>0.18988642709571066</v>
      </c>
      <c r="J105" s="598">
        <f t="shared" ref="J105:J127" si="18">J285</f>
        <v>12</v>
      </c>
      <c r="K105" s="599">
        <f t="shared" ref="K105:K127" si="19">J309</f>
        <v>0</v>
      </c>
      <c r="L105" s="76">
        <v>3</v>
      </c>
      <c r="M105" s="130"/>
      <c r="N105" s="130"/>
      <c r="O105" s="1640"/>
      <c r="P105" s="130"/>
      <c r="Q105" s="130"/>
      <c r="R105" s="1413"/>
      <c r="S105" s="130"/>
      <c r="T105" s="130"/>
      <c r="U105" s="130"/>
      <c r="V105" s="176" t="s">
        <v>19</v>
      </c>
      <c r="W105" s="601">
        <v>925.30140845070434</v>
      </c>
      <c r="X105" s="602">
        <v>200.42516297262068</v>
      </c>
      <c r="Y105" s="254"/>
      <c r="Z105" s="55"/>
      <c r="AA105" s="55"/>
      <c r="AB105" s="55"/>
      <c r="AC105" s="55"/>
      <c r="AD105" s="55"/>
      <c r="AE105" s="55"/>
      <c r="AF105" s="55"/>
      <c r="AG105" s="55"/>
    </row>
    <row r="106" spans="1:34" s="56" customFormat="1" x14ac:dyDescent="0.25">
      <c r="A106" s="597"/>
      <c r="B106" s="130"/>
      <c r="C106" s="115"/>
      <c r="D106" s="1138" t="s">
        <v>1773</v>
      </c>
      <c r="E106" s="1642" t="s">
        <v>923</v>
      </c>
      <c r="F106" s="1077">
        <f>((J142*J166*(1/J190-1/J214))/1000)*J262</f>
        <v>200.42516297262068</v>
      </c>
      <c r="G106" s="1151" t="s">
        <v>578</v>
      </c>
      <c r="H106" s="170">
        <f>VLOOKUP(G106,'CP FACTORS'!$A$3:$B$38, 2, FALSE)</f>
        <v>9.4741810000000004E-4</v>
      </c>
      <c r="I106" s="1639">
        <f t="shared" si="17"/>
        <v>0.18988642709571066</v>
      </c>
      <c r="J106" s="598">
        <f t="shared" si="18"/>
        <v>18</v>
      </c>
      <c r="K106" s="599">
        <f t="shared" si="19"/>
        <v>0</v>
      </c>
      <c r="L106" s="76">
        <v>3</v>
      </c>
      <c r="M106" s="130"/>
      <c r="N106" s="130"/>
      <c r="O106" s="1640"/>
      <c r="P106" s="130"/>
      <c r="Q106" s="130"/>
      <c r="R106" s="1413"/>
      <c r="S106" s="130"/>
      <c r="T106" s="130"/>
      <c r="U106" s="130"/>
      <c r="V106" s="176" t="s">
        <v>19</v>
      </c>
      <c r="W106" s="601">
        <v>203.36294691224271</v>
      </c>
      <c r="X106" s="602">
        <v>200.42516297262068</v>
      </c>
      <c r="Y106" s="254"/>
      <c r="Z106" s="55"/>
      <c r="AA106" s="55"/>
      <c r="AB106" s="55"/>
      <c r="AC106" s="55"/>
      <c r="AD106" s="55"/>
      <c r="AE106" s="55"/>
      <c r="AF106" s="55"/>
      <c r="AG106" s="55"/>
    </row>
    <row r="107" spans="1:34" s="56" customFormat="1" x14ac:dyDescent="0.25">
      <c r="A107" s="597"/>
      <c r="B107" s="130"/>
      <c r="C107" s="115"/>
      <c r="D107" s="1138" t="s">
        <v>1772</v>
      </c>
      <c r="E107" s="1638" t="s">
        <v>924</v>
      </c>
      <c r="F107" s="1077">
        <f>((J143*J167*(1/J239-1/J215))/1000)*J263</f>
        <v>1489.5657573374176</v>
      </c>
      <c r="G107" s="1151" t="s">
        <v>578</v>
      </c>
      <c r="H107" s="170">
        <f>VLOOKUP(G107,'CP FACTORS'!$A$3:$B$38, 2, FALSE)</f>
        <v>9.4741810000000004E-4</v>
      </c>
      <c r="I107" s="1639">
        <f t="shared" si="17"/>
        <v>1.4112415596416774</v>
      </c>
      <c r="J107" s="598">
        <f t="shared" si="18"/>
        <v>6</v>
      </c>
      <c r="K107" s="599">
        <f t="shared" si="19"/>
        <v>388.26502607230395</v>
      </c>
      <c r="L107" s="76">
        <v>3</v>
      </c>
      <c r="M107" s="130"/>
      <c r="N107" s="130"/>
      <c r="O107" s="1640"/>
      <c r="P107" s="130"/>
      <c r="Q107" s="130"/>
      <c r="R107" s="1413"/>
      <c r="S107" s="130"/>
      <c r="T107" s="130"/>
      <c r="U107" s="130"/>
      <c r="V107" s="176" t="s">
        <v>19</v>
      </c>
      <c r="W107" s="601">
        <v>1047.8151837856408</v>
      </c>
      <c r="X107" s="602">
        <v>1489.5657573374176</v>
      </c>
      <c r="Y107" s="254"/>
      <c r="Z107" s="55"/>
      <c r="AA107" s="55"/>
      <c r="AB107" s="55"/>
      <c r="AC107" s="55"/>
      <c r="AD107" s="55"/>
      <c r="AE107" s="55"/>
      <c r="AF107" s="55"/>
      <c r="AG107" s="55"/>
    </row>
    <row r="108" spans="1:34" s="56" customFormat="1" x14ac:dyDescent="0.25">
      <c r="A108" s="597"/>
      <c r="B108" s="130"/>
      <c r="C108" s="115"/>
      <c r="D108" s="1138" t="s">
        <v>1772</v>
      </c>
      <c r="E108" s="1641" t="s">
        <v>925</v>
      </c>
      <c r="F108" s="1077">
        <f>((J144*J168*(1/J192-1/J216))/1000)*J264</f>
        <v>232.04244031830254</v>
      </c>
      <c r="G108" s="1151" t="s">
        <v>922</v>
      </c>
      <c r="H108" s="170">
        <f>VLOOKUP(G108,'CP FACTORS'!$A$3:$B$38, 2, FALSE)</f>
        <v>9.4741810000000004E-4</v>
      </c>
      <c r="I108" s="1639">
        <f t="shared" si="17"/>
        <v>0.21984120792572959</v>
      </c>
      <c r="J108" s="598">
        <f t="shared" si="18"/>
        <v>12</v>
      </c>
      <c r="K108" s="599">
        <f t="shared" si="19"/>
        <v>0</v>
      </c>
      <c r="L108" s="76">
        <v>3</v>
      </c>
      <c r="M108" s="130"/>
      <c r="N108" s="130"/>
      <c r="O108" s="1640"/>
      <c r="P108" s="130"/>
      <c r="Q108" s="130"/>
      <c r="R108" s="1413"/>
      <c r="S108" s="130"/>
      <c r="T108" s="130"/>
      <c r="U108" s="130"/>
      <c r="V108" s="176" t="s">
        <v>19</v>
      </c>
      <c r="W108" s="601">
        <v>601.44591549295785</v>
      </c>
      <c r="X108" s="602">
        <v>232.04244031830254</v>
      </c>
      <c r="Y108" s="254"/>
      <c r="Z108" s="55"/>
      <c r="AA108" s="55"/>
      <c r="AB108" s="55"/>
      <c r="AC108" s="55"/>
      <c r="AD108" s="55"/>
      <c r="AE108" s="55"/>
      <c r="AF108" s="55"/>
      <c r="AG108" s="55"/>
    </row>
    <row r="109" spans="1:34" s="56" customFormat="1" x14ac:dyDescent="0.25">
      <c r="A109" s="597"/>
      <c r="B109" s="130"/>
      <c r="C109" s="115"/>
      <c r="D109" s="1138" t="s">
        <v>1772</v>
      </c>
      <c r="E109" s="1642" t="s">
        <v>926</v>
      </c>
      <c r="F109" s="1077">
        <f>((J145*J169*(1/J193-1/J217))/1000)*J265</f>
        <v>232.04244031830254</v>
      </c>
      <c r="G109" s="1151" t="s">
        <v>578</v>
      </c>
      <c r="H109" s="170">
        <f>VLOOKUP(G109,'CP FACTORS'!$A$3:$B$38, 2, FALSE)</f>
        <v>9.4741810000000004E-4</v>
      </c>
      <c r="I109" s="1639">
        <f t="shared" si="17"/>
        <v>0.21984120792572959</v>
      </c>
      <c r="J109" s="598">
        <f t="shared" si="18"/>
        <v>16</v>
      </c>
      <c r="K109" s="599">
        <f t="shared" si="19"/>
        <v>0</v>
      </c>
      <c r="L109" s="76">
        <v>3</v>
      </c>
      <c r="M109" s="130"/>
      <c r="N109" s="130"/>
      <c r="O109" s="1640"/>
      <c r="P109" s="130"/>
      <c r="Q109" s="130"/>
      <c r="R109" s="1413"/>
      <c r="S109" s="130"/>
      <c r="T109" s="130"/>
      <c r="U109" s="130"/>
      <c r="V109" s="176" t="s">
        <v>19</v>
      </c>
      <c r="W109" s="601">
        <v>132.18591549295778</v>
      </c>
      <c r="X109" s="602">
        <v>232.04244031830254</v>
      </c>
      <c r="Y109" s="254"/>
      <c r="Z109" s="55"/>
      <c r="AA109" s="55"/>
      <c r="AB109" s="55"/>
      <c r="AC109" s="55"/>
      <c r="AD109" s="55"/>
      <c r="AE109" s="55"/>
      <c r="AF109" s="55"/>
      <c r="AG109" s="55"/>
    </row>
    <row r="110" spans="1:34" s="56" customFormat="1" x14ac:dyDescent="0.25">
      <c r="A110" s="597"/>
      <c r="B110" s="130"/>
      <c r="C110" s="115"/>
      <c r="D110" s="1643" t="s">
        <v>1773</v>
      </c>
      <c r="E110" s="1638" t="s">
        <v>927</v>
      </c>
      <c r="F110" s="1077">
        <f>((J146*J170*(1/J242-1/J218))/1000)*J266</f>
        <v>1720.1937397650352</v>
      </c>
      <c r="G110" s="1151" t="s">
        <v>578</v>
      </c>
      <c r="H110" s="170">
        <f>VLOOKUP(G110,'CP FACTORS'!$A$3:$B$38, 2, FALSE)</f>
        <v>9.4741810000000004E-4</v>
      </c>
      <c r="I110" s="1639">
        <f t="shared" si="17"/>
        <v>1.6297426845600842</v>
      </c>
      <c r="J110" s="598">
        <f t="shared" si="18"/>
        <v>6</v>
      </c>
      <c r="K110" s="599">
        <f t="shared" si="19"/>
        <v>921.50416476026385</v>
      </c>
      <c r="L110" s="76">
        <v>3.3</v>
      </c>
      <c r="M110" s="130"/>
      <c r="N110" s="130"/>
      <c r="O110" s="1640"/>
      <c r="P110" s="130"/>
      <c r="Q110" s="130"/>
      <c r="R110" s="1413"/>
      <c r="S110" s="130"/>
      <c r="T110" s="130"/>
      <c r="U110" s="130"/>
      <c r="V110" s="176" t="s">
        <v>19</v>
      </c>
      <c r="W110" s="601">
        <v>1932.6604621309377</v>
      </c>
      <c r="X110" s="602">
        <v>1720.1937397650352</v>
      </c>
      <c r="Y110" s="254"/>
      <c r="Z110" s="55"/>
      <c r="AA110" s="55"/>
      <c r="AB110" s="55"/>
      <c r="AC110" s="55"/>
      <c r="AD110" s="55"/>
      <c r="AE110" s="55"/>
      <c r="AF110" s="55"/>
      <c r="AG110" s="55"/>
    </row>
    <row r="111" spans="1:34" s="56" customFormat="1" x14ac:dyDescent="0.25">
      <c r="A111" s="597"/>
      <c r="B111" s="130"/>
      <c r="C111" s="115"/>
      <c r="D111" s="1643" t="s">
        <v>1773</v>
      </c>
      <c r="E111" s="1641" t="s">
        <v>928</v>
      </c>
      <c r="F111" s="1077">
        <f>((J147*J171*(1/J195-1/J219))/1000)*J267</f>
        <v>348.58770042622297</v>
      </c>
      <c r="G111" s="1151" t="s">
        <v>922</v>
      </c>
      <c r="H111" s="170">
        <f>VLOOKUP(G111,'CP FACTORS'!$A$3:$B$38, 2, FALSE)</f>
        <v>9.4741810000000004E-4</v>
      </c>
      <c r="I111" s="1639">
        <f t="shared" si="17"/>
        <v>0.33025829682118135</v>
      </c>
      <c r="J111" s="598">
        <f t="shared" si="18"/>
        <v>12</v>
      </c>
      <c r="K111" s="599">
        <f t="shared" si="19"/>
        <v>0</v>
      </c>
      <c r="L111" s="76">
        <v>3.3</v>
      </c>
      <c r="M111" s="130"/>
      <c r="N111" s="130"/>
      <c r="O111" s="1640"/>
      <c r="P111" s="130"/>
      <c r="Q111" s="130"/>
      <c r="R111" s="1413"/>
      <c r="S111" s="130"/>
      <c r="T111" s="130"/>
      <c r="U111" s="130"/>
      <c r="V111" s="176" t="s">
        <v>19</v>
      </c>
      <c r="W111" s="601">
        <v>1177.266315789474</v>
      </c>
      <c r="X111" s="602">
        <v>348.58770042622297</v>
      </c>
      <c r="Y111" s="254"/>
      <c r="Z111" s="55"/>
      <c r="AA111" s="55"/>
      <c r="AB111" s="55"/>
      <c r="AC111" s="55"/>
      <c r="AD111" s="55"/>
      <c r="AE111" s="55"/>
      <c r="AF111" s="55"/>
      <c r="AG111" s="55"/>
    </row>
    <row r="112" spans="1:34" s="56" customFormat="1" x14ac:dyDescent="0.25">
      <c r="A112" s="597"/>
      <c r="B112" s="130"/>
      <c r="C112" s="115"/>
      <c r="D112" s="1643" t="s">
        <v>1773</v>
      </c>
      <c r="E112" s="1642" t="s">
        <v>929</v>
      </c>
      <c r="F112" s="1077">
        <f>((J148*J172*(1/J196-1/J220))/1000)*J268</f>
        <v>348.58770042622297</v>
      </c>
      <c r="G112" s="1151" t="s">
        <v>578</v>
      </c>
      <c r="H112" s="170">
        <f>VLOOKUP(G112,'CP FACTORS'!$A$3:$B$38, 2, FALSE)</f>
        <v>9.4741810000000004E-4</v>
      </c>
      <c r="I112" s="1639">
        <f t="shared" si="17"/>
        <v>0.33025829682118135</v>
      </c>
      <c r="J112" s="598">
        <f t="shared" si="18"/>
        <v>18</v>
      </c>
      <c r="K112" s="599">
        <f t="shared" si="19"/>
        <v>216</v>
      </c>
      <c r="L112" s="76">
        <v>3</v>
      </c>
      <c r="M112" s="130"/>
      <c r="N112" s="130"/>
      <c r="O112" s="1640"/>
      <c r="P112" s="130"/>
      <c r="Q112" s="130"/>
      <c r="R112" s="1413"/>
      <c r="S112" s="130"/>
      <c r="T112" s="130"/>
      <c r="U112" s="130"/>
      <c r="V112" s="176" t="s">
        <v>19</v>
      </c>
      <c r="W112" s="601">
        <v>334.67345899133977</v>
      </c>
      <c r="X112" s="602">
        <v>348.58770042622297</v>
      </c>
      <c r="Y112" s="254"/>
      <c r="Z112" s="55"/>
      <c r="AA112" s="55"/>
      <c r="AB112" s="55"/>
      <c r="AC112" s="55"/>
      <c r="AD112" s="55"/>
      <c r="AE112" s="55"/>
      <c r="AF112" s="55"/>
      <c r="AG112" s="55"/>
    </row>
    <row r="113" spans="1:33" s="56" customFormat="1" x14ac:dyDescent="0.25">
      <c r="A113" s="597"/>
      <c r="B113" s="130"/>
      <c r="C113" s="115"/>
      <c r="D113" s="1643" t="s">
        <v>1772</v>
      </c>
      <c r="E113" s="1638" t="s">
        <v>930</v>
      </c>
      <c r="F113" s="1077">
        <f>((J149*J173*(1/J245-1/J221))/1000)*J269</f>
        <v>1592.2642887629986</v>
      </c>
      <c r="G113" s="1151" t="s">
        <v>578</v>
      </c>
      <c r="H113" s="170">
        <f>VLOOKUP(G113,'CP FACTORS'!$A$3:$B$38, 2, FALSE)</f>
        <v>9.4741810000000004E-4</v>
      </c>
      <c r="I113" s="1639">
        <f t="shared" si="17"/>
        <v>1.5085400071576915</v>
      </c>
      <c r="J113" s="598">
        <f t="shared" si="18"/>
        <v>6</v>
      </c>
      <c r="K113" s="599">
        <f t="shared" si="19"/>
        <v>610.06848809354028</v>
      </c>
      <c r="L113" s="76">
        <v>3.3</v>
      </c>
      <c r="M113" s="130"/>
      <c r="N113" s="130"/>
      <c r="O113" s="1640"/>
      <c r="P113" s="130"/>
      <c r="Q113" s="130"/>
      <c r="R113" s="1413"/>
      <c r="S113" s="130"/>
      <c r="T113" s="130"/>
      <c r="U113" s="130"/>
      <c r="V113" s="176" t="s">
        <v>19</v>
      </c>
      <c r="W113" s="601">
        <v>1256.2293003851096</v>
      </c>
      <c r="X113" s="602">
        <v>1592.2642887629986</v>
      </c>
      <c r="Y113" s="254"/>
      <c r="Z113" s="55"/>
      <c r="AA113" s="55"/>
      <c r="AB113" s="55"/>
      <c r="AC113" s="55"/>
      <c r="AD113" s="55"/>
      <c r="AE113" s="55"/>
      <c r="AF113" s="55"/>
      <c r="AG113" s="55"/>
    </row>
    <row r="114" spans="1:33" s="56" customFormat="1" x14ac:dyDescent="0.25">
      <c r="A114" s="597"/>
      <c r="B114" s="130"/>
      <c r="C114" s="115"/>
      <c r="D114" s="1643" t="s">
        <v>1772</v>
      </c>
      <c r="E114" s="1641" t="s">
        <v>931</v>
      </c>
      <c r="F114" s="1077">
        <f>((J150*J174*(1/J198-1/J222))/1000)*J270</f>
        <v>322.66350822001232</v>
      </c>
      <c r="G114" s="1151" t="s">
        <v>922</v>
      </c>
      <c r="H114" s="170">
        <f>VLOOKUP(G114,'CP FACTORS'!$A$3:$B$38, 2, FALSE)</f>
        <v>9.4741810000000004E-4</v>
      </c>
      <c r="I114" s="1639">
        <f t="shared" si="17"/>
        <v>0.30569724789713848</v>
      </c>
      <c r="J114" s="598">
        <f t="shared" si="18"/>
        <v>12</v>
      </c>
      <c r="K114" s="599">
        <f t="shared" si="19"/>
        <v>0</v>
      </c>
      <c r="L114" s="76">
        <v>3.3</v>
      </c>
      <c r="M114" s="130"/>
      <c r="N114" s="130"/>
      <c r="O114" s="1640"/>
      <c r="P114" s="130"/>
      <c r="Q114" s="130"/>
      <c r="R114" s="1413"/>
      <c r="S114" s="130"/>
      <c r="T114" s="130"/>
      <c r="U114" s="130"/>
      <c r="V114" s="176" t="s">
        <v>19</v>
      </c>
      <c r="W114" s="601">
        <v>765.22310526315812</v>
      </c>
      <c r="X114" s="602">
        <v>322.66350822001232</v>
      </c>
      <c r="Y114" s="254"/>
      <c r="Z114" s="55"/>
      <c r="AA114" s="55"/>
      <c r="AB114" s="55"/>
      <c r="AC114" s="55"/>
      <c r="AD114" s="55"/>
      <c r="AE114" s="55"/>
      <c r="AF114" s="55"/>
      <c r="AG114" s="55"/>
    </row>
    <row r="115" spans="1:33" s="56" customFormat="1" x14ac:dyDescent="0.25">
      <c r="A115" s="597"/>
      <c r="B115" s="130"/>
      <c r="C115" s="115"/>
      <c r="D115" s="1643" t="s">
        <v>1772</v>
      </c>
      <c r="E115" s="1642" t="s">
        <v>932</v>
      </c>
      <c r="F115" s="1077">
        <f>((J151*J175*(1/J199-1/J223))/1000)*J271</f>
        <v>322.66350822001232</v>
      </c>
      <c r="G115" s="1151" t="s">
        <v>578</v>
      </c>
      <c r="H115" s="170">
        <f>VLOOKUP(G115,'CP FACTORS'!$A$3:$B$38, 2, FALSE)</f>
        <v>9.4741810000000004E-4</v>
      </c>
      <c r="I115" s="1639">
        <f t="shared" si="17"/>
        <v>0.30569724789713848</v>
      </c>
      <c r="J115" s="598">
        <f t="shared" si="18"/>
        <v>18</v>
      </c>
      <c r="K115" s="599">
        <f t="shared" si="19"/>
        <v>218.0745</v>
      </c>
      <c r="L115" s="76">
        <v>3</v>
      </c>
      <c r="M115" s="130"/>
      <c r="N115" s="130"/>
      <c r="O115" s="1640"/>
      <c r="P115" s="130"/>
      <c r="Q115" s="130"/>
      <c r="R115" s="1413"/>
      <c r="S115" s="130"/>
      <c r="T115" s="130"/>
      <c r="U115" s="130"/>
      <c r="V115" s="176" t="s">
        <v>19</v>
      </c>
      <c r="W115" s="601">
        <v>217.53774834437087</v>
      </c>
      <c r="X115" s="602">
        <v>322.66350822001232</v>
      </c>
      <c r="Y115" s="254"/>
      <c r="Z115" s="55"/>
      <c r="AA115" s="55"/>
      <c r="AB115" s="55"/>
      <c r="AC115" s="55"/>
      <c r="AD115" s="55"/>
      <c r="AE115" s="55"/>
      <c r="AF115" s="55"/>
      <c r="AG115" s="55"/>
    </row>
    <row r="116" spans="1:33" s="56" customFormat="1" x14ac:dyDescent="0.25">
      <c r="A116" s="597"/>
      <c r="B116" s="130"/>
      <c r="C116" s="115"/>
      <c r="D116" s="1643" t="s">
        <v>1773</v>
      </c>
      <c r="E116" s="1638" t="s">
        <v>933</v>
      </c>
      <c r="F116" s="1077">
        <f>((J152*J176*(1/J248-1/J224))/1000)*J272</f>
        <v>1872.8908664383187</v>
      </c>
      <c r="G116" s="1151" t="s">
        <v>578</v>
      </c>
      <c r="H116" s="170">
        <f>VLOOKUP(G116,'CP FACTORS'!$A$3:$B$38, 2, FALSE)</f>
        <v>9.4741810000000004E-4</v>
      </c>
      <c r="I116" s="1639">
        <f t="shared" si="17"/>
        <v>1.7744107061883456</v>
      </c>
      <c r="J116" s="598">
        <f t="shared" si="18"/>
        <v>6</v>
      </c>
      <c r="K116" s="599">
        <f t="shared" si="19"/>
        <v>1266.1541647602637</v>
      </c>
      <c r="L116" s="76">
        <v>3.1</v>
      </c>
      <c r="M116" s="130"/>
      <c r="N116" s="130"/>
      <c r="O116" s="1640"/>
      <c r="P116" s="130"/>
      <c r="Q116" s="130"/>
      <c r="R116" s="1413"/>
      <c r="S116" s="130"/>
      <c r="T116" s="130"/>
      <c r="U116" s="130"/>
      <c r="V116" s="176" t="s">
        <v>19</v>
      </c>
      <c r="W116" s="601">
        <v>1921.8676829268297</v>
      </c>
      <c r="X116" s="602">
        <v>1872.8908664383187</v>
      </c>
      <c r="Y116" s="254"/>
      <c r="Z116" s="55"/>
      <c r="AA116" s="55"/>
      <c r="AB116" s="55"/>
      <c r="AC116" s="55"/>
      <c r="AD116" s="55"/>
      <c r="AE116" s="55"/>
      <c r="AF116" s="55"/>
      <c r="AG116" s="55"/>
    </row>
    <row r="117" spans="1:33" s="56" customFormat="1" x14ac:dyDescent="0.25">
      <c r="A117" s="597"/>
      <c r="B117" s="130"/>
      <c r="C117" s="115"/>
      <c r="D117" s="1643" t="s">
        <v>1773</v>
      </c>
      <c r="E117" s="1641" t="s">
        <v>934</v>
      </c>
      <c r="F117" s="1077">
        <f>((J153*J177*(1/J201-1/J225))/1000)*J273</f>
        <v>501.2848270995064</v>
      </c>
      <c r="G117" s="1151" t="s">
        <v>922</v>
      </c>
      <c r="H117" s="170">
        <f>VLOOKUP(G117,'CP FACTORS'!$A$3:$B$38, 2, FALSE)</f>
        <v>9.4741810000000004E-4</v>
      </c>
      <c r="I117" s="1639">
        <f t="shared" si="17"/>
        <v>0.47492631844944289</v>
      </c>
      <c r="J117" s="598">
        <f t="shared" si="18"/>
        <v>12</v>
      </c>
      <c r="K117" s="599">
        <f t="shared" si="19"/>
        <v>0</v>
      </c>
      <c r="L117" s="76">
        <v>3.1</v>
      </c>
      <c r="M117" s="130"/>
      <c r="N117" s="130"/>
      <c r="O117" s="1640"/>
      <c r="P117" s="130"/>
      <c r="Q117" s="130"/>
      <c r="R117" s="1413"/>
      <c r="S117" s="130"/>
      <c r="T117" s="130"/>
      <c r="U117" s="130"/>
      <c r="V117" s="176" t="s">
        <v>19</v>
      </c>
      <c r="W117" s="601">
        <v>1212.2550000000003</v>
      </c>
      <c r="X117" s="602">
        <v>501.2848270995064</v>
      </c>
      <c r="Y117" s="254"/>
      <c r="Z117" s="55"/>
      <c r="AA117" s="55"/>
      <c r="AB117" s="55"/>
      <c r="AC117" s="55"/>
      <c r="AD117" s="55"/>
      <c r="AE117" s="55"/>
      <c r="AF117" s="55"/>
      <c r="AG117" s="55"/>
    </row>
    <row r="118" spans="1:33" s="56" customFormat="1" x14ac:dyDescent="0.25">
      <c r="A118" s="597"/>
      <c r="B118" s="130"/>
      <c r="C118" s="115"/>
      <c r="D118" s="1643" t="s">
        <v>1773</v>
      </c>
      <c r="E118" s="1642" t="s">
        <v>935</v>
      </c>
      <c r="F118" s="1077">
        <f>((J154*J178*(1/J202-1/J226))/1000)*J274</f>
        <v>501.2848270995064</v>
      </c>
      <c r="G118" s="1151" t="s">
        <v>578</v>
      </c>
      <c r="H118" s="170">
        <f>VLOOKUP(G118,'CP FACTORS'!$A$3:$B$38, 2, FALSE)</f>
        <v>9.4741810000000004E-4</v>
      </c>
      <c r="I118" s="1639">
        <f t="shared" si="17"/>
        <v>0.47492631844944289</v>
      </c>
      <c r="J118" s="598">
        <f t="shared" si="18"/>
        <v>18</v>
      </c>
      <c r="K118" s="599">
        <f t="shared" si="19"/>
        <v>674.05</v>
      </c>
      <c r="L118" s="76">
        <v>2.9</v>
      </c>
      <c r="M118" s="130"/>
      <c r="N118" s="130"/>
      <c r="O118" s="1640"/>
      <c r="P118" s="130"/>
      <c r="Q118" s="130"/>
      <c r="R118" s="1413"/>
      <c r="S118" s="130"/>
      <c r="T118" s="130"/>
      <c r="U118" s="130"/>
      <c r="V118" s="176" t="s">
        <v>19</v>
      </c>
      <c r="W118" s="601">
        <v>436.17115384615397</v>
      </c>
      <c r="X118" s="602">
        <v>501.2848270995064</v>
      </c>
      <c r="Y118" s="254"/>
      <c r="Z118" s="55"/>
      <c r="AA118" s="55"/>
      <c r="AB118" s="55"/>
      <c r="AC118" s="55"/>
      <c r="AD118" s="55"/>
      <c r="AE118" s="55"/>
      <c r="AF118" s="55"/>
      <c r="AG118" s="55"/>
    </row>
    <row r="119" spans="1:33" s="56" customFormat="1" x14ac:dyDescent="0.25">
      <c r="A119" s="597"/>
      <c r="B119" s="130"/>
      <c r="C119" s="115"/>
      <c r="D119" s="1643" t="s">
        <v>1772</v>
      </c>
      <c r="E119" s="1638" t="s">
        <v>936</v>
      </c>
      <c r="F119" s="1077">
        <f>((J155*J179*(1/J251-1/J227))/1000)*J275</f>
        <v>1710.3337488745497</v>
      </c>
      <c r="G119" s="1151" t="s">
        <v>578</v>
      </c>
      <c r="H119" s="170">
        <f>VLOOKUP(G119,'CP FACTORS'!$A$3:$B$38, 2, FALSE)</f>
        <v>9.4741810000000004E-4</v>
      </c>
      <c r="I119" s="1639">
        <f t="shared" si="17"/>
        <v>1.620401150724603</v>
      </c>
      <c r="J119" s="598">
        <f t="shared" si="18"/>
        <v>6</v>
      </c>
      <c r="K119" s="599">
        <f t="shared" si="19"/>
        <v>846.21303344810963</v>
      </c>
      <c r="L119" s="76">
        <v>3.1</v>
      </c>
      <c r="M119" s="130"/>
      <c r="N119" s="130"/>
      <c r="O119" s="1640"/>
      <c r="P119" s="130"/>
      <c r="Q119" s="130"/>
      <c r="R119" s="1413"/>
      <c r="S119" s="130"/>
      <c r="T119" s="130"/>
      <c r="U119" s="130"/>
      <c r="V119" s="176" t="s">
        <v>19</v>
      </c>
      <c r="W119" s="601">
        <v>1249.2139939024394</v>
      </c>
      <c r="X119" s="602">
        <v>1710.3337488745497</v>
      </c>
      <c r="Y119" s="254"/>
      <c r="Z119" s="55"/>
      <c r="AA119" s="55"/>
      <c r="AB119" s="55"/>
      <c r="AC119" s="55"/>
      <c r="AD119" s="55"/>
      <c r="AE119" s="55"/>
      <c r="AF119" s="55"/>
      <c r="AG119" s="55"/>
    </row>
    <row r="120" spans="1:33" s="56" customFormat="1" x14ac:dyDescent="0.25">
      <c r="A120" s="597"/>
      <c r="B120" s="130"/>
      <c r="C120" s="115"/>
      <c r="D120" s="1643" t="s">
        <v>1772</v>
      </c>
      <c r="E120" s="1641" t="s">
        <v>937</v>
      </c>
      <c r="F120" s="1077">
        <f>((J156*J180*(1/J204-1/J228))/1000)*J276</f>
        <v>428.65550480769241</v>
      </c>
      <c r="G120" s="1151" t="s">
        <v>922</v>
      </c>
      <c r="H120" s="170">
        <f>VLOOKUP(G120,'CP FACTORS'!$A$3:$B$38, 2, FALSE)</f>
        <v>9.4741810000000004E-4</v>
      </c>
      <c r="I120" s="1639">
        <f t="shared" si="17"/>
        <v>0.40611598391944481</v>
      </c>
      <c r="J120" s="598">
        <f t="shared" si="18"/>
        <v>12</v>
      </c>
      <c r="K120" s="599">
        <f t="shared" si="19"/>
        <v>0</v>
      </c>
      <c r="L120" s="76">
        <v>3.1</v>
      </c>
      <c r="M120" s="130"/>
      <c r="N120" s="130"/>
      <c r="O120" s="1640"/>
      <c r="P120" s="130"/>
      <c r="Q120" s="130"/>
      <c r="R120" s="1413"/>
      <c r="S120" s="130"/>
      <c r="T120" s="130"/>
      <c r="U120" s="130"/>
      <c r="V120" s="176" t="s">
        <v>19</v>
      </c>
      <c r="W120" s="601">
        <v>787.9657500000003</v>
      </c>
      <c r="X120" s="602">
        <v>428.65550480769241</v>
      </c>
      <c r="Y120" s="254"/>
      <c r="Z120" s="55"/>
      <c r="AA120" s="55"/>
      <c r="AB120" s="55"/>
      <c r="AC120" s="55"/>
      <c r="AD120" s="55"/>
      <c r="AE120" s="55"/>
      <c r="AF120" s="55"/>
      <c r="AG120" s="55"/>
    </row>
    <row r="121" spans="1:33" s="56" customFormat="1" x14ac:dyDescent="0.25">
      <c r="A121" s="597"/>
      <c r="B121" s="130"/>
      <c r="C121" s="115"/>
      <c r="D121" s="1643" t="s">
        <v>1772</v>
      </c>
      <c r="E121" s="1642" t="s">
        <v>938</v>
      </c>
      <c r="F121" s="1077">
        <f>((J157*J181*(1/J205-1/J229))/1000)*J277</f>
        <v>428.65550480769241</v>
      </c>
      <c r="G121" s="1151" t="s">
        <v>578</v>
      </c>
      <c r="H121" s="170">
        <f>VLOOKUP(G121,'CP FACTORS'!$A$3:$B$38, 2, FALSE)</f>
        <v>9.4741810000000004E-4</v>
      </c>
      <c r="I121" s="1639">
        <f t="shared" si="17"/>
        <v>0.40611598391944481</v>
      </c>
      <c r="J121" s="598">
        <f t="shared" si="18"/>
        <v>18</v>
      </c>
      <c r="K121" s="599">
        <f t="shared" si="19"/>
        <v>450.4900833333333</v>
      </c>
      <c r="L121" s="76">
        <v>2.9</v>
      </c>
      <c r="M121" s="130"/>
      <c r="N121" s="130"/>
      <c r="O121" s="1640"/>
      <c r="P121" s="130"/>
      <c r="Q121" s="130"/>
      <c r="R121" s="1413"/>
      <c r="S121" s="130"/>
      <c r="T121" s="130"/>
      <c r="U121" s="130"/>
      <c r="V121" s="176" t="s">
        <v>19</v>
      </c>
      <c r="W121" s="601">
        <v>283.51125000000008</v>
      </c>
      <c r="X121" s="602">
        <v>428.65550480769241</v>
      </c>
      <c r="Y121" s="254"/>
      <c r="Z121" s="55"/>
      <c r="AA121" s="55"/>
      <c r="AB121" s="55"/>
      <c r="AC121" s="55"/>
      <c r="AD121" s="55"/>
      <c r="AE121" s="55"/>
      <c r="AF121" s="55"/>
      <c r="AG121" s="55"/>
    </row>
    <row r="122" spans="1:33" s="56" customFormat="1" x14ac:dyDescent="0.25">
      <c r="A122" s="597"/>
      <c r="B122" s="130"/>
      <c r="C122" s="414"/>
      <c r="D122" s="1643" t="s">
        <v>1773</v>
      </c>
      <c r="E122" s="1638" t="s">
        <v>939</v>
      </c>
      <c r="F122" s="1077">
        <f>((J158*J182*(1/J254-1/J230))/1000)*J278</f>
        <v>1979.1918367346937</v>
      </c>
      <c r="G122" s="1151" t="s">
        <v>578</v>
      </c>
      <c r="H122" s="170">
        <f>VLOOKUP(G122,'CP FACTORS'!$A$3:$B$38, 2, FALSE)</f>
        <v>9.4741810000000004E-4</v>
      </c>
      <c r="I122" s="1639">
        <f t="shared" si="17"/>
        <v>1.8751221694946938</v>
      </c>
      <c r="J122" s="598">
        <f t="shared" si="18"/>
        <v>6</v>
      </c>
      <c r="K122" s="599">
        <f t="shared" si="19"/>
        <v>1854.2107904120714</v>
      </c>
      <c r="L122" s="76">
        <v>3.1</v>
      </c>
      <c r="M122" s="130"/>
      <c r="N122" s="130"/>
      <c r="O122" s="1640"/>
      <c r="P122" s="130"/>
      <c r="Q122" s="130"/>
      <c r="R122" s="1413"/>
      <c r="S122" s="130"/>
      <c r="T122" s="130"/>
      <c r="U122" s="130"/>
      <c r="V122" s="176" t="s">
        <v>19</v>
      </c>
      <c r="W122" s="601">
        <v>2040.7162123385942</v>
      </c>
      <c r="X122" s="602">
        <v>1979.1918367346937</v>
      </c>
      <c r="Y122" s="254"/>
      <c r="Z122" s="55"/>
      <c r="AA122" s="55"/>
      <c r="AB122" s="55"/>
      <c r="AC122" s="55"/>
      <c r="AD122" s="55"/>
      <c r="AE122" s="55"/>
      <c r="AF122" s="55"/>
      <c r="AG122" s="55"/>
    </row>
    <row r="123" spans="1:33" s="56" customFormat="1" x14ac:dyDescent="0.25">
      <c r="A123" s="597"/>
      <c r="B123" s="130"/>
      <c r="C123" s="414"/>
      <c r="D123" s="1643" t="s">
        <v>1773</v>
      </c>
      <c r="E123" s="1641" t="s">
        <v>940</v>
      </c>
      <c r="F123" s="1077">
        <f>((J159*J183*(1/J207-1/J231))/1000)*J279</f>
        <v>585.10045248868789</v>
      </c>
      <c r="G123" s="1151" t="s">
        <v>922</v>
      </c>
      <c r="H123" s="170">
        <f>VLOOKUP(G123,'CP FACTORS'!$A$3:$B$38, 2, FALSE)</f>
        <v>9.4741810000000004E-4</v>
      </c>
      <c r="I123" s="1639">
        <f t="shared" si="17"/>
        <v>0.55433475900597295</v>
      </c>
      <c r="J123" s="598">
        <f t="shared" si="18"/>
        <v>12</v>
      </c>
      <c r="K123" s="599">
        <f t="shared" si="19"/>
        <v>0</v>
      </c>
      <c r="L123" s="76">
        <v>3.1</v>
      </c>
      <c r="M123" s="130"/>
      <c r="N123" s="130"/>
      <c r="O123" s="1640"/>
      <c r="P123" s="130"/>
      <c r="Q123" s="130"/>
      <c r="R123" s="1413"/>
      <c r="S123" s="130"/>
      <c r="T123" s="130"/>
      <c r="U123" s="130"/>
      <c r="V123" s="176" t="s">
        <v>19</v>
      </c>
      <c r="W123" s="601">
        <v>1331.1035294117648</v>
      </c>
      <c r="X123" s="602">
        <v>585.10045248868789</v>
      </c>
      <c r="Y123" s="254"/>
      <c r="Z123" s="55"/>
      <c r="AA123" s="55"/>
      <c r="AB123" s="55"/>
      <c r="AC123" s="55"/>
      <c r="AD123" s="55"/>
      <c r="AE123" s="55"/>
      <c r="AF123" s="55"/>
      <c r="AG123" s="55"/>
    </row>
    <row r="124" spans="1:33" s="56" customFormat="1" x14ac:dyDescent="0.25">
      <c r="A124" s="597"/>
      <c r="B124" s="130"/>
      <c r="C124" s="414"/>
      <c r="D124" s="1643" t="s">
        <v>1773</v>
      </c>
      <c r="E124" s="1642" t="s">
        <v>941</v>
      </c>
      <c r="F124" s="1077">
        <f>((J160*J184*(1/J208-1/J232))/1000)*J280</f>
        <v>547.35203619909521</v>
      </c>
      <c r="G124" s="1151" t="s">
        <v>578</v>
      </c>
      <c r="H124" s="170">
        <f>VLOOKUP(G124,'CP FACTORS'!$A$3:$B$38, 2, FALSE)</f>
        <v>9.4741810000000004E-4</v>
      </c>
      <c r="I124" s="1639">
        <f t="shared" si="17"/>
        <v>0.51857122616687801</v>
      </c>
      <c r="J124" s="598">
        <f t="shared" si="18"/>
        <v>18</v>
      </c>
      <c r="K124" s="599">
        <f t="shared" si="19"/>
        <v>1171.5999999999999</v>
      </c>
      <c r="L124" s="76">
        <v>2.9</v>
      </c>
      <c r="M124" s="130"/>
      <c r="N124" s="130"/>
      <c r="O124" s="1640"/>
      <c r="P124" s="130"/>
      <c r="Q124" s="130"/>
      <c r="R124" s="1413"/>
      <c r="S124" s="130"/>
      <c r="T124" s="130"/>
      <c r="U124" s="130"/>
      <c r="V124" s="176" t="s">
        <v>19</v>
      </c>
      <c r="W124" s="601">
        <v>547.35203619909521</v>
      </c>
      <c r="X124" s="602">
        <v>547.35203619909521</v>
      </c>
      <c r="Y124" s="254"/>
      <c r="Z124" s="55"/>
      <c r="AA124" s="55"/>
      <c r="AB124" s="55"/>
      <c r="AC124" s="55"/>
      <c r="AD124" s="55"/>
      <c r="AE124" s="55"/>
      <c r="AF124" s="55"/>
      <c r="AG124" s="55"/>
    </row>
    <row r="125" spans="1:33" s="56" customFormat="1" x14ac:dyDescent="0.25">
      <c r="A125" s="597"/>
      <c r="B125" s="130"/>
      <c r="C125" s="414"/>
      <c r="D125" s="1643" t="s">
        <v>1772</v>
      </c>
      <c r="E125" s="1638" t="s">
        <v>942</v>
      </c>
      <c r="F125" s="1077">
        <f>((J161*J185*(1/J257-1/J233))/1000)*J281</f>
        <v>1979.1918367346937</v>
      </c>
      <c r="G125" s="1151" t="s">
        <v>578</v>
      </c>
      <c r="H125" s="170">
        <f>VLOOKUP(G125,'CP FACTORS'!$A$3:$B$38, 2, FALSE)</f>
        <v>9.4741810000000004E-4</v>
      </c>
      <c r="I125" s="1639">
        <f t="shared" si="17"/>
        <v>1.8751221694946938</v>
      </c>
      <c r="J125" s="598">
        <f t="shared" si="18"/>
        <v>6</v>
      </c>
      <c r="K125" s="599">
        <f t="shared" si="19"/>
        <v>1854.2107904120714</v>
      </c>
      <c r="L125" s="76">
        <v>3.1</v>
      </c>
      <c r="M125" s="130"/>
      <c r="N125" s="130"/>
      <c r="O125" s="1640"/>
      <c r="P125" s="130"/>
      <c r="Q125" s="130"/>
      <c r="R125" s="1413"/>
      <c r="S125" s="130"/>
      <c r="T125" s="130"/>
      <c r="U125" s="130"/>
      <c r="V125" s="176" t="s">
        <v>19</v>
      </c>
      <c r="W125" s="601">
        <v>1326.4655380200863</v>
      </c>
      <c r="X125" s="602">
        <v>1979.1918367346937</v>
      </c>
      <c r="Y125" s="254"/>
      <c r="Z125" s="55"/>
      <c r="AA125" s="55"/>
      <c r="AB125" s="55"/>
      <c r="AC125" s="55"/>
      <c r="AD125" s="55"/>
      <c r="AE125" s="55"/>
      <c r="AF125" s="55"/>
      <c r="AG125" s="55"/>
    </row>
    <row r="126" spans="1:33" s="56" customFormat="1" x14ac:dyDescent="0.25">
      <c r="A126" s="597"/>
      <c r="B126" s="130"/>
      <c r="C126" s="414"/>
      <c r="D126" s="1643" t="s">
        <v>1772</v>
      </c>
      <c r="E126" s="1641" t="s">
        <v>943</v>
      </c>
      <c r="F126" s="1077">
        <f>((J162*J186*(1/J210-1/J234))/1000)*J282</f>
        <v>585.10045248868789</v>
      </c>
      <c r="G126" s="1151" t="s">
        <v>922</v>
      </c>
      <c r="H126" s="170">
        <f>VLOOKUP(G126,'CP FACTORS'!$A$3:$B$38, 2, FALSE)</f>
        <v>9.4741810000000004E-4</v>
      </c>
      <c r="I126" s="1639">
        <f t="shared" si="17"/>
        <v>0.55433475900597295</v>
      </c>
      <c r="J126" s="598">
        <f t="shared" si="18"/>
        <v>12</v>
      </c>
      <c r="K126" s="599">
        <f t="shared" si="19"/>
        <v>0</v>
      </c>
      <c r="L126" s="76">
        <v>3.1</v>
      </c>
      <c r="M126" s="130"/>
      <c r="N126" s="130"/>
      <c r="O126" s="1640"/>
      <c r="P126" s="130"/>
      <c r="Q126" s="130"/>
      <c r="R126" s="1413"/>
      <c r="S126" s="130"/>
      <c r="T126" s="130"/>
      <c r="U126" s="130"/>
      <c r="V126" s="176" t="s">
        <v>19</v>
      </c>
      <c r="W126" s="601">
        <v>865.21729411764716</v>
      </c>
      <c r="X126" s="602">
        <v>585.10045248868789</v>
      </c>
      <c r="Y126" s="254"/>
      <c r="Z126" s="55"/>
      <c r="AA126" s="55"/>
      <c r="AB126" s="55"/>
      <c r="AC126" s="55"/>
      <c r="AD126" s="55"/>
      <c r="AE126" s="55"/>
      <c r="AF126" s="55"/>
      <c r="AG126" s="55"/>
    </row>
    <row r="127" spans="1:33" s="56" customFormat="1" x14ac:dyDescent="0.25">
      <c r="A127" s="597"/>
      <c r="B127" s="130"/>
      <c r="C127" s="414"/>
      <c r="D127" s="1643" t="s">
        <v>1772</v>
      </c>
      <c r="E127" s="1642" t="s">
        <v>944</v>
      </c>
      <c r="F127" s="1077">
        <f>((J163*J187*(1/J211-1/J235))/1000)*J283</f>
        <v>547.35203619909521</v>
      </c>
      <c r="G127" s="1151" t="s">
        <v>578</v>
      </c>
      <c r="H127" s="170">
        <f>VLOOKUP(G127,'CP FACTORS'!$A$3:$B$38, 2, FALSE)</f>
        <v>9.4741810000000004E-4</v>
      </c>
      <c r="I127" s="1639">
        <f t="shared" si="17"/>
        <v>0.51857122616687801</v>
      </c>
      <c r="J127" s="598">
        <f t="shared" si="18"/>
        <v>18</v>
      </c>
      <c r="K127" s="599">
        <f t="shared" si="19"/>
        <v>1171.5999999999999</v>
      </c>
      <c r="L127" s="76">
        <v>2.9</v>
      </c>
      <c r="M127" s="130"/>
      <c r="N127" s="130"/>
      <c r="O127" s="1640"/>
      <c r="P127" s="130"/>
      <c r="Q127" s="130"/>
      <c r="R127" s="1413"/>
      <c r="S127" s="130"/>
      <c r="T127" s="130"/>
      <c r="U127" s="130"/>
      <c r="V127" s="176" t="s">
        <v>19</v>
      </c>
      <c r="W127" s="601">
        <v>355.77882352941191</v>
      </c>
      <c r="X127" s="602">
        <v>547.35203619909521</v>
      </c>
      <c r="Y127" s="254"/>
      <c r="Z127" s="55"/>
      <c r="AA127" s="55"/>
      <c r="AB127" s="55"/>
      <c r="AC127" s="55"/>
      <c r="AD127" s="55"/>
      <c r="AE127" s="55"/>
      <c r="AF127" s="55"/>
      <c r="AG127" s="55"/>
    </row>
    <row r="128" spans="1:33" hidden="1" outlineLevel="1" x14ac:dyDescent="0.25">
      <c r="A128" s="597"/>
      <c r="C128" s="1644"/>
      <c r="D128" s="1645"/>
      <c r="E128" s="1645"/>
      <c r="F128" s="1646"/>
      <c r="G128" s="1645"/>
      <c r="H128" s="1539"/>
      <c r="I128" s="1647"/>
      <c r="J128" s="1648"/>
      <c r="K128" s="1649"/>
      <c r="L128" s="1649"/>
      <c r="M128" s="1650"/>
      <c r="N128" s="1649"/>
      <c r="O128" s="1649"/>
      <c r="P128" s="165"/>
      <c r="V128" s="56"/>
      <c r="W128" s="56"/>
      <c r="X128" s="56"/>
      <c r="Y128" s="56"/>
      <c r="Z128" s="56"/>
    </row>
    <row r="129" spans="1:33" hidden="1" outlineLevel="1" x14ac:dyDescent="0.25">
      <c r="A129" s="597"/>
      <c r="C129" s="1644"/>
      <c r="D129" s="1645"/>
      <c r="E129" s="1645"/>
      <c r="F129" s="1646"/>
      <c r="G129" s="1645"/>
      <c r="H129" s="1539"/>
      <c r="I129" s="1647"/>
      <c r="J129" s="1648"/>
      <c r="K129" s="1649"/>
      <c r="L129" s="1649"/>
      <c r="M129" s="1650"/>
      <c r="N129" s="1649"/>
      <c r="O129" s="1649"/>
      <c r="P129" s="165"/>
      <c r="V129" s="56"/>
      <c r="W129" s="56"/>
      <c r="X129" s="56"/>
      <c r="Y129" s="56"/>
      <c r="Z129" s="56"/>
    </row>
    <row r="130" spans="1:33" hidden="1" outlineLevel="1" x14ac:dyDescent="0.25">
      <c r="A130" s="597"/>
      <c r="C130" s="1644"/>
      <c r="D130" s="1418" t="s">
        <v>463</v>
      </c>
      <c r="E130" s="1645"/>
      <c r="F130" s="1646"/>
      <c r="G130" s="1645"/>
      <c r="H130" s="1539"/>
      <c r="I130" s="1647"/>
      <c r="J130" s="1648"/>
      <c r="K130" s="1649"/>
      <c r="L130" s="1649"/>
      <c r="M130" s="1650"/>
      <c r="N130" s="1649"/>
      <c r="O130" s="1649"/>
      <c r="P130" s="165"/>
      <c r="V130" s="56"/>
      <c r="W130" s="56"/>
      <c r="X130" s="56"/>
      <c r="Y130" s="56"/>
      <c r="Z130" s="56"/>
    </row>
    <row r="131" spans="1:33" hidden="1" outlineLevel="1" x14ac:dyDescent="0.25">
      <c r="A131" s="597"/>
      <c r="C131" s="1644"/>
      <c r="D131" s="1645"/>
      <c r="E131" s="1645"/>
      <c r="F131" s="1646"/>
      <c r="G131" s="1645"/>
      <c r="H131" s="1539"/>
      <c r="I131" s="1647"/>
      <c r="J131" s="1648"/>
      <c r="K131" s="1649"/>
      <c r="L131" s="1649"/>
      <c r="M131" s="1650"/>
      <c r="N131" s="1649"/>
      <c r="O131" s="1649"/>
      <c r="P131" s="165"/>
      <c r="V131" s="56"/>
      <c r="W131" s="56"/>
      <c r="X131" s="56"/>
      <c r="Y131" s="56"/>
      <c r="Z131" s="56"/>
    </row>
    <row r="132" spans="1:33" hidden="1" outlineLevel="1" x14ac:dyDescent="0.25">
      <c r="A132" s="597"/>
      <c r="C132" s="1644"/>
      <c r="D132" s="1645"/>
      <c r="E132" s="1645"/>
      <c r="F132" s="1646"/>
      <c r="G132" s="1645"/>
      <c r="H132" s="1539"/>
      <c r="I132" s="1647"/>
      <c r="J132" s="1648"/>
      <c r="K132" s="1649"/>
      <c r="L132" s="1649"/>
      <c r="M132" s="1650"/>
      <c r="N132" s="1649"/>
      <c r="O132" s="1649"/>
      <c r="P132" s="165"/>
      <c r="V132" s="56"/>
      <c r="W132" s="56"/>
      <c r="X132" s="56"/>
      <c r="Y132" s="56"/>
      <c r="Z132" s="56"/>
    </row>
    <row r="133" spans="1:33" hidden="1" outlineLevel="1" x14ac:dyDescent="0.25">
      <c r="A133" s="597"/>
      <c r="F133" s="251"/>
      <c r="G133" s="469"/>
      <c r="H133" s="251"/>
      <c r="I133" s="251"/>
      <c r="J133" s="251"/>
      <c r="K133" s="251"/>
      <c r="L133" s="251"/>
      <c r="M133" s="251"/>
      <c r="N133" s="1649"/>
      <c r="O133" s="1649"/>
      <c r="P133" s="251"/>
      <c r="V133" s="56"/>
      <c r="W133" s="56"/>
      <c r="X133" s="56"/>
      <c r="Y133" s="56"/>
      <c r="Z133" s="56"/>
    </row>
    <row r="134" spans="1:33" hidden="1" outlineLevel="1" x14ac:dyDescent="0.25">
      <c r="A134" s="597"/>
      <c r="E134" s="658" t="s">
        <v>945</v>
      </c>
      <c r="G134" s="1651" t="s">
        <v>946</v>
      </c>
      <c r="H134" s="529"/>
      <c r="I134" s="1652"/>
      <c r="J134" s="1652"/>
      <c r="K134" s="1652"/>
      <c r="L134" s="616"/>
      <c r="M134" s="616"/>
      <c r="N134" s="251"/>
      <c r="O134" s="251"/>
      <c r="P134" s="251"/>
      <c r="V134" s="56"/>
      <c r="W134" s="56"/>
      <c r="X134" s="56"/>
      <c r="Y134" s="56"/>
      <c r="Z134" s="56"/>
    </row>
    <row r="135" spans="1:33" hidden="1" outlineLevel="1" x14ac:dyDescent="0.25">
      <c r="A135" s="597"/>
      <c r="D135" s="603"/>
      <c r="H135" s="616"/>
      <c r="I135" s="616"/>
      <c r="J135" s="616"/>
      <c r="K135" s="616"/>
      <c r="L135" s="616"/>
      <c r="M135" s="616"/>
      <c r="V135" s="56"/>
      <c r="W135" s="56"/>
      <c r="X135" s="56"/>
      <c r="Y135" s="56"/>
      <c r="Z135" s="56"/>
    </row>
    <row r="136" spans="1:33" hidden="1" outlineLevel="1" x14ac:dyDescent="0.25">
      <c r="A136" s="597"/>
      <c r="H136" s="616"/>
      <c r="I136" s="616"/>
      <c r="J136" s="616"/>
      <c r="K136" s="616"/>
      <c r="L136" s="616"/>
      <c r="M136" s="616"/>
      <c r="V136" s="56"/>
      <c r="W136" s="56"/>
      <c r="X136" s="56"/>
      <c r="Y136" s="56"/>
      <c r="Z136" s="56"/>
    </row>
    <row r="137" spans="1:33" hidden="1" outlineLevel="1" x14ac:dyDescent="0.25">
      <c r="A137" s="597"/>
      <c r="H137" s="616"/>
      <c r="I137" s="616"/>
      <c r="J137" s="616"/>
      <c r="K137" s="616"/>
      <c r="L137" s="616"/>
      <c r="M137" s="616"/>
      <c r="V137" s="56"/>
      <c r="W137" s="56"/>
      <c r="X137" s="56"/>
      <c r="Y137" s="56"/>
      <c r="Z137" s="56"/>
    </row>
    <row r="138" spans="1:33" hidden="1" outlineLevel="1" x14ac:dyDescent="0.25">
      <c r="A138" s="597"/>
      <c r="H138" s="616"/>
      <c r="I138" s="616"/>
      <c r="J138" s="616"/>
      <c r="K138" s="616"/>
      <c r="L138" s="616"/>
      <c r="M138" s="616"/>
      <c r="O138" s="2050" t="s">
        <v>947</v>
      </c>
      <c r="P138" s="2050"/>
      <c r="Q138" s="2050"/>
      <c r="R138" s="2051"/>
      <c r="V138" s="56"/>
      <c r="W138" s="56"/>
      <c r="X138" s="56"/>
      <c r="Y138" s="56"/>
      <c r="Z138" s="56"/>
    </row>
    <row r="139" spans="1:33" s="56" customFormat="1" ht="45" hidden="1" customHeight="1" outlineLevel="1" thickBot="1" x14ac:dyDescent="0.3">
      <c r="A139" s="597"/>
      <c r="B139" s="130"/>
      <c r="C139" s="616"/>
      <c r="D139" s="358" t="s">
        <v>465</v>
      </c>
      <c r="E139" s="358" t="s">
        <v>466</v>
      </c>
      <c r="F139" s="2122" t="s">
        <v>514</v>
      </c>
      <c r="G139" s="2122"/>
      <c r="H139" s="2122"/>
      <c r="I139" s="534" t="s">
        <v>16</v>
      </c>
      <c r="J139" s="534" t="s">
        <v>467</v>
      </c>
      <c r="K139" s="534" t="s">
        <v>948</v>
      </c>
      <c r="L139" s="534" t="s">
        <v>655</v>
      </c>
      <c r="M139" s="130"/>
      <c r="N139" s="130"/>
      <c r="O139" s="604"/>
      <c r="P139" s="448"/>
      <c r="Q139" s="184" t="s">
        <v>949</v>
      </c>
      <c r="R139" s="184" t="s">
        <v>950</v>
      </c>
      <c r="S139" s="130"/>
      <c r="T139" s="130"/>
      <c r="U139" s="130"/>
      <c r="V139" s="48" t="s">
        <v>26</v>
      </c>
      <c r="W139" s="49">
        <v>43252</v>
      </c>
      <c r="X139" s="49">
        <f>$X$6</f>
        <v>43465</v>
      </c>
      <c r="Y139" s="49" t="str">
        <f>$Y$6</f>
        <v>-</v>
      </c>
      <c r="Z139" s="49" t="str">
        <f>$Z$6</f>
        <v>-</v>
      </c>
      <c r="AA139" s="49" t="str">
        <f>$AA$6</f>
        <v>-</v>
      </c>
      <c r="AB139" s="49" t="str">
        <f>$AB$6</f>
        <v>-</v>
      </c>
      <c r="AC139" s="49" t="str">
        <f>$AC$6</f>
        <v>-</v>
      </c>
      <c r="AD139" s="49" t="str">
        <f>$AD$6</f>
        <v>-</v>
      </c>
      <c r="AE139" s="49" t="str">
        <f>$AE$6</f>
        <v>-</v>
      </c>
      <c r="AF139" s="49" t="str">
        <f>$AF$6</f>
        <v>-</v>
      </c>
      <c r="AG139" s="49" t="str">
        <f>$AG$6</f>
        <v>-</v>
      </c>
    </row>
    <row r="140" spans="1:33" s="56" customFormat="1" ht="14.45" hidden="1" customHeight="1" outlineLevel="1" x14ac:dyDescent="0.25">
      <c r="A140" s="597"/>
      <c r="B140" s="130"/>
      <c r="C140" s="616"/>
      <c r="D140" s="2113" t="s">
        <v>951</v>
      </c>
      <c r="E140" s="2116" t="s">
        <v>952</v>
      </c>
      <c r="F140" s="2183" t="str">
        <f>E104</f>
        <v>CAC - SEER 14 ER1: SF</v>
      </c>
      <c r="G140" s="2184"/>
      <c r="H140" s="2185"/>
      <c r="I140" s="707">
        <v>945</v>
      </c>
      <c r="J140" s="727">
        <v>869</v>
      </c>
      <c r="K140" s="606"/>
      <c r="L140" s="607" t="str">
        <f>L164</f>
        <v>Ameren Missouri HVAC EM&amp;V PY2017 workpapers</v>
      </c>
      <c r="M140" s="130"/>
      <c r="N140" s="130"/>
      <c r="O140" s="2190" t="s">
        <v>910</v>
      </c>
      <c r="P140" s="2191"/>
      <c r="Q140" s="608">
        <v>0</v>
      </c>
      <c r="R140" s="609">
        <f>($Q$152/3+Q140)-$Q$151/(3*(1+$Q$154)^$Q$155)</f>
        <v>194.13251303615198</v>
      </c>
      <c r="S140" s="610" t="s">
        <v>953</v>
      </c>
      <c r="T140" s="130"/>
      <c r="U140" s="130"/>
      <c r="V140" s="2119" t="str">
        <f>D140</f>
        <v>FLHcool</v>
      </c>
      <c r="W140" s="605">
        <v>869</v>
      </c>
      <c r="X140" s="605">
        <f t="shared" ref="X140:X163" si="20">W140</f>
        <v>869</v>
      </c>
      <c r="Y140" s="605"/>
      <c r="Z140" s="605"/>
      <c r="AA140" s="605"/>
      <c r="AB140" s="605"/>
      <c r="AC140" s="605"/>
      <c r="AD140" s="605"/>
      <c r="AE140" s="605"/>
      <c r="AF140" s="605"/>
      <c r="AG140" s="605"/>
    </row>
    <row r="141" spans="1:33" s="56" customFormat="1" ht="14.45" hidden="1" customHeight="1" outlineLevel="1" x14ac:dyDescent="0.25">
      <c r="A141" s="597"/>
      <c r="B141" s="130"/>
      <c r="C141" s="616"/>
      <c r="D141" s="2114"/>
      <c r="E141" s="2117"/>
      <c r="F141" s="2171" t="str">
        <f t="shared" ref="F141:F163" si="21">E105</f>
        <v>CAC - SEER 14 ER2: SF</v>
      </c>
      <c r="G141" s="2172"/>
      <c r="H141" s="2173"/>
      <c r="I141" s="709">
        <v>945</v>
      </c>
      <c r="J141" s="730">
        <v>869</v>
      </c>
      <c r="K141" s="612"/>
      <c r="L141" s="613" t="str">
        <f>L140</f>
        <v>Ameren Missouri HVAC EM&amp;V PY2017 workpapers</v>
      </c>
      <c r="M141" s="130"/>
      <c r="N141" s="130"/>
      <c r="O141" s="2190" t="s">
        <v>954</v>
      </c>
      <c r="P141" s="2191"/>
      <c r="Q141" s="608">
        <v>108</v>
      </c>
      <c r="R141" s="609">
        <f>($Q$152/3+Q141)-$Q$151/(3*(1+$Q$154)^$Q$155)</f>
        <v>302.13251303615209</v>
      </c>
      <c r="S141" s="610" t="s">
        <v>953</v>
      </c>
      <c r="T141" s="130"/>
      <c r="U141" s="130"/>
      <c r="V141" s="2120"/>
      <c r="W141" s="611">
        <v>869</v>
      </c>
      <c r="X141" s="611">
        <f t="shared" si="20"/>
        <v>869</v>
      </c>
      <c r="Y141" s="611"/>
      <c r="Z141" s="611"/>
      <c r="AA141" s="611"/>
      <c r="AB141" s="611"/>
      <c r="AC141" s="611"/>
      <c r="AD141" s="611"/>
      <c r="AE141" s="611"/>
      <c r="AF141" s="611"/>
      <c r="AG141" s="611"/>
    </row>
    <row r="142" spans="1:33" s="56" customFormat="1" ht="14.45" hidden="1" customHeight="1" outlineLevel="1" x14ac:dyDescent="0.25">
      <c r="A142" s="597"/>
      <c r="B142" s="130"/>
      <c r="C142" s="616"/>
      <c r="D142" s="2114"/>
      <c r="E142" s="2117"/>
      <c r="F142" s="2171" t="str">
        <f t="shared" si="21"/>
        <v>CAC - SEER 14 ROF: SF</v>
      </c>
      <c r="G142" s="2172"/>
      <c r="H142" s="2173"/>
      <c r="I142" s="709">
        <v>944</v>
      </c>
      <c r="J142" s="730">
        <v>869</v>
      </c>
      <c r="K142" s="612"/>
      <c r="L142" s="613" t="str">
        <f t="shared" ref="L142:L163" si="22">L166</f>
        <v>Ameren Missouri HVAC EM&amp;V PY2017 workpapers</v>
      </c>
      <c r="M142" s="130"/>
      <c r="N142" s="130"/>
      <c r="O142" s="2190" t="s">
        <v>955</v>
      </c>
      <c r="P142" s="2191"/>
      <c r="Q142" s="608">
        <v>221</v>
      </c>
      <c r="R142" s="609">
        <f t="shared" ref="R142:R148" si="23">($Q$152/3+Q142)-$Q$151/(3*(1+$Q$154)^$Q$155)</f>
        <v>415.13251303615209</v>
      </c>
      <c r="S142" s="610" t="s">
        <v>953</v>
      </c>
      <c r="T142" s="130"/>
      <c r="U142" s="130"/>
      <c r="V142" s="2120"/>
      <c r="W142" s="611">
        <v>869</v>
      </c>
      <c r="X142" s="611">
        <f t="shared" si="20"/>
        <v>869</v>
      </c>
      <c r="Y142" s="611"/>
      <c r="Z142" s="611"/>
      <c r="AA142" s="611"/>
      <c r="AB142" s="611"/>
      <c r="AC142" s="611"/>
      <c r="AD142" s="611"/>
      <c r="AE142" s="611"/>
      <c r="AF142" s="611"/>
      <c r="AG142" s="611"/>
    </row>
    <row r="143" spans="1:33" s="56" customFormat="1" ht="14.45" hidden="1" customHeight="1" outlineLevel="1" x14ac:dyDescent="0.25">
      <c r="A143" s="597"/>
      <c r="B143" s="130"/>
      <c r="C143" s="616"/>
      <c r="D143" s="2114"/>
      <c r="E143" s="2117"/>
      <c r="F143" s="2171" t="str">
        <f t="shared" si="21"/>
        <v>CAC - SEER 14 ER1: MF</v>
      </c>
      <c r="G143" s="2172"/>
      <c r="H143" s="2173"/>
      <c r="I143" s="709"/>
      <c r="J143" s="730">
        <v>1215</v>
      </c>
      <c r="K143" s="612"/>
      <c r="L143" s="613" t="str">
        <f t="shared" si="22"/>
        <v>Ameren Missouri Community Savers Evaluation PY2017</v>
      </c>
      <c r="M143" s="130"/>
      <c r="N143" s="130"/>
      <c r="O143" s="2190" t="s">
        <v>956</v>
      </c>
      <c r="P143" s="2191"/>
      <c r="Q143" s="408">
        <f>1212/3</f>
        <v>404</v>
      </c>
      <c r="R143" s="609">
        <f t="shared" si="23"/>
        <v>598.13251303615209</v>
      </c>
      <c r="S143" s="529" t="s">
        <v>957</v>
      </c>
      <c r="T143" s="529"/>
      <c r="U143" s="529"/>
      <c r="V143" s="2120"/>
      <c r="W143" s="611">
        <v>869</v>
      </c>
      <c r="X143" s="614">
        <v>1215</v>
      </c>
      <c r="Y143" s="611"/>
      <c r="Z143" s="611"/>
      <c r="AA143" s="611"/>
      <c r="AB143" s="611"/>
      <c r="AC143" s="611"/>
      <c r="AD143" s="611"/>
      <c r="AE143" s="611"/>
      <c r="AF143" s="611"/>
      <c r="AG143" s="611"/>
    </row>
    <row r="144" spans="1:33" s="56" customFormat="1" ht="14.45" hidden="1" customHeight="1" outlineLevel="1" x14ac:dyDescent="0.25">
      <c r="A144" s="597"/>
      <c r="B144" s="130"/>
      <c r="C144" s="616"/>
      <c r="D144" s="2114"/>
      <c r="E144" s="2117"/>
      <c r="F144" s="2171" t="str">
        <f t="shared" si="21"/>
        <v>CAC - SEER 14 ER2: MF</v>
      </c>
      <c r="G144" s="2172"/>
      <c r="H144" s="2173"/>
      <c r="I144" s="709"/>
      <c r="J144" s="730">
        <v>1215</v>
      </c>
      <c r="K144" s="612"/>
      <c r="L144" s="613" t="str">
        <f t="shared" si="22"/>
        <v>Ameren Missouri Community Savers Evaluation PY2017</v>
      </c>
      <c r="M144" s="130"/>
      <c r="N144" s="130"/>
      <c r="O144" s="2190" t="s">
        <v>958</v>
      </c>
      <c r="P144" s="2191"/>
      <c r="Q144" s="608">
        <v>620</v>
      </c>
      <c r="R144" s="609">
        <f t="shared" si="23"/>
        <v>814.13251303615209</v>
      </c>
      <c r="S144" s="610" t="s">
        <v>953</v>
      </c>
      <c r="T144" s="130"/>
      <c r="U144" s="130"/>
      <c r="V144" s="2120"/>
      <c r="W144" s="611">
        <v>869</v>
      </c>
      <c r="X144" s="614">
        <v>1215</v>
      </c>
      <c r="Y144" s="611"/>
      <c r="Z144" s="611"/>
      <c r="AA144" s="611"/>
      <c r="AB144" s="611"/>
      <c r="AC144" s="611"/>
      <c r="AD144" s="611"/>
      <c r="AE144" s="611"/>
      <c r="AF144" s="611"/>
      <c r="AG144" s="611"/>
    </row>
    <row r="145" spans="1:33" s="56" customFormat="1" ht="14.45" hidden="1" customHeight="1" outlineLevel="1" x14ac:dyDescent="0.25">
      <c r="A145" s="597"/>
      <c r="B145" s="130"/>
      <c r="C145" s="616"/>
      <c r="D145" s="2114"/>
      <c r="E145" s="2117"/>
      <c r="F145" s="2171" t="str">
        <f t="shared" si="21"/>
        <v>CAC - SEER 14 ROF: MF</v>
      </c>
      <c r="G145" s="2172"/>
      <c r="H145" s="2173"/>
      <c r="I145" s="709"/>
      <c r="J145" s="730">
        <v>1215</v>
      </c>
      <c r="K145" s="612"/>
      <c r="L145" s="613" t="str">
        <f t="shared" si="22"/>
        <v>Ameren Missouri Community Savers Evaluation PY2017</v>
      </c>
      <c r="M145" s="130"/>
      <c r="N145" s="130"/>
      <c r="O145" s="2190" t="s">
        <v>959</v>
      </c>
      <c r="P145" s="2191"/>
      <c r="Q145" s="608">
        <v>715</v>
      </c>
      <c r="R145" s="609">
        <f t="shared" si="23"/>
        <v>909.13251303615209</v>
      </c>
      <c r="S145" s="130" t="s">
        <v>960</v>
      </c>
      <c r="T145" s="130"/>
      <c r="U145" s="130"/>
      <c r="V145" s="2120"/>
      <c r="W145" s="611">
        <v>869</v>
      </c>
      <c r="X145" s="614">
        <v>1215</v>
      </c>
      <c r="Y145" s="611"/>
      <c r="Z145" s="611"/>
      <c r="AA145" s="611"/>
      <c r="AB145" s="611"/>
      <c r="AC145" s="611"/>
      <c r="AD145" s="611"/>
      <c r="AE145" s="611"/>
      <c r="AF145" s="611"/>
      <c r="AG145" s="611"/>
    </row>
    <row r="146" spans="1:33" s="56" customFormat="1" hidden="1" outlineLevel="1" x14ac:dyDescent="0.25">
      <c r="A146" s="597"/>
      <c r="B146" s="130"/>
      <c r="C146" s="616"/>
      <c r="D146" s="2114"/>
      <c r="E146" s="2117"/>
      <c r="F146" s="2171" t="str">
        <f t="shared" si="21"/>
        <v>CAC - SEER 15 ER1: SF</v>
      </c>
      <c r="G146" s="2172"/>
      <c r="H146" s="2173"/>
      <c r="I146" s="709">
        <v>947</v>
      </c>
      <c r="J146" s="730">
        <v>869</v>
      </c>
      <c r="K146" s="612"/>
      <c r="L146" s="613" t="str">
        <f t="shared" si="22"/>
        <v>Ameren Missouri HVAC EM&amp;V PY2017 workpapers</v>
      </c>
      <c r="M146" s="130"/>
      <c r="N146" s="130"/>
      <c r="O146" s="2190" t="s">
        <v>961</v>
      </c>
      <c r="P146" s="2191"/>
      <c r="Q146" s="608">
        <v>834</v>
      </c>
      <c r="R146" s="609">
        <f t="shared" si="23"/>
        <v>1028.132513036152</v>
      </c>
      <c r="S146" s="130" t="s">
        <v>960</v>
      </c>
      <c r="T146" s="130"/>
      <c r="U146" s="130"/>
      <c r="V146" s="2120"/>
      <c r="W146" s="611">
        <v>869</v>
      </c>
      <c r="X146" s="611">
        <f t="shared" si="20"/>
        <v>869</v>
      </c>
      <c r="Y146" s="611"/>
      <c r="Z146" s="611"/>
      <c r="AA146" s="611"/>
      <c r="AB146" s="611"/>
      <c r="AC146" s="611"/>
      <c r="AD146" s="611"/>
      <c r="AE146" s="611"/>
      <c r="AF146" s="611"/>
      <c r="AG146" s="611"/>
    </row>
    <row r="147" spans="1:33" s="56" customFormat="1" hidden="1" outlineLevel="1" x14ac:dyDescent="0.25">
      <c r="A147" s="597"/>
      <c r="B147" s="130"/>
      <c r="C147" s="616"/>
      <c r="D147" s="2114"/>
      <c r="E147" s="2117"/>
      <c r="F147" s="2171" t="str">
        <f t="shared" si="21"/>
        <v>CAC - SEER 15 ER2: SF</v>
      </c>
      <c r="G147" s="2172"/>
      <c r="H147" s="2173"/>
      <c r="I147" s="709">
        <v>947</v>
      </c>
      <c r="J147" s="730">
        <v>869</v>
      </c>
      <c r="K147" s="612"/>
      <c r="L147" s="613" t="str">
        <f t="shared" si="22"/>
        <v>Ameren Missouri HVAC EM&amp;V PY2017 workpapers</v>
      </c>
      <c r="M147" s="130"/>
      <c r="N147" s="130"/>
      <c r="O147" s="2190" t="s">
        <v>962</v>
      </c>
      <c r="P147" s="2191"/>
      <c r="Q147" s="608">
        <v>908</v>
      </c>
      <c r="R147" s="609">
        <f t="shared" si="23"/>
        <v>1102.132513036152</v>
      </c>
      <c r="S147" s="130" t="s">
        <v>960</v>
      </c>
      <c r="T147" s="130"/>
      <c r="U147" s="130"/>
      <c r="V147" s="2120"/>
      <c r="W147" s="611">
        <v>869</v>
      </c>
      <c r="X147" s="611">
        <f t="shared" si="20"/>
        <v>869</v>
      </c>
      <c r="Y147" s="611"/>
      <c r="Z147" s="611"/>
      <c r="AA147" s="611"/>
      <c r="AB147" s="611"/>
      <c r="AC147" s="611"/>
      <c r="AD147" s="611"/>
      <c r="AE147" s="611"/>
      <c r="AF147" s="611"/>
      <c r="AG147" s="611"/>
    </row>
    <row r="148" spans="1:33" s="56" customFormat="1" hidden="1" outlineLevel="1" x14ac:dyDescent="0.25">
      <c r="A148" s="597"/>
      <c r="B148" s="130"/>
      <c r="C148" s="616"/>
      <c r="D148" s="2114"/>
      <c r="E148" s="2117"/>
      <c r="F148" s="2171" t="str">
        <f t="shared" si="21"/>
        <v>CAC - SEER 15 ROF: SF</v>
      </c>
      <c r="G148" s="2172"/>
      <c r="H148" s="2173"/>
      <c r="I148" s="709">
        <v>946</v>
      </c>
      <c r="J148" s="730">
        <v>869</v>
      </c>
      <c r="K148" s="612"/>
      <c r="L148" s="613" t="str">
        <f t="shared" si="22"/>
        <v>Ameren Missouri HVAC EM&amp;V PY2017 workpapers</v>
      </c>
      <c r="M148" s="130"/>
      <c r="N148" s="130"/>
      <c r="O148" s="2190" t="s">
        <v>963</v>
      </c>
      <c r="P148" s="2191"/>
      <c r="Q148" s="608">
        <v>530</v>
      </c>
      <c r="R148" s="609">
        <f t="shared" si="23"/>
        <v>724.13251303615209</v>
      </c>
      <c r="S148" s="130"/>
      <c r="T148" s="130"/>
      <c r="U148" s="130"/>
      <c r="V148" s="2120"/>
      <c r="W148" s="611">
        <v>869</v>
      </c>
      <c r="X148" s="611">
        <f t="shared" si="20"/>
        <v>869</v>
      </c>
      <c r="Y148" s="611"/>
      <c r="Z148" s="611"/>
      <c r="AA148" s="611"/>
      <c r="AB148" s="611"/>
      <c r="AC148" s="611"/>
      <c r="AD148" s="611"/>
      <c r="AE148" s="611"/>
      <c r="AF148" s="611"/>
      <c r="AG148" s="611"/>
    </row>
    <row r="149" spans="1:33" s="56" customFormat="1" hidden="1" outlineLevel="1" x14ac:dyDescent="0.25">
      <c r="A149" s="597"/>
      <c r="B149" s="130"/>
      <c r="C149" s="616"/>
      <c r="D149" s="2114"/>
      <c r="E149" s="2117"/>
      <c r="F149" s="2171" t="str">
        <f t="shared" si="21"/>
        <v>CAC - SEER 15 ER1: MF</v>
      </c>
      <c r="G149" s="2172"/>
      <c r="H149" s="2173"/>
      <c r="I149" s="709"/>
      <c r="J149" s="730">
        <v>1215</v>
      </c>
      <c r="K149" s="612"/>
      <c r="L149" s="613" t="s">
        <v>1795</v>
      </c>
      <c r="M149" s="130"/>
      <c r="N149" s="130"/>
      <c r="O149" s="615"/>
      <c r="P149" s="615"/>
      <c r="Q149" s="616"/>
      <c r="R149" s="130"/>
      <c r="S149" s="130"/>
      <c r="T149" s="130"/>
      <c r="U149" s="130"/>
      <c r="V149" s="2120"/>
      <c r="W149" s="611">
        <v>869</v>
      </c>
      <c r="X149" s="614">
        <v>1215</v>
      </c>
      <c r="Y149" s="611"/>
      <c r="Z149" s="611"/>
      <c r="AA149" s="611"/>
      <c r="AB149" s="611"/>
      <c r="AC149" s="611"/>
      <c r="AD149" s="611"/>
      <c r="AE149" s="611"/>
      <c r="AF149" s="611"/>
      <c r="AG149" s="611"/>
    </row>
    <row r="150" spans="1:33" s="56" customFormat="1" hidden="1" outlineLevel="1" x14ac:dyDescent="0.25">
      <c r="A150" s="597"/>
      <c r="B150" s="130"/>
      <c r="C150" s="616"/>
      <c r="D150" s="2114"/>
      <c r="E150" s="2117"/>
      <c r="F150" s="2171" t="str">
        <f t="shared" si="21"/>
        <v>CAC - SEER 15 ER2: MF</v>
      </c>
      <c r="G150" s="2172"/>
      <c r="H150" s="2173"/>
      <c r="I150" s="709"/>
      <c r="J150" s="730">
        <v>1215</v>
      </c>
      <c r="K150" s="612"/>
      <c r="L150" s="613" t="s">
        <v>1795</v>
      </c>
      <c r="M150" s="130"/>
      <c r="N150" s="130"/>
      <c r="O150" s="2075" t="s">
        <v>911</v>
      </c>
      <c r="P150" s="2081"/>
      <c r="Q150" s="2076"/>
      <c r="R150" s="130"/>
      <c r="S150" s="130"/>
      <c r="T150" s="130"/>
      <c r="U150" s="130"/>
      <c r="V150" s="2120"/>
      <c r="W150" s="611">
        <v>869</v>
      </c>
      <c r="X150" s="614">
        <v>1215</v>
      </c>
      <c r="Y150" s="611"/>
      <c r="Z150" s="611"/>
      <c r="AA150" s="611"/>
      <c r="AB150" s="611"/>
      <c r="AC150" s="611"/>
      <c r="AD150" s="611"/>
      <c r="AE150" s="611"/>
      <c r="AF150" s="611"/>
      <c r="AG150" s="611"/>
    </row>
    <row r="151" spans="1:33" s="56" customFormat="1" hidden="1" outlineLevel="1" x14ac:dyDescent="0.25">
      <c r="A151" s="597"/>
      <c r="B151" s="130"/>
      <c r="C151" s="616"/>
      <c r="D151" s="2114"/>
      <c r="E151" s="2117"/>
      <c r="F151" s="2171" t="str">
        <f t="shared" si="21"/>
        <v>CAC - SEER 15 ROF: MF</v>
      </c>
      <c r="G151" s="2172"/>
      <c r="H151" s="2173"/>
      <c r="I151" s="709"/>
      <c r="J151" s="730">
        <v>1215</v>
      </c>
      <c r="K151" s="612"/>
      <c r="L151" s="613" t="s">
        <v>1795</v>
      </c>
      <c r="M151" s="130"/>
      <c r="N151" s="130"/>
      <c r="O151" s="2188" t="s">
        <v>912</v>
      </c>
      <c r="P151" s="2189"/>
      <c r="Q151" s="617">
        <f>Q152*(1+Q153)^6</f>
        <v>3217.446031837248</v>
      </c>
      <c r="R151" s="130" t="s">
        <v>605</v>
      </c>
      <c r="S151" s="618"/>
      <c r="T151" s="130"/>
      <c r="U151" s="130"/>
      <c r="V151" s="2120"/>
      <c r="W151" s="611">
        <v>869</v>
      </c>
      <c r="X151" s="614">
        <v>1215</v>
      </c>
      <c r="Y151" s="611"/>
      <c r="Z151" s="611"/>
      <c r="AA151" s="611"/>
      <c r="AB151" s="611"/>
      <c r="AC151" s="611"/>
      <c r="AD151" s="611"/>
      <c r="AE151" s="611"/>
      <c r="AF151" s="611"/>
      <c r="AG151" s="611"/>
    </row>
    <row r="152" spans="1:33" s="56" customFormat="1" hidden="1" outlineLevel="1" x14ac:dyDescent="0.25">
      <c r="A152" s="597"/>
      <c r="B152" s="130"/>
      <c r="C152" s="616"/>
      <c r="D152" s="2114"/>
      <c r="E152" s="2117"/>
      <c r="F152" s="2171" t="str">
        <f t="shared" si="21"/>
        <v>CAC - SEER 16 ER1: SF</v>
      </c>
      <c r="G152" s="2172"/>
      <c r="H152" s="2173"/>
      <c r="I152" s="709">
        <v>949</v>
      </c>
      <c r="J152" s="730">
        <v>869</v>
      </c>
      <c r="K152" s="612"/>
      <c r="L152" s="613" t="str">
        <f t="shared" si="22"/>
        <v>Ameren Missouri HVAC EM&amp;V PY2017 workpapers</v>
      </c>
      <c r="M152" s="130"/>
      <c r="N152" s="130"/>
      <c r="O152" s="2188" t="s">
        <v>913</v>
      </c>
      <c r="P152" s="2189"/>
      <c r="Q152" s="617">
        <v>2857</v>
      </c>
      <c r="R152" s="130" t="s">
        <v>953</v>
      </c>
      <c r="S152" s="618"/>
      <c r="T152" s="130"/>
      <c r="U152" s="130"/>
      <c r="V152" s="2120"/>
      <c r="W152" s="611">
        <v>869</v>
      </c>
      <c r="X152" s="611">
        <f t="shared" si="20"/>
        <v>869</v>
      </c>
      <c r="Y152" s="611"/>
      <c r="Z152" s="611"/>
      <c r="AA152" s="611"/>
      <c r="AB152" s="611"/>
      <c r="AC152" s="611"/>
      <c r="AD152" s="611"/>
      <c r="AE152" s="611"/>
      <c r="AF152" s="611"/>
      <c r="AG152" s="611"/>
    </row>
    <row r="153" spans="1:33" s="56" customFormat="1" hidden="1" outlineLevel="1" x14ac:dyDescent="0.25">
      <c r="A153" s="597"/>
      <c r="B153" s="130"/>
      <c r="C153" s="616"/>
      <c r="D153" s="2114"/>
      <c r="E153" s="2117"/>
      <c r="F153" s="2171" t="str">
        <f t="shared" si="21"/>
        <v>CAC - SEER 16 ER2: SF</v>
      </c>
      <c r="G153" s="2172"/>
      <c r="H153" s="2173"/>
      <c r="I153" s="709">
        <v>949</v>
      </c>
      <c r="J153" s="730">
        <v>869</v>
      </c>
      <c r="K153" s="612"/>
      <c r="L153" s="613" t="str">
        <f t="shared" si="22"/>
        <v>Ameren Missouri HVAC EM&amp;V PY2017 workpapers</v>
      </c>
      <c r="M153" s="130"/>
      <c r="N153" s="130"/>
      <c r="O153" s="2188" t="s">
        <v>915</v>
      </c>
      <c r="P153" s="2189"/>
      <c r="Q153" s="1653">
        <f>$Q$93</f>
        <v>0.02</v>
      </c>
      <c r="R153" s="130" t="s">
        <v>964</v>
      </c>
      <c r="S153" s="130"/>
      <c r="T153" s="130"/>
      <c r="U153" s="130"/>
      <c r="V153" s="2120"/>
      <c r="W153" s="611">
        <v>869</v>
      </c>
      <c r="X153" s="611">
        <f t="shared" si="20"/>
        <v>869</v>
      </c>
      <c r="Y153" s="611"/>
      <c r="Z153" s="611"/>
      <c r="AA153" s="611"/>
      <c r="AB153" s="611"/>
      <c r="AC153" s="611"/>
      <c r="AD153" s="611"/>
      <c r="AE153" s="611"/>
      <c r="AF153" s="611"/>
      <c r="AG153" s="611"/>
    </row>
    <row r="154" spans="1:33" s="56" customFormat="1" hidden="1" outlineLevel="1" x14ac:dyDescent="0.25">
      <c r="A154" s="597"/>
      <c r="B154" s="130"/>
      <c r="C154" s="616"/>
      <c r="D154" s="2114"/>
      <c r="E154" s="2117"/>
      <c r="F154" s="2171" t="str">
        <f t="shared" si="21"/>
        <v>CAC - SEER 16 ROF: SF</v>
      </c>
      <c r="G154" s="2172"/>
      <c r="H154" s="2173"/>
      <c r="I154" s="709">
        <v>948</v>
      </c>
      <c r="J154" s="730">
        <v>869</v>
      </c>
      <c r="K154" s="612"/>
      <c r="L154" s="613" t="str">
        <f t="shared" si="22"/>
        <v>Ameren Missouri HVAC EM&amp;V PY2017 workpapers</v>
      </c>
      <c r="M154" s="130"/>
      <c r="N154" s="130"/>
      <c r="O154" s="2197" t="s">
        <v>916</v>
      </c>
      <c r="P154" s="2198"/>
      <c r="Q154" s="1653">
        <f>$Q$94</f>
        <v>5.9499999999999997E-2</v>
      </c>
      <c r="R154" s="130" t="s">
        <v>964</v>
      </c>
      <c r="S154" s="130"/>
      <c r="T154" s="130"/>
      <c r="U154" s="130"/>
      <c r="V154" s="2120"/>
      <c r="W154" s="611">
        <v>869</v>
      </c>
      <c r="X154" s="611">
        <f t="shared" si="20"/>
        <v>869</v>
      </c>
      <c r="Y154" s="611"/>
      <c r="Z154" s="611"/>
      <c r="AA154" s="611"/>
      <c r="AB154" s="611"/>
      <c r="AC154" s="611"/>
      <c r="AD154" s="611"/>
      <c r="AE154" s="611"/>
      <c r="AF154" s="611"/>
      <c r="AG154" s="611"/>
    </row>
    <row r="155" spans="1:33" s="56" customFormat="1" ht="15" hidden="1" customHeight="1" outlineLevel="1" x14ac:dyDescent="0.25">
      <c r="A155" s="597"/>
      <c r="B155" s="130"/>
      <c r="C155" s="616"/>
      <c r="D155" s="2114"/>
      <c r="E155" s="2117"/>
      <c r="F155" s="2171" t="str">
        <f t="shared" si="21"/>
        <v>CAC - SEER 16 ER1: MF</v>
      </c>
      <c r="G155" s="2172"/>
      <c r="H155" s="2173"/>
      <c r="I155" s="709"/>
      <c r="J155" s="730">
        <v>1215</v>
      </c>
      <c r="K155" s="612"/>
      <c r="L155" s="613" t="str">
        <f t="shared" si="22"/>
        <v>Ameren Missouri Community Savers Evaluation PY2017</v>
      </c>
      <c r="M155" s="130"/>
      <c r="N155" s="130"/>
      <c r="O155" s="619" t="s">
        <v>917</v>
      </c>
      <c r="P155" s="620"/>
      <c r="Q155" s="621">
        <v>6</v>
      </c>
      <c r="R155" s="130" t="s">
        <v>965</v>
      </c>
      <c r="S155" s="130"/>
      <c r="T155" s="130"/>
      <c r="U155" s="130"/>
      <c r="V155" s="2120"/>
      <c r="W155" s="611">
        <v>869</v>
      </c>
      <c r="X155" s="614">
        <v>1215</v>
      </c>
      <c r="Y155" s="611"/>
      <c r="Z155" s="611"/>
      <c r="AA155" s="611"/>
      <c r="AB155" s="611"/>
      <c r="AC155" s="611"/>
      <c r="AD155" s="611"/>
      <c r="AE155" s="611"/>
      <c r="AF155" s="611"/>
      <c r="AG155" s="611"/>
    </row>
    <row r="156" spans="1:33" s="56" customFormat="1" hidden="1" outlineLevel="1" x14ac:dyDescent="0.25">
      <c r="A156" s="597"/>
      <c r="B156" s="130"/>
      <c r="C156" s="616"/>
      <c r="D156" s="2114"/>
      <c r="E156" s="2117"/>
      <c r="F156" s="2171" t="str">
        <f t="shared" si="21"/>
        <v>CAC - SEER 16 ER2: MF</v>
      </c>
      <c r="G156" s="2172"/>
      <c r="H156" s="2173"/>
      <c r="I156" s="709"/>
      <c r="J156" s="730">
        <v>1215</v>
      </c>
      <c r="K156" s="612"/>
      <c r="L156" s="613" t="str">
        <f t="shared" si="22"/>
        <v>Ameren Missouri Community Savers Evaluation PY2017</v>
      </c>
      <c r="M156" s="130"/>
      <c r="N156" s="130"/>
      <c r="O156" s="1654" t="s">
        <v>966</v>
      </c>
      <c r="P156" s="130"/>
      <c r="Q156" s="130"/>
      <c r="R156" s="130"/>
      <c r="S156" s="130"/>
      <c r="T156" s="130"/>
      <c r="U156" s="130"/>
      <c r="V156" s="2120"/>
      <c r="W156" s="611">
        <v>869</v>
      </c>
      <c r="X156" s="614">
        <v>1215</v>
      </c>
      <c r="Y156" s="611"/>
      <c r="Z156" s="611"/>
      <c r="AA156" s="611"/>
      <c r="AB156" s="611"/>
      <c r="AC156" s="611"/>
      <c r="AD156" s="611"/>
      <c r="AE156" s="611"/>
      <c r="AF156" s="611"/>
      <c r="AG156" s="611"/>
    </row>
    <row r="157" spans="1:33" s="56" customFormat="1" hidden="1" outlineLevel="1" x14ac:dyDescent="0.25">
      <c r="A157" s="597"/>
      <c r="B157" s="130"/>
      <c r="C157" s="616"/>
      <c r="D157" s="2114"/>
      <c r="E157" s="2117"/>
      <c r="F157" s="2171" t="str">
        <f t="shared" si="21"/>
        <v>CAC - SEER 16 ROF: MF</v>
      </c>
      <c r="G157" s="2172"/>
      <c r="H157" s="2173"/>
      <c r="I157" s="709"/>
      <c r="J157" s="730">
        <v>1215</v>
      </c>
      <c r="K157" s="612"/>
      <c r="L157" s="613" t="str">
        <f t="shared" si="22"/>
        <v>Ameren Missouri Community Savers Evaluation PY2017</v>
      </c>
      <c r="M157" s="130"/>
      <c r="N157" s="130"/>
      <c r="O157" s="130"/>
      <c r="P157" s="130"/>
      <c r="Q157" s="130"/>
      <c r="R157" s="130"/>
      <c r="S157" s="130"/>
      <c r="T157" s="130"/>
      <c r="U157" s="130"/>
      <c r="V157" s="2120"/>
      <c r="W157" s="611">
        <v>869</v>
      </c>
      <c r="X157" s="614">
        <v>1215</v>
      </c>
      <c r="Y157" s="611"/>
      <c r="Z157" s="611"/>
      <c r="AA157" s="611"/>
      <c r="AB157" s="611"/>
      <c r="AC157" s="611"/>
      <c r="AD157" s="611"/>
      <c r="AE157" s="611"/>
      <c r="AF157" s="611"/>
      <c r="AG157" s="611"/>
    </row>
    <row r="158" spans="1:33" s="56" customFormat="1" hidden="1" outlineLevel="1" x14ac:dyDescent="0.25">
      <c r="A158" s="597"/>
      <c r="B158" s="130"/>
      <c r="C158" s="616"/>
      <c r="D158" s="2114"/>
      <c r="E158" s="2117"/>
      <c r="F158" s="2171" t="str">
        <f>E122</f>
        <v>CAC - SEER 17+ ER1: SF</v>
      </c>
      <c r="G158" s="2172"/>
      <c r="H158" s="2173"/>
      <c r="I158" s="709"/>
      <c r="J158" s="730">
        <v>869</v>
      </c>
      <c r="K158" s="612"/>
      <c r="L158" s="613" t="str">
        <f t="shared" si="22"/>
        <v>Duplicate 16 SEER Size</v>
      </c>
      <c r="M158" s="130"/>
      <c r="N158" s="130"/>
      <c r="O158" s="130"/>
      <c r="P158" s="130"/>
      <c r="Q158" s="130"/>
      <c r="R158" s="130"/>
      <c r="S158" s="130"/>
      <c r="T158" s="130"/>
      <c r="U158" s="130"/>
      <c r="V158" s="2120"/>
      <c r="W158" s="611">
        <v>869</v>
      </c>
      <c r="X158" s="611">
        <f t="shared" si="20"/>
        <v>869</v>
      </c>
      <c r="Y158" s="611"/>
      <c r="Z158" s="611"/>
      <c r="AA158" s="611"/>
      <c r="AB158" s="611"/>
      <c r="AC158" s="611"/>
      <c r="AD158" s="611"/>
      <c r="AE158" s="611"/>
      <c r="AF158" s="611"/>
      <c r="AG158" s="611"/>
    </row>
    <row r="159" spans="1:33" s="56" customFormat="1" hidden="1" outlineLevel="1" x14ac:dyDescent="0.25">
      <c r="A159" s="597"/>
      <c r="B159" s="130"/>
      <c r="C159" s="616"/>
      <c r="D159" s="2114"/>
      <c r="E159" s="2117"/>
      <c r="F159" s="2171" t="str">
        <f t="shared" si="21"/>
        <v>CAC - SEER 17+ ER2: SF</v>
      </c>
      <c r="G159" s="2172"/>
      <c r="H159" s="2173"/>
      <c r="I159" s="709"/>
      <c r="J159" s="730">
        <v>869</v>
      </c>
      <c r="K159" s="612"/>
      <c r="L159" s="613" t="str">
        <f t="shared" si="22"/>
        <v>Duplicate 16 SEER Size</v>
      </c>
      <c r="M159" s="130"/>
      <c r="N159" s="130"/>
      <c r="O159" s="130"/>
      <c r="P159" s="130"/>
      <c r="Q159" s="130"/>
      <c r="R159" s="130"/>
      <c r="S159" s="130"/>
      <c r="T159" s="130"/>
      <c r="U159" s="130"/>
      <c r="V159" s="2120"/>
      <c r="W159" s="611">
        <v>869</v>
      </c>
      <c r="X159" s="611">
        <f t="shared" si="20"/>
        <v>869</v>
      </c>
      <c r="Y159" s="611"/>
      <c r="Z159" s="611"/>
      <c r="AA159" s="611"/>
      <c r="AB159" s="611"/>
      <c r="AC159" s="611"/>
      <c r="AD159" s="611"/>
      <c r="AE159" s="611"/>
      <c r="AF159" s="611"/>
      <c r="AG159" s="611"/>
    </row>
    <row r="160" spans="1:33" s="56" customFormat="1" hidden="1" outlineLevel="1" x14ac:dyDescent="0.25">
      <c r="A160" s="597"/>
      <c r="B160" s="130"/>
      <c r="C160" s="616"/>
      <c r="D160" s="2114"/>
      <c r="E160" s="2117"/>
      <c r="F160" s="2171" t="str">
        <f t="shared" si="21"/>
        <v>CAC - SEER 17+ ROF: SF</v>
      </c>
      <c r="G160" s="2172"/>
      <c r="H160" s="2173"/>
      <c r="I160" s="709"/>
      <c r="J160" s="730">
        <v>869</v>
      </c>
      <c r="K160" s="612"/>
      <c r="L160" s="613" t="str">
        <f t="shared" si="22"/>
        <v>Duplicate 16 SEER Size</v>
      </c>
      <c r="M160" s="130"/>
      <c r="N160" s="130"/>
      <c r="O160" s="130"/>
      <c r="P160" s="130"/>
      <c r="Q160" s="130"/>
      <c r="R160" s="130"/>
      <c r="S160" s="130"/>
      <c r="T160" s="130"/>
      <c r="U160" s="130"/>
      <c r="V160" s="2120"/>
      <c r="W160" s="611">
        <v>869</v>
      </c>
      <c r="X160" s="611">
        <f t="shared" si="20"/>
        <v>869</v>
      </c>
      <c r="Y160" s="611"/>
      <c r="Z160" s="611"/>
      <c r="AA160" s="611"/>
      <c r="AB160" s="611"/>
      <c r="AC160" s="611"/>
      <c r="AD160" s="611"/>
      <c r="AE160" s="611"/>
      <c r="AF160" s="611"/>
      <c r="AG160" s="611"/>
    </row>
    <row r="161" spans="1:33" s="56" customFormat="1" hidden="1" outlineLevel="1" x14ac:dyDescent="0.25">
      <c r="A161" s="597"/>
      <c r="B161" s="130"/>
      <c r="C161" s="616"/>
      <c r="D161" s="2114"/>
      <c r="E161" s="2117"/>
      <c r="F161" s="2171" t="str">
        <f t="shared" si="21"/>
        <v>CAC - SEER 17+ ER1: MF</v>
      </c>
      <c r="G161" s="2172"/>
      <c r="H161" s="2173"/>
      <c r="I161" s="709"/>
      <c r="J161" s="730">
        <v>869</v>
      </c>
      <c r="K161" s="612"/>
      <c r="L161" s="613" t="str">
        <f t="shared" si="22"/>
        <v>Duplicate 16 SEER Size</v>
      </c>
      <c r="M161" s="130"/>
      <c r="N161" s="130"/>
      <c r="O161" s="130"/>
      <c r="P161" s="130"/>
      <c r="Q161" s="130"/>
      <c r="R161" s="130"/>
      <c r="S161" s="130"/>
      <c r="T161" s="130"/>
      <c r="U161" s="130"/>
      <c r="V161" s="2120"/>
      <c r="W161" s="611">
        <v>869</v>
      </c>
      <c r="X161" s="611">
        <f t="shared" si="20"/>
        <v>869</v>
      </c>
      <c r="Y161" s="611"/>
      <c r="Z161" s="611"/>
      <c r="AA161" s="611"/>
      <c r="AB161" s="611"/>
      <c r="AC161" s="611"/>
      <c r="AD161" s="611"/>
      <c r="AE161" s="611"/>
      <c r="AF161" s="611"/>
      <c r="AG161" s="611"/>
    </row>
    <row r="162" spans="1:33" s="56" customFormat="1" ht="14.45" hidden="1" customHeight="1" outlineLevel="1" x14ac:dyDescent="0.25">
      <c r="A162" s="597"/>
      <c r="B162" s="130"/>
      <c r="C162" s="616"/>
      <c r="D162" s="2114"/>
      <c r="E162" s="2117"/>
      <c r="F162" s="2171" t="str">
        <f t="shared" si="21"/>
        <v>CAC - SEER 17+ ER2: MF</v>
      </c>
      <c r="G162" s="2172"/>
      <c r="H162" s="2173"/>
      <c r="I162" s="709"/>
      <c r="J162" s="730">
        <v>869</v>
      </c>
      <c r="K162" s="612"/>
      <c r="L162" s="613" t="str">
        <f t="shared" si="22"/>
        <v>Duplicate 16 SEER Size</v>
      </c>
      <c r="M162" s="130"/>
      <c r="N162" s="130"/>
      <c r="O162" s="130"/>
      <c r="P162" s="130"/>
      <c r="Q162" s="130"/>
      <c r="R162" s="130"/>
      <c r="S162" s="130"/>
      <c r="T162" s="130"/>
      <c r="U162" s="130"/>
      <c r="V162" s="2120"/>
      <c r="W162" s="611">
        <v>869</v>
      </c>
      <c r="X162" s="611">
        <f t="shared" si="20"/>
        <v>869</v>
      </c>
      <c r="Y162" s="611"/>
      <c r="Z162" s="611"/>
      <c r="AA162" s="611"/>
      <c r="AB162" s="611"/>
      <c r="AC162" s="611"/>
      <c r="AD162" s="611"/>
      <c r="AE162" s="611"/>
      <c r="AF162" s="611"/>
      <c r="AG162" s="611"/>
    </row>
    <row r="163" spans="1:33" s="56" customFormat="1" ht="15" hidden="1" customHeight="1" outlineLevel="1" thickBot="1" x14ac:dyDescent="0.3">
      <c r="A163" s="597"/>
      <c r="B163" s="130"/>
      <c r="C163" s="616"/>
      <c r="D163" s="2115"/>
      <c r="E163" s="2118"/>
      <c r="F163" s="2174" t="str">
        <f t="shared" si="21"/>
        <v>CAC - SEER 17+ ROF: MF</v>
      </c>
      <c r="G163" s="2175"/>
      <c r="H163" s="2176"/>
      <c r="I163" s="712"/>
      <c r="J163" s="622">
        <v>869</v>
      </c>
      <c r="K163" s="544"/>
      <c r="L163" s="623" t="str">
        <f t="shared" si="22"/>
        <v>Duplicate 16 SEER Size</v>
      </c>
      <c r="M163" s="130"/>
      <c r="N163" s="130"/>
      <c r="O163" s="130"/>
      <c r="P163" s="130"/>
      <c r="Q163" s="130"/>
      <c r="R163" s="130"/>
      <c r="S163" s="130"/>
      <c r="T163" s="130"/>
      <c r="U163" s="130"/>
      <c r="V163" s="2121"/>
      <c r="W163" s="622">
        <v>869</v>
      </c>
      <c r="X163" s="622">
        <f t="shared" si="20"/>
        <v>869</v>
      </c>
      <c r="Y163" s="622"/>
      <c r="Z163" s="622"/>
      <c r="AA163" s="622"/>
      <c r="AB163" s="622"/>
      <c r="AC163" s="622"/>
      <c r="AD163" s="622"/>
      <c r="AE163" s="622"/>
      <c r="AF163" s="622"/>
      <c r="AG163" s="622"/>
    </row>
    <row r="164" spans="1:33" s="56" customFormat="1" ht="14.45" hidden="1" customHeight="1" outlineLevel="1" x14ac:dyDescent="0.25">
      <c r="A164" s="597"/>
      <c r="B164" s="130"/>
      <c r="C164" s="616"/>
      <c r="D164" s="2113" t="s">
        <v>967</v>
      </c>
      <c r="E164" s="2116" t="s">
        <v>968</v>
      </c>
      <c r="F164" s="2183" t="str">
        <f>F140</f>
        <v>CAC - SEER 14 ER1: SF</v>
      </c>
      <c r="G164" s="2184"/>
      <c r="H164" s="2185"/>
      <c r="I164" s="707">
        <v>945</v>
      </c>
      <c r="J164" s="727">
        <v>36600</v>
      </c>
      <c r="K164" s="625">
        <f t="shared" ref="K164:K187" si="24">J164/12000</f>
        <v>3.05</v>
      </c>
      <c r="L164" s="727" t="s">
        <v>1794</v>
      </c>
      <c r="M164" s="130"/>
      <c r="N164" s="130"/>
      <c r="O164" s="130"/>
      <c r="P164" s="130"/>
      <c r="Q164" s="130"/>
      <c r="R164" s="130"/>
      <c r="S164" s="130"/>
      <c r="T164" s="130"/>
      <c r="U164" s="130"/>
      <c r="V164" s="2119" t="str">
        <f>D164</f>
        <v>Btu/hr / Capacity</v>
      </c>
      <c r="W164" s="605">
        <v>36000</v>
      </c>
      <c r="X164" s="624">
        <f>3.05*12000</f>
        <v>36600</v>
      </c>
      <c r="Y164" s="605"/>
      <c r="Z164" s="605"/>
      <c r="AA164" s="605"/>
      <c r="AB164" s="605"/>
      <c r="AC164" s="605"/>
      <c r="AD164" s="605"/>
      <c r="AE164" s="605"/>
      <c r="AF164" s="605"/>
      <c r="AG164" s="605"/>
    </row>
    <row r="165" spans="1:33" s="56" customFormat="1" ht="14.45" hidden="1" customHeight="1" outlineLevel="1" x14ac:dyDescent="0.25">
      <c r="A165" s="597"/>
      <c r="B165" s="130"/>
      <c r="C165" s="616"/>
      <c r="D165" s="2114"/>
      <c r="E165" s="2117"/>
      <c r="F165" s="2171" t="str">
        <f t="shared" ref="F165:F228" si="25">F141</f>
        <v>CAC - SEER 14 ER2: SF</v>
      </c>
      <c r="G165" s="2172"/>
      <c r="H165" s="2173"/>
      <c r="I165" s="709">
        <v>945</v>
      </c>
      <c r="J165" s="730">
        <v>36600</v>
      </c>
      <c r="K165" s="626">
        <f t="shared" si="24"/>
        <v>3.05</v>
      </c>
      <c r="L165" s="725" t="s">
        <v>1794</v>
      </c>
      <c r="M165" s="130"/>
      <c r="N165" s="130"/>
      <c r="O165" s="130"/>
      <c r="P165" s="130"/>
      <c r="Q165" s="130"/>
      <c r="R165" s="130"/>
      <c r="S165" s="130"/>
      <c r="T165" s="130"/>
      <c r="U165" s="130"/>
      <c r="V165" s="2120"/>
      <c r="W165" s="611">
        <v>36000</v>
      </c>
      <c r="X165" s="614">
        <f t="shared" ref="X165:X178" si="26">3.05*12000</f>
        <v>36600</v>
      </c>
      <c r="Y165" s="611"/>
      <c r="Z165" s="611"/>
      <c r="AA165" s="611"/>
      <c r="AB165" s="611"/>
      <c r="AC165" s="611"/>
      <c r="AD165" s="611"/>
      <c r="AE165" s="611"/>
      <c r="AF165" s="611"/>
      <c r="AG165" s="611"/>
    </row>
    <row r="166" spans="1:33" s="56" customFormat="1" ht="14.45" hidden="1" customHeight="1" outlineLevel="1" x14ac:dyDescent="0.25">
      <c r="A166" s="597"/>
      <c r="B166" s="130"/>
      <c r="C166" s="616"/>
      <c r="D166" s="2114"/>
      <c r="E166" s="2117"/>
      <c r="F166" s="2171" t="str">
        <f t="shared" si="25"/>
        <v>CAC - SEER 14 ROF: SF</v>
      </c>
      <c r="G166" s="2172"/>
      <c r="H166" s="2173"/>
      <c r="I166" s="709">
        <v>944</v>
      </c>
      <c r="J166" s="730">
        <v>36600</v>
      </c>
      <c r="K166" s="626">
        <f t="shared" si="24"/>
        <v>3.05</v>
      </c>
      <c r="L166" s="725" t="s">
        <v>1794</v>
      </c>
      <c r="M166" s="130"/>
      <c r="N166" s="130"/>
      <c r="O166" s="130"/>
      <c r="P166" s="130"/>
      <c r="Q166" s="130"/>
      <c r="R166" s="130"/>
      <c r="S166" s="130"/>
      <c r="T166" s="130"/>
      <c r="U166" s="130"/>
      <c r="V166" s="2120"/>
      <c r="W166" s="611">
        <v>36000</v>
      </c>
      <c r="X166" s="614">
        <f t="shared" si="26"/>
        <v>36600</v>
      </c>
      <c r="Y166" s="611"/>
      <c r="Z166" s="611"/>
      <c r="AA166" s="611"/>
      <c r="AB166" s="611"/>
      <c r="AC166" s="611"/>
      <c r="AD166" s="611"/>
      <c r="AE166" s="611"/>
      <c r="AF166" s="611"/>
      <c r="AG166" s="611"/>
    </row>
    <row r="167" spans="1:33" s="56" customFormat="1" ht="14.45" hidden="1" customHeight="1" outlineLevel="1" x14ac:dyDescent="0.25">
      <c r="A167" s="597"/>
      <c r="B167" s="130"/>
      <c r="C167" s="616"/>
      <c r="D167" s="2114"/>
      <c r="E167" s="2117"/>
      <c r="F167" s="2171" t="str">
        <f t="shared" si="25"/>
        <v>CAC - SEER 14 ER1: MF</v>
      </c>
      <c r="G167" s="2172"/>
      <c r="H167" s="2173"/>
      <c r="I167" s="709"/>
      <c r="J167" s="730">
        <v>24000</v>
      </c>
      <c r="K167" s="626">
        <f t="shared" si="24"/>
        <v>2</v>
      </c>
      <c r="L167" s="730" t="s">
        <v>1795</v>
      </c>
      <c r="M167" s="615"/>
      <c r="N167" s="615"/>
      <c r="O167" s="130"/>
      <c r="P167" s="130"/>
      <c r="Q167" s="130"/>
      <c r="R167" s="130"/>
      <c r="S167" s="130"/>
      <c r="T167" s="130"/>
      <c r="U167" s="130"/>
      <c r="V167" s="2120"/>
      <c r="W167" s="611">
        <v>36000</v>
      </c>
      <c r="X167" s="614">
        <v>24000</v>
      </c>
      <c r="Y167" s="611"/>
      <c r="Z167" s="611"/>
      <c r="AA167" s="611"/>
      <c r="AB167" s="611"/>
      <c r="AC167" s="611"/>
      <c r="AD167" s="611"/>
      <c r="AE167" s="611"/>
      <c r="AF167" s="611"/>
      <c r="AG167" s="611"/>
    </row>
    <row r="168" spans="1:33" s="56" customFormat="1" ht="14.45" hidden="1" customHeight="1" outlineLevel="1" x14ac:dyDescent="0.25">
      <c r="A168" s="597"/>
      <c r="B168" s="130"/>
      <c r="C168" s="616"/>
      <c r="D168" s="2114"/>
      <c r="E168" s="2117"/>
      <c r="F168" s="2171" t="str">
        <f t="shared" si="25"/>
        <v>CAC - SEER 14 ER2: MF</v>
      </c>
      <c r="G168" s="2172"/>
      <c r="H168" s="2173"/>
      <c r="I168" s="709"/>
      <c r="J168" s="730">
        <v>24000</v>
      </c>
      <c r="K168" s="626">
        <f t="shared" si="24"/>
        <v>2</v>
      </c>
      <c r="L168" s="730" t="s">
        <v>1795</v>
      </c>
      <c r="M168" s="615"/>
      <c r="N168" s="615"/>
      <c r="O168" s="130"/>
      <c r="P168" s="130"/>
      <c r="Q168" s="130"/>
      <c r="R168" s="130"/>
      <c r="S168" s="130"/>
      <c r="T168" s="130"/>
      <c r="U168" s="130"/>
      <c r="V168" s="2120"/>
      <c r="W168" s="611">
        <v>36000</v>
      </c>
      <c r="X168" s="614">
        <v>24000</v>
      </c>
      <c r="Y168" s="611"/>
      <c r="Z168" s="611"/>
      <c r="AA168" s="611"/>
      <c r="AB168" s="611"/>
      <c r="AC168" s="611"/>
      <c r="AD168" s="611"/>
      <c r="AE168" s="611"/>
      <c r="AF168" s="611"/>
      <c r="AG168" s="611"/>
    </row>
    <row r="169" spans="1:33" s="56" customFormat="1" ht="14.45" hidden="1" customHeight="1" outlineLevel="1" x14ac:dyDescent="0.25">
      <c r="A169" s="597"/>
      <c r="B169" s="130"/>
      <c r="C169" s="616"/>
      <c r="D169" s="2114"/>
      <c r="E169" s="2117"/>
      <c r="F169" s="2171" t="str">
        <f t="shared" si="25"/>
        <v>CAC - SEER 14 ROF: MF</v>
      </c>
      <c r="G169" s="2172"/>
      <c r="H169" s="2173"/>
      <c r="I169" s="709"/>
      <c r="J169" s="730">
        <v>24000</v>
      </c>
      <c r="K169" s="626">
        <f t="shared" si="24"/>
        <v>2</v>
      </c>
      <c r="L169" s="730" t="s">
        <v>1795</v>
      </c>
      <c r="M169" s="615"/>
      <c r="N169" s="615"/>
      <c r="O169" s="130"/>
      <c r="P169" s="130"/>
      <c r="Q169" s="130"/>
      <c r="R169" s="130"/>
      <c r="S169" s="130"/>
      <c r="T169" s="130"/>
      <c r="U169" s="130"/>
      <c r="V169" s="2120"/>
      <c r="W169" s="611">
        <v>36000</v>
      </c>
      <c r="X169" s="614">
        <v>24000</v>
      </c>
      <c r="Y169" s="611"/>
      <c r="Z169" s="611"/>
      <c r="AA169" s="611"/>
      <c r="AB169" s="611"/>
      <c r="AC169" s="611"/>
      <c r="AD169" s="611"/>
      <c r="AE169" s="611"/>
      <c r="AF169" s="611"/>
      <c r="AG169" s="611"/>
    </row>
    <row r="170" spans="1:33" s="56" customFormat="1" ht="14.45" hidden="1" customHeight="1" outlineLevel="1" x14ac:dyDescent="0.25">
      <c r="A170" s="597"/>
      <c r="B170" s="130"/>
      <c r="C170" s="616"/>
      <c r="D170" s="2114"/>
      <c r="E170" s="2117"/>
      <c r="F170" s="2171" t="str">
        <f t="shared" si="25"/>
        <v>CAC - SEER 15 ER1: SF</v>
      </c>
      <c r="G170" s="2172"/>
      <c r="H170" s="2173"/>
      <c r="I170" s="709">
        <v>947</v>
      </c>
      <c r="J170" s="730">
        <v>36600</v>
      </c>
      <c r="K170" s="626">
        <f t="shared" si="24"/>
        <v>3.05</v>
      </c>
      <c r="L170" s="730" t="s">
        <v>1794</v>
      </c>
      <c r="M170" s="615"/>
      <c r="N170" s="615"/>
      <c r="O170" s="130"/>
      <c r="P170" s="130"/>
      <c r="Q170" s="130"/>
      <c r="R170" s="130"/>
      <c r="S170" s="130"/>
      <c r="T170" s="130"/>
      <c r="U170" s="130"/>
      <c r="V170" s="2120"/>
      <c r="W170" s="611">
        <v>39600</v>
      </c>
      <c r="X170" s="614">
        <f t="shared" si="26"/>
        <v>36600</v>
      </c>
      <c r="Y170" s="611"/>
      <c r="Z170" s="611"/>
      <c r="AA170" s="611"/>
      <c r="AB170" s="611"/>
      <c r="AC170" s="611"/>
      <c r="AD170" s="611"/>
      <c r="AE170" s="611"/>
      <c r="AF170" s="611"/>
      <c r="AG170" s="611"/>
    </row>
    <row r="171" spans="1:33" s="56" customFormat="1" ht="14.45" hidden="1" customHeight="1" outlineLevel="1" x14ac:dyDescent="0.25">
      <c r="A171" s="597"/>
      <c r="B171" s="130"/>
      <c r="C171" s="616"/>
      <c r="D171" s="2114"/>
      <c r="E171" s="2117"/>
      <c r="F171" s="2171" t="str">
        <f t="shared" si="25"/>
        <v>CAC - SEER 15 ER2: SF</v>
      </c>
      <c r="G171" s="2172"/>
      <c r="H171" s="2173"/>
      <c r="I171" s="709">
        <v>947</v>
      </c>
      <c r="J171" s="730">
        <v>36600</v>
      </c>
      <c r="K171" s="626">
        <f t="shared" si="24"/>
        <v>3.05</v>
      </c>
      <c r="L171" s="730" t="s">
        <v>1794</v>
      </c>
      <c r="M171" s="615"/>
      <c r="N171" s="615"/>
      <c r="O171" s="130"/>
      <c r="P171" s="130"/>
      <c r="Q171" s="130"/>
      <c r="R171" s="130"/>
      <c r="S171" s="130"/>
      <c r="T171" s="130"/>
      <c r="U171" s="130"/>
      <c r="V171" s="2120"/>
      <c r="W171" s="611">
        <v>39600</v>
      </c>
      <c r="X171" s="614">
        <f t="shared" si="26"/>
        <v>36600</v>
      </c>
      <c r="Y171" s="611"/>
      <c r="Z171" s="611"/>
      <c r="AA171" s="611"/>
      <c r="AB171" s="611"/>
      <c r="AC171" s="611"/>
      <c r="AD171" s="611"/>
      <c r="AE171" s="611"/>
      <c r="AF171" s="611"/>
      <c r="AG171" s="611"/>
    </row>
    <row r="172" spans="1:33" s="56" customFormat="1" ht="14.45" hidden="1" customHeight="1" outlineLevel="1" x14ac:dyDescent="0.25">
      <c r="A172" s="597"/>
      <c r="B172" s="130"/>
      <c r="C172" s="616"/>
      <c r="D172" s="2114"/>
      <c r="E172" s="2117"/>
      <c r="F172" s="2171" t="str">
        <f t="shared" si="25"/>
        <v>CAC - SEER 15 ROF: SF</v>
      </c>
      <c r="G172" s="2172"/>
      <c r="H172" s="2173"/>
      <c r="I172" s="709">
        <v>946</v>
      </c>
      <c r="J172" s="730">
        <v>36600</v>
      </c>
      <c r="K172" s="626">
        <f t="shared" si="24"/>
        <v>3.05</v>
      </c>
      <c r="L172" s="730" t="s">
        <v>1794</v>
      </c>
      <c r="M172" s="615"/>
      <c r="N172" s="615"/>
      <c r="O172" s="130"/>
      <c r="P172" s="130"/>
      <c r="Q172" s="130"/>
      <c r="R172" s="130"/>
      <c r="S172" s="130"/>
      <c r="T172" s="130"/>
      <c r="U172" s="130"/>
      <c r="V172" s="2120"/>
      <c r="W172" s="611">
        <v>36000</v>
      </c>
      <c r="X172" s="614">
        <f t="shared" si="26"/>
        <v>36600</v>
      </c>
      <c r="Y172" s="611"/>
      <c r="Z172" s="611"/>
      <c r="AA172" s="611"/>
      <c r="AB172" s="611"/>
      <c r="AC172" s="611"/>
      <c r="AD172" s="611"/>
      <c r="AE172" s="611"/>
      <c r="AF172" s="611"/>
      <c r="AG172" s="611"/>
    </row>
    <row r="173" spans="1:33" s="56" customFormat="1" ht="14.45" hidden="1" customHeight="1" outlineLevel="1" x14ac:dyDescent="0.25">
      <c r="A173" s="597"/>
      <c r="B173" s="130"/>
      <c r="C173" s="616"/>
      <c r="D173" s="2114"/>
      <c r="E173" s="2117"/>
      <c r="F173" s="2171" t="str">
        <f t="shared" si="25"/>
        <v>CAC - SEER 15 ER1: MF</v>
      </c>
      <c r="G173" s="2172"/>
      <c r="H173" s="2173"/>
      <c r="I173" s="709"/>
      <c r="J173" s="730">
        <v>24230.5</v>
      </c>
      <c r="K173" s="626">
        <f t="shared" si="24"/>
        <v>2.0192083333333333</v>
      </c>
      <c r="L173" s="730" t="s">
        <v>1795</v>
      </c>
      <c r="M173" s="615"/>
      <c r="N173" s="615"/>
      <c r="O173" s="130"/>
      <c r="P173" s="130"/>
      <c r="Q173" s="130"/>
      <c r="R173" s="130"/>
      <c r="S173" s="130"/>
      <c r="T173" s="130"/>
      <c r="U173" s="130"/>
      <c r="V173" s="2120"/>
      <c r="W173" s="611">
        <v>39600</v>
      </c>
      <c r="X173" s="614">
        <f>AVERAGE($X$167,$X$179)</f>
        <v>24230.5</v>
      </c>
      <c r="Y173" s="611"/>
      <c r="Z173" s="611"/>
      <c r="AA173" s="611"/>
      <c r="AB173" s="611"/>
      <c r="AC173" s="611"/>
      <c r="AD173" s="611"/>
      <c r="AE173" s="611"/>
      <c r="AF173" s="611"/>
      <c r="AG173" s="611"/>
    </row>
    <row r="174" spans="1:33" s="56" customFormat="1" ht="14.45" hidden="1" customHeight="1" outlineLevel="1" x14ac:dyDescent="0.25">
      <c r="A174" s="597"/>
      <c r="B174" s="130"/>
      <c r="C174" s="616"/>
      <c r="D174" s="2114"/>
      <c r="E174" s="2117"/>
      <c r="F174" s="2171" t="str">
        <f t="shared" si="25"/>
        <v>CAC - SEER 15 ER2: MF</v>
      </c>
      <c r="G174" s="2172"/>
      <c r="H174" s="2173"/>
      <c r="I174" s="709"/>
      <c r="J174" s="730">
        <v>24230.5</v>
      </c>
      <c r="K174" s="626">
        <f t="shared" si="24"/>
        <v>2.0192083333333333</v>
      </c>
      <c r="L174" s="730" t="s">
        <v>1795</v>
      </c>
      <c r="M174" s="615"/>
      <c r="N174" s="615"/>
      <c r="O174" s="130"/>
      <c r="P174" s="130"/>
      <c r="Q174" s="130"/>
      <c r="R174" s="130"/>
      <c r="S174" s="130"/>
      <c r="T174" s="130"/>
      <c r="U174" s="130"/>
      <c r="V174" s="2120"/>
      <c r="W174" s="611">
        <v>39600</v>
      </c>
      <c r="X174" s="614">
        <f>AVERAGE($X$167,$X$179)</f>
        <v>24230.5</v>
      </c>
      <c r="Y174" s="611"/>
      <c r="Z174" s="611"/>
      <c r="AA174" s="611"/>
      <c r="AB174" s="611"/>
      <c r="AC174" s="611"/>
      <c r="AD174" s="611"/>
      <c r="AE174" s="611"/>
      <c r="AF174" s="611"/>
      <c r="AG174" s="611"/>
    </row>
    <row r="175" spans="1:33" s="56" customFormat="1" ht="14.45" hidden="1" customHeight="1" outlineLevel="1" x14ac:dyDescent="0.25">
      <c r="A175" s="597"/>
      <c r="B175" s="130"/>
      <c r="C175" s="616"/>
      <c r="D175" s="2114"/>
      <c r="E175" s="2117"/>
      <c r="F175" s="2171" t="str">
        <f t="shared" si="25"/>
        <v>CAC - SEER 15 ROF: MF</v>
      </c>
      <c r="G175" s="2172"/>
      <c r="H175" s="2173"/>
      <c r="I175" s="709"/>
      <c r="J175" s="730">
        <v>24230.5</v>
      </c>
      <c r="K175" s="626">
        <f t="shared" si="24"/>
        <v>2.0192083333333333</v>
      </c>
      <c r="L175" s="730" t="s">
        <v>1795</v>
      </c>
      <c r="M175" s="615"/>
      <c r="N175" s="615"/>
      <c r="O175" s="130"/>
      <c r="P175" s="130"/>
      <c r="Q175" s="130"/>
      <c r="R175" s="130"/>
      <c r="S175" s="130"/>
      <c r="T175" s="130"/>
      <c r="U175" s="130"/>
      <c r="V175" s="2120"/>
      <c r="W175" s="611">
        <v>36000</v>
      </c>
      <c r="X175" s="614">
        <f>AVERAGE($X$167,$X$179)</f>
        <v>24230.5</v>
      </c>
      <c r="Y175" s="611"/>
      <c r="Z175" s="611"/>
      <c r="AA175" s="611"/>
      <c r="AB175" s="611"/>
      <c r="AC175" s="611"/>
      <c r="AD175" s="611"/>
      <c r="AE175" s="611"/>
      <c r="AF175" s="611"/>
      <c r="AG175" s="611"/>
    </row>
    <row r="176" spans="1:33" s="56" customFormat="1" ht="14.45" hidden="1" customHeight="1" outlineLevel="1" x14ac:dyDescent="0.25">
      <c r="A176" s="597"/>
      <c r="B176" s="130"/>
      <c r="C176" s="616"/>
      <c r="D176" s="2114"/>
      <c r="E176" s="2117"/>
      <c r="F176" s="2171" t="str">
        <f t="shared" si="25"/>
        <v>CAC - SEER 16 ER1: SF</v>
      </c>
      <c r="G176" s="2172"/>
      <c r="H176" s="2173"/>
      <c r="I176" s="709">
        <v>949</v>
      </c>
      <c r="J176" s="730">
        <v>36600</v>
      </c>
      <c r="K176" s="626">
        <f t="shared" si="24"/>
        <v>3.05</v>
      </c>
      <c r="L176" s="730" t="s">
        <v>1794</v>
      </c>
      <c r="M176" s="615"/>
      <c r="N176" s="615"/>
      <c r="O176" s="130"/>
      <c r="P176" s="130"/>
      <c r="Q176" s="130"/>
      <c r="R176" s="130"/>
      <c r="S176" s="130"/>
      <c r="T176" s="130"/>
      <c r="U176" s="130"/>
      <c r="V176" s="2120"/>
      <c r="W176" s="611">
        <v>37200</v>
      </c>
      <c r="X176" s="614">
        <f t="shared" si="26"/>
        <v>36600</v>
      </c>
      <c r="Y176" s="611"/>
      <c r="Z176" s="611"/>
      <c r="AA176" s="611"/>
      <c r="AB176" s="611"/>
      <c r="AC176" s="611"/>
      <c r="AD176" s="611"/>
      <c r="AE176" s="611"/>
      <c r="AF176" s="611"/>
      <c r="AG176" s="611"/>
    </row>
    <row r="177" spans="1:33" s="56" customFormat="1" ht="14.45" hidden="1" customHeight="1" outlineLevel="1" x14ac:dyDescent="0.25">
      <c r="A177" s="597"/>
      <c r="B177" s="130"/>
      <c r="C177" s="616"/>
      <c r="D177" s="2114"/>
      <c r="E177" s="2117"/>
      <c r="F177" s="2171" t="str">
        <f t="shared" si="25"/>
        <v>CAC - SEER 16 ER2: SF</v>
      </c>
      <c r="G177" s="2172"/>
      <c r="H177" s="2173"/>
      <c r="I177" s="709">
        <v>949</v>
      </c>
      <c r="J177" s="730">
        <v>36600</v>
      </c>
      <c r="K177" s="626">
        <f t="shared" si="24"/>
        <v>3.05</v>
      </c>
      <c r="L177" s="730" t="s">
        <v>1794</v>
      </c>
      <c r="M177" s="615"/>
      <c r="N177" s="615"/>
      <c r="O177" s="130"/>
      <c r="P177" s="130"/>
      <c r="Q177" s="130"/>
      <c r="R177" s="130"/>
      <c r="S177" s="130"/>
      <c r="T177" s="130"/>
      <c r="U177" s="130"/>
      <c r="V177" s="2120"/>
      <c r="W177" s="611">
        <v>37200</v>
      </c>
      <c r="X177" s="614">
        <f t="shared" si="26"/>
        <v>36600</v>
      </c>
      <c r="Y177" s="611"/>
      <c r="Z177" s="611"/>
      <c r="AA177" s="611"/>
      <c r="AB177" s="611"/>
      <c r="AC177" s="611"/>
      <c r="AD177" s="611"/>
      <c r="AE177" s="611"/>
      <c r="AF177" s="611"/>
      <c r="AG177" s="611"/>
    </row>
    <row r="178" spans="1:33" s="56" customFormat="1" ht="14.45" hidden="1" customHeight="1" outlineLevel="1" x14ac:dyDescent="0.25">
      <c r="A178" s="597"/>
      <c r="B178" s="130"/>
      <c r="C178" s="616"/>
      <c r="D178" s="2114"/>
      <c r="E178" s="2117"/>
      <c r="F178" s="2171" t="str">
        <f t="shared" si="25"/>
        <v>CAC - SEER 16 ROF: SF</v>
      </c>
      <c r="G178" s="2172"/>
      <c r="H178" s="2173"/>
      <c r="I178" s="709">
        <v>948</v>
      </c>
      <c r="J178" s="730">
        <v>36600</v>
      </c>
      <c r="K178" s="626">
        <f t="shared" si="24"/>
        <v>3.05</v>
      </c>
      <c r="L178" s="730" t="s">
        <v>1794</v>
      </c>
      <c r="M178" s="615"/>
      <c r="N178" s="615"/>
      <c r="O178" s="130"/>
      <c r="P178" s="130"/>
      <c r="Q178" s="130"/>
      <c r="R178" s="130"/>
      <c r="S178" s="130"/>
      <c r="T178" s="130"/>
      <c r="U178" s="130"/>
      <c r="V178" s="2120"/>
      <c r="W178" s="611">
        <v>34800</v>
      </c>
      <c r="X178" s="614">
        <f t="shared" si="26"/>
        <v>36600</v>
      </c>
      <c r="Y178" s="611"/>
      <c r="Z178" s="611"/>
      <c r="AA178" s="611"/>
      <c r="AB178" s="611"/>
      <c r="AC178" s="611"/>
      <c r="AD178" s="611"/>
      <c r="AE178" s="611"/>
      <c r="AF178" s="611"/>
      <c r="AG178" s="611"/>
    </row>
    <row r="179" spans="1:33" s="56" customFormat="1" ht="14.45" hidden="1" customHeight="1" outlineLevel="1" x14ac:dyDescent="0.25">
      <c r="A179" s="597"/>
      <c r="B179" s="130"/>
      <c r="C179" s="616"/>
      <c r="D179" s="2114"/>
      <c r="E179" s="2117"/>
      <c r="F179" s="2171" t="str">
        <f t="shared" si="25"/>
        <v>CAC - SEER 16 ER1: MF</v>
      </c>
      <c r="G179" s="2172"/>
      <c r="H179" s="2173"/>
      <c r="I179" s="709"/>
      <c r="J179" s="730">
        <v>24461</v>
      </c>
      <c r="K179" s="626">
        <f t="shared" si="24"/>
        <v>2.0384166666666665</v>
      </c>
      <c r="L179" s="730" t="s">
        <v>1795</v>
      </c>
      <c r="M179" s="615"/>
      <c r="N179" s="615"/>
      <c r="O179" s="130"/>
      <c r="P179" s="130"/>
      <c r="Q179" s="130"/>
      <c r="R179" s="130"/>
      <c r="S179" s="130"/>
      <c r="T179" s="130"/>
      <c r="U179" s="130"/>
      <c r="V179" s="2120"/>
      <c r="W179" s="611">
        <v>37200</v>
      </c>
      <c r="X179" s="614">
        <v>24461</v>
      </c>
      <c r="Y179" s="611"/>
      <c r="Z179" s="611"/>
      <c r="AA179" s="611"/>
      <c r="AB179" s="611"/>
      <c r="AC179" s="611"/>
      <c r="AD179" s="611"/>
      <c r="AE179" s="611"/>
      <c r="AF179" s="611"/>
      <c r="AG179" s="611"/>
    </row>
    <row r="180" spans="1:33" s="56" customFormat="1" ht="14.45" hidden="1" customHeight="1" outlineLevel="1" x14ac:dyDescent="0.25">
      <c r="A180" s="597"/>
      <c r="B180" s="130"/>
      <c r="C180" s="616"/>
      <c r="D180" s="2114"/>
      <c r="E180" s="2117"/>
      <c r="F180" s="2171" t="str">
        <f t="shared" si="25"/>
        <v>CAC - SEER 16 ER2: MF</v>
      </c>
      <c r="G180" s="2172"/>
      <c r="H180" s="2173"/>
      <c r="I180" s="709"/>
      <c r="J180" s="730">
        <v>24461</v>
      </c>
      <c r="K180" s="626">
        <f t="shared" si="24"/>
        <v>2.0384166666666665</v>
      </c>
      <c r="L180" s="730" t="s">
        <v>1795</v>
      </c>
      <c r="M180" s="615"/>
      <c r="N180" s="615"/>
      <c r="O180" s="130"/>
      <c r="P180" s="130"/>
      <c r="Q180" s="130"/>
      <c r="R180" s="130"/>
      <c r="S180" s="130"/>
      <c r="T180" s="130"/>
      <c r="U180" s="130"/>
      <c r="V180" s="2120"/>
      <c r="W180" s="611">
        <v>37200</v>
      </c>
      <c r="X180" s="614">
        <v>24461</v>
      </c>
      <c r="Y180" s="611"/>
      <c r="Z180" s="611"/>
      <c r="AA180" s="611"/>
      <c r="AB180" s="611"/>
      <c r="AC180" s="611"/>
      <c r="AD180" s="611"/>
      <c r="AE180" s="611"/>
      <c r="AF180" s="611"/>
      <c r="AG180" s="611"/>
    </row>
    <row r="181" spans="1:33" s="56" customFormat="1" ht="14.45" hidden="1" customHeight="1" outlineLevel="1" x14ac:dyDescent="0.25">
      <c r="A181" s="597"/>
      <c r="B181" s="130"/>
      <c r="C181" s="616"/>
      <c r="D181" s="2114"/>
      <c r="E181" s="2117"/>
      <c r="F181" s="2171" t="str">
        <f t="shared" si="25"/>
        <v>CAC - SEER 16 ROF: MF</v>
      </c>
      <c r="G181" s="2172"/>
      <c r="H181" s="2173"/>
      <c r="I181" s="709"/>
      <c r="J181" s="730">
        <v>24461</v>
      </c>
      <c r="K181" s="626">
        <f t="shared" si="24"/>
        <v>2.0384166666666665</v>
      </c>
      <c r="L181" s="730" t="s">
        <v>1795</v>
      </c>
      <c r="M181" s="615"/>
      <c r="N181" s="615"/>
      <c r="O181" s="130"/>
      <c r="P181" s="130"/>
      <c r="Q181" s="130"/>
      <c r="R181" s="130"/>
      <c r="S181" s="130"/>
      <c r="T181" s="130"/>
      <c r="U181" s="130"/>
      <c r="V181" s="2120"/>
      <c r="W181" s="611">
        <v>34800</v>
      </c>
      <c r="X181" s="614">
        <v>24461</v>
      </c>
      <c r="Y181" s="611"/>
      <c r="Z181" s="611"/>
      <c r="AA181" s="611"/>
      <c r="AB181" s="611"/>
      <c r="AC181" s="611"/>
      <c r="AD181" s="611"/>
      <c r="AE181" s="611"/>
      <c r="AF181" s="611"/>
      <c r="AG181" s="611"/>
    </row>
    <row r="182" spans="1:33" s="56" customFormat="1" ht="14.45" hidden="1" customHeight="1" outlineLevel="1" x14ac:dyDescent="0.25">
      <c r="A182" s="597"/>
      <c r="B182" s="130"/>
      <c r="C182" s="616"/>
      <c r="D182" s="2114"/>
      <c r="E182" s="2117"/>
      <c r="F182" s="2171" t="str">
        <f t="shared" si="25"/>
        <v>CAC - SEER 17+ ER1: SF</v>
      </c>
      <c r="G182" s="2172"/>
      <c r="H182" s="2173"/>
      <c r="I182" s="709"/>
      <c r="J182" s="730">
        <v>37200</v>
      </c>
      <c r="K182" s="626">
        <f t="shared" si="24"/>
        <v>3.1</v>
      </c>
      <c r="L182" s="613" t="s">
        <v>969</v>
      </c>
      <c r="M182" s="615"/>
      <c r="N182" s="615"/>
      <c r="O182" s="130"/>
      <c r="P182" s="130"/>
      <c r="Q182" s="130"/>
      <c r="R182" s="130"/>
      <c r="S182" s="130"/>
      <c r="T182" s="130"/>
      <c r="U182" s="130"/>
      <c r="V182" s="2120"/>
      <c r="W182" s="611">
        <v>37200</v>
      </c>
      <c r="X182" s="627">
        <f>W182</f>
        <v>37200</v>
      </c>
      <c r="Y182" s="611"/>
      <c r="Z182" s="611"/>
      <c r="AA182" s="611"/>
      <c r="AB182" s="611"/>
      <c r="AC182" s="611"/>
      <c r="AD182" s="611"/>
      <c r="AE182" s="611"/>
      <c r="AF182" s="611"/>
      <c r="AG182" s="611"/>
    </row>
    <row r="183" spans="1:33" s="56" customFormat="1" ht="14.45" hidden="1" customHeight="1" outlineLevel="1" x14ac:dyDescent="0.25">
      <c r="A183" s="597"/>
      <c r="B183" s="130"/>
      <c r="C183" s="616"/>
      <c r="D183" s="2114"/>
      <c r="E183" s="2117"/>
      <c r="F183" s="2171" t="str">
        <f t="shared" si="25"/>
        <v>CAC - SEER 17+ ER2: SF</v>
      </c>
      <c r="G183" s="2172"/>
      <c r="H183" s="2173"/>
      <c r="I183" s="709"/>
      <c r="J183" s="730">
        <v>37200</v>
      </c>
      <c r="K183" s="626">
        <f t="shared" si="24"/>
        <v>3.1</v>
      </c>
      <c r="L183" s="613" t="s">
        <v>969</v>
      </c>
      <c r="M183" s="615"/>
      <c r="N183" s="615"/>
      <c r="O183" s="130"/>
      <c r="P183" s="130"/>
      <c r="Q183" s="130"/>
      <c r="R183" s="130"/>
      <c r="S183" s="130"/>
      <c r="T183" s="130"/>
      <c r="U183" s="130"/>
      <c r="V183" s="2120"/>
      <c r="W183" s="611">
        <v>37200</v>
      </c>
      <c r="X183" s="627">
        <f t="shared" ref="X183:X187" si="27">W183</f>
        <v>37200</v>
      </c>
      <c r="Y183" s="611"/>
      <c r="Z183" s="611"/>
      <c r="AA183" s="611"/>
      <c r="AB183" s="611"/>
      <c r="AC183" s="611"/>
      <c r="AD183" s="611"/>
      <c r="AE183" s="611"/>
      <c r="AF183" s="611"/>
      <c r="AG183" s="611"/>
    </row>
    <row r="184" spans="1:33" s="56" customFormat="1" ht="14.45" hidden="1" customHeight="1" outlineLevel="1" x14ac:dyDescent="0.25">
      <c r="A184" s="597"/>
      <c r="B184" s="130"/>
      <c r="C184" s="616"/>
      <c r="D184" s="2114"/>
      <c r="E184" s="2117"/>
      <c r="F184" s="2171" t="str">
        <f t="shared" si="25"/>
        <v>CAC - SEER 17+ ROF: SF</v>
      </c>
      <c r="G184" s="2172"/>
      <c r="H184" s="2173"/>
      <c r="I184" s="709"/>
      <c r="J184" s="730">
        <v>34800</v>
      </c>
      <c r="K184" s="626">
        <f t="shared" si="24"/>
        <v>2.9</v>
      </c>
      <c r="L184" s="613" t="s">
        <v>969</v>
      </c>
      <c r="M184" s="615"/>
      <c r="N184" s="615"/>
      <c r="O184" s="130"/>
      <c r="P184" s="130"/>
      <c r="Q184" s="130"/>
      <c r="R184" s="130"/>
      <c r="S184" s="130"/>
      <c r="T184" s="130"/>
      <c r="U184" s="130"/>
      <c r="V184" s="2120"/>
      <c r="W184" s="611">
        <v>34800</v>
      </c>
      <c r="X184" s="627">
        <f t="shared" si="27"/>
        <v>34800</v>
      </c>
      <c r="Y184" s="611"/>
      <c r="Z184" s="611"/>
      <c r="AA184" s="611"/>
      <c r="AB184" s="611"/>
      <c r="AC184" s="611"/>
      <c r="AD184" s="611"/>
      <c r="AE184" s="611"/>
      <c r="AF184" s="611"/>
      <c r="AG184" s="611"/>
    </row>
    <row r="185" spans="1:33" s="56" customFormat="1" ht="14.45" hidden="1" customHeight="1" outlineLevel="1" x14ac:dyDescent="0.25">
      <c r="A185" s="597"/>
      <c r="B185" s="130"/>
      <c r="C185" s="616"/>
      <c r="D185" s="2114"/>
      <c r="E185" s="2117"/>
      <c r="F185" s="2171" t="str">
        <f t="shared" si="25"/>
        <v>CAC - SEER 17+ ER1: MF</v>
      </c>
      <c r="G185" s="2172"/>
      <c r="H185" s="2173"/>
      <c r="I185" s="709"/>
      <c r="J185" s="730">
        <v>37200</v>
      </c>
      <c r="K185" s="626">
        <f t="shared" si="24"/>
        <v>3.1</v>
      </c>
      <c r="L185" s="613" t="s">
        <v>969</v>
      </c>
      <c r="M185" s="615"/>
      <c r="N185" s="615"/>
      <c r="O185" s="130"/>
      <c r="P185" s="130"/>
      <c r="Q185" s="130"/>
      <c r="R185" s="130"/>
      <c r="S185" s="130"/>
      <c r="T185" s="130"/>
      <c r="U185" s="130"/>
      <c r="V185" s="2120"/>
      <c r="W185" s="611">
        <v>37200</v>
      </c>
      <c r="X185" s="627">
        <f t="shared" si="27"/>
        <v>37200</v>
      </c>
      <c r="Y185" s="611"/>
      <c r="Z185" s="611"/>
      <c r="AA185" s="611"/>
      <c r="AB185" s="611"/>
      <c r="AC185" s="611"/>
      <c r="AD185" s="611"/>
      <c r="AE185" s="611"/>
      <c r="AF185" s="611"/>
      <c r="AG185" s="611"/>
    </row>
    <row r="186" spans="1:33" s="56" customFormat="1" ht="14.45" hidden="1" customHeight="1" outlineLevel="1" x14ac:dyDescent="0.25">
      <c r="A186" s="597"/>
      <c r="B186" s="130"/>
      <c r="C186" s="616"/>
      <c r="D186" s="2114"/>
      <c r="E186" s="2117"/>
      <c r="F186" s="2171" t="str">
        <f t="shared" si="25"/>
        <v>CAC - SEER 17+ ER2: MF</v>
      </c>
      <c r="G186" s="2172"/>
      <c r="H186" s="2173"/>
      <c r="I186" s="709"/>
      <c r="J186" s="730">
        <v>37200</v>
      </c>
      <c r="K186" s="626">
        <f t="shared" si="24"/>
        <v>3.1</v>
      </c>
      <c r="L186" s="613" t="s">
        <v>969</v>
      </c>
      <c r="M186" s="615"/>
      <c r="N186" s="615"/>
      <c r="O186" s="130"/>
      <c r="P186" s="130"/>
      <c r="Q186" s="130"/>
      <c r="R186" s="130"/>
      <c r="S186" s="130"/>
      <c r="T186" s="130"/>
      <c r="U186" s="130"/>
      <c r="V186" s="2120"/>
      <c r="W186" s="611">
        <v>37200</v>
      </c>
      <c r="X186" s="627">
        <f t="shared" si="27"/>
        <v>37200</v>
      </c>
      <c r="Y186" s="611"/>
      <c r="Z186" s="611"/>
      <c r="AA186" s="611"/>
      <c r="AB186" s="611"/>
      <c r="AC186" s="611"/>
      <c r="AD186" s="611"/>
      <c r="AE186" s="611"/>
      <c r="AF186" s="611"/>
      <c r="AG186" s="611"/>
    </row>
    <row r="187" spans="1:33" s="56" customFormat="1" ht="14.45" hidden="1" customHeight="1" outlineLevel="1" thickBot="1" x14ac:dyDescent="0.3">
      <c r="A187" s="597"/>
      <c r="B187" s="130"/>
      <c r="C187" s="616"/>
      <c r="D187" s="2115"/>
      <c r="E187" s="2118"/>
      <c r="F187" s="2174" t="str">
        <f t="shared" si="25"/>
        <v>CAC - SEER 17+ ROF: MF</v>
      </c>
      <c r="G187" s="2175"/>
      <c r="H187" s="2176"/>
      <c r="I187" s="712"/>
      <c r="J187" s="730">
        <v>34800</v>
      </c>
      <c r="K187" s="626">
        <f t="shared" si="24"/>
        <v>2.9</v>
      </c>
      <c r="L187" s="623" t="s">
        <v>969</v>
      </c>
      <c r="M187" s="1655"/>
      <c r="N187" s="1655"/>
      <c r="O187" s="130"/>
      <c r="P187" s="130"/>
      <c r="Q187" s="130"/>
      <c r="R187" s="130"/>
      <c r="S187" s="130"/>
      <c r="T187" s="130"/>
      <c r="U187" s="130"/>
      <c r="V187" s="2121"/>
      <c r="W187" s="611">
        <v>34800</v>
      </c>
      <c r="X187" s="627">
        <f t="shared" si="27"/>
        <v>34800</v>
      </c>
      <c r="Y187" s="611"/>
      <c r="Z187" s="611"/>
      <c r="AA187" s="611"/>
      <c r="AB187" s="611"/>
      <c r="AC187" s="611"/>
      <c r="AD187" s="611"/>
      <c r="AE187" s="611"/>
      <c r="AF187" s="611"/>
      <c r="AG187" s="611"/>
    </row>
    <row r="188" spans="1:33" s="56" customFormat="1" ht="14.45" hidden="1" customHeight="1" outlineLevel="1" x14ac:dyDescent="0.25">
      <c r="A188" s="597"/>
      <c r="B188" s="130"/>
      <c r="C188" s="616"/>
      <c r="D188" s="2113" t="s">
        <v>970</v>
      </c>
      <c r="E188" s="2116" t="s">
        <v>971</v>
      </c>
      <c r="F188" s="2183" t="str">
        <f t="shared" si="25"/>
        <v>CAC - SEER 14 ER1: SF</v>
      </c>
      <c r="G188" s="2184"/>
      <c r="H188" s="2185"/>
      <c r="I188" s="707">
        <v>945</v>
      </c>
      <c r="J188" s="727"/>
      <c r="K188" s="606"/>
      <c r="L188" s="628" t="s">
        <v>972</v>
      </c>
      <c r="M188" s="1655"/>
      <c r="N188" s="1655"/>
      <c r="O188" s="130"/>
      <c r="P188" s="130"/>
      <c r="Q188" s="130"/>
      <c r="R188" s="130"/>
      <c r="S188" s="130"/>
      <c r="T188" s="130"/>
      <c r="U188" s="130"/>
      <c r="V188" s="2119" t="str">
        <f>D188</f>
        <v>SEERbase</v>
      </c>
      <c r="W188" s="605">
        <v>10</v>
      </c>
      <c r="X188" s="624"/>
      <c r="Y188" s="605"/>
      <c r="Z188" s="605"/>
      <c r="AA188" s="605"/>
      <c r="AB188" s="605"/>
      <c r="AC188" s="605"/>
      <c r="AD188" s="605"/>
      <c r="AE188" s="605"/>
      <c r="AF188" s="605"/>
      <c r="AG188" s="605"/>
    </row>
    <row r="189" spans="1:33" s="56" customFormat="1" ht="14.45" hidden="1" customHeight="1" outlineLevel="1" x14ac:dyDescent="0.25">
      <c r="A189" s="597"/>
      <c r="B189" s="130"/>
      <c r="C189" s="616"/>
      <c r="D189" s="2114"/>
      <c r="E189" s="2117"/>
      <c r="F189" s="2171" t="str">
        <f t="shared" si="25"/>
        <v>CAC - SEER 14 ER2: SF</v>
      </c>
      <c r="G189" s="2172"/>
      <c r="H189" s="2173"/>
      <c r="I189" s="709">
        <v>945</v>
      </c>
      <c r="J189" s="730">
        <v>13</v>
      </c>
      <c r="K189" s="612"/>
      <c r="L189" s="629" t="str">
        <f>L188</f>
        <v>MO TRM</v>
      </c>
      <c r="M189" s="1655"/>
      <c r="N189" s="1655"/>
      <c r="O189" s="130"/>
      <c r="P189" s="130"/>
      <c r="Q189" s="130"/>
      <c r="R189" s="130"/>
      <c r="S189" s="130"/>
      <c r="T189" s="130"/>
      <c r="U189" s="130"/>
      <c r="V189" s="2120"/>
      <c r="W189" s="611">
        <v>13</v>
      </c>
      <c r="X189" s="611">
        <v>13</v>
      </c>
      <c r="Y189" s="611"/>
      <c r="Z189" s="611"/>
      <c r="AA189" s="611"/>
      <c r="AB189" s="611"/>
      <c r="AC189" s="611"/>
      <c r="AD189" s="611"/>
      <c r="AE189" s="611"/>
      <c r="AF189" s="611"/>
      <c r="AG189" s="611"/>
    </row>
    <row r="190" spans="1:33" s="56" customFormat="1" ht="14.45" hidden="1" customHeight="1" outlineLevel="1" x14ac:dyDescent="0.25">
      <c r="A190" s="597"/>
      <c r="B190" s="130"/>
      <c r="C190" s="616"/>
      <c r="D190" s="2114"/>
      <c r="E190" s="2117"/>
      <c r="F190" s="2171" t="str">
        <f t="shared" si="25"/>
        <v>CAC - SEER 14 ROF: SF</v>
      </c>
      <c r="G190" s="2172"/>
      <c r="H190" s="2173"/>
      <c r="I190" s="709">
        <v>944</v>
      </c>
      <c r="J190" s="730">
        <v>13</v>
      </c>
      <c r="K190" s="612"/>
      <c r="L190" s="629" t="str">
        <f t="shared" ref="L190:L211" si="28">L189</f>
        <v>MO TRM</v>
      </c>
      <c r="M190" s="616"/>
      <c r="N190" s="616"/>
      <c r="O190" s="616"/>
      <c r="P190" s="130"/>
      <c r="Q190" s="130"/>
      <c r="R190" s="130"/>
      <c r="S190" s="130"/>
      <c r="T190" s="130"/>
      <c r="U190" s="130"/>
      <c r="V190" s="2120"/>
      <c r="W190" s="611">
        <v>13</v>
      </c>
      <c r="X190" s="611">
        <v>13</v>
      </c>
      <c r="Y190" s="611"/>
      <c r="Z190" s="611"/>
      <c r="AA190" s="611"/>
      <c r="AB190" s="611"/>
      <c r="AC190" s="611"/>
      <c r="AD190" s="611"/>
      <c r="AE190" s="611"/>
      <c r="AF190" s="611"/>
      <c r="AG190" s="611"/>
    </row>
    <row r="191" spans="1:33" s="56" customFormat="1" hidden="1" outlineLevel="1" x14ac:dyDescent="0.25">
      <c r="A191" s="597"/>
      <c r="B191" s="130"/>
      <c r="C191" s="616"/>
      <c r="D191" s="2114"/>
      <c r="E191" s="2117"/>
      <c r="F191" s="2171" t="str">
        <f t="shared" si="25"/>
        <v>CAC - SEER 14 ER1: MF</v>
      </c>
      <c r="G191" s="2172"/>
      <c r="H191" s="2173"/>
      <c r="I191" s="709"/>
      <c r="J191" s="730"/>
      <c r="K191" s="612"/>
      <c r="L191" s="629" t="str">
        <f t="shared" si="28"/>
        <v>MO TRM</v>
      </c>
      <c r="M191" s="616"/>
      <c r="N191" s="1656"/>
      <c r="O191" s="616"/>
      <c r="P191" s="130"/>
      <c r="Q191" s="130"/>
      <c r="R191" s="130"/>
      <c r="S191" s="130"/>
      <c r="T191" s="130"/>
      <c r="U191" s="130"/>
      <c r="V191" s="2120"/>
      <c r="W191" s="611">
        <v>10</v>
      </c>
      <c r="X191" s="614"/>
      <c r="Y191" s="611"/>
      <c r="Z191" s="611"/>
      <c r="AA191" s="611"/>
      <c r="AB191" s="611"/>
      <c r="AC191" s="611"/>
      <c r="AD191" s="611"/>
      <c r="AE191" s="611"/>
      <c r="AF191" s="611"/>
      <c r="AG191" s="611"/>
    </row>
    <row r="192" spans="1:33" s="56" customFormat="1" hidden="1" outlineLevel="1" x14ac:dyDescent="0.25">
      <c r="A192" s="597"/>
      <c r="B192" s="130"/>
      <c r="C192" s="616"/>
      <c r="D192" s="2114"/>
      <c r="E192" s="2117"/>
      <c r="F192" s="2171" t="str">
        <f t="shared" si="25"/>
        <v>CAC - SEER 14 ER2: MF</v>
      </c>
      <c r="G192" s="2172"/>
      <c r="H192" s="2173"/>
      <c r="I192" s="709"/>
      <c r="J192" s="730">
        <v>13</v>
      </c>
      <c r="K192" s="612"/>
      <c r="L192" s="629" t="str">
        <f t="shared" si="28"/>
        <v>MO TRM</v>
      </c>
      <c r="M192" s="616"/>
      <c r="N192" s="616"/>
      <c r="O192" s="616"/>
      <c r="P192" s="130"/>
      <c r="Q192" s="130"/>
      <c r="R192" s="130"/>
      <c r="S192" s="130"/>
      <c r="T192" s="130"/>
      <c r="U192" s="130"/>
      <c r="V192" s="2120"/>
      <c r="W192" s="611">
        <v>13</v>
      </c>
      <c r="X192" s="611">
        <v>13</v>
      </c>
      <c r="Y192" s="611"/>
      <c r="Z192" s="611"/>
      <c r="AA192" s="611"/>
      <c r="AB192" s="611"/>
      <c r="AC192" s="611"/>
      <c r="AD192" s="611"/>
      <c r="AE192" s="611"/>
      <c r="AF192" s="611"/>
      <c r="AG192" s="611"/>
    </row>
    <row r="193" spans="1:33" s="56" customFormat="1" hidden="1" outlineLevel="1" x14ac:dyDescent="0.25">
      <c r="A193" s="597"/>
      <c r="B193" s="130"/>
      <c r="C193" s="616"/>
      <c r="D193" s="2114"/>
      <c r="E193" s="2117"/>
      <c r="F193" s="2171" t="str">
        <f t="shared" si="25"/>
        <v>CAC - SEER 14 ROF: MF</v>
      </c>
      <c r="G193" s="2172"/>
      <c r="H193" s="2173"/>
      <c r="I193" s="709"/>
      <c r="J193" s="730">
        <v>13</v>
      </c>
      <c r="K193" s="612"/>
      <c r="L193" s="629" t="str">
        <f t="shared" si="28"/>
        <v>MO TRM</v>
      </c>
      <c r="M193" s="616"/>
      <c r="N193" s="616"/>
      <c r="O193" s="616"/>
      <c r="P193" s="130"/>
      <c r="Q193" s="130"/>
      <c r="R193" s="130"/>
      <c r="S193" s="130"/>
      <c r="T193" s="130"/>
      <c r="U193" s="130"/>
      <c r="V193" s="2120"/>
      <c r="W193" s="611">
        <v>13</v>
      </c>
      <c r="X193" s="611">
        <v>13</v>
      </c>
      <c r="Y193" s="611"/>
      <c r="Z193" s="611"/>
      <c r="AA193" s="611"/>
      <c r="AB193" s="611"/>
      <c r="AC193" s="611"/>
      <c r="AD193" s="611"/>
      <c r="AE193" s="611"/>
      <c r="AF193" s="611"/>
      <c r="AG193" s="611"/>
    </row>
    <row r="194" spans="1:33" s="56" customFormat="1" hidden="1" outlineLevel="1" x14ac:dyDescent="0.25">
      <c r="A194" s="597"/>
      <c r="B194" s="130"/>
      <c r="C194" s="616"/>
      <c r="D194" s="2114"/>
      <c r="E194" s="2117"/>
      <c r="F194" s="2171" t="str">
        <f t="shared" si="25"/>
        <v>CAC - SEER 15 ER1: SF</v>
      </c>
      <c r="G194" s="2172"/>
      <c r="H194" s="2173"/>
      <c r="I194" s="709">
        <v>947</v>
      </c>
      <c r="J194" s="730"/>
      <c r="K194" s="612"/>
      <c r="L194" s="629" t="str">
        <f t="shared" si="28"/>
        <v>MO TRM</v>
      </c>
      <c r="M194" s="616"/>
      <c r="N194" s="616"/>
      <c r="O194" s="616"/>
      <c r="P194" s="130"/>
      <c r="Q194" s="130"/>
      <c r="R194" s="130"/>
      <c r="S194" s="130"/>
      <c r="T194" s="130"/>
      <c r="U194" s="130"/>
      <c r="V194" s="2120"/>
      <c r="W194" s="611">
        <v>10</v>
      </c>
      <c r="X194" s="614"/>
      <c r="Y194" s="611"/>
      <c r="Z194" s="611"/>
      <c r="AA194" s="611"/>
      <c r="AB194" s="611"/>
      <c r="AC194" s="611"/>
      <c r="AD194" s="611"/>
      <c r="AE194" s="611"/>
      <c r="AF194" s="611"/>
      <c r="AG194" s="611"/>
    </row>
    <row r="195" spans="1:33" s="56" customFormat="1" hidden="1" outlineLevel="1" x14ac:dyDescent="0.25">
      <c r="A195" s="597"/>
      <c r="B195" s="130"/>
      <c r="C195" s="616"/>
      <c r="D195" s="2114"/>
      <c r="E195" s="2117"/>
      <c r="F195" s="2171" t="str">
        <f t="shared" si="25"/>
        <v>CAC - SEER 15 ER2: SF</v>
      </c>
      <c r="G195" s="2172"/>
      <c r="H195" s="2173"/>
      <c r="I195" s="709">
        <v>947</v>
      </c>
      <c r="J195" s="730">
        <v>13</v>
      </c>
      <c r="K195" s="612"/>
      <c r="L195" s="629" t="str">
        <f t="shared" si="28"/>
        <v>MO TRM</v>
      </c>
      <c r="M195" s="616"/>
      <c r="N195" s="616"/>
      <c r="O195" s="616"/>
      <c r="P195" s="130"/>
      <c r="Q195" s="130"/>
      <c r="R195" s="130"/>
      <c r="S195" s="130"/>
      <c r="T195" s="130"/>
      <c r="U195" s="130"/>
      <c r="V195" s="2120"/>
      <c r="W195" s="611">
        <v>13</v>
      </c>
      <c r="X195" s="611">
        <v>13</v>
      </c>
      <c r="Y195" s="611"/>
      <c r="Z195" s="611"/>
      <c r="AA195" s="611"/>
      <c r="AB195" s="611"/>
      <c r="AC195" s="611"/>
      <c r="AD195" s="611"/>
      <c r="AE195" s="611"/>
      <c r="AF195" s="611"/>
      <c r="AG195" s="611"/>
    </row>
    <row r="196" spans="1:33" s="56" customFormat="1" hidden="1" outlineLevel="1" x14ac:dyDescent="0.25">
      <c r="A196" s="597"/>
      <c r="B196" s="130"/>
      <c r="C196" s="616"/>
      <c r="D196" s="2114"/>
      <c r="E196" s="2117"/>
      <c r="F196" s="2171" t="str">
        <f t="shared" si="25"/>
        <v>CAC - SEER 15 ROF: SF</v>
      </c>
      <c r="G196" s="2172"/>
      <c r="H196" s="2173"/>
      <c r="I196" s="709">
        <v>946</v>
      </c>
      <c r="J196" s="730">
        <v>13</v>
      </c>
      <c r="K196" s="612"/>
      <c r="L196" s="629" t="str">
        <f t="shared" si="28"/>
        <v>MO TRM</v>
      </c>
      <c r="M196" s="616"/>
      <c r="N196" s="616"/>
      <c r="O196" s="616"/>
      <c r="P196" s="130"/>
      <c r="Q196" s="130"/>
      <c r="R196" s="130"/>
      <c r="S196" s="130"/>
      <c r="T196" s="130"/>
      <c r="U196" s="130"/>
      <c r="V196" s="2120"/>
      <c r="W196" s="611">
        <v>13</v>
      </c>
      <c r="X196" s="611">
        <v>13</v>
      </c>
      <c r="Y196" s="611"/>
      <c r="Z196" s="611"/>
      <c r="AA196" s="611"/>
      <c r="AB196" s="611"/>
      <c r="AC196" s="611"/>
      <c r="AD196" s="611"/>
      <c r="AE196" s="611"/>
      <c r="AF196" s="611"/>
      <c r="AG196" s="611"/>
    </row>
    <row r="197" spans="1:33" s="56" customFormat="1" hidden="1" outlineLevel="1" x14ac:dyDescent="0.25">
      <c r="A197" s="597"/>
      <c r="B197" s="130"/>
      <c r="C197" s="616"/>
      <c r="D197" s="2114"/>
      <c r="E197" s="2117"/>
      <c r="F197" s="2171" t="str">
        <f t="shared" si="25"/>
        <v>CAC - SEER 15 ER1: MF</v>
      </c>
      <c r="G197" s="2172"/>
      <c r="H197" s="2173"/>
      <c r="I197" s="709"/>
      <c r="J197" s="730"/>
      <c r="K197" s="612"/>
      <c r="L197" s="629" t="str">
        <f t="shared" si="28"/>
        <v>MO TRM</v>
      </c>
      <c r="M197" s="616"/>
      <c r="N197" s="616"/>
      <c r="O197" s="616"/>
      <c r="P197" s="130"/>
      <c r="Q197" s="130"/>
      <c r="R197" s="130"/>
      <c r="S197" s="130"/>
      <c r="T197" s="130"/>
      <c r="U197" s="130"/>
      <c r="V197" s="2120"/>
      <c r="W197" s="611">
        <v>10</v>
      </c>
      <c r="X197" s="614"/>
      <c r="Y197" s="611"/>
      <c r="Z197" s="611"/>
      <c r="AA197" s="611"/>
      <c r="AB197" s="611"/>
      <c r="AC197" s="611"/>
      <c r="AD197" s="611"/>
      <c r="AE197" s="611"/>
      <c r="AF197" s="611"/>
      <c r="AG197" s="611"/>
    </row>
    <row r="198" spans="1:33" s="56" customFormat="1" hidden="1" outlineLevel="1" x14ac:dyDescent="0.25">
      <c r="A198" s="597"/>
      <c r="B198" s="130"/>
      <c r="C198" s="616"/>
      <c r="D198" s="2114"/>
      <c r="E198" s="2117"/>
      <c r="F198" s="2171" t="str">
        <f t="shared" si="25"/>
        <v>CAC - SEER 15 ER2: MF</v>
      </c>
      <c r="G198" s="2172"/>
      <c r="H198" s="2173"/>
      <c r="I198" s="709"/>
      <c r="J198" s="730">
        <v>13</v>
      </c>
      <c r="K198" s="612"/>
      <c r="L198" s="629" t="str">
        <f t="shared" si="28"/>
        <v>MO TRM</v>
      </c>
      <c r="M198" s="616"/>
      <c r="N198" s="616"/>
      <c r="O198" s="616"/>
      <c r="P198" s="130"/>
      <c r="Q198" s="130"/>
      <c r="R198" s="130"/>
      <c r="S198" s="130"/>
      <c r="T198" s="130"/>
      <c r="U198" s="130"/>
      <c r="V198" s="2120"/>
      <c r="W198" s="611">
        <v>13</v>
      </c>
      <c r="X198" s="611">
        <v>13</v>
      </c>
      <c r="Y198" s="611"/>
      <c r="Z198" s="611"/>
      <c r="AA198" s="611"/>
      <c r="AB198" s="611"/>
      <c r="AC198" s="611"/>
      <c r="AD198" s="611"/>
      <c r="AE198" s="611"/>
      <c r="AF198" s="611"/>
      <c r="AG198" s="611"/>
    </row>
    <row r="199" spans="1:33" s="56" customFormat="1" hidden="1" outlineLevel="1" x14ac:dyDescent="0.25">
      <c r="A199" s="597"/>
      <c r="B199" s="130"/>
      <c r="C199" s="616"/>
      <c r="D199" s="2114"/>
      <c r="E199" s="2117"/>
      <c r="F199" s="2171" t="str">
        <f t="shared" si="25"/>
        <v>CAC - SEER 15 ROF: MF</v>
      </c>
      <c r="G199" s="2172"/>
      <c r="H199" s="2173"/>
      <c r="I199" s="709"/>
      <c r="J199" s="730">
        <v>13</v>
      </c>
      <c r="K199" s="612"/>
      <c r="L199" s="629" t="str">
        <f t="shared" si="28"/>
        <v>MO TRM</v>
      </c>
      <c r="M199" s="616"/>
      <c r="N199" s="616"/>
      <c r="O199" s="616"/>
      <c r="P199" s="130"/>
      <c r="Q199" s="130"/>
      <c r="R199" s="130"/>
      <c r="S199" s="130"/>
      <c r="T199" s="130"/>
      <c r="U199" s="130"/>
      <c r="V199" s="2120"/>
      <c r="W199" s="611">
        <v>13</v>
      </c>
      <c r="X199" s="611">
        <v>13</v>
      </c>
      <c r="Y199" s="611"/>
      <c r="Z199" s="611"/>
      <c r="AA199" s="611"/>
      <c r="AB199" s="611"/>
      <c r="AC199" s="611"/>
      <c r="AD199" s="611"/>
      <c r="AE199" s="611"/>
      <c r="AF199" s="611"/>
      <c r="AG199" s="611"/>
    </row>
    <row r="200" spans="1:33" s="56" customFormat="1" hidden="1" outlineLevel="1" x14ac:dyDescent="0.25">
      <c r="A200" s="597"/>
      <c r="B200" s="130"/>
      <c r="C200" s="616"/>
      <c r="D200" s="2114"/>
      <c r="E200" s="2117"/>
      <c r="F200" s="2171" t="str">
        <f t="shared" si="25"/>
        <v>CAC - SEER 16 ER1: SF</v>
      </c>
      <c r="G200" s="2172"/>
      <c r="H200" s="2173"/>
      <c r="I200" s="709">
        <v>949</v>
      </c>
      <c r="J200" s="730"/>
      <c r="K200" s="612"/>
      <c r="L200" s="629" t="str">
        <f t="shared" si="28"/>
        <v>MO TRM</v>
      </c>
      <c r="M200" s="616"/>
      <c r="N200" s="616"/>
      <c r="O200" s="616"/>
      <c r="P200" s="130"/>
      <c r="Q200" s="130"/>
      <c r="R200" s="130"/>
      <c r="S200" s="130"/>
      <c r="T200" s="130"/>
      <c r="U200" s="130"/>
      <c r="V200" s="2120"/>
      <c r="W200" s="611">
        <v>10</v>
      </c>
      <c r="X200" s="614"/>
      <c r="Y200" s="611"/>
      <c r="Z200" s="611"/>
      <c r="AA200" s="611"/>
      <c r="AB200" s="611"/>
      <c r="AC200" s="611"/>
      <c r="AD200" s="611"/>
      <c r="AE200" s="611"/>
      <c r="AF200" s="611"/>
      <c r="AG200" s="611"/>
    </row>
    <row r="201" spans="1:33" s="56" customFormat="1" hidden="1" outlineLevel="1" x14ac:dyDescent="0.25">
      <c r="A201" s="597"/>
      <c r="B201" s="130"/>
      <c r="C201" s="616"/>
      <c r="D201" s="2114"/>
      <c r="E201" s="2117"/>
      <c r="F201" s="2171" t="str">
        <f t="shared" si="25"/>
        <v>CAC - SEER 16 ER2: SF</v>
      </c>
      <c r="G201" s="2172"/>
      <c r="H201" s="2173"/>
      <c r="I201" s="709">
        <v>949</v>
      </c>
      <c r="J201" s="730">
        <v>13</v>
      </c>
      <c r="K201" s="612"/>
      <c r="L201" s="629" t="str">
        <f t="shared" si="28"/>
        <v>MO TRM</v>
      </c>
      <c r="M201" s="616"/>
      <c r="N201" s="616"/>
      <c r="O201" s="616"/>
      <c r="P201" s="130"/>
      <c r="Q201" s="130"/>
      <c r="R201" s="130"/>
      <c r="S201" s="130"/>
      <c r="T201" s="130"/>
      <c r="U201" s="130"/>
      <c r="V201" s="2120"/>
      <c r="W201" s="611">
        <v>13</v>
      </c>
      <c r="X201" s="611">
        <v>13</v>
      </c>
      <c r="Y201" s="611"/>
      <c r="Z201" s="611"/>
      <c r="AA201" s="611"/>
      <c r="AB201" s="611"/>
      <c r="AC201" s="611"/>
      <c r="AD201" s="611"/>
      <c r="AE201" s="611"/>
      <c r="AF201" s="611"/>
      <c r="AG201" s="611"/>
    </row>
    <row r="202" spans="1:33" s="56" customFormat="1" hidden="1" outlineLevel="1" x14ac:dyDescent="0.25">
      <c r="A202" s="597"/>
      <c r="B202" s="130"/>
      <c r="C202" s="616"/>
      <c r="D202" s="2114"/>
      <c r="E202" s="2117"/>
      <c r="F202" s="2171" t="str">
        <f t="shared" si="25"/>
        <v>CAC - SEER 16 ROF: SF</v>
      </c>
      <c r="G202" s="2172"/>
      <c r="H202" s="2173"/>
      <c r="I202" s="709">
        <v>948</v>
      </c>
      <c r="J202" s="730">
        <v>13</v>
      </c>
      <c r="K202" s="612"/>
      <c r="L202" s="629" t="str">
        <f t="shared" si="28"/>
        <v>MO TRM</v>
      </c>
      <c r="M202" s="616"/>
      <c r="N202" s="616"/>
      <c r="O202" s="616"/>
      <c r="P202" s="130"/>
      <c r="Q202" s="130"/>
      <c r="R202" s="130"/>
      <c r="S202" s="130"/>
      <c r="T202" s="130"/>
      <c r="U202" s="130"/>
      <c r="V202" s="2120"/>
      <c r="W202" s="611">
        <v>13</v>
      </c>
      <c r="X202" s="611">
        <v>13</v>
      </c>
      <c r="Y202" s="611"/>
      <c r="Z202" s="611"/>
      <c r="AA202" s="611"/>
      <c r="AB202" s="611"/>
      <c r="AC202" s="611"/>
      <c r="AD202" s="611"/>
      <c r="AE202" s="611"/>
      <c r="AF202" s="611"/>
      <c r="AG202" s="611"/>
    </row>
    <row r="203" spans="1:33" s="56" customFormat="1" hidden="1" outlineLevel="1" x14ac:dyDescent="0.25">
      <c r="A203" s="597"/>
      <c r="B203" s="130"/>
      <c r="C203" s="616"/>
      <c r="D203" s="2114"/>
      <c r="E203" s="2117"/>
      <c r="F203" s="2171" t="str">
        <f t="shared" si="25"/>
        <v>CAC - SEER 16 ER1: MF</v>
      </c>
      <c r="G203" s="2172"/>
      <c r="H203" s="2173"/>
      <c r="I203" s="709"/>
      <c r="J203" s="730"/>
      <c r="K203" s="612"/>
      <c r="L203" s="629" t="str">
        <f t="shared" si="28"/>
        <v>MO TRM</v>
      </c>
      <c r="M203" s="616"/>
      <c r="N203" s="616"/>
      <c r="O203" s="616"/>
      <c r="P203" s="130"/>
      <c r="Q203" s="130"/>
      <c r="R203" s="130"/>
      <c r="S203" s="130"/>
      <c r="T203" s="130"/>
      <c r="U203" s="130"/>
      <c r="V203" s="2120"/>
      <c r="W203" s="611">
        <v>10</v>
      </c>
      <c r="X203" s="614"/>
      <c r="Y203" s="611"/>
      <c r="Z203" s="611"/>
      <c r="AA203" s="611"/>
      <c r="AB203" s="611"/>
      <c r="AC203" s="611"/>
      <c r="AD203" s="611"/>
      <c r="AE203" s="611"/>
      <c r="AF203" s="611"/>
      <c r="AG203" s="611"/>
    </row>
    <row r="204" spans="1:33" s="56" customFormat="1" hidden="1" outlineLevel="1" x14ac:dyDescent="0.25">
      <c r="A204" s="597"/>
      <c r="B204" s="130"/>
      <c r="C204" s="616"/>
      <c r="D204" s="2114"/>
      <c r="E204" s="2117"/>
      <c r="F204" s="2171" t="str">
        <f t="shared" si="25"/>
        <v>CAC - SEER 16 ER2: MF</v>
      </c>
      <c r="G204" s="2172"/>
      <c r="H204" s="2173"/>
      <c r="I204" s="709"/>
      <c r="J204" s="730">
        <v>13</v>
      </c>
      <c r="K204" s="612"/>
      <c r="L204" s="629" t="str">
        <f t="shared" si="28"/>
        <v>MO TRM</v>
      </c>
      <c r="M204" s="616"/>
      <c r="N204" s="616"/>
      <c r="O204" s="616"/>
      <c r="P204" s="130"/>
      <c r="Q204" s="130"/>
      <c r="R204" s="130"/>
      <c r="S204" s="130"/>
      <c r="T204" s="130"/>
      <c r="U204" s="130"/>
      <c r="V204" s="2120"/>
      <c r="W204" s="611">
        <v>13</v>
      </c>
      <c r="X204" s="611">
        <v>13</v>
      </c>
      <c r="Y204" s="611"/>
      <c r="Z204" s="611"/>
      <c r="AA204" s="611"/>
      <c r="AB204" s="611"/>
      <c r="AC204" s="611"/>
      <c r="AD204" s="611"/>
      <c r="AE204" s="611"/>
      <c r="AF204" s="611"/>
      <c r="AG204" s="611"/>
    </row>
    <row r="205" spans="1:33" s="56" customFormat="1" hidden="1" outlineLevel="1" x14ac:dyDescent="0.25">
      <c r="A205" s="597"/>
      <c r="B205" s="130"/>
      <c r="C205" s="616"/>
      <c r="D205" s="2114"/>
      <c r="E205" s="2117"/>
      <c r="F205" s="2171" t="str">
        <f t="shared" si="25"/>
        <v>CAC - SEER 16 ROF: MF</v>
      </c>
      <c r="G205" s="2172"/>
      <c r="H205" s="2173"/>
      <c r="I205" s="709"/>
      <c r="J205" s="730">
        <v>13</v>
      </c>
      <c r="K205" s="612"/>
      <c r="L205" s="629" t="str">
        <f t="shared" si="28"/>
        <v>MO TRM</v>
      </c>
      <c r="M205" s="616"/>
      <c r="N205" s="616"/>
      <c r="O205" s="616"/>
      <c r="P205" s="130"/>
      <c r="Q205" s="130"/>
      <c r="R205" s="130"/>
      <c r="S205" s="130"/>
      <c r="T205" s="130"/>
      <c r="U205" s="130"/>
      <c r="V205" s="2120"/>
      <c r="W205" s="611">
        <v>13</v>
      </c>
      <c r="X205" s="611">
        <v>13</v>
      </c>
      <c r="Y205" s="611"/>
      <c r="Z205" s="611"/>
      <c r="AA205" s="611"/>
      <c r="AB205" s="611"/>
      <c r="AC205" s="611"/>
      <c r="AD205" s="611"/>
      <c r="AE205" s="611"/>
      <c r="AF205" s="611"/>
      <c r="AG205" s="611"/>
    </row>
    <row r="206" spans="1:33" s="56" customFormat="1" hidden="1" outlineLevel="1" x14ac:dyDescent="0.25">
      <c r="A206" s="597"/>
      <c r="B206" s="130"/>
      <c r="C206" s="616"/>
      <c r="D206" s="2114"/>
      <c r="E206" s="2117"/>
      <c r="F206" s="2171" t="str">
        <f t="shared" si="25"/>
        <v>CAC - SEER 17+ ER1: SF</v>
      </c>
      <c r="G206" s="2172"/>
      <c r="H206" s="2173"/>
      <c r="I206" s="709"/>
      <c r="J206" s="730"/>
      <c r="K206" s="612"/>
      <c r="L206" s="629" t="str">
        <f t="shared" si="28"/>
        <v>MO TRM</v>
      </c>
      <c r="M206" s="616"/>
      <c r="N206" s="616"/>
      <c r="O206" s="616"/>
      <c r="P206" s="130"/>
      <c r="Q206" s="130"/>
      <c r="R206" s="130"/>
      <c r="S206" s="130"/>
      <c r="T206" s="130"/>
      <c r="U206" s="130"/>
      <c r="V206" s="2120"/>
      <c r="W206" s="611">
        <v>10</v>
      </c>
      <c r="X206" s="614"/>
      <c r="Y206" s="611"/>
      <c r="Z206" s="611"/>
      <c r="AA206" s="611"/>
      <c r="AB206" s="611"/>
      <c r="AC206" s="611"/>
      <c r="AD206" s="611"/>
      <c r="AE206" s="611"/>
      <c r="AF206" s="611"/>
      <c r="AG206" s="611"/>
    </row>
    <row r="207" spans="1:33" s="56" customFormat="1" ht="14.45" hidden="1" customHeight="1" outlineLevel="1" x14ac:dyDescent="0.25">
      <c r="A207" s="597"/>
      <c r="B207" s="130"/>
      <c r="C207" s="616"/>
      <c r="D207" s="2114"/>
      <c r="E207" s="2117"/>
      <c r="F207" s="2171" t="str">
        <f t="shared" si="25"/>
        <v>CAC - SEER 17+ ER2: SF</v>
      </c>
      <c r="G207" s="2172"/>
      <c r="H207" s="2173"/>
      <c r="I207" s="709"/>
      <c r="J207" s="730">
        <v>13</v>
      </c>
      <c r="K207" s="612"/>
      <c r="L207" s="629" t="str">
        <f t="shared" si="28"/>
        <v>MO TRM</v>
      </c>
      <c r="M207" s="616"/>
      <c r="N207" s="616"/>
      <c r="O207" s="616"/>
      <c r="P207" s="130"/>
      <c r="Q207" s="130"/>
      <c r="R207" s="130"/>
      <c r="S207" s="130"/>
      <c r="T207" s="130"/>
      <c r="U207" s="130"/>
      <c r="V207" s="2120"/>
      <c r="W207" s="611">
        <v>13</v>
      </c>
      <c r="X207" s="611">
        <v>13</v>
      </c>
      <c r="Y207" s="611"/>
      <c r="Z207" s="611"/>
      <c r="AA207" s="611"/>
      <c r="AB207" s="611"/>
      <c r="AC207" s="611"/>
      <c r="AD207" s="611"/>
      <c r="AE207" s="611"/>
      <c r="AF207" s="611"/>
      <c r="AG207" s="611"/>
    </row>
    <row r="208" spans="1:33" s="56" customFormat="1" ht="14.45" hidden="1" customHeight="1" outlineLevel="1" x14ac:dyDescent="0.25">
      <c r="A208" s="597"/>
      <c r="B208" s="130"/>
      <c r="C208" s="616"/>
      <c r="D208" s="2114"/>
      <c r="E208" s="2117"/>
      <c r="F208" s="2171" t="str">
        <f t="shared" si="25"/>
        <v>CAC - SEER 17+ ROF: SF</v>
      </c>
      <c r="G208" s="2172"/>
      <c r="H208" s="2173"/>
      <c r="I208" s="709"/>
      <c r="J208" s="730">
        <v>13</v>
      </c>
      <c r="K208" s="612"/>
      <c r="L208" s="629" t="str">
        <f t="shared" si="28"/>
        <v>MO TRM</v>
      </c>
      <c r="M208" s="616"/>
      <c r="N208" s="616"/>
      <c r="O208" s="616"/>
      <c r="P208" s="130"/>
      <c r="Q208" s="130"/>
      <c r="R208" s="130"/>
      <c r="S208" s="130"/>
      <c r="T208" s="130"/>
      <c r="U208" s="130"/>
      <c r="V208" s="2120"/>
      <c r="W208" s="611">
        <v>13</v>
      </c>
      <c r="X208" s="611">
        <v>13</v>
      </c>
      <c r="Y208" s="611"/>
      <c r="Z208" s="611"/>
      <c r="AA208" s="611"/>
      <c r="AB208" s="611"/>
      <c r="AC208" s="611"/>
      <c r="AD208" s="611"/>
      <c r="AE208" s="611"/>
      <c r="AF208" s="611"/>
      <c r="AG208" s="611"/>
    </row>
    <row r="209" spans="1:33" s="56" customFormat="1" ht="14.45" hidden="1" customHeight="1" outlineLevel="1" x14ac:dyDescent="0.25">
      <c r="A209" s="597"/>
      <c r="B209" s="130"/>
      <c r="C209" s="616"/>
      <c r="D209" s="2114"/>
      <c r="E209" s="2117"/>
      <c r="F209" s="2171" t="str">
        <f t="shared" si="25"/>
        <v>CAC - SEER 17+ ER1: MF</v>
      </c>
      <c r="G209" s="2172"/>
      <c r="H209" s="2173"/>
      <c r="I209" s="709"/>
      <c r="J209" s="730"/>
      <c r="K209" s="612"/>
      <c r="L209" s="629" t="str">
        <f t="shared" si="28"/>
        <v>MO TRM</v>
      </c>
      <c r="M209" s="616"/>
      <c r="N209" s="616"/>
      <c r="O209" s="616"/>
      <c r="P209" s="130"/>
      <c r="Q209" s="130"/>
      <c r="R209" s="130"/>
      <c r="S209" s="130"/>
      <c r="T209" s="130"/>
      <c r="U209" s="130"/>
      <c r="V209" s="2120"/>
      <c r="W209" s="611">
        <v>10</v>
      </c>
      <c r="X209" s="614"/>
      <c r="Y209" s="611"/>
      <c r="Z209" s="611"/>
      <c r="AA209" s="611"/>
      <c r="AB209" s="611"/>
      <c r="AC209" s="611"/>
      <c r="AD209" s="611"/>
      <c r="AE209" s="611"/>
      <c r="AF209" s="611"/>
      <c r="AG209" s="611"/>
    </row>
    <row r="210" spans="1:33" s="56" customFormat="1" ht="14.45" hidden="1" customHeight="1" outlineLevel="1" x14ac:dyDescent="0.25">
      <c r="A210" s="597"/>
      <c r="B210" s="130"/>
      <c r="C210" s="616"/>
      <c r="D210" s="2114"/>
      <c r="E210" s="2117"/>
      <c r="F210" s="2171" t="str">
        <f t="shared" si="25"/>
        <v>CAC - SEER 17+ ER2: MF</v>
      </c>
      <c r="G210" s="2172"/>
      <c r="H210" s="2173"/>
      <c r="I210" s="709"/>
      <c r="J210" s="730">
        <v>13</v>
      </c>
      <c r="K210" s="612"/>
      <c r="L210" s="629" t="str">
        <f t="shared" si="28"/>
        <v>MO TRM</v>
      </c>
      <c r="M210" s="616"/>
      <c r="N210" s="616"/>
      <c r="O210" s="616"/>
      <c r="P210" s="130"/>
      <c r="Q210" s="130"/>
      <c r="R210" s="130"/>
      <c r="S210" s="130"/>
      <c r="T210" s="130"/>
      <c r="U210" s="130"/>
      <c r="V210" s="2120"/>
      <c r="W210" s="611">
        <v>13</v>
      </c>
      <c r="X210" s="611">
        <v>13</v>
      </c>
      <c r="Y210" s="611"/>
      <c r="Z210" s="611"/>
      <c r="AA210" s="611"/>
      <c r="AB210" s="611"/>
      <c r="AC210" s="611"/>
      <c r="AD210" s="611"/>
      <c r="AE210" s="611"/>
      <c r="AF210" s="611"/>
      <c r="AG210" s="611"/>
    </row>
    <row r="211" spans="1:33" s="56" customFormat="1" ht="15" hidden="1" customHeight="1" outlineLevel="1" thickBot="1" x14ac:dyDescent="0.3">
      <c r="A211" s="597"/>
      <c r="B211" s="130"/>
      <c r="C211" s="616"/>
      <c r="D211" s="2186"/>
      <c r="E211" s="2187"/>
      <c r="F211" s="2174" t="str">
        <f t="shared" si="25"/>
        <v>CAC - SEER 17+ ROF: MF</v>
      </c>
      <c r="G211" s="2175"/>
      <c r="H211" s="2176"/>
      <c r="I211" s="712"/>
      <c r="J211" s="622">
        <v>13</v>
      </c>
      <c r="K211" s="630"/>
      <c r="L211" s="629" t="str">
        <f t="shared" si="28"/>
        <v>MO TRM</v>
      </c>
      <c r="M211" s="616"/>
      <c r="N211" s="616"/>
      <c r="O211" s="616"/>
      <c r="P211" s="130"/>
      <c r="Q211" s="130"/>
      <c r="R211" s="130"/>
      <c r="S211" s="130"/>
      <c r="T211" s="130"/>
      <c r="U211" s="130"/>
      <c r="V211" s="2121"/>
      <c r="W211" s="622">
        <v>13</v>
      </c>
      <c r="X211" s="622">
        <v>13</v>
      </c>
      <c r="Y211" s="622"/>
      <c r="Z211" s="622"/>
      <c r="AA211" s="622"/>
      <c r="AB211" s="622"/>
      <c r="AC211" s="622"/>
      <c r="AD211" s="622"/>
      <c r="AE211" s="622"/>
      <c r="AF211" s="622"/>
      <c r="AG211" s="622"/>
    </row>
    <row r="212" spans="1:33" s="56" customFormat="1" ht="14.45" hidden="1" customHeight="1" outlineLevel="1" x14ac:dyDescent="0.25">
      <c r="A212" s="597"/>
      <c r="B212" s="130"/>
      <c r="C212" s="616"/>
      <c r="D212" s="2113" t="s">
        <v>246</v>
      </c>
      <c r="E212" s="2116" t="s">
        <v>973</v>
      </c>
      <c r="F212" s="2183" t="str">
        <f t="shared" si="25"/>
        <v>CAC - SEER 14 ER1: SF</v>
      </c>
      <c r="G212" s="2184"/>
      <c r="H212" s="2185"/>
      <c r="I212" s="707">
        <v>945</v>
      </c>
      <c r="J212" s="727">
        <v>14.16</v>
      </c>
      <c r="K212" s="606"/>
      <c r="L212" s="727" t="s">
        <v>1794</v>
      </c>
      <c r="M212" s="616"/>
      <c r="N212" s="616"/>
      <c r="O212" s="616"/>
      <c r="P212" s="130"/>
      <c r="Q212" s="130"/>
      <c r="R212" s="130"/>
      <c r="S212" s="130"/>
      <c r="T212" s="130"/>
      <c r="U212" s="130"/>
      <c r="V212" s="2119" t="str">
        <f>D212</f>
        <v>SEERee</v>
      </c>
      <c r="W212" s="605">
        <v>14.2</v>
      </c>
      <c r="X212" s="624">
        <v>14.16</v>
      </c>
      <c r="Y212" s="605"/>
      <c r="Z212" s="605"/>
      <c r="AA212" s="605"/>
      <c r="AB212" s="605"/>
      <c r="AC212" s="605"/>
      <c r="AD212" s="605"/>
      <c r="AE212" s="605"/>
      <c r="AF212" s="605"/>
      <c r="AG212" s="605"/>
    </row>
    <row r="213" spans="1:33" s="56" customFormat="1" ht="14.45" hidden="1" customHeight="1" outlineLevel="1" x14ac:dyDescent="0.25">
      <c r="A213" s="597"/>
      <c r="B213" s="130"/>
      <c r="C213" s="616"/>
      <c r="D213" s="2114"/>
      <c r="E213" s="2117"/>
      <c r="F213" s="2171" t="str">
        <f t="shared" si="25"/>
        <v>CAC - SEER 14 ER2: SF</v>
      </c>
      <c r="G213" s="2172"/>
      <c r="H213" s="2173"/>
      <c r="I213" s="709">
        <v>945</v>
      </c>
      <c r="J213" s="730">
        <v>14.16</v>
      </c>
      <c r="K213" s="612"/>
      <c r="L213" s="730" t="s">
        <v>1794</v>
      </c>
      <c r="M213" s="616"/>
      <c r="N213" s="616"/>
      <c r="O213" s="616"/>
      <c r="P213" s="130"/>
      <c r="Q213" s="130"/>
      <c r="R213" s="130"/>
      <c r="S213" s="130"/>
      <c r="T213" s="130"/>
      <c r="U213" s="130"/>
      <c r="V213" s="2120"/>
      <c r="W213" s="611">
        <v>14.2</v>
      </c>
      <c r="X213" s="614">
        <v>14.16</v>
      </c>
      <c r="Y213" s="611"/>
      <c r="Z213" s="611"/>
      <c r="AA213" s="611"/>
      <c r="AB213" s="611"/>
      <c r="AC213" s="611"/>
      <c r="AD213" s="611"/>
      <c r="AE213" s="611"/>
      <c r="AF213" s="611"/>
      <c r="AG213" s="611"/>
    </row>
    <row r="214" spans="1:33" s="56" customFormat="1" ht="14.45" hidden="1" customHeight="1" outlineLevel="1" x14ac:dyDescent="0.25">
      <c r="A214" s="597"/>
      <c r="B214" s="130"/>
      <c r="C214" s="616"/>
      <c r="D214" s="2114"/>
      <c r="E214" s="2117"/>
      <c r="F214" s="2171" t="str">
        <f t="shared" si="25"/>
        <v>CAC - SEER 14 ROF: SF</v>
      </c>
      <c r="G214" s="2172"/>
      <c r="H214" s="2173"/>
      <c r="I214" s="709">
        <v>944</v>
      </c>
      <c r="J214" s="730">
        <v>14.16</v>
      </c>
      <c r="K214" s="612"/>
      <c r="L214" s="730" t="s">
        <v>1794</v>
      </c>
      <c r="M214" s="616"/>
      <c r="N214" s="616"/>
      <c r="O214" s="616"/>
      <c r="P214" s="130"/>
      <c r="Q214" s="130"/>
      <c r="R214" s="130"/>
      <c r="S214" s="130"/>
      <c r="T214" s="130"/>
      <c r="U214" s="130"/>
      <c r="V214" s="2120"/>
      <c r="W214" s="611">
        <v>14.2</v>
      </c>
      <c r="X214" s="614">
        <f>X213</f>
        <v>14.16</v>
      </c>
      <c r="Y214" s="611"/>
      <c r="Z214" s="611"/>
      <c r="AA214" s="611"/>
      <c r="AB214" s="611"/>
      <c r="AC214" s="611"/>
      <c r="AD214" s="611"/>
      <c r="AE214" s="611"/>
      <c r="AF214" s="611"/>
      <c r="AG214" s="611"/>
    </row>
    <row r="215" spans="1:33" s="56" customFormat="1" hidden="1" outlineLevel="1" x14ac:dyDescent="0.25">
      <c r="A215" s="597"/>
      <c r="B215" s="130"/>
      <c r="C215" s="616"/>
      <c r="D215" s="2114"/>
      <c r="E215" s="2117"/>
      <c r="F215" s="2171" t="str">
        <f t="shared" si="25"/>
        <v>CAC - SEER 14 ER1: MF</v>
      </c>
      <c r="G215" s="2172"/>
      <c r="H215" s="2173"/>
      <c r="I215" s="709"/>
      <c r="J215" s="730">
        <v>14.5</v>
      </c>
      <c r="K215" s="612"/>
      <c r="L215" s="730" t="s">
        <v>1795</v>
      </c>
      <c r="M215" s="616"/>
      <c r="N215" s="616"/>
      <c r="O215" s="616"/>
      <c r="P215" s="130"/>
      <c r="Q215" s="130"/>
      <c r="R215" s="130"/>
      <c r="S215" s="130"/>
      <c r="T215" s="130"/>
      <c r="U215" s="130"/>
      <c r="V215" s="2120"/>
      <c r="W215" s="611">
        <v>14.2</v>
      </c>
      <c r="X215" s="614">
        <v>14.5</v>
      </c>
      <c r="Y215" s="611"/>
      <c r="Z215" s="611"/>
      <c r="AA215" s="611"/>
      <c r="AB215" s="611"/>
      <c r="AC215" s="611"/>
      <c r="AD215" s="611"/>
      <c r="AE215" s="611"/>
      <c r="AF215" s="611"/>
      <c r="AG215" s="611"/>
    </row>
    <row r="216" spans="1:33" s="56" customFormat="1" hidden="1" outlineLevel="1" x14ac:dyDescent="0.25">
      <c r="A216" s="597"/>
      <c r="B216" s="130"/>
      <c r="C216" s="616"/>
      <c r="D216" s="2114"/>
      <c r="E216" s="2117"/>
      <c r="F216" s="2171" t="str">
        <f t="shared" si="25"/>
        <v>CAC - SEER 14 ER2: MF</v>
      </c>
      <c r="G216" s="2172"/>
      <c r="H216" s="2173"/>
      <c r="I216" s="709"/>
      <c r="J216" s="730">
        <v>14.5</v>
      </c>
      <c r="K216" s="612"/>
      <c r="L216" s="730" t="s">
        <v>1795</v>
      </c>
      <c r="M216" s="616"/>
      <c r="N216" s="616"/>
      <c r="O216" s="616"/>
      <c r="P216" s="130"/>
      <c r="Q216" s="130"/>
      <c r="R216" s="130"/>
      <c r="S216" s="130"/>
      <c r="T216" s="130"/>
      <c r="U216" s="130"/>
      <c r="V216" s="2120"/>
      <c r="W216" s="611">
        <v>14.2</v>
      </c>
      <c r="X216" s="614">
        <v>14.5</v>
      </c>
      <c r="Y216" s="611"/>
      <c r="Z216" s="611"/>
      <c r="AA216" s="611"/>
      <c r="AB216" s="611"/>
      <c r="AC216" s="611"/>
      <c r="AD216" s="611"/>
      <c r="AE216" s="611"/>
      <c r="AF216" s="611"/>
      <c r="AG216" s="611"/>
    </row>
    <row r="217" spans="1:33" s="56" customFormat="1" hidden="1" outlineLevel="1" x14ac:dyDescent="0.25">
      <c r="A217" s="597"/>
      <c r="B217" s="130"/>
      <c r="C217" s="616"/>
      <c r="D217" s="2114"/>
      <c r="E217" s="2117"/>
      <c r="F217" s="2171" t="str">
        <f t="shared" si="25"/>
        <v>CAC - SEER 14 ROF: MF</v>
      </c>
      <c r="G217" s="2172"/>
      <c r="H217" s="2173"/>
      <c r="I217" s="709"/>
      <c r="J217" s="730">
        <v>14.5</v>
      </c>
      <c r="K217" s="612"/>
      <c r="L217" s="730" t="s">
        <v>1795</v>
      </c>
      <c r="M217" s="616"/>
      <c r="N217" s="616"/>
      <c r="O217" s="616"/>
      <c r="P217" s="130"/>
      <c r="Q217" s="130"/>
      <c r="R217" s="130"/>
      <c r="S217" s="130"/>
      <c r="T217" s="130"/>
      <c r="U217" s="130"/>
      <c r="V217" s="2120"/>
      <c r="W217" s="611">
        <v>14.2</v>
      </c>
      <c r="X217" s="614">
        <v>14.5</v>
      </c>
      <c r="Y217" s="611"/>
      <c r="Z217" s="611"/>
      <c r="AA217" s="611"/>
      <c r="AB217" s="611"/>
      <c r="AC217" s="611"/>
      <c r="AD217" s="611"/>
      <c r="AE217" s="611"/>
      <c r="AF217" s="611"/>
      <c r="AG217" s="611"/>
    </row>
    <row r="218" spans="1:33" s="56" customFormat="1" hidden="1" outlineLevel="1" x14ac:dyDescent="0.25">
      <c r="A218" s="597"/>
      <c r="B218" s="130"/>
      <c r="C218" s="616"/>
      <c r="D218" s="2114"/>
      <c r="E218" s="2117"/>
      <c r="F218" s="2171" t="str">
        <f t="shared" si="25"/>
        <v>CAC - SEER 15 ER1: SF</v>
      </c>
      <c r="G218" s="2172"/>
      <c r="H218" s="2173"/>
      <c r="I218" s="709">
        <v>947</v>
      </c>
      <c r="J218" s="730">
        <v>15.16</v>
      </c>
      <c r="K218" s="612"/>
      <c r="L218" s="730" t="s">
        <v>1794</v>
      </c>
      <c r="M218" s="616"/>
      <c r="N218" s="616"/>
      <c r="O218" s="616"/>
      <c r="P218" s="130"/>
      <c r="Q218" s="130"/>
      <c r="R218" s="130"/>
      <c r="S218" s="130"/>
      <c r="T218" s="130"/>
      <c r="U218" s="130"/>
      <c r="V218" s="2120"/>
      <c r="W218" s="611">
        <v>15.2</v>
      </c>
      <c r="X218" s="614">
        <v>15.16</v>
      </c>
      <c r="Y218" s="611"/>
      <c r="Z218" s="611"/>
      <c r="AA218" s="611"/>
      <c r="AB218" s="611"/>
      <c r="AC218" s="611"/>
      <c r="AD218" s="611"/>
      <c r="AE218" s="611"/>
      <c r="AF218" s="611"/>
      <c r="AG218" s="611"/>
    </row>
    <row r="219" spans="1:33" s="56" customFormat="1" hidden="1" outlineLevel="1" x14ac:dyDescent="0.25">
      <c r="A219" s="597"/>
      <c r="B219" s="130"/>
      <c r="C219" s="616"/>
      <c r="D219" s="2114"/>
      <c r="E219" s="2117"/>
      <c r="F219" s="2171" t="str">
        <f t="shared" si="25"/>
        <v>CAC - SEER 15 ER2: SF</v>
      </c>
      <c r="G219" s="2172"/>
      <c r="H219" s="2173"/>
      <c r="I219" s="709">
        <v>947</v>
      </c>
      <c r="J219" s="730">
        <v>15.16</v>
      </c>
      <c r="K219" s="612"/>
      <c r="L219" s="730" t="s">
        <v>1794</v>
      </c>
      <c r="M219" s="616"/>
      <c r="N219" s="616"/>
      <c r="O219" s="616"/>
      <c r="P219" s="130"/>
      <c r="Q219" s="130"/>
      <c r="R219" s="130"/>
      <c r="S219" s="130"/>
      <c r="T219" s="130"/>
      <c r="U219" s="130"/>
      <c r="V219" s="2120"/>
      <c r="W219" s="611">
        <v>15.2</v>
      </c>
      <c r="X219" s="614">
        <v>15.16</v>
      </c>
      <c r="Y219" s="611"/>
      <c r="Z219" s="611"/>
      <c r="AA219" s="611"/>
      <c r="AB219" s="611"/>
      <c r="AC219" s="611"/>
      <c r="AD219" s="611"/>
      <c r="AE219" s="611"/>
      <c r="AF219" s="611"/>
      <c r="AG219" s="611"/>
    </row>
    <row r="220" spans="1:33" s="56" customFormat="1" hidden="1" outlineLevel="1" x14ac:dyDescent="0.25">
      <c r="A220" s="597"/>
      <c r="B220" s="130"/>
      <c r="C220" s="616"/>
      <c r="D220" s="2114"/>
      <c r="E220" s="2117"/>
      <c r="F220" s="2171" t="str">
        <f t="shared" si="25"/>
        <v>CAC - SEER 15 ROF: SF</v>
      </c>
      <c r="G220" s="2172"/>
      <c r="H220" s="2173"/>
      <c r="I220" s="709">
        <v>946</v>
      </c>
      <c r="J220" s="730">
        <v>15.16</v>
      </c>
      <c r="K220" s="612"/>
      <c r="L220" s="730" t="s">
        <v>1794</v>
      </c>
      <c r="M220" s="616"/>
      <c r="N220" s="616"/>
      <c r="O220" s="616"/>
      <c r="P220" s="130"/>
      <c r="Q220" s="130"/>
      <c r="R220" s="130"/>
      <c r="S220" s="130"/>
      <c r="T220" s="130"/>
      <c r="U220" s="130"/>
      <c r="V220" s="2120"/>
      <c r="W220" s="611">
        <v>15.1</v>
      </c>
      <c r="X220" s="614">
        <v>15.16</v>
      </c>
      <c r="Y220" s="611"/>
      <c r="Z220" s="611"/>
      <c r="AA220" s="611"/>
      <c r="AB220" s="611"/>
      <c r="AC220" s="611"/>
      <c r="AD220" s="611"/>
      <c r="AE220" s="611"/>
      <c r="AF220" s="611"/>
      <c r="AG220" s="611"/>
    </row>
    <row r="221" spans="1:33" s="56" customFormat="1" hidden="1" outlineLevel="1" x14ac:dyDescent="0.25">
      <c r="A221" s="597"/>
      <c r="B221" s="130"/>
      <c r="C221" s="616"/>
      <c r="D221" s="2114"/>
      <c r="E221" s="2117"/>
      <c r="F221" s="2171" t="str">
        <f t="shared" si="25"/>
        <v>CAC - SEER 15 ER1: MF</v>
      </c>
      <c r="G221" s="2172"/>
      <c r="H221" s="2173"/>
      <c r="I221" s="709"/>
      <c r="J221" s="730">
        <v>15.16</v>
      </c>
      <c r="K221" s="612"/>
      <c r="L221" s="1143" t="s">
        <v>1794</v>
      </c>
      <c r="M221" s="616"/>
      <c r="N221" s="616"/>
      <c r="O221" s="616"/>
      <c r="P221" s="130"/>
      <c r="Q221" s="130"/>
      <c r="R221" s="130"/>
      <c r="S221" s="130"/>
      <c r="T221" s="130"/>
      <c r="U221" s="130"/>
      <c r="V221" s="2120"/>
      <c r="W221" s="611">
        <v>15.2</v>
      </c>
      <c r="X221" s="614">
        <v>15.16</v>
      </c>
      <c r="Y221" s="611"/>
      <c r="Z221" s="611"/>
      <c r="AA221" s="611"/>
      <c r="AB221" s="611"/>
      <c r="AC221" s="611"/>
      <c r="AD221" s="611"/>
      <c r="AE221" s="611"/>
      <c r="AF221" s="611"/>
      <c r="AG221" s="611"/>
    </row>
    <row r="222" spans="1:33" s="56" customFormat="1" hidden="1" outlineLevel="1" x14ac:dyDescent="0.25">
      <c r="A222" s="597"/>
      <c r="B222" s="130"/>
      <c r="C222" s="616"/>
      <c r="D222" s="2114"/>
      <c r="E222" s="2117"/>
      <c r="F222" s="2171" t="str">
        <f t="shared" si="25"/>
        <v>CAC - SEER 15 ER2: MF</v>
      </c>
      <c r="G222" s="2172"/>
      <c r="H222" s="2173"/>
      <c r="I222" s="709"/>
      <c r="J222" s="730">
        <v>15.16</v>
      </c>
      <c r="K222" s="612"/>
      <c r="L222" s="1143" t="s">
        <v>1794</v>
      </c>
      <c r="M222" s="616"/>
      <c r="N222" s="616"/>
      <c r="O222" s="616"/>
      <c r="P222" s="130"/>
      <c r="Q222" s="130"/>
      <c r="R222" s="130"/>
      <c r="S222" s="130"/>
      <c r="T222" s="130"/>
      <c r="U222" s="130"/>
      <c r="V222" s="2120"/>
      <c r="W222" s="611">
        <v>15.2</v>
      </c>
      <c r="X222" s="614">
        <v>15.16</v>
      </c>
      <c r="Y222" s="611"/>
      <c r="Z222" s="611"/>
      <c r="AA222" s="611"/>
      <c r="AB222" s="611"/>
      <c r="AC222" s="611"/>
      <c r="AD222" s="611"/>
      <c r="AE222" s="611"/>
      <c r="AF222" s="611"/>
      <c r="AG222" s="611"/>
    </row>
    <row r="223" spans="1:33" s="56" customFormat="1" hidden="1" outlineLevel="1" x14ac:dyDescent="0.25">
      <c r="A223" s="597"/>
      <c r="B223" s="130"/>
      <c r="C223" s="616"/>
      <c r="D223" s="2114"/>
      <c r="E223" s="2117"/>
      <c r="F223" s="2171" t="str">
        <f t="shared" si="25"/>
        <v>CAC - SEER 15 ROF: MF</v>
      </c>
      <c r="G223" s="2172"/>
      <c r="H223" s="2173"/>
      <c r="I223" s="709"/>
      <c r="J223" s="730">
        <v>15.16</v>
      </c>
      <c r="K223" s="612"/>
      <c r="L223" s="1143" t="s">
        <v>1794</v>
      </c>
      <c r="M223" s="616"/>
      <c r="N223" s="616"/>
      <c r="O223" s="616"/>
      <c r="P223" s="130"/>
      <c r="Q223" s="130"/>
      <c r="R223" s="130"/>
      <c r="S223" s="130"/>
      <c r="T223" s="130"/>
      <c r="U223" s="130"/>
      <c r="V223" s="2120"/>
      <c r="W223" s="611">
        <v>15.1</v>
      </c>
      <c r="X223" s="614">
        <v>15.16</v>
      </c>
      <c r="Y223" s="611"/>
      <c r="Z223" s="611"/>
      <c r="AA223" s="611"/>
      <c r="AB223" s="611"/>
      <c r="AC223" s="611"/>
      <c r="AD223" s="611"/>
      <c r="AE223" s="611"/>
      <c r="AF223" s="611"/>
      <c r="AG223" s="611"/>
    </row>
    <row r="224" spans="1:33" s="56" customFormat="1" hidden="1" outlineLevel="1" x14ac:dyDescent="0.25">
      <c r="A224" s="597"/>
      <c r="B224" s="130"/>
      <c r="C224" s="616"/>
      <c r="D224" s="2114"/>
      <c r="E224" s="2117"/>
      <c r="F224" s="2171" t="str">
        <f t="shared" si="25"/>
        <v>CAC - SEER 16 ER1: SF</v>
      </c>
      <c r="G224" s="2172"/>
      <c r="H224" s="2173"/>
      <c r="I224" s="709">
        <v>949</v>
      </c>
      <c r="J224" s="730">
        <v>16.350000000000001</v>
      </c>
      <c r="K224" s="612"/>
      <c r="L224" s="730" t="s">
        <v>1794</v>
      </c>
      <c r="M224" s="616"/>
      <c r="N224" s="616"/>
      <c r="O224" s="616"/>
      <c r="P224" s="130"/>
      <c r="Q224" s="130"/>
      <c r="R224" s="130"/>
      <c r="S224" s="130"/>
      <c r="T224" s="130"/>
      <c r="U224" s="130"/>
      <c r="V224" s="2120"/>
      <c r="W224" s="611">
        <v>16</v>
      </c>
      <c r="X224" s="614">
        <v>16.350000000000001</v>
      </c>
      <c r="Y224" s="611"/>
      <c r="Z224" s="611"/>
      <c r="AA224" s="611"/>
      <c r="AB224" s="611"/>
      <c r="AC224" s="611"/>
      <c r="AD224" s="611"/>
      <c r="AE224" s="611"/>
      <c r="AF224" s="611"/>
      <c r="AG224" s="611"/>
    </row>
    <row r="225" spans="1:33" s="56" customFormat="1" hidden="1" outlineLevel="1" x14ac:dyDescent="0.25">
      <c r="A225" s="597"/>
      <c r="B225" s="130"/>
      <c r="C225" s="616"/>
      <c r="D225" s="2114"/>
      <c r="E225" s="2117"/>
      <c r="F225" s="2171" t="str">
        <f t="shared" si="25"/>
        <v>CAC - SEER 16 ER2: SF</v>
      </c>
      <c r="G225" s="2172"/>
      <c r="H225" s="2173"/>
      <c r="I225" s="709">
        <v>949</v>
      </c>
      <c r="J225" s="730">
        <v>16.350000000000001</v>
      </c>
      <c r="K225" s="612"/>
      <c r="L225" s="730" t="s">
        <v>1794</v>
      </c>
      <c r="M225" s="616"/>
      <c r="N225" s="616"/>
      <c r="O225" s="616"/>
      <c r="P225" s="130"/>
      <c r="Q225" s="130"/>
      <c r="R225" s="130"/>
      <c r="S225" s="130"/>
      <c r="T225" s="130"/>
      <c r="U225" s="130"/>
      <c r="V225" s="2120"/>
      <c r="W225" s="611">
        <v>16</v>
      </c>
      <c r="X225" s="614">
        <v>16.350000000000001</v>
      </c>
      <c r="Y225" s="611"/>
      <c r="Z225" s="611"/>
      <c r="AA225" s="611"/>
      <c r="AB225" s="611"/>
      <c r="AC225" s="611"/>
      <c r="AD225" s="611"/>
      <c r="AE225" s="611"/>
      <c r="AF225" s="611"/>
      <c r="AG225" s="611"/>
    </row>
    <row r="226" spans="1:33" s="56" customFormat="1" hidden="1" outlineLevel="1" x14ac:dyDescent="0.25">
      <c r="A226" s="597"/>
      <c r="B226" s="130"/>
      <c r="C226" s="616"/>
      <c r="D226" s="2114"/>
      <c r="E226" s="2117"/>
      <c r="F226" s="2171" t="str">
        <f t="shared" si="25"/>
        <v>CAC - SEER 16 ROF: SF</v>
      </c>
      <c r="G226" s="2172"/>
      <c r="H226" s="2173"/>
      <c r="I226" s="709">
        <v>948</v>
      </c>
      <c r="J226" s="730">
        <v>16.350000000000001</v>
      </c>
      <c r="K226" s="612"/>
      <c r="L226" s="730" t="s">
        <v>1794</v>
      </c>
      <c r="M226" s="616"/>
      <c r="N226" s="616"/>
      <c r="O226" s="616"/>
      <c r="P226" s="130"/>
      <c r="Q226" s="130"/>
      <c r="R226" s="130"/>
      <c r="S226" s="130"/>
      <c r="T226" s="130"/>
      <c r="U226" s="130"/>
      <c r="V226" s="2120"/>
      <c r="W226" s="611">
        <v>16</v>
      </c>
      <c r="X226" s="614">
        <v>16.350000000000001</v>
      </c>
      <c r="Y226" s="611"/>
      <c r="Z226" s="611"/>
      <c r="AA226" s="611"/>
      <c r="AB226" s="611"/>
      <c r="AC226" s="611"/>
      <c r="AD226" s="611"/>
      <c r="AE226" s="611"/>
      <c r="AF226" s="611"/>
      <c r="AG226" s="611"/>
    </row>
    <row r="227" spans="1:33" s="56" customFormat="1" hidden="1" outlineLevel="1" x14ac:dyDescent="0.25">
      <c r="A227" s="597"/>
      <c r="B227" s="130"/>
      <c r="C227" s="616"/>
      <c r="D227" s="2114"/>
      <c r="E227" s="2117"/>
      <c r="F227" s="2171" t="str">
        <f t="shared" si="25"/>
        <v>CAC - SEER 16 ER1: MF</v>
      </c>
      <c r="G227" s="2172"/>
      <c r="H227" s="2173"/>
      <c r="I227" s="709"/>
      <c r="J227" s="730">
        <v>16</v>
      </c>
      <c r="K227" s="612"/>
      <c r="L227" s="730" t="s">
        <v>1795</v>
      </c>
      <c r="M227" s="616"/>
      <c r="N227" s="616"/>
      <c r="O227" s="616"/>
      <c r="P227" s="130"/>
      <c r="Q227" s="130"/>
      <c r="R227" s="130"/>
      <c r="S227" s="130"/>
      <c r="T227" s="130"/>
      <c r="U227" s="130"/>
      <c r="V227" s="2120"/>
      <c r="W227" s="611">
        <v>16</v>
      </c>
      <c r="X227" s="614">
        <v>16</v>
      </c>
      <c r="Y227" s="611"/>
      <c r="Z227" s="611"/>
      <c r="AA227" s="611"/>
      <c r="AB227" s="611"/>
      <c r="AC227" s="611"/>
      <c r="AD227" s="611"/>
      <c r="AE227" s="611"/>
      <c r="AF227" s="611"/>
      <c r="AG227" s="611"/>
    </row>
    <row r="228" spans="1:33" s="56" customFormat="1" hidden="1" outlineLevel="1" x14ac:dyDescent="0.25">
      <c r="A228" s="597"/>
      <c r="B228" s="130"/>
      <c r="C228" s="616"/>
      <c r="D228" s="2114"/>
      <c r="E228" s="2117"/>
      <c r="F228" s="2171" t="str">
        <f t="shared" si="25"/>
        <v>CAC - SEER 16 ER2: MF</v>
      </c>
      <c r="G228" s="2172"/>
      <c r="H228" s="2173"/>
      <c r="I228" s="709"/>
      <c r="J228" s="730">
        <v>16</v>
      </c>
      <c r="K228" s="612"/>
      <c r="L228" s="730" t="s">
        <v>1795</v>
      </c>
      <c r="M228" s="616"/>
      <c r="N228" s="616"/>
      <c r="O228" s="616"/>
      <c r="P228" s="130"/>
      <c r="Q228" s="130"/>
      <c r="R228" s="130"/>
      <c r="S228" s="130"/>
      <c r="T228" s="130"/>
      <c r="U228" s="130"/>
      <c r="V228" s="2120"/>
      <c r="W228" s="611">
        <v>16</v>
      </c>
      <c r="X228" s="614">
        <v>16</v>
      </c>
      <c r="Y228" s="611"/>
      <c r="Z228" s="611"/>
      <c r="AA228" s="611"/>
      <c r="AB228" s="611"/>
      <c r="AC228" s="611"/>
      <c r="AD228" s="611"/>
      <c r="AE228" s="611"/>
      <c r="AF228" s="611"/>
      <c r="AG228" s="611"/>
    </row>
    <row r="229" spans="1:33" s="56" customFormat="1" hidden="1" outlineLevel="1" x14ac:dyDescent="0.25">
      <c r="A229" s="597"/>
      <c r="B229" s="130"/>
      <c r="C229" s="616"/>
      <c r="D229" s="2114"/>
      <c r="E229" s="2117"/>
      <c r="F229" s="2171" t="str">
        <f t="shared" ref="F229:F292" si="29">F205</f>
        <v>CAC - SEER 16 ROF: MF</v>
      </c>
      <c r="G229" s="2172"/>
      <c r="H229" s="2173"/>
      <c r="I229" s="709"/>
      <c r="J229" s="730">
        <v>16</v>
      </c>
      <c r="K229" s="612"/>
      <c r="L229" s="730" t="s">
        <v>1795</v>
      </c>
      <c r="M229" s="616"/>
      <c r="N229" s="616"/>
      <c r="O229" s="616"/>
      <c r="P229" s="130"/>
      <c r="Q229" s="130"/>
      <c r="R229" s="130"/>
      <c r="S229" s="130"/>
      <c r="T229" s="130"/>
      <c r="U229" s="130"/>
      <c r="V229" s="2120"/>
      <c r="W229" s="611">
        <v>16</v>
      </c>
      <c r="X229" s="614">
        <v>16</v>
      </c>
      <c r="Y229" s="611"/>
      <c r="Z229" s="611"/>
      <c r="AA229" s="611"/>
      <c r="AB229" s="611"/>
      <c r="AC229" s="611"/>
      <c r="AD229" s="611"/>
      <c r="AE229" s="611"/>
      <c r="AF229" s="611"/>
      <c r="AG229" s="611"/>
    </row>
    <row r="230" spans="1:33" s="56" customFormat="1" hidden="1" outlineLevel="1" x14ac:dyDescent="0.25">
      <c r="A230" s="597"/>
      <c r="B230" s="130"/>
      <c r="C230" s="616"/>
      <c r="D230" s="2114"/>
      <c r="E230" s="2117"/>
      <c r="F230" s="2171" t="str">
        <f t="shared" si="29"/>
        <v>CAC - SEER 17+ ER1: SF</v>
      </c>
      <c r="G230" s="2172"/>
      <c r="H230" s="2173"/>
      <c r="I230" s="709"/>
      <c r="J230" s="730">
        <v>17</v>
      </c>
      <c r="K230" s="612"/>
      <c r="L230" s="730" t="s">
        <v>974</v>
      </c>
      <c r="M230" s="616"/>
      <c r="N230" s="616"/>
      <c r="O230" s="616"/>
      <c r="P230" s="130"/>
      <c r="Q230" s="130"/>
      <c r="R230" s="130"/>
      <c r="S230" s="130"/>
      <c r="T230" s="130"/>
      <c r="U230" s="130"/>
      <c r="V230" s="2120"/>
      <c r="W230" s="611">
        <v>17</v>
      </c>
      <c r="X230" s="611">
        <f t="shared" ref="X230:X235" si="30">W230</f>
        <v>17</v>
      </c>
      <c r="Y230" s="611"/>
      <c r="Z230" s="611"/>
      <c r="AA230" s="611"/>
      <c r="AB230" s="611"/>
      <c r="AC230" s="611"/>
      <c r="AD230" s="611"/>
      <c r="AE230" s="611"/>
      <c r="AF230" s="611"/>
      <c r="AG230" s="611"/>
    </row>
    <row r="231" spans="1:33" s="56" customFormat="1" ht="14.45" hidden="1" customHeight="1" outlineLevel="1" x14ac:dyDescent="0.25">
      <c r="A231" s="597"/>
      <c r="B231" s="130"/>
      <c r="C231" s="616"/>
      <c r="D231" s="2114"/>
      <c r="E231" s="2117"/>
      <c r="F231" s="2171" t="str">
        <f t="shared" si="29"/>
        <v>CAC - SEER 17+ ER2: SF</v>
      </c>
      <c r="G231" s="2172"/>
      <c r="H231" s="2173"/>
      <c r="I231" s="709"/>
      <c r="J231" s="730">
        <v>17</v>
      </c>
      <c r="K231" s="612"/>
      <c r="L231" s="730" t="s">
        <v>974</v>
      </c>
      <c r="M231" s="616"/>
      <c r="N231" s="616"/>
      <c r="O231" s="616"/>
      <c r="P231" s="130"/>
      <c r="Q231" s="130"/>
      <c r="R231" s="130"/>
      <c r="S231" s="130"/>
      <c r="T231" s="130"/>
      <c r="U231" s="130"/>
      <c r="V231" s="2120"/>
      <c r="W231" s="611">
        <v>17</v>
      </c>
      <c r="X231" s="611">
        <f t="shared" si="30"/>
        <v>17</v>
      </c>
      <c r="Y231" s="611"/>
      <c r="Z231" s="611"/>
      <c r="AA231" s="611"/>
      <c r="AB231" s="611"/>
      <c r="AC231" s="611"/>
      <c r="AD231" s="611"/>
      <c r="AE231" s="611"/>
      <c r="AF231" s="611"/>
      <c r="AG231" s="611"/>
    </row>
    <row r="232" spans="1:33" s="56" customFormat="1" ht="14.45" hidden="1" customHeight="1" outlineLevel="1" x14ac:dyDescent="0.25">
      <c r="A232" s="597"/>
      <c r="B232" s="130"/>
      <c r="C232" s="616"/>
      <c r="D232" s="2114"/>
      <c r="E232" s="2117"/>
      <c r="F232" s="2171" t="str">
        <f t="shared" si="29"/>
        <v>CAC - SEER 17+ ROF: SF</v>
      </c>
      <c r="G232" s="2172"/>
      <c r="H232" s="2173"/>
      <c r="I232" s="709"/>
      <c r="J232" s="730">
        <v>17</v>
      </c>
      <c r="K232" s="612"/>
      <c r="L232" s="730" t="s">
        <v>974</v>
      </c>
      <c r="M232" s="616"/>
      <c r="N232" s="616"/>
      <c r="O232" s="616"/>
      <c r="P232" s="130"/>
      <c r="Q232" s="130"/>
      <c r="R232" s="130"/>
      <c r="S232" s="130"/>
      <c r="T232" s="130"/>
      <c r="U232" s="130"/>
      <c r="V232" s="2120"/>
      <c r="W232" s="611">
        <v>17</v>
      </c>
      <c r="X232" s="611">
        <f t="shared" si="30"/>
        <v>17</v>
      </c>
      <c r="Y232" s="611"/>
      <c r="Z232" s="611"/>
      <c r="AA232" s="611"/>
      <c r="AB232" s="611"/>
      <c r="AC232" s="611"/>
      <c r="AD232" s="611"/>
      <c r="AE232" s="611"/>
      <c r="AF232" s="611"/>
      <c r="AG232" s="611"/>
    </row>
    <row r="233" spans="1:33" s="56" customFormat="1" ht="14.45" hidden="1" customHeight="1" outlineLevel="1" x14ac:dyDescent="0.25">
      <c r="A233" s="597"/>
      <c r="B233" s="130"/>
      <c r="C233" s="616"/>
      <c r="D233" s="2114"/>
      <c r="E233" s="2117"/>
      <c r="F233" s="2171" t="str">
        <f t="shared" si="29"/>
        <v>CAC - SEER 17+ ER1: MF</v>
      </c>
      <c r="G233" s="2172"/>
      <c r="H233" s="2173"/>
      <c r="I233" s="709"/>
      <c r="J233" s="730">
        <v>17</v>
      </c>
      <c r="K233" s="612"/>
      <c r="L233" s="730" t="s">
        <v>974</v>
      </c>
      <c r="M233" s="616"/>
      <c r="N233" s="616"/>
      <c r="O233" s="616"/>
      <c r="P233" s="130"/>
      <c r="Q233" s="130"/>
      <c r="R233" s="130"/>
      <c r="S233" s="130"/>
      <c r="T233" s="130"/>
      <c r="U233" s="130"/>
      <c r="V233" s="2120"/>
      <c r="W233" s="611">
        <v>17</v>
      </c>
      <c r="X233" s="611">
        <f t="shared" si="30"/>
        <v>17</v>
      </c>
      <c r="Y233" s="611"/>
      <c r="Z233" s="611"/>
      <c r="AA233" s="611"/>
      <c r="AB233" s="611"/>
      <c r="AC233" s="611"/>
      <c r="AD233" s="611"/>
      <c r="AE233" s="611"/>
      <c r="AF233" s="611"/>
      <c r="AG233" s="611"/>
    </row>
    <row r="234" spans="1:33" s="56" customFormat="1" ht="14.45" hidden="1" customHeight="1" outlineLevel="1" x14ac:dyDescent="0.25">
      <c r="A234" s="597"/>
      <c r="B234" s="130"/>
      <c r="C234" s="616"/>
      <c r="D234" s="2114"/>
      <c r="E234" s="2117"/>
      <c r="F234" s="2171" t="str">
        <f t="shared" si="29"/>
        <v>CAC - SEER 17+ ER2: MF</v>
      </c>
      <c r="G234" s="2172"/>
      <c r="H234" s="2173"/>
      <c r="I234" s="709"/>
      <c r="J234" s="730">
        <v>17</v>
      </c>
      <c r="K234" s="612"/>
      <c r="L234" s="730" t="s">
        <v>974</v>
      </c>
      <c r="M234" s="616"/>
      <c r="N234" s="616"/>
      <c r="O234" s="616"/>
      <c r="P234" s="130"/>
      <c r="Q234" s="130"/>
      <c r="R234" s="130"/>
      <c r="S234" s="130"/>
      <c r="T234" s="130"/>
      <c r="U234" s="130"/>
      <c r="V234" s="2120"/>
      <c r="W234" s="611">
        <v>17</v>
      </c>
      <c r="X234" s="611">
        <f t="shared" si="30"/>
        <v>17</v>
      </c>
      <c r="Y234" s="611"/>
      <c r="Z234" s="611"/>
      <c r="AA234" s="611"/>
      <c r="AB234" s="611"/>
      <c r="AC234" s="611"/>
      <c r="AD234" s="611"/>
      <c r="AE234" s="611"/>
      <c r="AF234" s="611"/>
      <c r="AG234" s="611"/>
    </row>
    <row r="235" spans="1:33" s="56" customFormat="1" ht="15" hidden="1" customHeight="1" outlineLevel="1" thickBot="1" x14ac:dyDescent="0.3">
      <c r="A235" s="597"/>
      <c r="B235" s="130"/>
      <c r="C235" s="616"/>
      <c r="D235" s="2115"/>
      <c r="E235" s="2118"/>
      <c r="F235" s="2174" t="str">
        <f t="shared" si="29"/>
        <v>CAC - SEER 17+ ROF: MF</v>
      </c>
      <c r="G235" s="2175"/>
      <c r="H235" s="2176"/>
      <c r="I235" s="712"/>
      <c r="J235" s="622">
        <v>17</v>
      </c>
      <c r="K235" s="544"/>
      <c r="L235" s="622" t="s">
        <v>974</v>
      </c>
      <c r="M235" s="616"/>
      <c r="N235" s="616"/>
      <c r="O235" s="616"/>
      <c r="P235" s="130"/>
      <c r="Q235" s="130"/>
      <c r="R235" s="130"/>
      <c r="S235" s="130"/>
      <c r="T235" s="130"/>
      <c r="U235" s="130"/>
      <c r="V235" s="2121"/>
      <c r="W235" s="622">
        <v>17</v>
      </c>
      <c r="X235" s="622">
        <f t="shared" si="30"/>
        <v>17</v>
      </c>
      <c r="Y235" s="622"/>
      <c r="Z235" s="622"/>
      <c r="AA235" s="622"/>
      <c r="AB235" s="622"/>
      <c r="AC235" s="622"/>
      <c r="AD235" s="622"/>
      <c r="AE235" s="622"/>
      <c r="AF235" s="622"/>
      <c r="AG235" s="622"/>
    </row>
    <row r="236" spans="1:33" s="56" customFormat="1" ht="14.45" hidden="1" customHeight="1" outlineLevel="1" x14ac:dyDescent="0.25">
      <c r="A236" s="597"/>
      <c r="B236" s="130"/>
      <c r="C236" s="616"/>
      <c r="D236" s="2113" t="s">
        <v>975</v>
      </c>
      <c r="E236" s="2116" t="s">
        <v>976</v>
      </c>
      <c r="F236" s="2183" t="str">
        <f t="shared" si="29"/>
        <v>CAC - SEER 14 ER1: SF</v>
      </c>
      <c r="G236" s="2184"/>
      <c r="H236" s="2185"/>
      <c r="I236" s="707">
        <v>945</v>
      </c>
      <c r="J236" s="727">
        <v>8.33</v>
      </c>
      <c r="K236" s="606"/>
      <c r="L236" s="628" t="s">
        <v>1793</v>
      </c>
      <c r="M236" s="616"/>
      <c r="N236" s="616"/>
      <c r="O236" s="616"/>
      <c r="P236" s="130"/>
      <c r="Q236" s="130"/>
      <c r="R236" s="130"/>
      <c r="S236" s="130"/>
      <c r="T236" s="130"/>
      <c r="U236" s="130"/>
      <c r="V236" s="2119" t="str">
        <f>D236</f>
        <v>SEERexist</v>
      </c>
      <c r="W236" s="605">
        <v>8.1999999999999993</v>
      </c>
      <c r="X236" s="624">
        <v>8.33</v>
      </c>
      <c r="Y236" s="605"/>
      <c r="Z236" s="605"/>
      <c r="AA236" s="605"/>
      <c r="AB236" s="605"/>
      <c r="AC236" s="605"/>
      <c r="AD236" s="605"/>
      <c r="AE236" s="605"/>
      <c r="AF236" s="605"/>
      <c r="AG236" s="605"/>
    </row>
    <row r="237" spans="1:33" s="56" customFormat="1" ht="14.45" hidden="1" customHeight="1" outlineLevel="1" x14ac:dyDescent="0.25">
      <c r="A237" s="597"/>
      <c r="B237" s="130"/>
      <c r="C237" s="616"/>
      <c r="D237" s="2114"/>
      <c r="E237" s="2117"/>
      <c r="F237" s="2171" t="str">
        <f t="shared" si="29"/>
        <v>CAC - SEER 14 ER2: SF</v>
      </c>
      <c r="G237" s="2172"/>
      <c r="H237" s="2173"/>
      <c r="I237" s="709">
        <v>945</v>
      </c>
      <c r="J237" s="730"/>
      <c r="K237" s="612"/>
      <c r="L237" s="629"/>
      <c r="M237" s="616"/>
      <c r="N237" s="616"/>
      <c r="O237" s="616"/>
      <c r="P237" s="130"/>
      <c r="Q237" s="130"/>
      <c r="R237" s="130"/>
      <c r="S237" s="130"/>
      <c r="T237" s="130"/>
      <c r="U237" s="130"/>
      <c r="V237" s="2120"/>
      <c r="W237" s="611"/>
      <c r="X237" s="611"/>
      <c r="Y237" s="611"/>
      <c r="Z237" s="611"/>
      <c r="AA237" s="611"/>
      <c r="AB237" s="611"/>
      <c r="AC237" s="611"/>
      <c r="AD237" s="611"/>
      <c r="AE237" s="611"/>
      <c r="AF237" s="611"/>
      <c r="AG237" s="611"/>
    </row>
    <row r="238" spans="1:33" s="56" customFormat="1" ht="14.45" hidden="1" customHeight="1" outlineLevel="1" x14ac:dyDescent="0.25">
      <c r="A238" s="597"/>
      <c r="B238" s="130"/>
      <c r="C238" s="616"/>
      <c r="D238" s="2114"/>
      <c r="E238" s="2117"/>
      <c r="F238" s="2171" t="str">
        <f t="shared" si="29"/>
        <v>CAC - SEER 14 ROF: SF</v>
      </c>
      <c r="G238" s="2172"/>
      <c r="H238" s="2173"/>
      <c r="I238" s="709">
        <v>944</v>
      </c>
      <c r="J238" s="631"/>
      <c r="K238" s="612"/>
      <c r="L238" s="629"/>
      <c r="M238" s="616"/>
      <c r="N238" s="616"/>
      <c r="O238" s="616"/>
      <c r="P238" s="130"/>
      <c r="Q238" s="130"/>
      <c r="R238" s="130"/>
      <c r="S238" s="130"/>
      <c r="T238" s="130"/>
      <c r="U238" s="130"/>
      <c r="V238" s="2120"/>
      <c r="W238" s="611"/>
      <c r="X238" s="631"/>
      <c r="Y238" s="611"/>
      <c r="Z238" s="611"/>
      <c r="AA238" s="611"/>
      <c r="AB238" s="611"/>
      <c r="AC238" s="611"/>
      <c r="AD238" s="611"/>
      <c r="AE238" s="611"/>
      <c r="AF238" s="611"/>
      <c r="AG238" s="611"/>
    </row>
    <row r="239" spans="1:33" s="56" customFormat="1" hidden="1" outlineLevel="1" x14ac:dyDescent="0.25">
      <c r="A239" s="597"/>
      <c r="B239" s="130"/>
      <c r="C239" s="616"/>
      <c r="D239" s="2114"/>
      <c r="E239" s="2117"/>
      <c r="F239" s="2171" t="str">
        <f t="shared" si="29"/>
        <v>CAC - SEER 14 ER1: MF</v>
      </c>
      <c r="G239" s="2172"/>
      <c r="H239" s="2173"/>
      <c r="I239" s="709"/>
      <c r="J239" s="730">
        <v>8.33</v>
      </c>
      <c r="K239" s="612"/>
      <c r="L239" s="629"/>
      <c r="M239" s="616"/>
      <c r="N239" s="616"/>
      <c r="O239" s="616"/>
      <c r="P239" s="130"/>
      <c r="Q239" s="130"/>
      <c r="R239" s="130"/>
      <c r="S239" s="130"/>
      <c r="T239" s="130"/>
      <c r="U239" s="130"/>
      <c r="V239" s="2120"/>
      <c r="W239" s="611">
        <v>8.1999999999999993</v>
      </c>
      <c r="X239" s="614">
        <v>8.33</v>
      </c>
      <c r="Y239" s="611"/>
      <c r="Z239" s="611"/>
      <c r="AA239" s="611"/>
      <c r="AB239" s="611"/>
      <c r="AC239" s="611"/>
      <c r="AD239" s="611"/>
      <c r="AE239" s="611"/>
      <c r="AF239" s="611"/>
      <c r="AG239" s="611"/>
    </row>
    <row r="240" spans="1:33" s="56" customFormat="1" hidden="1" outlineLevel="1" x14ac:dyDescent="0.25">
      <c r="A240" s="597"/>
      <c r="B240" s="130"/>
      <c r="C240" s="616"/>
      <c r="D240" s="2114"/>
      <c r="E240" s="2117"/>
      <c r="F240" s="2171" t="str">
        <f t="shared" si="29"/>
        <v>CAC - SEER 14 ER2: MF</v>
      </c>
      <c r="G240" s="2172"/>
      <c r="H240" s="2173"/>
      <c r="I240" s="709"/>
      <c r="J240" s="730"/>
      <c r="K240" s="612"/>
      <c r="L240" s="629"/>
      <c r="M240" s="616"/>
      <c r="N240" s="616"/>
      <c r="O240" s="616"/>
      <c r="P240" s="130"/>
      <c r="Q240" s="130"/>
      <c r="R240" s="130"/>
      <c r="S240" s="130"/>
      <c r="T240" s="130"/>
      <c r="U240" s="130"/>
      <c r="V240" s="2120"/>
      <c r="W240" s="611"/>
      <c r="X240" s="611"/>
      <c r="Y240" s="611"/>
      <c r="Z240" s="611"/>
      <c r="AA240" s="611"/>
      <c r="AB240" s="611"/>
      <c r="AC240" s="611"/>
      <c r="AD240" s="611"/>
      <c r="AE240" s="611"/>
      <c r="AF240" s="611"/>
      <c r="AG240" s="611"/>
    </row>
    <row r="241" spans="1:33" s="56" customFormat="1" hidden="1" outlineLevel="1" x14ac:dyDescent="0.25">
      <c r="A241" s="597"/>
      <c r="B241" s="130"/>
      <c r="C241" s="616"/>
      <c r="D241" s="2114"/>
      <c r="E241" s="2117"/>
      <c r="F241" s="2171" t="str">
        <f t="shared" si="29"/>
        <v>CAC - SEER 14 ROF: MF</v>
      </c>
      <c r="G241" s="2172"/>
      <c r="H241" s="2173"/>
      <c r="I241" s="709"/>
      <c r="J241" s="730"/>
      <c r="K241" s="612"/>
      <c r="L241" s="629"/>
      <c r="M241" s="616"/>
      <c r="N241" s="616"/>
      <c r="O241" s="616"/>
      <c r="P241" s="130"/>
      <c r="Q241" s="130"/>
      <c r="R241" s="130"/>
      <c r="S241" s="130"/>
      <c r="T241" s="130"/>
      <c r="U241" s="130"/>
      <c r="V241" s="2120"/>
      <c r="W241" s="611"/>
      <c r="X241" s="611"/>
      <c r="Y241" s="611"/>
      <c r="Z241" s="611"/>
      <c r="AA241" s="611"/>
      <c r="AB241" s="611"/>
      <c r="AC241" s="611"/>
      <c r="AD241" s="611"/>
      <c r="AE241" s="611"/>
      <c r="AF241" s="611"/>
      <c r="AG241" s="611"/>
    </row>
    <row r="242" spans="1:33" s="56" customFormat="1" hidden="1" outlineLevel="1" x14ac:dyDescent="0.25">
      <c r="A242" s="597"/>
      <c r="B242" s="130"/>
      <c r="C242" s="616"/>
      <c r="D242" s="2114"/>
      <c r="E242" s="2117"/>
      <c r="F242" s="2171" t="str">
        <f t="shared" si="29"/>
        <v>CAC - SEER 15 ER1: SF</v>
      </c>
      <c r="G242" s="2172"/>
      <c r="H242" s="2173"/>
      <c r="I242" s="709">
        <v>947</v>
      </c>
      <c r="J242" s="730">
        <v>8.33</v>
      </c>
      <c r="K242" s="612"/>
      <c r="L242" s="629"/>
      <c r="M242" s="616"/>
      <c r="N242" s="616"/>
      <c r="O242" s="616"/>
      <c r="P242" s="130"/>
      <c r="Q242" s="130"/>
      <c r="R242" s="130"/>
      <c r="S242" s="130"/>
      <c r="T242" s="130"/>
      <c r="U242" s="130"/>
      <c r="V242" s="2120"/>
      <c r="W242" s="611">
        <v>8.1999999999999993</v>
      </c>
      <c r="X242" s="614">
        <v>8.33</v>
      </c>
      <c r="Y242" s="611"/>
      <c r="Z242" s="611"/>
      <c r="AA242" s="611"/>
      <c r="AB242" s="611"/>
      <c r="AC242" s="611"/>
      <c r="AD242" s="611"/>
      <c r="AE242" s="611"/>
      <c r="AF242" s="611"/>
      <c r="AG242" s="611"/>
    </row>
    <row r="243" spans="1:33" s="56" customFormat="1" hidden="1" outlineLevel="1" x14ac:dyDescent="0.25">
      <c r="A243" s="597"/>
      <c r="B243" s="130"/>
      <c r="C243" s="616"/>
      <c r="D243" s="2114"/>
      <c r="E243" s="2117"/>
      <c r="F243" s="2171" t="str">
        <f t="shared" si="29"/>
        <v>CAC - SEER 15 ER2: SF</v>
      </c>
      <c r="G243" s="2172"/>
      <c r="H243" s="2173"/>
      <c r="I243" s="709">
        <v>947</v>
      </c>
      <c r="J243" s="730"/>
      <c r="K243" s="612"/>
      <c r="L243" s="629"/>
      <c r="M243" s="616"/>
      <c r="N243" s="616"/>
      <c r="O243" s="616"/>
      <c r="P243" s="130"/>
      <c r="Q243" s="130"/>
      <c r="R243" s="130"/>
      <c r="S243" s="130"/>
      <c r="T243" s="130"/>
      <c r="U243" s="130"/>
      <c r="V243" s="2120"/>
      <c r="W243" s="611"/>
      <c r="X243" s="611"/>
      <c r="Y243" s="611"/>
      <c r="Z243" s="611"/>
      <c r="AA243" s="611"/>
      <c r="AB243" s="611"/>
      <c r="AC243" s="611"/>
      <c r="AD243" s="611"/>
      <c r="AE243" s="611"/>
      <c r="AF243" s="611"/>
      <c r="AG243" s="611"/>
    </row>
    <row r="244" spans="1:33" s="56" customFormat="1" hidden="1" outlineLevel="1" x14ac:dyDescent="0.25">
      <c r="A244" s="597"/>
      <c r="B244" s="130"/>
      <c r="C244" s="616"/>
      <c r="D244" s="2114"/>
      <c r="E244" s="2117"/>
      <c r="F244" s="2171" t="str">
        <f t="shared" si="29"/>
        <v>CAC - SEER 15 ROF: SF</v>
      </c>
      <c r="G244" s="2172"/>
      <c r="H244" s="2173"/>
      <c r="I244" s="709">
        <v>946</v>
      </c>
      <c r="J244" s="730"/>
      <c r="K244" s="612"/>
      <c r="L244" s="629"/>
      <c r="M244" s="616"/>
      <c r="N244" s="616"/>
      <c r="O244" s="616"/>
      <c r="P244" s="130"/>
      <c r="Q244" s="130"/>
      <c r="R244" s="130"/>
      <c r="S244" s="130"/>
      <c r="T244" s="130"/>
      <c r="U244" s="130"/>
      <c r="V244" s="2120"/>
      <c r="W244" s="611"/>
      <c r="X244" s="611"/>
      <c r="Y244" s="611"/>
      <c r="Z244" s="611"/>
      <c r="AA244" s="611"/>
      <c r="AB244" s="611"/>
      <c r="AC244" s="611"/>
      <c r="AD244" s="611"/>
      <c r="AE244" s="611"/>
      <c r="AF244" s="611"/>
      <c r="AG244" s="611"/>
    </row>
    <row r="245" spans="1:33" s="56" customFormat="1" hidden="1" outlineLevel="1" x14ac:dyDescent="0.25">
      <c r="A245" s="597"/>
      <c r="B245" s="130"/>
      <c r="C245" s="616"/>
      <c r="D245" s="2114"/>
      <c r="E245" s="2117"/>
      <c r="F245" s="2171" t="str">
        <f t="shared" si="29"/>
        <v>CAC - SEER 15 ER1: MF</v>
      </c>
      <c r="G245" s="2172"/>
      <c r="H245" s="2173"/>
      <c r="I245" s="709"/>
      <c r="J245" s="730">
        <v>8.33</v>
      </c>
      <c r="K245" s="612"/>
      <c r="L245" s="629"/>
      <c r="M245" s="616"/>
      <c r="N245" s="616"/>
      <c r="O245" s="616"/>
      <c r="P245" s="130"/>
      <c r="Q245" s="130"/>
      <c r="R245" s="130"/>
      <c r="S245" s="130"/>
      <c r="T245" s="130"/>
      <c r="U245" s="130"/>
      <c r="V245" s="2120"/>
      <c r="W245" s="611">
        <v>8.1999999999999993</v>
      </c>
      <c r="X245" s="614">
        <v>8.33</v>
      </c>
      <c r="Y245" s="611"/>
      <c r="Z245" s="611"/>
      <c r="AA245" s="611"/>
      <c r="AB245" s="611"/>
      <c r="AC245" s="611"/>
      <c r="AD245" s="611"/>
      <c r="AE245" s="611"/>
      <c r="AF245" s="611"/>
      <c r="AG245" s="611"/>
    </row>
    <row r="246" spans="1:33" s="56" customFormat="1" hidden="1" outlineLevel="1" x14ac:dyDescent="0.25">
      <c r="A246" s="597"/>
      <c r="B246" s="130"/>
      <c r="C246" s="616"/>
      <c r="D246" s="2114"/>
      <c r="E246" s="2117"/>
      <c r="F246" s="2171" t="str">
        <f t="shared" si="29"/>
        <v>CAC - SEER 15 ER2: MF</v>
      </c>
      <c r="G246" s="2172"/>
      <c r="H246" s="2173"/>
      <c r="I246" s="709"/>
      <c r="J246" s="730"/>
      <c r="K246" s="612"/>
      <c r="L246" s="629"/>
      <c r="M246" s="616"/>
      <c r="N246" s="616"/>
      <c r="O246" s="616"/>
      <c r="P246" s="130"/>
      <c r="Q246" s="130"/>
      <c r="R246" s="130"/>
      <c r="S246" s="130"/>
      <c r="T246" s="130"/>
      <c r="U246" s="130"/>
      <c r="V246" s="2120"/>
      <c r="W246" s="611"/>
      <c r="X246" s="611"/>
      <c r="Y246" s="611"/>
      <c r="Z246" s="611"/>
      <c r="AA246" s="611"/>
      <c r="AB246" s="611"/>
      <c r="AC246" s="611"/>
      <c r="AD246" s="611"/>
      <c r="AE246" s="611"/>
      <c r="AF246" s="611"/>
      <c r="AG246" s="611"/>
    </row>
    <row r="247" spans="1:33" s="56" customFormat="1" hidden="1" outlineLevel="1" x14ac:dyDescent="0.25">
      <c r="A247" s="597"/>
      <c r="B247" s="130"/>
      <c r="C247" s="616"/>
      <c r="D247" s="2114"/>
      <c r="E247" s="2117"/>
      <c r="F247" s="2171" t="str">
        <f t="shared" si="29"/>
        <v>CAC - SEER 15 ROF: MF</v>
      </c>
      <c r="G247" s="2172"/>
      <c r="H247" s="2173"/>
      <c r="I247" s="709"/>
      <c r="J247" s="730"/>
      <c r="K247" s="612"/>
      <c r="L247" s="629"/>
      <c r="M247" s="616"/>
      <c r="N247" s="616"/>
      <c r="O247" s="616"/>
      <c r="P247" s="130"/>
      <c r="Q247" s="130"/>
      <c r="R247" s="130"/>
      <c r="S247" s="130"/>
      <c r="T247" s="130"/>
      <c r="U247" s="130"/>
      <c r="V247" s="2120"/>
      <c r="W247" s="611"/>
      <c r="X247" s="611"/>
      <c r="Y247" s="611"/>
      <c r="Z247" s="611"/>
      <c r="AA247" s="611"/>
      <c r="AB247" s="611"/>
      <c r="AC247" s="611"/>
      <c r="AD247" s="611"/>
      <c r="AE247" s="611"/>
      <c r="AF247" s="611"/>
      <c r="AG247" s="611"/>
    </row>
    <row r="248" spans="1:33" s="56" customFormat="1" hidden="1" outlineLevel="1" x14ac:dyDescent="0.25">
      <c r="A248" s="597"/>
      <c r="B248" s="130"/>
      <c r="C248" s="616"/>
      <c r="D248" s="2114"/>
      <c r="E248" s="2117"/>
      <c r="F248" s="2171" t="str">
        <f t="shared" si="29"/>
        <v>CAC - SEER 16 ER1: SF</v>
      </c>
      <c r="G248" s="2172"/>
      <c r="H248" s="2173"/>
      <c r="I248" s="709">
        <v>949</v>
      </c>
      <c r="J248" s="730">
        <v>8.33</v>
      </c>
      <c r="K248" s="612"/>
      <c r="L248" s="629"/>
      <c r="M248" s="616"/>
      <c r="N248" s="616"/>
      <c r="O248" s="616"/>
      <c r="P248" s="130"/>
      <c r="Q248" s="130"/>
      <c r="R248" s="130"/>
      <c r="S248" s="130"/>
      <c r="T248" s="130"/>
      <c r="U248" s="130"/>
      <c r="V248" s="2120"/>
      <c r="W248" s="611">
        <v>8.1999999999999993</v>
      </c>
      <c r="X248" s="614">
        <v>8.33</v>
      </c>
      <c r="Y248" s="611"/>
      <c r="Z248" s="611"/>
      <c r="AA248" s="611"/>
      <c r="AB248" s="611"/>
      <c r="AC248" s="611"/>
      <c r="AD248" s="611"/>
      <c r="AE248" s="611"/>
      <c r="AF248" s="611"/>
      <c r="AG248" s="611"/>
    </row>
    <row r="249" spans="1:33" s="56" customFormat="1" hidden="1" outlineLevel="1" x14ac:dyDescent="0.25">
      <c r="A249" s="597"/>
      <c r="B249" s="130"/>
      <c r="C249" s="616"/>
      <c r="D249" s="2114"/>
      <c r="E249" s="2117"/>
      <c r="F249" s="2171" t="str">
        <f t="shared" si="29"/>
        <v>CAC - SEER 16 ER2: SF</v>
      </c>
      <c r="G249" s="2172"/>
      <c r="H249" s="2173"/>
      <c r="I249" s="709">
        <v>949</v>
      </c>
      <c r="J249" s="730"/>
      <c r="K249" s="612"/>
      <c r="L249" s="629"/>
      <c r="M249" s="616"/>
      <c r="N249" s="616"/>
      <c r="O249" s="616"/>
      <c r="P249" s="130"/>
      <c r="Q249" s="130"/>
      <c r="R249" s="130"/>
      <c r="S249" s="130"/>
      <c r="T249" s="130"/>
      <c r="U249" s="130"/>
      <c r="V249" s="2120"/>
      <c r="W249" s="611"/>
      <c r="X249" s="611"/>
      <c r="Y249" s="611"/>
      <c r="Z249" s="611"/>
      <c r="AA249" s="611"/>
      <c r="AB249" s="611"/>
      <c r="AC249" s="611"/>
      <c r="AD249" s="611"/>
      <c r="AE249" s="611"/>
      <c r="AF249" s="611"/>
      <c r="AG249" s="611"/>
    </row>
    <row r="250" spans="1:33" s="56" customFormat="1" hidden="1" outlineLevel="1" x14ac:dyDescent="0.25">
      <c r="A250" s="597"/>
      <c r="B250" s="130"/>
      <c r="C250" s="616"/>
      <c r="D250" s="2114"/>
      <c r="E250" s="2117"/>
      <c r="F250" s="2171" t="str">
        <f t="shared" si="29"/>
        <v>CAC - SEER 16 ROF: SF</v>
      </c>
      <c r="G250" s="2172"/>
      <c r="H250" s="2173"/>
      <c r="I250" s="709">
        <v>948</v>
      </c>
      <c r="J250" s="730"/>
      <c r="K250" s="612"/>
      <c r="L250" s="629"/>
      <c r="M250" s="616"/>
      <c r="N250" s="616"/>
      <c r="O250" s="616"/>
      <c r="P250" s="130"/>
      <c r="Q250" s="130"/>
      <c r="R250" s="130"/>
      <c r="S250" s="130"/>
      <c r="T250" s="130"/>
      <c r="U250" s="130"/>
      <c r="V250" s="2120"/>
      <c r="W250" s="611"/>
      <c r="X250" s="611"/>
      <c r="Y250" s="611"/>
      <c r="Z250" s="611"/>
      <c r="AA250" s="611"/>
      <c r="AB250" s="611"/>
      <c r="AC250" s="611"/>
      <c r="AD250" s="611"/>
      <c r="AE250" s="611"/>
      <c r="AF250" s="611"/>
      <c r="AG250" s="611"/>
    </row>
    <row r="251" spans="1:33" s="56" customFormat="1" hidden="1" outlineLevel="1" x14ac:dyDescent="0.25">
      <c r="A251" s="597"/>
      <c r="B251" s="130"/>
      <c r="C251" s="616"/>
      <c r="D251" s="2114"/>
      <c r="E251" s="2117"/>
      <c r="F251" s="2171" t="str">
        <f t="shared" si="29"/>
        <v>CAC - SEER 16 ER1: MF</v>
      </c>
      <c r="G251" s="2172"/>
      <c r="H251" s="2173"/>
      <c r="I251" s="709"/>
      <c r="J251" s="730">
        <v>8.33</v>
      </c>
      <c r="K251" s="612"/>
      <c r="L251" s="629"/>
      <c r="M251" s="616"/>
      <c r="N251" s="616"/>
      <c r="O251" s="616"/>
      <c r="P251" s="130"/>
      <c r="Q251" s="130"/>
      <c r="R251" s="130"/>
      <c r="S251" s="130"/>
      <c r="T251" s="130"/>
      <c r="U251" s="130"/>
      <c r="V251" s="2120"/>
      <c r="W251" s="611">
        <v>8.1999999999999993</v>
      </c>
      <c r="X251" s="614">
        <v>8.33</v>
      </c>
      <c r="Y251" s="611"/>
      <c r="Z251" s="611"/>
      <c r="AA251" s="611"/>
      <c r="AB251" s="611"/>
      <c r="AC251" s="611"/>
      <c r="AD251" s="611"/>
      <c r="AE251" s="611"/>
      <c r="AF251" s="611"/>
      <c r="AG251" s="611"/>
    </row>
    <row r="252" spans="1:33" s="56" customFormat="1" hidden="1" outlineLevel="1" x14ac:dyDescent="0.25">
      <c r="A252" s="597"/>
      <c r="B252" s="130"/>
      <c r="C252" s="616"/>
      <c r="D252" s="2114"/>
      <c r="E252" s="2117"/>
      <c r="F252" s="2171" t="str">
        <f t="shared" si="29"/>
        <v>CAC - SEER 16 ER2: MF</v>
      </c>
      <c r="G252" s="2172"/>
      <c r="H252" s="2173"/>
      <c r="I252" s="709"/>
      <c r="J252" s="730"/>
      <c r="K252" s="612"/>
      <c r="L252" s="629"/>
      <c r="M252" s="616"/>
      <c r="N252" s="616"/>
      <c r="O252" s="616"/>
      <c r="P252" s="130"/>
      <c r="Q252" s="130"/>
      <c r="R252" s="130"/>
      <c r="S252" s="130"/>
      <c r="T252" s="130"/>
      <c r="U252" s="130"/>
      <c r="V252" s="2120"/>
      <c r="W252" s="611"/>
      <c r="X252" s="611"/>
      <c r="Y252" s="611"/>
      <c r="Z252" s="611"/>
      <c r="AA252" s="611"/>
      <c r="AB252" s="611"/>
      <c r="AC252" s="611"/>
      <c r="AD252" s="611"/>
      <c r="AE252" s="611"/>
      <c r="AF252" s="611"/>
      <c r="AG252" s="611"/>
    </row>
    <row r="253" spans="1:33" s="56" customFormat="1" hidden="1" outlineLevel="1" x14ac:dyDescent="0.25">
      <c r="A253" s="597"/>
      <c r="B253" s="130"/>
      <c r="C253" s="616"/>
      <c r="D253" s="2114"/>
      <c r="E253" s="2117"/>
      <c r="F253" s="2171" t="str">
        <f t="shared" si="29"/>
        <v>CAC - SEER 16 ROF: MF</v>
      </c>
      <c r="G253" s="2172"/>
      <c r="H253" s="2173"/>
      <c r="I253" s="709"/>
      <c r="J253" s="730"/>
      <c r="K253" s="612"/>
      <c r="L253" s="629"/>
      <c r="M253" s="616"/>
      <c r="N253" s="616"/>
      <c r="O253" s="616"/>
      <c r="P253" s="130"/>
      <c r="Q253" s="130"/>
      <c r="R253" s="130"/>
      <c r="S253" s="130"/>
      <c r="T253" s="130"/>
      <c r="U253" s="130"/>
      <c r="V253" s="2120"/>
      <c r="W253" s="611"/>
      <c r="X253" s="611"/>
      <c r="Y253" s="611"/>
      <c r="Z253" s="611"/>
      <c r="AA253" s="611"/>
      <c r="AB253" s="611"/>
      <c r="AC253" s="611"/>
      <c r="AD253" s="611"/>
      <c r="AE253" s="611"/>
      <c r="AF253" s="611"/>
      <c r="AG253" s="611"/>
    </row>
    <row r="254" spans="1:33" s="56" customFormat="1" hidden="1" outlineLevel="1" x14ac:dyDescent="0.25">
      <c r="A254" s="597"/>
      <c r="B254" s="130"/>
      <c r="C254" s="616"/>
      <c r="D254" s="2114"/>
      <c r="E254" s="2117"/>
      <c r="F254" s="2171" t="str">
        <f t="shared" si="29"/>
        <v>CAC - SEER 17+ ER1: SF</v>
      </c>
      <c r="G254" s="2172"/>
      <c r="H254" s="2173"/>
      <c r="I254" s="709"/>
      <c r="J254" s="730">
        <v>8.33</v>
      </c>
      <c r="K254" s="612"/>
      <c r="L254" s="629"/>
      <c r="M254" s="616"/>
      <c r="N254" s="616"/>
      <c r="O254" s="616"/>
      <c r="P254" s="130"/>
      <c r="Q254" s="130"/>
      <c r="R254" s="130"/>
      <c r="S254" s="130"/>
      <c r="T254" s="130"/>
      <c r="U254" s="130"/>
      <c r="V254" s="2120"/>
      <c r="W254" s="611">
        <v>8.1999999999999993</v>
      </c>
      <c r="X254" s="614">
        <v>8.33</v>
      </c>
      <c r="Y254" s="611"/>
      <c r="Z254" s="611"/>
      <c r="AA254" s="611"/>
      <c r="AB254" s="611"/>
      <c r="AC254" s="611"/>
      <c r="AD254" s="611"/>
      <c r="AE254" s="611"/>
      <c r="AF254" s="611"/>
      <c r="AG254" s="611"/>
    </row>
    <row r="255" spans="1:33" s="56" customFormat="1" ht="14.45" hidden="1" customHeight="1" outlineLevel="1" x14ac:dyDescent="0.25">
      <c r="A255" s="597"/>
      <c r="B255" s="130"/>
      <c r="C255" s="616"/>
      <c r="D255" s="2114"/>
      <c r="E255" s="2117"/>
      <c r="F255" s="2171" t="str">
        <f t="shared" si="29"/>
        <v>CAC - SEER 17+ ER2: SF</v>
      </c>
      <c r="G255" s="2172"/>
      <c r="H255" s="2173"/>
      <c r="I255" s="709"/>
      <c r="J255" s="730"/>
      <c r="K255" s="612"/>
      <c r="L255" s="629"/>
      <c r="M255" s="616"/>
      <c r="N255" s="616"/>
      <c r="O255" s="616"/>
      <c r="P255" s="130"/>
      <c r="Q255" s="130"/>
      <c r="R255" s="130"/>
      <c r="S255" s="130"/>
      <c r="T255" s="130"/>
      <c r="U255" s="130"/>
      <c r="V255" s="2120"/>
      <c r="W255" s="611"/>
      <c r="X255" s="611"/>
      <c r="Y255" s="611"/>
      <c r="Z255" s="611"/>
      <c r="AA255" s="611"/>
      <c r="AB255" s="611"/>
      <c r="AC255" s="611"/>
      <c r="AD255" s="611"/>
      <c r="AE255" s="611"/>
      <c r="AF255" s="611"/>
      <c r="AG255" s="611"/>
    </row>
    <row r="256" spans="1:33" s="56" customFormat="1" ht="14.45" hidden="1" customHeight="1" outlineLevel="1" x14ac:dyDescent="0.25">
      <c r="A256" s="597"/>
      <c r="B256" s="130"/>
      <c r="C256" s="616"/>
      <c r="D256" s="2114"/>
      <c r="E256" s="2117"/>
      <c r="F256" s="2171" t="str">
        <f t="shared" si="29"/>
        <v>CAC - SEER 17+ ROF: SF</v>
      </c>
      <c r="G256" s="2172"/>
      <c r="H256" s="2173"/>
      <c r="I256" s="709"/>
      <c r="J256" s="730"/>
      <c r="K256" s="612"/>
      <c r="L256" s="629"/>
      <c r="M256" s="616"/>
      <c r="N256" s="616"/>
      <c r="O256" s="616"/>
      <c r="P256" s="130"/>
      <c r="Q256" s="130"/>
      <c r="R256" s="130"/>
      <c r="S256" s="130"/>
      <c r="T256" s="130"/>
      <c r="U256" s="130"/>
      <c r="V256" s="2120"/>
      <c r="W256" s="611"/>
      <c r="X256" s="611"/>
      <c r="Y256" s="611"/>
      <c r="Z256" s="611"/>
      <c r="AA256" s="611"/>
      <c r="AB256" s="611"/>
      <c r="AC256" s="611"/>
      <c r="AD256" s="611"/>
      <c r="AE256" s="611"/>
      <c r="AF256" s="611"/>
      <c r="AG256" s="611"/>
    </row>
    <row r="257" spans="1:33" s="56" customFormat="1" ht="14.45" hidden="1" customHeight="1" outlineLevel="1" x14ac:dyDescent="0.25">
      <c r="A257" s="597"/>
      <c r="B257" s="130"/>
      <c r="C257" s="616"/>
      <c r="D257" s="2114"/>
      <c r="E257" s="2117"/>
      <c r="F257" s="2171" t="str">
        <f t="shared" si="29"/>
        <v>CAC - SEER 17+ ER1: MF</v>
      </c>
      <c r="G257" s="2172"/>
      <c r="H257" s="2173"/>
      <c r="I257" s="709"/>
      <c r="J257" s="730">
        <v>8.33</v>
      </c>
      <c r="K257" s="612"/>
      <c r="L257" s="629"/>
      <c r="M257" s="616"/>
      <c r="N257" s="616"/>
      <c r="O257" s="616"/>
      <c r="P257" s="130"/>
      <c r="Q257" s="130"/>
      <c r="R257" s="130"/>
      <c r="S257" s="130"/>
      <c r="T257" s="130"/>
      <c r="U257" s="130"/>
      <c r="V257" s="2120"/>
      <c r="W257" s="611">
        <v>8.1999999999999993</v>
      </c>
      <c r="X257" s="614">
        <v>8.33</v>
      </c>
      <c r="Y257" s="611"/>
      <c r="Z257" s="611"/>
      <c r="AA257" s="611"/>
      <c r="AB257" s="611"/>
      <c r="AC257" s="611"/>
      <c r="AD257" s="611"/>
      <c r="AE257" s="611"/>
      <c r="AF257" s="611"/>
      <c r="AG257" s="611"/>
    </row>
    <row r="258" spans="1:33" s="56" customFormat="1" ht="14.45" hidden="1" customHeight="1" outlineLevel="1" x14ac:dyDescent="0.25">
      <c r="A258" s="597"/>
      <c r="B258" s="130"/>
      <c r="C258" s="616"/>
      <c r="D258" s="2114"/>
      <c r="E258" s="2117"/>
      <c r="F258" s="2171" t="str">
        <f t="shared" si="29"/>
        <v>CAC - SEER 17+ ER2: MF</v>
      </c>
      <c r="G258" s="2172"/>
      <c r="H258" s="2173"/>
      <c r="I258" s="709"/>
      <c r="J258" s="730"/>
      <c r="K258" s="612"/>
      <c r="L258" s="613"/>
      <c r="M258" s="616"/>
      <c r="N258" s="616"/>
      <c r="O258" s="616"/>
      <c r="P258" s="130"/>
      <c r="Q258" s="130"/>
      <c r="R258" s="130"/>
      <c r="S258" s="130"/>
      <c r="T258" s="130"/>
      <c r="U258" s="130"/>
      <c r="V258" s="2120"/>
      <c r="W258" s="611"/>
      <c r="X258" s="611"/>
      <c r="Y258" s="611"/>
      <c r="Z258" s="611"/>
      <c r="AA258" s="611"/>
      <c r="AB258" s="611"/>
      <c r="AC258" s="611"/>
      <c r="AD258" s="611"/>
      <c r="AE258" s="611"/>
      <c r="AF258" s="611"/>
      <c r="AG258" s="611"/>
    </row>
    <row r="259" spans="1:33" s="56" customFormat="1" ht="15" hidden="1" customHeight="1" outlineLevel="1" thickBot="1" x14ac:dyDescent="0.3">
      <c r="A259" s="597"/>
      <c r="B259" s="130"/>
      <c r="C259" s="616"/>
      <c r="D259" s="2186"/>
      <c r="E259" s="2187"/>
      <c r="F259" s="2174" t="str">
        <f t="shared" si="29"/>
        <v>CAC - SEER 17+ ROF: MF</v>
      </c>
      <c r="G259" s="2175"/>
      <c r="H259" s="2176"/>
      <c r="I259" s="712"/>
      <c r="J259" s="631"/>
      <c r="K259" s="630"/>
      <c r="L259" s="632"/>
      <c r="M259" s="616"/>
      <c r="N259" s="616"/>
      <c r="O259" s="616"/>
      <c r="P259" s="130"/>
      <c r="Q259" s="130"/>
      <c r="R259" s="130"/>
      <c r="S259" s="130"/>
      <c r="T259" s="130"/>
      <c r="U259" s="130"/>
      <c r="V259" s="2121"/>
      <c r="W259" s="631"/>
      <c r="X259" s="631"/>
      <c r="Y259" s="631"/>
      <c r="Z259" s="631"/>
      <c r="AA259" s="631"/>
      <c r="AB259" s="631"/>
      <c r="AC259" s="631"/>
      <c r="AD259" s="631"/>
      <c r="AE259" s="631"/>
      <c r="AF259" s="631"/>
      <c r="AG259" s="631"/>
    </row>
    <row r="260" spans="1:33" s="413" customFormat="1" ht="14.45" hidden="1" customHeight="1" outlineLevel="1" x14ac:dyDescent="0.25">
      <c r="A260" s="633"/>
      <c r="B260" s="489"/>
      <c r="C260" s="616"/>
      <c r="D260" s="2177" t="s">
        <v>598</v>
      </c>
      <c r="E260" s="2180" t="s">
        <v>978</v>
      </c>
      <c r="F260" s="2183" t="str">
        <f t="shared" si="29"/>
        <v>CAC - SEER 14 ER1: SF</v>
      </c>
      <c r="G260" s="2184"/>
      <c r="H260" s="2185"/>
      <c r="I260" s="634"/>
      <c r="J260" s="635">
        <v>1</v>
      </c>
      <c r="K260" s="636"/>
      <c r="L260" s="637"/>
      <c r="M260" s="616"/>
      <c r="N260" s="616"/>
      <c r="O260" s="616"/>
      <c r="P260" s="489"/>
      <c r="Q260" s="489"/>
      <c r="R260" s="489"/>
      <c r="S260" s="489"/>
      <c r="T260" s="489"/>
      <c r="U260" s="489"/>
      <c r="V260" s="2119" t="str">
        <f>D260</f>
        <v>HF</v>
      </c>
      <c r="W260" s="635">
        <v>1</v>
      </c>
      <c r="X260" s="635">
        <f>W260</f>
        <v>1</v>
      </c>
      <c r="Y260" s="635"/>
      <c r="Z260" s="635"/>
      <c r="AA260" s="635"/>
      <c r="AB260" s="635"/>
      <c r="AC260" s="635"/>
      <c r="AD260" s="635"/>
      <c r="AE260" s="635"/>
      <c r="AF260" s="635"/>
      <c r="AG260" s="635"/>
    </row>
    <row r="261" spans="1:33" s="413" customFormat="1" ht="14.45" hidden="1" customHeight="1" outlineLevel="1" x14ac:dyDescent="0.25">
      <c r="A261" s="633"/>
      <c r="B261" s="489"/>
      <c r="C261" s="616"/>
      <c r="D261" s="2178"/>
      <c r="E261" s="2181"/>
      <c r="F261" s="2171" t="str">
        <f t="shared" si="29"/>
        <v>CAC - SEER 14 ER2: SF</v>
      </c>
      <c r="G261" s="2172"/>
      <c r="H261" s="2173"/>
      <c r="I261" s="638"/>
      <c r="J261" s="639">
        <v>1</v>
      </c>
      <c r="K261" s="640"/>
      <c r="L261" s="641"/>
      <c r="M261" s="616"/>
      <c r="N261" s="616"/>
      <c r="O261" s="616"/>
      <c r="P261" s="489"/>
      <c r="Q261" s="489"/>
      <c r="R261" s="489"/>
      <c r="S261" s="489"/>
      <c r="T261" s="489"/>
      <c r="U261" s="489"/>
      <c r="V261" s="2120"/>
      <c r="W261" s="639">
        <v>1</v>
      </c>
      <c r="X261" s="639">
        <f>W261</f>
        <v>1</v>
      </c>
      <c r="Y261" s="639"/>
      <c r="Z261" s="639"/>
      <c r="AA261" s="639"/>
      <c r="AB261" s="639"/>
      <c r="AC261" s="639"/>
      <c r="AD261" s="639"/>
      <c r="AE261" s="639"/>
      <c r="AF261" s="639"/>
      <c r="AG261" s="639"/>
    </row>
    <row r="262" spans="1:33" s="413" customFormat="1" ht="14.45" hidden="1" customHeight="1" outlineLevel="1" x14ac:dyDescent="0.25">
      <c r="A262" s="633"/>
      <c r="B262" s="489"/>
      <c r="C262" s="616"/>
      <c r="D262" s="2178"/>
      <c r="E262" s="2181"/>
      <c r="F262" s="2171" t="str">
        <f t="shared" si="29"/>
        <v>CAC - SEER 14 ROF: SF</v>
      </c>
      <c r="G262" s="2172"/>
      <c r="H262" s="2173"/>
      <c r="I262" s="638"/>
      <c r="J262" s="639">
        <v>1</v>
      </c>
      <c r="K262" s="640"/>
      <c r="L262" s="641"/>
      <c r="M262" s="616"/>
      <c r="N262" s="616"/>
      <c r="O262" s="616"/>
      <c r="P262" s="489"/>
      <c r="Q262" s="489"/>
      <c r="R262" s="489"/>
      <c r="S262" s="489"/>
      <c r="T262" s="489"/>
      <c r="U262" s="489"/>
      <c r="V262" s="2120"/>
      <c r="W262" s="639">
        <v>1</v>
      </c>
      <c r="X262" s="639">
        <f>W262</f>
        <v>1</v>
      </c>
      <c r="Y262" s="639"/>
      <c r="Z262" s="639"/>
      <c r="AA262" s="639"/>
      <c r="AB262" s="639"/>
      <c r="AC262" s="639"/>
      <c r="AD262" s="639"/>
      <c r="AE262" s="639"/>
      <c r="AF262" s="639"/>
      <c r="AG262" s="639"/>
    </row>
    <row r="263" spans="1:33" s="413" customFormat="1" ht="14.45" hidden="1" customHeight="1" outlineLevel="1" x14ac:dyDescent="0.25">
      <c r="A263" s="633"/>
      <c r="B263" s="489"/>
      <c r="C263" s="616"/>
      <c r="D263" s="2178"/>
      <c r="E263" s="2181"/>
      <c r="F263" s="2171" t="str">
        <f t="shared" si="29"/>
        <v>CAC - SEER 14 ER1: MF</v>
      </c>
      <c r="G263" s="2172"/>
      <c r="H263" s="2173"/>
      <c r="I263" s="638"/>
      <c r="J263" s="639">
        <v>1</v>
      </c>
      <c r="K263" s="640"/>
      <c r="L263" s="641"/>
      <c r="M263" s="616"/>
      <c r="N263" s="616"/>
      <c r="O263" s="616"/>
      <c r="P263" s="489"/>
      <c r="Q263" s="489"/>
      <c r="R263" s="489"/>
      <c r="S263" s="489"/>
      <c r="T263" s="489"/>
      <c r="U263" s="489"/>
      <c r="V263" s="2120"/>
      <c r="W263" s="639">
        <v>0.65</v>
      </c>
      <c r="X263" s="642">
        <v>1</v>
      </c>
      <c r="Y263" s="639"/>
      <c r="Z263" s="639"/>
      <c r="AA263" s="639"/>
      <c r="AB263" s="639"/>
      <c r="AC263" s="639"/>
      <c r="AD263" s="639"/>
      <c r="AE263" s="639"/>
      <c r="AF263" s="639"/>
      <c r="AG263" s="639"/>
    </row>
    <row r="264" spans="1:33" s="413" customFormat="1" ht="14.45" hidden="1" customHeight="1" outlineLevel="1" x14ac:dyDescent="0.25">
      <c r="A264" s="633"/>
      <c r="B264" s="489"/>
      <c r="C264" s="616"/>
      <c r="D264" s="2178"/>
      <c r="E264" s="2181"/>
      <c r="F264" s="2171" t="str">
        <f t="shared" si="29"/>
        <v>CAC - SEER 14 ER2: MF</v>
      </c>
      <c r="G264" s="2172"/>
      <c r="H264" s="2173"/>
      <c r="I264" s="638"/>
      <c r="J264" s="639">
        <v>1</v>
      </c>
      <c r="K264" s="640"/>
      <c r="L264" s="641"/>
      <c r="M264" s="616"/>
      <c r="N264" s="616"/>
      <c r="O264" s="616"/>
      <c r="P264" s="489"/>
      <c r="Q264" s="489"/>
      <c r="R264" s="489"/>
      <c r="S264" s="489"/>
      <c r="T264" s="489"/>
      <c r="U264" s="489"/>
      <c r="V264" s="2120"/>
      <c r="W264" s="639">
        <v>0.65</v>
      </c>
      <c r="X264" s="642">
        <v>1</v>
      </c>
      <c r="Y264" s="639"/>
      <c r="Z264" s="639"/>
      <c r="AA264" s="639"/>
      <c r="AB264" s="639"/>
      <c r="AC264" s="639"/>
      <c r="AD264" s="639"/>
      <c r="AE264" s="639"/>
      <c r="AF264" s="639"/>
      <c r="AG264" s="639"/>
    </row>
    <row r="265" spans="1:33" s="413" customFormat="1" ht="14.45" hidden="1" customHeight="1" outlineLevel="1" x14ac:dyDescent="0.25">
      <c r="A265" s="633"/>
      <c r="B265" s="489"/>
      <c r="C265" s="616"/>
      <c r="D265" s="2178"/>
      <c r="E265" s="2181"/>
      <c r="F265" s="2171" t="str">
        <f t="shared" si="29"/>
        <v>CAC - SEER 14 ROF: MF</v>
      </c>
      <c r="G265" s="2172"/>
      <c r="H265" s="2173"/>
      <c r="I265" s="638"/>
      <c r="J265" s="639">
        <v>1</v>
      </c>
      <c r="K265" s="640"/>
      <c r="L265" s="641"/>
      <c r="M265" s="616"/>
      <c r="N265" s="616"/>
      <c r="O265" s="616"/>
      <c r="P265" s="489"/>
      <c r="Q265" s="489"/>
      <c r="R265" s="489"/>
      <c r="S265" s="489"/>
      <c r="T265" s="489"/>
      <c r="U265" s="489"/>
      <c r="V265" s="2120"/>
      <c r="W265" s="639">
        <v>0.65</v>
      </c>
      <c r="X265" s="642">
        <v>1</v>
      </c>
      <c r="Y265" s="639"/>
      <c r="Z265" s="639"/>
      <c r="AA265" s="639"/>
      <c r="AB265" s="639"/>
      <c r="AC265" s="639"/>
      <c r="AD265" s="639"/>
      <c r="AE265" s="639"/>
      <c r="AF265" s="639"/>
      <c r="AG265" s="639"/>
    </row>
    <row r="266" spans="1:33" s="413" customFormat="1" ht="14.45" hidden="1" customHeight="1" outlineLevel="1" x14ac:dyDescent="0.25">
      <c r="A266" s="633"/>
      <c r="B266" s="489"/>
      <c r="C266" s="616"/>
      <c r="D266" s="2178"/>
      <c r="E266" s="2181"/>
      <c r="F266" s="2171" t="str">
        <f t="shared" si="29"/>
        <v>CAC - SEER 15 ER1: SF</v>
      </c>
      <c r="G266" s="2172"/>
      <c r="H266" s="2173"/>
      <c r="I266" s="638"/>
      <c r="J266" s="639">
        <v>1</v>
      </c>
      <c r="K266" s="640"/>
      <c r="L266" s="641"/>
      <c r="M266" s="616"/>
      <c r="N266" s="616"/>
      <c r="O266" s="616"/>
      <c r="P266" s="489"/>
      <c r="Q266" s="489"/>
      <c r="R266" s="489"/>
      <c r="S266" s="489"/>
      <c r="T266" s="489"/>
      <c r="U266" s="489"/>
      <c r="V266" s="2120"/>
      <c r="W266" s="639">
        <v>1</v>
      </c>
      <c r="X266" s="639">
        <f>W266</f>
        <v>1</v>
      </c>
      <c r="Y266" s="639"/>
      <c r="Z266" s="639"/>
      <c r="AA266" s="639"/>
      <c r="AB266" s="639"/>
      <c r="AC266" s="639"/>
      <c r="AD266" s="639"/>
      <c r="AE266" s="639"/>
      <c r="AF266" s="639"/>
      <c r="AG266" s="639"/>
    </row>
    <row r="267" spans="1:33" s="413" customFormat="1" ht="14.45" hidden="1" customHeight="1" outlineLevel="1" x14ac:dyDescent="0.25">
      <c r="A267" s="633"/>
      <c r="B267" s="489"/>
      <c r="C267" s="616"/>
      <c r="D267" s="2178"/>
      <c r="E267" s="2181"/>
      <c r="F267" s="2171" t="str">
        <f t="shared" si="29"/>
        <v>CAC - SEER 15 ER2: SF</v>
      </c>
      <c r="G267" s="2172"/>
      <c r="H267" s="2173"/>
      <c r="I267" s="638"/>
      <c r="J267" s="639">
        <v>1</v>
      </c>
      <c r="K267" s="640"/>
      <c r="L267" s="641"/>
      <c r="M267" s="616"/>
      <c r="N267" s="616"/>
      <c r="O267" s="616"/>
      <c r="P267" s="489"/>
      <c r="Q267" s="489"/>
      <c r="R267" s="489"/>
      <c r="S267" s="489"/>
      <c r="T267" s="489"/>
      <c r="U267" s="489"/>
      <c r="V267" s="2120"/>
      <c r="W267" s="639">
        <v>1</v>
      </c>
      <c r="X267" s="639">
        <f>W267</f>
        <v>1</v>
      </c>
      <c r="Y267" s="639"/>
      <c r="Z267" s="639"/>
      <c r="AA267" s="639"/>
      <c r="AB267" s="639"/>
      <c r="AC267" s="639"/>
      <c r="AD267" s="639"/>
      <c r="AE267" s="639"/>
      <c r="AF267" s="639"/>
      <c r="AG267" s="639"/>
    </row>
    <row r="268" spans="1:33" s="413" customFormat="1" ht="14.45" hidden="1" customHeight="1" outlineLevel="1" x14ac:dyDescent="0.25">
      <c r="A268" s="633"/>
      <c r="B268" s="489"/>
      <c r="C268" s="616"/>
      <c r="D268" s="2178"/>
      <c r="E268" s="2181"/>
      <c r="F268" s="2171" t="str">
        <f t="shared" si="29"/>
        <v>CAC - SEER 15 ROF: SF</v>
      </c>
      <c r="G268" s="2172"/>
      <c r="H268" s="2173"/>
      <c r="I268" s="638"/>
      <c r="J268" s="639">
        <v>1</v>
      </c>
      <c r="K268" s="640"/>
      <c r="L268" s="641"/>
      <c r="M268" s="616"/>
      <c r="N268" s="616"/>
      <c r="O268" s="616"/>
      <c r="P268" s="489"/>
      <c r="Q268" s="489"/>
      <c r="R268" s="489"/>
      <c r="S268" s="489"/>
      <c r="T268" s="489"/>
      <c r="U268" s="489"/>
      <c r="V268" s="2120"/>
      <c r="W268" s="639">
        <v>1</v>
      </c>
      <c r="X268" s="639">
        <f>W268</f>
        <v>1</v>
      </c>
      <c r="Y268" s="639"/>
      <c r="Z268" s="639"/>
      <c r="AA268" s="639"/>
      <c r="AB268" s="639"/>
      <c r="AC268" s="639"/>
      <c r="AD268" s="639"/>
      <c r="AE268" s="639"/>
      <c r="AF268" s="639"/>
      <c r="AG268" s="639"/>
    </row>
    <row r="269" spans="1:33" s="413" customFormat="1" ht="14.45" hidden="1" customHeight="1" outlineLevel="1" x14ac:dyDescent="0.25">
      <c r="A269" s="633"/>
      <c r="B269" s="489"/>
      <c r="C269" s="616"/>
      <c r="D269" s="2178"/>
      <c r="E269" s="2181"/>
      <c r="F269" s="2171" t="str">
        <f t="shared" si="29"/>
        <v>CAC - SEER 15 ER1: MF</v>
      </c>
      <c r="G269" s="2172"/>
      <c r="H269" s="2173"/>
      <c r="I269" s="638"/>
      <c r="J269" s="639">
        <v>1</v>
      </c>
      <c r="K269" s="640"/>
      <c r="L269" s="641"/>
      <c r="M269" s="616"/>
      <c r="N269" s="616"/>
      <c r="O269" s="616"/>
      <c r="P269" s="489"/>
      <c r="Q269" s="489"/>
      <c r="R269" s="489"/>
      <c r="S269" s="489"/>
      <c r="T269" s="489"/>
      <c r="U269" s="489"/>
      <c r="V269" s="2120"/>
      <c r="W269" s="639">
        <v>0.65</v>
      </c>
      <c r="X269" s="642">
        <v>1</v>
      </c>
      <c r="Y269" s="639"/>
      <c r="Z269" s="639"/>
      <c r="AA269" s="639"/>
      <c r="AB269" s="639"/>
      <c r="AC269" s="639"/>
      <c r="AD269" s="639"/>
      <c r="AE269" s="639"/>
      <c r="AF269" s="639"/>
      <c r="AG269" s="639"/>
    </row>
    <row r="270" spans="1:33" s="413" customFormat="1" ht="14.45" hidden="1" customHeight="1" outlineLevel="1" x14ac:dyDescent="0.25">
      <c r="A270" s="633"/>
      <c r="B270" s="489"/>
      <c r="C270" s="616"/>
      <c r="D270" s="2178"/>
      <c r="E270" s="2181"/>
      <c r="F270" s="2171" t="str">
        <f t="shared" si="29"/>
        <v>CAC - SEER 15 ER2: MF</v>
      </c>
      <c r="G270" s="2172"/>
      <c r="H270" s="2173"/>
      <c r="I270" s="638"/>
      <c r="J270" s="639">
        <v>1</v>
      </c>
      <c r="K270" s="640"/>
      <c r="L270" s="641"/>
      <c r="M270" s="616"/>
      <c r="N270" s="616"/>
      <c r="O270" s="616"/>
      <c r="P270" s="489"/>
      <c r="Q270" s="489"/>
      <c r="R270" s="489"/>
      <c r="S270" s="489"/>
      <c r="T270" s="489"/>
      <c r="U270" s="489"/>
      <c r="V270" s="2120"/>
      <c r="W270" s="639">
        <v>0.65</v>
      </c>
      <c r="X270" s="642">
        <v>1</v>
      </c>
      <c r="Y270" s="639"/>
      <c r="Z270" s="639"/>
      <c r="AA270" s="639"/>
      <c r="AB270" s="639"/>
      <c r="AC270" s="639"/>
      <c r="AD270" s="639"/>
      <c r="AE270" s="639"/>
      <c r="AF270" s="639"/>
      <c r="AG270" s="639"/>
    </row>
    <row r="271" spans="1:33" s="413" customFormat="1" ht="14.45" hidden="1" customHeight="1" outlineLevel="1" x14ac:dyDescent="0.25">
      <c r="A271" s="633"/>
      <c r="B271" s="489"/>
      <c r="C271" s="616"/>
      <c r="D271" s="2178"/>
      <c r="E271" s="2181"/>
      <c r="F271" s="2171" t="str">
        <f t="shared" si="29"/>
        <v>CAC - SEER 15 ROF: MF</v>
      </c>
      <c r="G271" s="2172"/>
      <c r="H271" s="2173"/>
      <c r="I271" s="638"/>
      <c r="J271" s="639">
        <v>1</v>
      </c>
      <c r="K271" s="640"/>
      <c r="L271" s="641"/>
      <c r="M271" s="616"/>
      <c r="N271" s="616"/>
      <c r="O271" s="616"/>
      <c r="P271" s="489"/>
      <c r="Q271" s="489"/>
      <c r="R271" s="489"/>
      <c r="S271" s="489"/>
      <c r="T271" s="489"/>
      <c r="U271" s="489"/>
      <c r="V271" s="2120"/>
      <c r="W271" s="639">
        <v>0.65</v>
      </c>
      <c r="X271" s="642">
        <v>1</v>
      </c>
      <c r="Y271" s="639"/>
      <c r="Z271" s="639"/>
      <c r="AA271" s="639"/>
      <c r="AB271" s="639"/>
      <c r="AC271" s="639"/>
      <c r="AD271" s="639"/>
      <c r="AE271" s="639"/>
      <c r="AF271" s="639"/>
      <c r="AG271" s="639"/>
    </row>
    <row r="272" spans="1:33" s="413" customFormat="1" ht="14.45" hidden="1" customHeight="1" outlineLevel="1" x14ac:dyDescent="0.25">
      <c r="A272" s="633"/>
      <c r="B272" s="489"/>
      <c r="C272" s="616"/>
      <c r="D272" s="2178"/>
      <c r="E272" s="2181"/>
      <c r="F272" s="2171" t="str">
        <f t="shared" si="29"/>
        <v>CAC - SEER 16 ER1: SF</v>
      </c>
      <c r="G272" s="2172"/>
      <c r="H272" s="2173"/>
      <c r="I272" s="638"/>
      <c r="J272" s="639">
        <v>1</v>
      </c>
      <c r="K272" s="640"/>
      <c r="L272" s="641"/>
      <c r="M272" s="616"/>
      <c r="N272" s="616"/>
      <c r="O272" s="616"/>
      <c r="P272" s="489"/>
      <c r="Q272" s="489"/>
      <c r="R272" s="489"/>
      <c r="S272" s="489"/>
      <c r="T272" s="489"/>
      <c r="U272" s="489"/>
      <c r="V272" s="2120"/>
      <c r="W272" s="639">
        <v>1</v>
      </c>
      <c r="X272" s="639">
        <f>W272</f>
        <v>1</v>
      </c>
      <c r="Y272" s="639"/>
      <c r="Z272" s="639"/>
      <c r="AA272" s="639"/>
      <c r="AB272" s="639"/>
      <c r="AC272" s="639"/>
      <c r="AD272" s="639"/>
      <c r="AE272" s="639"/>
      <c r="AF272" s="639"/>
      <c r="AG272" s="639"/>
    </row>
    <row r="273" spans="1:33" s="413" customFormat="1" ht="14.45" hidden="1" customHeight="1" outlineLevel="1" x14ac:dyDescent="0.25">
      <c r="A273" s="633"/>
      <c r="B273" s="489"/>
      <c r="C273" s="616"/>
      <c r="D273" s="2178"/>
      <c r="E273" s="2181"/>
      <c r="F273" s="2171" t="str">
        <f t="shared" si="29"/>
        <v>CAC - SEER 16 ER2: SF</v>
      </c>
      <c r="G273" s="2172"/>
      <c r="H273" s="2173"/>
      <c r="I273" s="638"/>
      <c r="J273" s="639">
        <v>1</v>
      </c>
      <c r="K273" s="640"/>
      <c r="L273" s="641"/>
      <c r="M273" s="616"/>
      <c r="N273" s="616"/>
      <c r="O273" s="616"/>
      <c r="P273" s="489"/>
      <c r="Q273" s="489"/>
      <c r="R273" s="489"/>
      <c r="S273" s="489"/>
      <c r="T273" s="489"/>
      <c r="U273" s="489"/>
      <c r="V273" s="2120"/>
      <c r="W273" s="639">
        <v>1</v>
      </c>
      <c r="X273" s="639">
        <f>W273</f>
        <v>1</v>
      </c>
      <c r="Y273" s="639"/>
      <c r="Z273" s="639"/>
      <c r="AA273" s="639"/>
      <c r="AB273" s="639"/>
      <c r="AC273" s="639"/>
      <c r="AD273" s="639"/>
      <c r="AE273" s="639"/>
      <c r="AF273" s="639"/>
      <c r="AG273" s="639"/>
    </row>
    <row r="274" spans="1:33" s="413" customFormat="1" ht="14.45" hidden="1" customHeight="1" outlineLevel="1" x14ac:dyDescent="0.25">
      <c r="A274" s="633"/>
      <c r="B274" s="489"/>
      <c r="C274" s="616"/>
      <c r="D274" s="2178"/>
      <c r="E274" s="2181"/>
      <c r="F274" s="2171" t="str">
        <f t="shared" si="29"/>
        <v>CAC - SEER 16 ROF: SF</v>
      </c>
      <c r="G274" s="2172"/>
      <c r="H274" s="2173"/>
      <c r="I274" s="638"/>
      <c r="J274" s="639">
        <v>1</v>
      </c>
      <c r="K274" s="640"/>
      <c r="L274" s="641"/>
      <c r="M274" s="616"/>
      <c r="N274" s="616"/>
      <c r="O274" s="616"/>
      <c r="P274" s="489"/>
      <c r="Q274" s="489"/>
      <c r="R274" s="489"/>
      <c r="S274" s="489"/>
      <c r="T274" s="489"/>
      <c r="U274" s="489"/>
      <c r="V274" s="2120"/>
      <c r="W274" s="639">
        <v>1</v>
      </c>
      <c r="X274" s="639">
        <f>W274</f>
        <v>1</v>
      </c>
      <c r="Y274" s="639"/>
      <c r="Z274" s="639"/>
      <c r="AA274" s="639"/>
      <c r="AB274" s="639"/>
      <c r="AC274" s="639"/>
      <c r="AD274" s="639"/>
      <c r="AE274" s="639"/>
      <c r="AF274" s="639"/>
      <c r="AG274" s="639"/>
    </row>
    <row r="275" spans="1:33" s="413" customFormat="1" ht="14.45" hidden="1" customHeight="1" outlineLevel="1" x14ac:dyDescent="0.25">
      <c r="A275" s="633"/>
      <c r="B275" s="489"/>
      <c r="C275" s="616"/>
      <c r="D275" s="2178"/>
      <c r="E275" s="2181"/>
      <c r="F275" s="2171" t="str">
        <f t="shared" si="29"/>
        <v>CAC - SEER 16 ER1: MF</v>
      </c>
      <c r="G275" s="2172"/>
      <c r="H275" s="2173"/>
      <c r="I275" s="638"/>
      <c r="J275" s="639">
        <v>1</v>
      </c>
      <c r="K275" s="640"/>
      <c r="L275" s="641"/>
      <c r="M275" s="616"/>
      <c r="N275" s="616"/>
      <c r="O275" s="616"/>
      <c r="P275" s="489"/>
      <c r="Q275" s="489"/>
      <c r="R275" s="489"/>
      <c r="S275" s="489"/>
      <c r="T275" s="489"/>
      <c r="U275" s="489"/>
      <c r="V275" s="2120"/>
      <c r="W275" s="639">
        <v>0.65</v>
      </c>
      <c r="X275" s="642">
        <v>1</v>
      </c>
      <c r="Y275" s="639"/>
      <c r="Z275" s="639"/>
      <c r="AA275" s="639"/>
      <c r="AB275" s="639"/>
      <c r="AC275" s="639"/>
      <c r="AD275" s="639"/>
      <c r="AE275" s="639"/>
      <c r="AF275" s="639"/>
      <c r="AG275" s="639"/>
    </row>
    <row r="276" spans="1:33" s="413" customFormat="1" ht="14.45" hidden="1" customHeight="1" outlineLevel="1" x14ac:dyDescent="0.25">
      <c r="A276" s="633"/>
      <c r="B276" s="489"/>
      <c r="C276" s="616"/>
      <c r="D276" s="2178"/>
      <c r="E276" s="2181"/>
      <c r="F276" s="2171" t="str">
        <f t="shared" si="29"/>
        <v>CAC - SEER 16 ER2: MF</v>
      </c>
      <c r="G276" s="2172"/>
      <c r="H276" s="2173"/>
      <c r="I276" s="638"/>
      <c r="J276" s="639">
        <v>1</v>
      </c>
      <c r="K276" s="640"/>
      <c r="L276" s="641"/>
      <c r="M276" s="616"/>
      <c r="N276" s="616"/>
      <c r="O276" s="616"/>
      <c r="P276" s="489"/>
      <c r="Q276" s="489"/>
      <c r="R276" s="489"/>
      <c r="S276" s="489"/>
      <c r="T276" s="489"/>
      <c r="U276" s="489"/>
      <c r="V276" s="2120"/>
      <c r="W276" s="639">
        <v>0.65</v>
      </c>
      <c r="X276" s="642">
        <v>1</v>
      </c>
      <c r="Y276" s="639"/>
      <c r="Z276" s="639"/>
      <c r="AA276" s="639"/>
      <c r="AB276" s="639"/>
      <c r="AC276" s="639"/>
      <c r="AD276" s="639"/>
      <c r="AE276" s="639"/>
      <c r="AF276" s="639"/>
      <c r="AG276" s="639"/>
    </row>
    <row r="277" spans="1:33" s="413" customFormat="1" ht="14.45" hidden="1" customHeight="1" outlineLevel="1" x14ac:dyDescent="0.25">
      <c r="A277" s="633"/>
      <c r="B277" s="489"/>
      <c r="C277" s="616"/>
      <c r="D277" s="2178"/>
      <c r="E277" s="2181"/>
      <c r="F277" s="2171" t="str">
        <f t="shared" si="29"/>
        <v>CAC - SEER 16 ROF: MF</v>
      </c>
      <c r="G277" s="2172"/>
      <c r="H277" s="2173"/>
      <c r="I277" s="638"/>
      <c r="J277" s="639">
        <v>1</v>
      </c>
      <c r="K277" s="640"/>
      <c r="L277" s="641"/>
      <c r="M277" s="616"/>
      <c r="N277" s="616"/>
      <c r="O277" s="616"/>
      <c r="P277" s="489"/>
      <c r="Q277" s="489"/>
      <c r="R277" s="489"/>
      <c r="S277" s="489"/>
      <c r="T277" s="489"/>
      <c r="U277" s="489"/>
      <c r="V277" s="2120"/>
      <c r="W277" s="639">
        <v>0.65</v>
      </c>
      <c r="X277" s="642">
        <v>1</v>
      </c>
      <c r="Y277" s="639"/>
      <c r="Z277" s="639"/>
      <c r="AA277" s="639"/>
      <c r="AB277" s="639"/>
      <c r="AC277" s="639"/>
      <c r="AD277" s="639"/>
      <c r="AE277" s="639"/>
      <c r="AF277" s="639"/>
      <c r="AG277" s="639"/>
    </row>
    <row r="278" spans="1:33" s="413" customFormat="1" ht="14.45" hidden="1" customHeight="1" outlineLevel="1" x14ac:dyDescent="0.25">
      <c r="A278" s="633"/>
      <c r="B278" s="489"/>
      <c r="C278" s="616"/>
      <c r="D278" s="2178"/>
      <c r="E278" s="2181"/>
      <c r="F278" s="2171" t="str">
        <f t="shared" si="29"/>
        <v>CAC - SEER 17+ ER1: SF</v>
      </c>
      <c r="G278" s="2172"/>
      <c r="H278" s="2173"/>
      <c r="I278" s="638"/>
      <c r="J278" s="639">
        <v>1</v>
      </c>
      <c r="K278" s="640"/>
      <c r="L278" s="641"/>
      <c r="M278" s="616"/>
      <c r="N278" s="616"/>
      <c r="O278" s="616"/>
      <c r="P278" s="489"/>
      <c r="Q278" s="489"/>
      <c r="R278" s="489"/>
      <c r="S278" s="489"/>
      <c r="T278" s="489"/>
      <c r="U278" s="489"/>
      <c r="V278" s="2120"/>
      <c r="W278" s="639">
        <v>1</v>
      </c>
      <c r="X278" s="639">
        <f>W278</f>
        <v>1</v>
      </c>
      <c r="Y278" s="639"/>
      <c r="Z278" s="639"/>
      <c r="AA278" s="639"/>
      <c r="AB278" s="639"/>
      <c r="AC278" s="639"/>
      <c r="AD278" s="639"/>
      <c r="AE278" s="639"/>
      <c r="AF278" s="639"/>
      <c r="AG278" s="639"/>
    </row>
    <row r="279" spans="1:33" s="413" customFormat="1" ht="14.45" hidden="1" customHeight="1" outlineLevel="1" x14ac:dyDescent="0.25">
      <c r="A279" s="633"/>
      <c r="B279" s="489"/>
      <c r="C279" s="616"/>
      <c r="D279" s="2178"/>
      <c r="E279" s="2181"/>
      <c r="F279" s="2171" t="str">
        <f t="shared" si="29"/>
        <v>CAC - SEER 17+ ER2: SF</v>
      </c>
      <c r="G279" s="2172"/>
      <c r="H279" s="2173"/>
      <c r="I279" s="638"/>
      <c r="J279" s="639">
        <v>1</v>
      </c>
      <c r="K279" s="640"/>
      <c r="L279" s="641"/>
      <c r="M279" s="616"/>
      <c r="N279" s="616"/>
      <c r="O279" s="616"/>
      <c r="P279" s="489"/>
      <c r="Q279" s="489"/>
      <c r="R279" s="489"/>
      <c r="S279" s="489"/>
      <c r="T279" s="489"/>
      <c r="U279" s="489"/>
      <c r="V279" s="2120"/>
      <c r="W279" s="639">
        <v>1</v>
      </c>
      <c r="X279" s="639">
        <f>W279</f>
        <v>1</v>
      </c>
      <c r="Y279" s="639"/>
      <c r="Z279" s="639"/>
      <c r="AA279" s="639"/>
      <c r="AB279" s="639"/>
      <c r="AC279" s="639"/>
      <c r="AD279" s="639"/>
      <c r="AE279" s="639"/>
      <c r="AF279" s="639"/>
      <c r="AG279" s="639"/>
    </row>
    <row r="280" spans="1:33" s="413" customFormat="1" ht="14.45" hidden="1" customHeight="1" outlineLevel="1" x14ac:dyDescent="0.25">
      <c r="A280" s="633"/>
      <c r="B280" s="489"/>
      <c r="C280" s="616"/>
      <c r="D280" s="2178"/>
      <c r="E280" s="2181"/>
      <c r="F280" s="2171" t="str">
        <f t="shared" si="29"/>
        <v>CAC - SEER 17+ ROF: SF</v>
      </c>
      <c r="G280" s="2172"/>
      <c r="H280" s="2173"/>
      <c r="I280" s="638"/>
      <c r="J280" s="639">
        <v>1</v>
      </c>
      <c r="K280" s="640"/>
      <c r="L280" s="641"/>
      <c r="M280" s="616"/>
      <c r="N280" s="616"/>
      <c r="O280" s="616"/>
      <c r="P280" s="489"/>
      <c r="Q280" s="489"/>
      <c r="R280" s="489"/>
      <c r="S280" s="489"/>
      <c r="T280" s="489"/>
      <c r="U280" s="489"/>
      <c r="V280" s="2120"/>
      <c r="W280" s="639">
        <v>1</v>
      </c>
      <c r="X280" s="639">
        <f>W280</f>
        <v>1</v>
      </c>
      <c r="Y280" s="639"/>
      <c r="Z280" s="639"/>
      <c r="AA280" s="639"/>
      <c r="AB280" s="639"/>
      <c r="AC280" s="639"/>
      <c r="AD280" s="639"/>
      <c r="AE280" s="639"/>
      <c r="AF280" s="639"/>
      <c r="AG280" s="639"/>
    </row>
    <row r="281" spans="1:33" s="413" customFormat="1" ht="14.45" hidden="1" customHeight="1" outlineLevel="1" x14ac:dyDescent="0.25">
      <c r="A281" s="633"/>
      <c r="B281" s="489"/>
      <c r="C281" s="616"/>
      <c r="D281" s="2178"/>
      <c r="E281" s="2181"/>
      <c r="F281" s="2171" t="str">
        <f t="shared" si="29"/>
        <v>CAC - SEER 17+ ER1: MF</v>
      </c>
      <c r="G281" s="2172"/>
      <c r="H281" s="2173"/>
      <c r="I281" s="638"/>
      <c r="J281" s="639">
        <v>1</v>
      </c>
      <c r="K281" s="640"/>
      <c r="L281" s="641"/>
      <c r="M281" s="616"/>
      <c r="N281" s="616"/>
      <c r="O281" s="616"/>
      <c r="P281" s="489"/>
      <c r="Q281" s="489"/>
      <c r="R281" s="489"/>
      <c r="S281" s="489"/>
      <c r="T281" s="489"/>
      <c r="U281" s="489"/>
      <c r="V281" s="2120"/>
      <c r="W281" s="639">
        <v>0.65</v>
      </c>
      <c r="X281" s="642">
        <v>1</v>
      </c>
      <c r="Y281" s="639"/>
      <c r="Z281" s="639"/>
      <c r="AA281" s="639"/>
      <c r="AB281" s="639"/>
      <c r="AC281" s="639"/>
      <c r="AD281" s="639"/>
      <c r="AE281" s="639"/>
      <c r="AF281" s="639"/>
      <c r="AG281" s="639"/>
    </row>
    <row r="282" spans="1:33" s="413" customFormat="1" ht="14.45" hidden="1" customHeight="1" outlineLevel="1" x14ac:dyDescent="0.25">
      <c r="A282" s="633"/>
      <c r="B282" s="489"/>
      <c r="C282" s="616"/>
      <c r="D282" s="2178"/>
      <c r="E282" s="2181"/>
      <c r="F282" s="2171" t="str">
        <f t="shared" si="29"/>
        <v>CAC - SEER 17+ ER2: MF</v>
      </c>
      <c r="G282" s="2172"/>
      <c r="H282" s="2173"/>
      <c r="I282" s="638"/>
      <c r="J282" s="639">
        <v>1</v>
      </c>
      <c r="K282" s="640"/>
      <c r="L282" s="641"/>
      <c r="M282" s="616"/>
      <c r="N282" s="616"/>
      <c r="O282" s="616"/>
      <c r="P282" s="489"/>
      <c r="Q282" s="489"/>
      <c r="R282" s="489"/>
      <c r="S282" s="489"/>
      <c r="T282" s="489"/>
      <c r="U282" s="489"/>
      <c r="V282" s="2120"/>
      <c r="W282" s="639">
        <v>0.65</v>
      </c>
      <c r="X282" s="642">
        <v>1</v>
      </c>
      <c r="Y282" s="639"/>
      <c r="Z282" s="639"/>
      <c r="AA282" s="639"/>
      <c r="AB282" s="639"/>
      <c r="AC282" s="639"/>
      <c r="AD282" s="639"/>
      <c r="AE282" s="639"/>
      <c r="AF282" s="639"/>
      <c r="AG282" s="639"/>
    </row>
    <row r="283" spans="1:33" s="413" customFormat="1" ht="14.45" hidden="1" customHeight="1" outlineLevel="1" thickBot="1" x14ac:dyDescent="0.3">
      <c r="A283" s="633"/>
      <c r="B283" s="489"/>
      <c r="C283" s="616"/>
      <c r="D283" s="2179"/>
      <c r="E283" s="2182"/>
      <c r="F283" s="2174" t="str">
        <f t="shared" si="29"/>
        <v>CAC - SEER 17+ ROF: MF</v>
      </c>
      <c r="G283" s="2175"/>
      <c r="H283" s="2176"/>
      <c r="I283" s="643"/>
      <c r="J283" s="639">
        <v>1</v>
      </c>
      <c r="K283" s="644"/>
      <c r="L283" s="645"/>
      <c r="M283" s="616"/>
      <c r="N283" s="616"/>
      <c r="O283" s="616"/>
      <c r="P283" s="489"/>
      <c r="Q283" s="489"/>
      <c r="R283" s="489"/>
      <c r="S283" s="489"/>
      <c r="T283" s="489"/>
      <c r="U283" s="489"/>
      <c r="V283" s="2121"/>
      <c r="W283" s="646">
        <v>0.65</v>
      </c>
      <c r="X283" s="642">
        <v>1</v>
      </c>
      <c r="Y283" s="646"/>
      <c r="Z283" s="646"/>
      <c r="AA283" s="646"/>
      <c r="AB283" s="646"/>
      <c r="AC283" s="646"/>
      <c r="AD283" s="646"/>
      <c r="AE283" s="646"/>
      <c r="AF283" s="646"/>
      <c r="AG283" s="646"/>
    </row>
    <row r="284" spans="1:33" s="413" customFormat="1" ht="14.45" hidden="1" customHeight="1" outlineLevel="1" x14ac:dyDescent="0.25">
      <c r="A284" s="633"/>
      <c r="B284" s="489"/>
      <c r="C284" s="616"/>
      <c r="D284" s="2177" t="str">
        <f>J103</f>
        <v>EUL</v>
      </c>
      <c r="E284" s="2180" t="str">
        <f>E74</f>
        <v>End Useful Life</v>
      </c>
      <c r="F284" s="2183" t="str">
        <f t="shared" si="29"/>
        <v>CAC - SEER 14 ER1: SF</v>
      </c>
      <c r="G284" s="2184"/>
      <c r="H284" s="2185"/>
      <c r="I284" s="634"/>
      <c r="J284" s="647">
        <v>6</v>
      </c>
      <c r="K284" s="636"/>
      <c r="L284" s="637"/>
      <c r="M284" s="616"/>
      <c r="N284" s="616"/>
      <c r="O284" s="616"/>
      <c r="P284" s="489"/>
      <c r="Q284" s="489"/>
      <c r="R284" s="489"/>
      <c r="S284" s="489"/>
      <c r="T284" s="489"/>
      <c r="U284" s="489"/>
      <c r="V284" s="2119" t="str">
        <f>D284</f>
        <v>EUL</v>
      </c>
      <c r="W284" s="647">
        <v>6</v>
      </c>
      <c r="X284" s="647">
        <v>6</v>
      </c>
      <c r="Y284" s="647"/>
      <c r="Z284" s="647"/>
      <c r="AA284" s="647"/>
      <c r="AB284" s="647"/>
      <c r="AC284" s="647"/>
      <c r="AD284" s="647"/>
      <c r="AE284" s="647"/>
      <c r="AF284" s="647"/>
      <c r="AG284" s="647"/>
    </row>
    <row r="285" spans="1:33" s="413" customFormat="1" ht="14.45" hidden="1" customHeight="1" outlineLevel="1" x14ac:dyDescent="0.25">
      <c r="A285" s="633"/>
      <c r="B285" s="489"/>
      <c r="C285" s="616"/>
      <c r="D285" s="2178"/>
      <c r="E285" s="2181"/>
      <c r="F285" s="2171" t="str">
        <f t="shared" si="29"/>
        <v>CAC - SEER 14 ER2: SF</v>
      </c>
      <c r="G285" s="2172"/>
      <c r="H285" s="2173"/>
      <c r="I285" s="638"/>
      <c r="J285" s="648">
        <v>12</v>
      </c>
      <c r="K285" s="640"/>
      <c r="L285" s="641"/>
      <c r="M285" s="616"/>
      <c r="N285" s="616"/>
      <c r="O285" s="616"/>
      <c r="P285" s="489"/>
      <c r="Q285" s="489"/>
      <c r="R285" s="489"/>
      <c r="S285" s="489"/>
      <c r="T285" s="489"/>
      <c r="U285" s="489"/>
      <c r="V285" s="2120"/>
      <c r="W285" s="648">
        <v>12</v>
      </c>
      <c r="X285" s="648">
        <v>12</v>
      </c>
      <c r="Y285" s="648"/>
      <c r="Z285" s="648"/>
      <c r="AA285" s="648"/>
      <c r="AB285" s="648"/>
      <c r="AC285" s="648"/>
      <c r="AD285" s="648"/>
      <c r="AE285" s="648"/>
      <c r="AF285" s="648"/>
      <c r="AG285" s="648"/>
    </row>
    <row r="286" spans="1:33" s="413" customFormat="1" ht="14.45" hidden="1" customHeight="1" outlineLevel="1" x14ac:dyDescent="0.25">
      <c r="A286" s="633"/>
      <c r="B286" s="489"/>
      <c r="C286" s="616"/>
      <c r="D286" s="2178"/>
      <c r="E286" s="2181"/>
      <c r="F286" s="2171" t="str">
        <f t="shared" si="29"/>
        <v>CAC - SEER 14 ROF: SF</v>
      </c>
      <c r="G286" s="2172"/>
      <c r="H286" s="2173"/>
      <c r="I286" s="638"/>
      <c r="J286" s="648">
        <v>18</v>
      </c>
      <c r="K286" s="640"/>
      <c r="L286" s="641"/>
      <c r="M286" s="616"/>
      <c r="N286" s="616"/>
      <c r="O286" s="616"/>
      <c r="P286" s="489"/>
      <c r="Q286" s="489"/>
      <c r="R286" s="489"/>
      <c r="S286" s="489"/>
      <c r="T286" s="489"/>
      <c r="U286" s="489"/>
      <c r="V286" s="2120"/>
      <c r="W286" s="648">
        <v>18</v>
      </c>
      <c r="X286" s="648">
        <v>18</v>
      </c>
      <c r="Y286" s="648"/>
      <c r="Z286" s="648"/>
      <c r="AA286" s="648"/>
      <c r="AB286" s="648"/>
      <c r="AC286" s="648"/>
      <c r="AD286" s="648"/>
      <c r="AE286" s="648"/>
      <c r="AF286" s="648"/>
      <c r="AG286" s="648"/>
    </row>
    <row r="287" spans="1:33" s="413" customFormat="1" ht="14.45" hidden="1" customHeight="1" outlineLevel="1" x14ac:dyDescent="0.25">
      <c r="A287" s="633"/>
      <c r="B287" s="489"/>
      <c r="C287" s="616"/>
      <c r="D287" s="2178"/>
      <c r="E287" s="2181"/>
      <c r="F287" s="2171" t="str">
        <f t="shared" si="29"/>
        <v>CAC - SEER 14 ER1: MF</v>
      </c>
      <c r="G287" s="2172"/>
      <c r="H287" s="2173"/>
      <c r="I287" s="638"/>
      <c r="J287" s="648">
        <v>6</v>
      </c>
      <c r="K287" s="640"/>
      <c r="L287" s="641"/>
      <c r="M287" s="616"/>
      <c r="N287" s="616"/>
      <c r="O287" s="616"/>
      <c r="P287" s="489"/>
      <c r="Q287" s="489"/>
      <c r="R287" s="489"/>
      <c r="S287" s="489"/>
      <c r="T287" s="489"/>
      <c r="U287" s="489"/>
      <c r="V287" s="2120"/>
      <c r="W287" s="648">
        <v>6</v>
      </c>
      <c r="X287" s="648">
        <v>6</v>
      </c>
      <c r="Y287" s="648"/>
      <c r="Z287" s="648"/>
      <c r="AA287" s="648"/>
      <c r="AB287" s="648"/>
      <c r="AC287" s="648"/>
      <c r="AD287" s="648"/>
      <c r="AE287" s="648"/>
      <c r="AF287" s="648"/>
      <c r="AG287" s="648"/>
    </row>
    <row r="288" spans="1:33" s="413" customFormat="1" ht="14.45" hidden="1" customHeight="1" outlineLevel="1" x14ac:dyDescent="0.25">
      <c r="A288" s="633"/>
      <c r="B288" s="489"/>
      <c r="C288" s="616"/>
      <c r="D288" s="2178"/>
      <c r="E288" s="2181"/>
      <c r="F288" s="2171" t="str">
        <f t="shared" si="29"/>
        <v>CAC - SEER 14 ER2: MF</v>
      </c>
      <c r="G288" s="2172"/>
      <c r="H288" s="2173"/>
      <c r="I288" s="638"/>
      <c r="J288" s="648">
        <v>12</v>
      </c>
      <c r="K288" s="640"/>
      <c r="L288" s="641"/>
      <c r="M288" s="616"/>
      <c r="N288" s="616"/>
      <c r="O288" s="616"/>
      <c r="P288" s="489"/>
      <c r="Q288" s="489"/>
      <c r="R288" s="489"/>
      <c r="S288" s="489"/>
      <c r="T288" s="489"/>
      <c r="U288" s="489"/>
      <c r="V288" s="2120"/>
      <c r="W288" s="648">
        <v>12</v>
      </c>
      <c r="X288" s="648">
        <v>12</v>
      </c>
      <c r="Y288" s="648"/>
      <c r="Z288" s="648"/>
      <c r="AA288" s="648"/>
      <c r="AB288" s="648"/>
      <c r="AC288" s="648"/>
      <c r="AD288" s="648"/>
      <c r="AE288" s="648"/>
      <c r="AF288" s="648"/>
      <c r="AG288" s="648"/>
    </row>
    <row r="289" spans="1:33" s="413" customFormat="1" ht="14.45" hidden="1" customHeight="1" outlineLevel="1" x14ac:dyDescent="0.25">
      <c r="A289" s="633"/>
      <c r="B289" s="489"/>
      <c r="C289" s="616"/>
      <c r="D289" s="2178"/>
      <c r="E289" s="2181"/>
      <c r="F289" s="2171" t="str">
        <f t="shared" si="29"/>
        <v>CAC - SEER 14 ROF: MF</v>
      </c>
      <c r="G289" s="2172"/>
      <c r="H289" s="2173"/>
      <c r="I289" s="638"/>
      <c r="J289" s="648">
        <v>16</v>
      </c>
      <c r="K289" s="640"/>
      <c r="L289" s="641"/>
      <c r="M289" s="616"/>
      <c r="N289" s="616"/>
      <c r="O289" s="616"/>
      <c r="P289" s="489"/>
      <c r="Q289" s="489"/>
      <c r="R289" s="489"/>
      <c r="S289" s="489"/>
      <c r="T289" s="489"/>
      <c r="U289" s="489"/>
      <c r="V289" s="2120"/>
      <c r="W289" s="648">
        <v>16</v>
      </c>
      <c r="X289" s="648">
        <v>16</v>
      </c>
      <c r="Y289" s="648"/>
      <c r="Z289" s="648"/>
      <c r="AA289" s="648"/>
      <c r="AB289" s="648"/>
      <c r="AC289" s="648"/>
      <c r="AD289" s="648"/>
      <c r="AE289" s="648"/>
      <c r="AF289" s="648"/>
      <c r="AG289" s="648"/>
    </row>
    <row r="290" spans="1:33" s="413" customFormat="1" ht="14.45" hidden="1" customHeight="1" outlineLevel="1" x14ac:dyDescent="0.25">
      <c r="A290" s="633"/>
      <c r="B290" s="489"/>
      <c r="C290" s="616"/>
      <c r="D290" s="2178"/>
      <c r="E290" s="2181"/>
      <c r="F290" s="2171" t="str">
        <f t="shared" si="29"/>
        <v>CAC - SEER 15 ER1: SF</v>
      </c>
      <c r="G290" s="2172"/>
      <c r="H290" s="2173"/>
      <c r="I290" s="638"/>
      <c r="J290" s="648">
        <v>6</v>
      </c>
      <c r="K290" s="640"/>
      <c r="L290" s="641"/>
      <c r="M290" s="616"/>
      <c r="N290" s="616"/>
      <c r="O290" s="616"/>
      <c r="P290" s="489"/>
      <c r="Q290" s="489"/>
      <c r="R290" s="489"/>
      <c r="S290" s="489"/>
      <c r="T290" s="489"/>
      <c r="U290" s="489"/>
      <c r="V290" s="2120"/>
      <c r="W290" s="648">
        <v>6</v>
      </c>
      <c r="X290" s="648">
        <v>6</v>
      </c>
      <c r="Y290" s="648"/>
      <c r="Z290" s="648"/>
      <c r="AA290" s="648"/>
      <c r="AB290" s="648"/>
      <c r="AC290" s="648"/>
      <c r="AD290" s="648"/>
      <c r="AE290" s="648"/>
      <c r="AF290" s="648"/>
      <c r="AG290" s="648"/>
    </row>
    <row r="291" spans="1:33" s="413" customFormat="1" ht="14.45" hidden="1" customHeight="1" outlineLevel="1" x14ac:dyDescent="0.25">
      <c r="A291" s="633"/>
      <c r="B291" s="489"/>
      <c r="C291" s="616"/>
      <c r="D291" s="2178"/>
      <c r="E291" s="2181"/>
      <c r="F291" s="2171" t="str">
        <f t="shared" si="29"/>
        <v>CAC - SEER 15 ER2: SF</v>
      </c>
      <c r="G291" s="2172"/>
      <c r="H291" s="2173"/>
      <c r="I291" s="638"/>
      <c r="J291" s="648">
        <v>12</v>
      </c>
      <c r="K291" s="640"/>
      <c r="L291" s="641"/>
      <c r="M291" s="616"/>
      <c r="N291" s="616"/>
      <c r="O291" s="616"/>
      <c r="P291" s="489"/>
      <c r="Q291" s="489"/>
      <c r="R291" s="489"/>
      <c r="S291" s="489"/>
      <c r="T291" s="489"/>
      <c r="U291" s="489"/>
      <c r="V291" s="2120"/>
      <c r="W291" s="648">
        <v>12</v>
      </c>
      <c r="X291" s="648">
        <v>12</v>
      </c>
      <c r="Y291" s="648"/>
      <c r="Z291" s="648"/>
      <c r="AA291" s="648"/>
      <c r="AB291" s="648"/>
      <c r="AC291" s="648"/>
      <c r="AD291" s="648"/>
      <c r="AE291" s="648"/>
      <c r="AF291" s="648"/>
      <c r="AG291" s="648"/>
    </row>
    <row r="292" spans="1:33" s="413" customFormat="1" ht="14.45" hidden="1" customHeight="1" outlineLevel="1" x14ac:dyDescent="0.25">
      <c r="A292" s="633"/>
      <c r="B292" s="489"/>
      <c r="C292" s="616"/>
      <c r="D292" s="2178"/>
      <c r="E292" s="2181"/>
      <c r="F292" s="2171" t="str">
        <f t="shared" si="29"/>
        <v>CAC - SEER 15 ROF: SF</v>
      </c>
      <c r="G292" s="2172"/>
      <c r="H292" s="2173"/>
      <c r="I292" s="638"/>
      <c r="J292" s="648">
        <v>18</v>
      </c>
      <c r="K292" s="640"/>
      <c r="L292" s="641"/>
      <c r="M292" s="616"/>
      <c r="N292" s="616"/>
      <c r="O292" s="616"/>
      <c r="P292" s="489"/>
      <c r="Q292" s="489"/>
      <c r="R292" s="489"/>
      <c r="S292" s="489"/>
      <c r="T292" s="489"/>
      <c r="U292" s="489"/>
      <c r="V292" s="2120"/>
      <c r="W292" s="648">
        <v>18</v>
      </c>
      <c r="X292" s="648">
        <v>18</v>
      </c>
      <c r="Y292" s="648"/>
      <c r="Z292" s="648"/>
      <c r="AA292" s="648"/>
      <c r="AB292" s="648"/>
      <c r="AC292" s="648"/>
      <c r="AD292" s="648"/>
      <c r="AE292" s="648"/>
      <c r="AF292" s="648"/>
      <c r="AG292" s="648"/>
    </row>
    <row r="293" spans="1:33" s="413" customFormat="1" ht="14.45" hidden="1" customHeight="1" outlineLevel="1" x14ac:dyDescent="0.25">
      <c r="A293" s="633"/>
      <c r="B293" s="489"/>
      <c r="C293" s="616"/>
      <c r="D293" s="2178"/>
      <c r="E293" s="2181"/>
      <c r="F293" s="2171" t="str">
        <f t="shared" ref="F293:F331" si="31">F269</f>
        <v>CAC - SEER 15 ER1: MF</v>
      </c>
      <c r="G293" s="2172"/>
      <c r="H293" s="2173"/>
      <c r="I293" s="638"/>
      <c r="J293" s="648">
        <v>6</v>
      </c>
      <c r="K293" s="640"/>
      <c r="L293" s="641"/>
      <c r="M293" s="616"/>
      <c r="N293" s="616"/>
      <c r="O293" s="616"/>
      <c r="P293" s="489"/>
      <c r="Q293" s="489"/>
      <c r="R293" s="489"/>
      <c r="S293" s="489"/>
      <c r="T293" s="489"/>
      <c r="U293" s="489"/>
      <c r="V293" s="2120"/>
      <c r="W293" s="648">
        <v>6</v>
      </c>
      <c r="X293" s="648">
        <v>6</v>
      </c>
      <c r="Y293" s="648"/>
      <c r="Z293" s="648"/>
      <c r="AA293" s="648"/>
      <c r="AB293" s="648"/>
      <c r="AC293" s="648"/>
      <c r="AD293" s="648"/>
      <c r="AE293" s="648"/>
      <c r="AF293" s="648"/>
      <c r="AG293" s="648"/>
    </row>
    <row r="294" spans="1:33" s="413" customFormat="1" ht="14.45" hidden="1" customHeight="1" outlineLevel="1" x14ac:dyDescent="0.25">
      <c r="A294" s="633"/>
      <c r="B294" s="489"/>
      <c r="C294" s="616"/>
      <c r="D294" s="2178"/>
      <c r="E294" s="2181"/>
      <c r="F294" s="2171" t="str">
        <f t="shared" si="31"/>
        <v>CAC - SEER 15 ER2: MF</v>
      </c>
      <c r="G294" s="2172"/>
      <c r="H294" s="2173"/>
      <c r="I294" s="638"/>
      <c r="J294" s="648">
        <v>12</v>
      </c>
      <c r="K294" s="640"/>
      <c r="L294" s="641"/>
      <c r="M294" s="616"/>
      <c r="N294" s="616"/>
      <c r="O294" s="616"/>
      <c r="P294" s="489"/>
      <c r="Q294" s="489"/>
      <c r="R294" s="489"/>
      <c r="S294" s="489"/>
      <c r="T294" s="489"/>
      <c r="U294" s="489"/>
      <c r="V294" s="2120"/>
      <c r="W294" s="648">
        <v>12</v>
      </c>
      <c r="X294" s="648">
        <v>12</v>
      </c>
      <c r="Y294" s="648"/>
      <c r="Z294" s="648"/>
      <c r="AA294" s="648"/>
      <c r="AB294" s="648"/>
      <c r="AC294" s="648"/>
      <c r="AD294" s="648"/>
      <c r="AE294" s="648"/>
      <c r="AF294" s="648"/>
      <c r="AG294" s="648"/>
    </row>
    <row r="295" spans="1:33" s="413" customFormat="1" ht="14.45" hidden="1" customHeight="1" outlineLevel="1" x14ac:dyDescent="0.25">
      <c r="A295" s="633"/>
      <c r="B295" s="489"/>
      <c r="C295" s="616"/>
      <c r="D295" s="2178"/>
      <c r="E295" s="2181"/>
      <c r="F295" s="2171" t="str">
        <f t="shared" si="31"/>
        <v>CAC - SEER 15 ROF: MF</v>
      </c>
      <c r="G295" s="2172"/>
      <c r="H295" s="2173"/>
      <c r="I295" s="638"/>
      <c r="J295" s="648">
        <v>18</v>
      </c>
      <c r="K295" s="640"/>
      <c r="L295" s="641"/>
      <c r="M295" s="616"/>
      <c r="N295" s="616"/>
      <c r="O295" s="616"/>
      <c r="P295" s="489"/>
      <c r="Q295" s="489"/>
      <c r="R295" s="489"/>
      <c r="S295" s="489"/>
      <c r="T295" s="489"/>
      <c r="U295" s="489"/>
      <c r="V295" s="2120"/>
      <c r="W295" s="648">
        <v>18</v>
      </c>
      <c r="X295" s="648">
        <v>18</v>
      </c>
      <c r="Y295" s="648"/>
      <c r="Z295" s="648"/>
      <c r="AA295" s="648"/>
      <c r="AB295" s="648"/>
      <c r="AC295" s="648"/>
      <c r="AD295" s="648"/>
      <c r="AE295" s="648"/>
      <c r="AF295" s="648"/>
      <c r="AG295" s="648"/>
    </row>
    <row r="296" spans="1:33" s="413" customFormat="1" ht="14.45" hidden="1" customHeight="1" outlineLevel="1" x14ac:dyDescent="0.25">
      <c r="A296" s="633"/>
      <c r="B296" s="489"/>
      <c r="C296" s="616"/>
      <c r="D296" s="2178"/>
      <c r="E296" s="2181"/>
      <c r="F296" s="2171" t="str">
        <f t="shared" si="31"/>
        <v>CAC - SEER 16 ER1: SF</v>
      </c>
      <c r="G296" s="2172"/>
      <c r="H296" s="2173"/>
      <c r="I296" s="638"/>
      <c r="J296" s="648">
        <v>6</v>
      </c>
      <c r="K296" s="640"/>
      <c r="L296" s="641"/>
      <c r="M296" s="616"/>
      <c r="N296" s="616"/>
      <c r="O296" s="616"/>
      <c r="P296" s="489"/>
      <c r="Q296" s="489"/>
      <c r="R296" s="489"/>
      <c r="S296" s="489"/>
      <c r="T296" s="489"/>
      <c r="U296" s="489"/>
      <c r="V296" s="2120"/>
      <c r="W296" s="648">
        <v>6</v>
      </c>
      <c r="X296" s="648">
        <v>6</v>
      </c>
      <c r="Y296" s="648"/>
      <c r="Z296" s="648"/>
      <c r="AA296" s="648"/>
      <c r="AB296" s="648"/>
      <c r="AC296" s="648"/>
      <c r="AD296" s="648"/>
      <c r="AE296" s="648"/>
      <c r="AF296" s="648"/>
      <c r="AG296" s="648"/>
    </row>
    <row r="297" spans="1:33" s="413" customFormat="1" ht="14.45" hidden="1" customHeight="1" outlineLevel="1" x14ac:dyDescent="0.25">
      <c r="A297" s="633"/>
      <c r="B297" s="489"/>
      <c r="C297" s="616"/>
      <c r="D297" s="2178"/>
      <c r="E297" s="2181"/>
      <c r="F297" s="2171" t="str">
        <f t="shared" si="31"/>
        <v>CAC - SEER 16 ER2: SF</v>
      </c>
      <c r="G297" s="2172"/>
      <c r="H297" s="2173"/>
      <c r="I297" s="638"/>
      <c r="J297" s="648">
        <v>12</v>
      </c>
      <c r="K297" s="640"/>
      <c r="L297" s="641"/>
      <c r="M297" s="616"/>
      <c r="N297" s="616"/>
      <c r="O297" s="616"/>
      <c r="P297" s="489"/>
      <c r="Q297" s="489"/>
      <c r="R297" s="489"/>
      <c r="S297" s="489"/>
      <c r="T297" s="489"/>
      <c r="U297" s="489"/>
      <c r="V297" s="2120"/>
      <c r="W297" s="648">
        <v>12</v>
      </c>
      <c r="X297" s="648">
        <v>12</v>
      </c>
      <c r="Y297" s="648"/>
      <c r="Z297" s="648"/>
      <c r="AA297" s="648"/>
      <c r="AB297" s="648"/>
      <c r="AC297" s="648"/>
      <c r="AD297" s="648"/>
      <c r="AE297" s="648"/>
      <c r="AF297" s="648"/>
      <c r="AG297" s="648"/>
    </row>
    <row r="298" spans="1:33" s="413" customFormat="1" ht="14.45" hidden="1" customHeight="1" outlineLevel="1" x14ac:dyDescent="0.25">
      <c r="A298" s="633"/>
      <c r="B298" s="489"/>
      <c r="C298" s="616"/>
      <c r="D298" s="2178"/>
      <c r="E298" s="2181"/>
      <c r="F298" s="2171" t="str">
        <f t="shared" si="31"/>
        <v>CAC - SEER 16 ROF: SF</v>
      </c>
      <c r="G298" s="2172"/>
      <c r="H298" s="2173"/>
      <c r="I298" s="638"/>
      <c r="J298" s="648">
        <v>18</v>
      </c>
      <c r="K298" s="640"/>
      <c r="L298" s="641"/>
      <c r="M298" s="616"/>
      <c r="N298" s="616"/>
      <c r="O298" s="616"/>
      <c r="P298" s="489"/>
      <c r="Q298" s="489"/>
      <c r="R298" s="489"/>
      <c r="S298" s="489"/>
      <c r="T298" s="489"/>
      <c r="U298" s="489"/>
      <c r="V298" s="2120"/>
      <c r="W298" s="648">
        <v>18</v>
      </c>
      <c r="X298" s="648">
        <v>18</v>
      </c>
      <c r="Y298" s="648"/>
      <c r="Z298" s="648"/>
      <c r="AA298" s="648"/>
      <c r="AB298" s="648"/>
      <c r="AC298" s="648"/>
      <c r="AD298" s="648"/>
      <c r="AE298" s="648"/>
      <c r="AF298" s="648"/>
      <c r="AG298" s="648"/>
    </row>
    <row r="299" spans="1:33" s="413" customFormat="1" ht="14.45" hidden="1" customHeight="1" outlineLevel="1" x14ac:dyDescent="0.25">
      <c r="A299" s="633"/>
      <c r="B299" s="489"/>
      <c r="C299" s="616"/>
      <c r="D299" s="2178"/>
      <c r="E299" s="2181"/>
      <c r="F299" s="2171" t="str">
        <f t="shared" si="31"/>
        <v>CAC - SEER 16 ER1: MF</v>
      </c>
      <c r="G299" s="2172"/>
      <c r="H299" s="2173"/>
      <c r="I299" s="638"/>
      <c r="J299" s="648">
        <v>6</v>
      </c>
      <c r="K299" s="640"/>
      <c r="L299" s="641"/>
      <c r="M299" s="616"/>
      <c r="N299" s="616"/>
      <c r="O299" s="616"/>
      <c r="P299" s="489"/>
      <c r="Q299" s="489"/>
      <c r="R299" s="489"/>
      <c r="S299" s="489"/>
      <c r="T299" s="489"/>
      <c r="U299" s="489"/>
      <c r="V299" s="2120"/>
      <c r="W299" s="648">
        <v>6</v>
      </c>
      <c r="X299" s="648">
        <v>6</v>
      </c>
      <c r="Y299" s="648"/>
      <c r="Z299" s="648"/>
      <c r="AA299" s="648"/>
      <c r="AB299" s="648"/>
      <c r="AC299" s="648"/>
      <c r="AD299" s="648"/>
      <c r="AE299" s="648"/>
      <c r="AF299" s="648"/>
      <c r="AG299" s="648"/>
    </row>
    <row r="300" spans="1:33" s="413" customFormat="1" ht="14.45" hidden="1" customHeight="1" outlineLevel="1" x14ac:dyDescent="0.25">
      <c r="A300" s="633"/>
      <c r="B300" s="489"/>
      <c r="C300" s="616"/>
      <c r="D300" s="2178"/>
      <c r="E300" s="2181"/>
      <c r="F300" s="2171" t="str">
        <f t="shared" si="31"/>
        <v>CAC - SEER 16 ER2: MF</v>
      </c>
      <c r="G300" s="2172"/>
      <c r="H300" s="2173"/>
      <c r="I300" s="638"/>
      <c r="J300" s="648">
        <v>12</v>
      </c>
      <c r="K300" s="640"/>
      <c r="L300" s="641"/>
      <c r="M300" s="616"/>
      <c r="N300" s="616"/>
      <c r="O300" s="616"/>
      <c r="P300" s="489"/>
      <c r="Q300" s="489"/>
      <c r="R300" s="489"/>
      <c r="S300" s="489"/>
      <c r="T300" s="489"/>
      <c r="U300" s="489"/>
      <c r="V300" s="2120"/>
      <c r="W300" s="648">
        <v>12</v>
      </c>
      <c r="X300" s="648">
        <v>12</v>
      </c>
      <c r="Y300" s="648"/>
      <c r="Z300" s="648"/>
      <c r="AA300" s="648"/>
      <c r="AB300" s="648"/>
      <c r="AC300" s="648"/>
      <c r="AD300" s="648"/>
      <c r="AE300" s="648"/>
      <c r="AF300" s="648"/>
      <c r="AG300" s="648"/>
    </row>
    <row r="301" spans="1:33" s="413" customFormat="1" ht="14.45" hidden="1" customHeight="1" outlineLevel="1" x14ac:dyDescent="0.25">
      <c r="A301" s="633"/>
      <c r="B301" s="489"/>
      <c r="C301" s="616"/>
      <c r="D301" s="2178"/>
      <c r="E301" s="2181"/>
      <c r="F301" s="2171" t="str">
        <f t="shared" si="31"/>
        <v>CAC - SEER 16 ROF: MF</v>
      </c>
      <c r="G301" s="2172"/>
      <c r="H301" s="2173"/>
      <c r="I301" s="638"/>
      <c r="J301" s="648">
        <v>18</v>
      </c>
      <c r="K301" s="640"/>
      <c r="L301" s="641"/>
      <c r="M301" s="616"/>
      <c r="N301" s="616"/>
      <c r="O301" s="616"/>
      <c r="P301" s="489"/>
      <c r="Q301" s="489"/>
      <c r="R301" s="489"/>
      <c r="S301" s="489"/>
      <c r="T301" s="489"/>
      <c r="U301" s="489"/>
      <c r="V301" s="2120"/>
      <c r="W301" s="648">
        <v>18</v>
      </c>
      <c r="X301" s="648">
        <v>18</v>
      </c>
      <c r="Y301" s="648"/>
      <c r="Z301" s="648"/>
      <c r="AA301" s="648"/>
      <c r="AB301" s="648"/>
      <c r="AC301" s="648"/>
      <c r="AD301" s="648"/>
      <c r="AE301" s="648"/>
      <c r="AF301" s="648"/>
      <c r="AG301" s="648"/>
    </row>
    <row r="302" spans="1:33" s="413" customFormat="1" ht="14.45" hidden="1" customHeight="1" outlineLevel="1" x14ac:dyDescent="0.25">
      <c r="A302" s="633"/>
      <c r="B302" s="489"/>
      <c r="C302" s="616"/>
      <c r="D302" s="2178"/>
      <c r="E302" s="2181"/>
      <c r="F302" s="2171" t="str">
        <f t="shared" si="31"/>
        <v>CAC - SEER 17+ ER1: SF</v>
      </c>
      <c r="G302" s="2172"/>
      <c r="H302" s="2173"/>
      <c r="I302" s="638"/>
      <c r="J302" s="648">
        <v>6</v>
      </c>
      <c r="K302" s="640"/>
      <c r="L302" s="641"/>
      <c r="M302" s="616"/>
      <c r="N302" s="616"/>
      <c r="O302" s="616"/>
      <c r="P302" s="489"/>
      <c r="Q302" s="489"/>
      <c r="R302" s="489"/>
      <c r="S302" s="489"/>
      <c r="T302" s="489"/>
      <c r="U302" s="489"/>
      <c r="V302" s="2120"/>
      <c r="W302" s="648">
        <v>6</v>
      </c>
      <c r="X302" s="648">
        <v>6</v>
      </c>
      <c r="Y302" s="648"/>
      <c r="Z302" s="648"/>
      <c r="AA302" s="648"/>
      <c r="AB302" s="648"/>
      <c r="AC302" s="648"/>
      <c r="AD302" s="648"/>
      <c r="AE302" s="648"/>
      <c r="AF302" s="648"/>
      <c r="AG302" s="648"/>
    </row>
    <row r="303" spans="1:33" s="413" customFormat="1" ht="14.45" hidden="1" customHeight="1" outlineLevel="1" x14ac:dyDescent="0.25">
      <c r="A303" s="633"/>
      <c r="B303" s="489"/>
      <c r="C303" s="616"/>
      <c r="D303" s="2178"/>
      <c r="E303" s="2181"/>
      <c r="F303" s="2171" t="str">
        <f t="shared" si="31"/>
        <v>CAC - SEER 17+ ER2: SF</v>
      </c>
      <c r="G303" s="2172"/>
      <c r="H303" s="2173"/>
      <c r="I303" s="638"/>
      <c r="J303" s="648">
        <v>12</v>
      </c>
      <c r="K303" s="640"/>
      <c r="L303" s="641"/>
      <c r="M303" s="616"/>
      <c r="N303" s="616"/>
      <c r="O303" s="616"/>
      <c r="P303" s="489"/>
      <c r="Q303" s="489"/>
      <c r="R303" s="489"/>
      <c r="S303" s="489"/>
      <c r="T303" s="489"/>
      <c r="U303" s="489"/>
      <c r="V303" s="2120"/>
      <c r="W303" s="648">
        <v>12</v>
      </c>
      <c r="X303" s="648">
        <v>12</v>
      </c>
      <c r="Y303" s="648"/>
      <c r="Z303" s="648"/>
      <c r="AA303" s="648"/>
      <c r="AB303" s="648"/>
      <c r="AC303" s="648"/>
      <c r="AD303" s="648"/>
      <c r="AE303" s="648"/>
      <c r="AF303" s="648"/>
      <c r="AG303" s="648"/>
    </row>
    <row r="304" spans="1:33" s="413" customFormat="1" ht="14.45" hidden="1" customHeight="1" outlineLevel="1" x14ac:dyDescent="0.25">
      <c r="A304" s="633"/>
      <c r="B304" s="489"/>
      <c r="C304" s="616"/>
      <c r="D304" s="2178"/>
      <c r="E304" s="2181"/>
      <c r="F304" s="2171" t="str">
        <f t="shared" si="31"/>
        <v>CAC - SEER 17+ ROF: SF</v>
      </c>
      <c r="G304" s="2172"/>
      <c r="H304" s="2173"/>
      <c r="I304" s="638"/>
      <c r="J304" s="648">
        <v>18</v>
      </c>
      <c r="K304" s="640"/>
      <c r="L304" s="641"/>
      <c r="M304" s="616"/>
      <c r="N304" s="616"/>
      <c r="O304" s="616"/>
      <c r="P304" s="489"/>
      <c r="Q304" s="489"/>
      <c r="R304" s="489"/>
      <c r="S304" s="489"/>
      <c r="T304" s="489"/>
      <c r="U304" s="489"/>
      <c r="V304" s="2120"/>
      <c r="W304" s="648">
        <v>18</v>
      </c>
      <c r="X304" s="648">
        <v>18</v>
      </c>
      <c r="Y304" s="648"/>
      <c r="Z304" s="648"/>
      <c r="AA304" s="648"/>
      <c r="AB304" s="648"/>
      <c r="AC304" s="648"/>
      <c r="AD304" s="648"/>
      <c r="AE304" s="648"/>
      <c r="AF304" s="648"/>
      <c r="AG304" s="648"/>
    </row>
    <row r="305" spans="1:33" s="413" customFormat="1" ht="14.45" hidden="1" customHeight="1" outlineLevel="1" x14ac:dyDescent="0.25">
      <c r="A305" s="633"/>
      <c r="B305" s="489"/>
      <c r="C305" s="616"/>
      <c r="D305" s="2178"/>
      <c r="E305" s="2181"/>
      <c r="F305" s="2171" t="str">
        <f t="shared" si="31"/>
        <v>CAC - SEER 17+ ER1: MF</v>
      </c>
      <c r="G305" s="2172"/>
      <c r="H305" s="2173"/>
      <c r="I305" s="638"/>
      <c r="J305" s="648">
        <v>6</v>
      </c>
      <c r="K305" s="640"/>
      <c r="L305" s="641"/>
      <c r="M305" s="616"/>
      <c r="N305" s="616"/>
      <c r="O305" s="616"/>
      <c r="P305" s="489"/>
      <c r="Q305" s="489"/>
      <c r="R305" s="489"/>
      <c r="S305" s="489"/>
      <c r="T305" s="489"/>
      <c r="U305" s="489"/>
      <c r="V305" s="2120"/>
      <c r="W305" s="648">
        <v>6</v>
      </c>
      <c r="X305" s="648">
        <v>6</v>
      </c>
      <c r="Y305" s="648"/>
      <c r="Z305" s="648"/>
      <c r="AA305" s="648"/>
      <c r="AB305" s="648"/>
      <c r="AC305" s="648"/>
      <c r="AD305" s="648"/>
      <c r="AE305" s="648"/>
      <c r="AF305" s="648"/>
      <c r="AG305" s="648"/>
    </row>
    <row r="306" spans="1:33" s="413" customFormat="1" ht="14.45" hidden="1" customHeight="1" outlineLevel="1" x14ac:dyDescent="0.25">
      <c r="A306" s="633"/>
      <c r="B306" s="489"/>
      <c r="C306" s="616"/>
      <c r="D306" s="2178"/>
      <c r="E306" s="2181"/>
      <c r="F306" s="2171" t="str">
        <f t="shared" si="31"/>
        <v>CAC - SEER 17+ ER2: MF</v>
      </c>
      <c r="G306" s="2172"/>
      <c r="H306" s="2173"/>
      <c r="I306" s="638"/>
      <c r="J306" s="648">
        <v>12</v>
      </c>
      <c r="K306" s="640"/>
      <c r="L306" s="641"/>
      <c r="M306" s="616"/>
      <c r="N306" s="616"/>
      <c r="O306" s="616"/>
      <c r="P306" s="489"/>
      <c r="Q306" s="489"/>
      <c r="R306" s="489"/>
      <c r="S306" s="489"/>
      <c r="T306" s="489"/>
      <c r="U306" s="489"/>
      <c r="V306" s="2120"/>
      <c r="W306" s="648">
        <v>12</v>
      </c>
      <c r="X306" s="648">
        <v>12</v>
      </c>
      <c r="Y306" s="648"/>
      <c r="Z306" s="648"/>
      <c r="AA306" s="648"/>
      <c r="AB306" s="648"/>
      <c r="AC306" s="648"/>
      <c r="AD306" s="648"/>
      <c r="AE306" s="648"/>
      <c r="AF306" s="648"/>
      <c r="AG306" s="648"/>
    </row>
    <row r="307" spans="1:33" s="413" customFormat="1" ht="14.45" hidden="1" customHeight="1" outlineLevel="1" thickBot="1" x14ac:dyDescent="0.3">
      <c r="A307" s="633"/>
      <c r="B307" s="489"/>
      <c r="C307" s="616"/>
      <c r="D307" s="2179"/>
      <c r="E307" s="2182"/>
      <c r="F307" s="2174" t="str">
        <f t="shared" si="31"/>
        <v>CAC - SEER 17+ ROF: MF</v>
      </c>
      <c r="G307" s="2175"/>
      <c r="H307" s="2176"/>
      <c r="I307" s="643"/>
      <c r="J307" s="649">
        <v>18</v>
      </c>
      <c r="K307" s="644"/>
      <c r="L307" s="645"/>
      <c r="M307" s="616"/>
      <c r="N307" s="616"/>
      <c r="O307" s="616"/>
      <c r="P307" s="489"/>
      <c r="Q307" s="489"/>
      <c r="R307" s="489"/>
      <c r="S307" s="489"/>
      <c r="T307" s="489"/>
      <c r="U307" s="489"/>
      <c r="V307" s="2121"/>
      <c r="W307" s="649">
        <v>18</v>
      </c>
      <c r="X307" s="649">
        <v>18</v>
      </c>
      <c r="Y307" s="649"/>
      <c r="Z307" s="649"/>
      <c r="AA307" s="649"/>
      <c r="AB307" s="649"/>
      <c r="AC307" s="649"/>
      <c r="AD307" s="649"/>
      <c r="AE307" s="649"/>
      <c r="AF307" s="649"/>
      <c r="AG307" s="649"/>
    </row>
    <row r="308" spans="1:33" s="413" customFormat="1" ht="14.45" hidden="1" customHeight="1" outlineLevel="1" x14ac:dyDescent="0.25">
      <c r="A308" s="633"/>
      <c r="B308" s="489"/>
      <c r="C308" s="616"/>
      <c r="D308" s="2177" t="str">
        <f>K103</f>
        <v>Inc. Cost</v>
      </c>
      <c r="E308" s="2180" t="str">
        <f>E86</f>
        <v>Incremental Cost ($)</v>
      </c>
      <c r="F308" s="2183" t="str">
        <f t="shared" si="31"/>
        <v>CAC - SEER 14 ER1: SF</v>
      </c>
      <c r="G308" s="2184"/>
      <c r="H308" s="2185"/>
      <c r="I308" s="634"/>
      <c r="J308" s="599">
        <f>$R$140*$K$164*$J$260</f>
        <v>592.10416476026353</v>
      </c>
      <c r="K308" s="636"/>
      <c r="L308" s="637"/>
      <c r="M308" s="616"/>
      <c r="N308" s="616"/>
      <c r="O308" s="616"/>
      <c r="P308" s="489"/>
      <c r="Q308" s="489"/>
      <c r="R308" s="489"/>
      <c r="S308" s="489"/>
      <c r="T308" s="489"/>
      <c r="U308" s="489"/>
      <c r="V308" s="2119" t="str">
        <f>D308</f>
        <v>Inc. Cost</v>
      </c>
      <c r="W308" s="599">
        <v>637.14870909240062</v>
      </c>
      <c r="X308" s="650">
        <f>$R$140*$K$164*$J$260</f>
        <v>592.10416476026353</v>
      </c>
      <c r="Y308" s="599"/>
      <c r="Z308" s="599"/>
      <c r="AA308" s="599"/>
      <c r="AB308" s="599"/>
      <c r="AC308" s="599"/>
      <c r="AD308" s="599"/>
      <c r="AE308" s="599"/>
      <c r="AF308" s="599"/>
      <c r="AG308" s="599"/>
    </row>
    <row r="309" spans="1:33" s="413" customFormat="1" ht="14.45" hidden="1" customHeight="1" outlineLevel="1" x14ac:dyDescent="0.25">
      <c r="A309" s="633"/>
      <c r="B309" s="489"/>
      <c r="C309" s="616"/>
      <c r="D309" s="2178"/>
      <c r="E309" s="2181"/>
      <c r="F309" s="2171" t="str">
        <f t="shared" si="31"/>
        <v>CAC - SEER 14 ER2: SF</v>
      </c>
      <c r="G309" s="2172"/>
      <c r="H309" s="2173"/>
      <c r="I309" s="638"/>
      <c r="J309" s="489"/>
      <c r="K309" s="640"/>
      <c r="L309" s="641"/>
      <c r="M309" s="616"/>
      <c r="N309" s="616"/>
      <c r="O309" s="616"/>
      <c r="P309" s="489"/>
      <c r="Q309" s="489"/>
      <c r="R309" s="489"/>
      <c r="S309" s="489"/>
      <c r="T309" s="489"/>
      <c r="U309" s="489"/>
      <c r="V309" s="2120"/>
      <c r="W309" s="599"/>
      <c r="Y309" s="599"/>
      <c r="Z309" s="599"/>
      <c r="AA309" s="599"/>
      <c r="AB309" s="599"/>
      <c r="AC309" s="599"/>
      <c r="AD309" s="599"/>
      <c r="AE309" s="599"/>
      <c r="AF309" s="599"/>
      <c r="AG309" s="599"/>
    </row>
    <row r="310" spans="1:33" s="413" customFormat="1" ht="14.45" hidden="1" customHeight="1" outlineLevel="1" x14ac:dyDescent="0.25">
      <c r="A310" s="633"/>
      <c r="B310" s="489"/>
      <c r="C310" s="616"/>
      <c r="D310" s="2178"/>
      <c r="E310" s="2181"/>
      <c r="F310" s="2171" t="str">
        <f t="shared" si="31"/>
        <v>CAC - SEER 14 ROF: SF</v>
      </c>
      <c r="G310" s="2172"/>
      <c r="H310" s="2173"/>
      <c r="I310" s="638"/>
      <c r="J310" s="599"/>
      <c r="K310" s="640"/>
      <c r="L310" s="641"/>
      <c r="M310" s="616"/>
      <c r="N310" s="616"/>
      <c r="O310" s="616"/>
      <c r="P310" s="489"/>
      <c r="Q310" s="489"/>
      <c r="R310" s="489"/>
      <c r="S310" s="489"/>
      <c r="T310" s="489"/>
      <c r="U310" s="489"/>
      <c r="V310" s="2120"/>
      <c r="W310" s="599"/>
      <c r="X310" s="599"/>
      <c r="Y310" s="599"/>
      <c r="Z310" s="599"/>
      <c r="AA310" s="599"/>
      <c r="AB310" s="599"/>
      <c r="AC310" s="599"/>
      <c r="AD310" s="599"/>
      <c r="AE310" s="599"/>
      <c r="AF310" s="599"/>
      <c r="AG310" s="599"/>
    </row>
    <row r="311" spans="1:33" s="413" customFormat="1" ht="14.45" hidden="1" customHeight="1" outlineLevel="1" x14ac:dyDescent="0.25">
      <c r="A311" s="633"/>
      <c r="B311" s="489"/>
      <c r="C311" s="616"/>
      <c r="D311" s="2178"/>
      <c r="E311" s="2181"/>
      <c r="F311" s="2171" t="str">
        <f t="shared" si="31"/>
        <v>CAC - SEER 14 ER1: MF</v>
      </c>
      <c r="G311" s="2172"/>
      <c r="H311" s="2173"/>
      <c r="I311" s="638"/>
      <c r="J311" s="599">
        <f>$K$167*$R$140*$J$263</f>
        <v>388.26502607230395</v>
      </c>
      <c r="K311" s="640"/>
      <c r="L311" s="641"/>
      <c r="M311" s="616"/>
      <c r="N311" s="616"/>
      <c r="O311" s="616"/>
      <c r="P311" s="489"/>
      <c r="Q311" s="489"/>
      <c r="R311" s="489"/>
      <c r="S311" s="489"/>
      <c r="T311" s="489"/>
      <c r="U311" s="489"/>
      <c r="V311" s="2120"/>
      <c r="W311" s="599">
        <v>637.14870909240062</v>
      </c>
      <c r="X311" s="650">
        <f>$K$167*$R$140*$J$263</f>
        <v>388.26502607230395</v>
      </c>
      <c r="Y311" s="599"/>
      <c r="Z311" s="599"/>
      <c r="AA311" s="599"/>
      <c r="AB311" s="599"/>
      <c r="AC311" s="599"/>
      <c r="AD311" s="599"/>
      <c r="AE311" s="599"/>
      <c r="AF311" s="599"/>
      <c r="AG311" s="599"/>
    </row>
    <row r="312" spans="1:33" s="413" customFormat="1" ht="14.45" hidden="1" customHeight="1" outlineLevel="1" x14ac:dyDescent="0.25">
      <c r="A312" s="633"/>
      <c r="B312" s="489"/>
      <c r="C312" s="616"/>
      <c r="D312" s="2178"/>
      <c r="E312" s="2181"/>
      <c r="F312" s="2171" t="str">
        <f t="shared" si="31"/>
        <v>CAC - SEER 14 ER2: MF</v>
      </c>
      <c r="G312" s="2172"/>
      <c r="H312" s="2173"/>
      <c r="I312" s="638"/>
      <c r="J312" s="599"/>
      <c r="K312" s="640"/>
      <c r="L312" s="641"/>
      <c r="M312" s="616"/>
      <c r="N312" s="616"/>
      <c r="O312" s="616"/>
      <c r="P312" s="489"/>
      <c r="Q312" s="489"/>
      <c r="R312" s="489"/>
      <c r="S312" s="489"/>
      <c r="T312" s="489"/>
      <c r="U312" s="489"/>
      <c r="V312" s="2120"/>
      <c r="W312" s="599"/>
      <c r="X312" s="599"/>
      <c r="Y312" s="599"/>
      <c r="Z312" s="599"/>
      <c r="AA312" s="599"/>
      <c r="AB312" s="599"/>
      <c r="AC312" s="599"/>
      <c r="AD312" s="599"/>
      <c r="AE312" s="599"/>
      <c r="AF312" s="599"/>
      <c r="AG312" s="599"/>
    </row>
    <row r="313" spans="1:33" s="413" customFormat="1" ht="14.45" hidden="1" customHeight="1" outlineLevel="1" x14ac:dyDescent="0.25">
      <c r="A313" s="633"/>
      <c r="B313" s="489"/>
      <c r="C313" s="616"/>
      <c r="D313" s="2178"/>
      <c r="E313" s="2181"/>
      <c r="F313" s="2171" t="str">
        <f t="shared" si="31"/>
        <v>CAC - SEER 14 ROF: MF</v>
      </c>
      <c r="G313" s="2172"/>
      <c r="H313" s="2173"/>
      <c r="I313" s="638"/>
      <c r="J313" s="599"/>
      <c r="K313" s="640"/>
      <c r="L313" s="641"/>
      <c r="M313" s="616"/>
      <c r="N313" s="616"/>
      <c r="O313" s="616"/>
      <c r="P313" s="489"/>
      <c r="Q313" s="489"/>
      <c r="R313" s="489"/>
      <c r="S313" s="489"/>
      <c r="T313" s="489"/>
      <c r="U313" s="489"/>
      <c r="V313" s="2120"/>
      <c r="W313" s="599"/>
      <c r="X313" s="599"/>
      <c r="Y313" s="599"/>
      <c r="Z313" s="599"/>
      <c r="AA313" s="599"/>
      <c r="AB313" s="599"/>
      <c r="AC313" s="599"/>
      <c r="AD313" s="599"/>
      <c r="AE313" s="599"/>
      <c r="AF313" s="599"/>
      <c r="AG313" s="599"/>
    </row>
    <row r="314" spans="1:33" s="413" customFormat="1" ht="14.45" hidden="1" customHeight="1" outlineLevel="1" x14ac:dyDescent="0.25">
      <c r="A314" s="633"/>
      <c r="B314" s="489"/>
      <c r="C314" s="616"/>
      <c r="D314" s="2178"/>
      <c r="E314" s="2181"/>
      <c r="F314" s="2171" t="str">
        <f t="shared" si="31"/>
        <v>CAC - SEER 15 ER1: SF</v>
      </c>
      <c r="G314" s="2172"/>
      <c r="H314" s="2173"/>
      <c r="I314" s="638"/>
      <c r="J314" s="599">
        <f>$R$141*$K$170*$J$266</f>
        <v>921.50416476026385</v>
      </c>
      <c r="K314" s="640"/>
      <c r="L314" s="641"/>
      <c r="M314" s="616"/>
      <c r="N314" s="616"/>
      <c r="O314" s="616"/>
      <c r="P314" s="489"/>
      <c r="Q314" s="489"/>
      <c r="R314" s="489"/>
      <c r="S314" s="489"/>
      <c r="T314" s="489"/>
      <c r="U314" s="489"/>
      <c r="V314" s="2120"/>
      <c r="W314" s="599">
        <v>1057.263580001641</v>
      </c>
      <c r="X314" s="650">
        <f>$R$141*$K$170*$J$266</f>
        <v>921.50416476026385</v>
      </c>
      <c r="Y314" s="599"/>
      <c r="Z314" s="599"/>
      <c r="AA314" s="599"/>
      <c r="AB314" s="599"/>
      <c r="AC314" s="599"/>
      <c r="AD314" s="599"/>
      <c r="AE314" s="599"/>
      <c r="AF314" s="599"/>
      <c r="AG314" s="599"/>
    </row>
    <row r="315" spans="1:33" s="413" customFormat="1" ht="14.45" hidden="1" customHeight="1" outlineLevel="1" x14ac:dyDescent="0.25">
      <c r="A315" s="633"/>
      <c r="B315" s="489"/>
      <c r="C315" s="616"/>
      <c r="D315" s="2178"/>
      <c r="E315" s="2181"/>
      <c r="F315" s="2171" t="str">
        <f t="shared" si="31"/>
        <v>CAC - SEER 15 ER2: SF</v>
      </c>
      <c r="G315" s="2172"/>
      <c r="H315" s="2173"/>
      <c r="I315" s="638"/>
      <c r="J315" s="599"/>
      <c r="K315" s="640"/>
      <c r="L315" s="641"/>
      <c r="M315" s="616"/>
      <c r="N315" s="616"/>
      <c r="O315" s="616"/>
      <c r="P315" s="489"/>
      <c r="Q315" s="489"/>
      <c r="R315" s="489"/>
      <c r="S315" s="489"/>
      <c r="T315" s="489"/>
      <c r="U315" s="489"/>
      <c r="V315" s="2120"/>
      <c r="W315" s="599"/>
      <c r="X315" s="599"/>
      <c r="Y315" s="599"/>
      <c r="Z315" s="599"/>
      <c r="AA315" s="599"/>
      <c r="AB315" s="599"/>
      <c r="AC315" s="599"/>
      <c r="AD315" s="599"/>
      <c r="AE315" s="599"/>
      <c r="AF315" s="599"/>
      <c r="AG315" s="599"/>
    </row>
    <row r="316" spans="1:33" s="413" customFormat="1" ht="14.45" hidden="1" customHeight="1" outlineLevel="1" x14ac:dyDescent="0.25">
      <c r="A316" s="633"/>
      <c r="B316" s="489"/>
      <c r="C316" s="616"/>
      <c r="D316" s="2178"/>
      <c r="E316" s="2181"/>
      <c r="F316" s="2171" t="str">
        <f t="shared" si="31"/>
        <v>CAC - SEER 15 ROF: SF</v>
      </c>
      <c r="G316" s="2172"/>
      <c r="H316" s="2173"/>
      <c r="I316" s="638"/>
      <c r="J316" s="599">
        <f>$K$167*$Q$141*$J$268</f>
        <v>216</v>
      </c>
      <c r="K316" s="640"/>
      <c r="L316" s="641"/>
      <c r="M316" s="616"/>
      <c r="N316" s="616"/>
      <c r="O316" s="616"/>
      <c r="P316" s="489"/>
      <c r="Q316" s="489"/>
      <c r="R316" s="489"/>
      <c r="S316" s="489"/>
      <c r="T316" s="489"/>
      <c r="U316" s="489"/>
      <c r="V316" s="2120"/>
      <c r="W316" s="599">
        <v>324</v>
      </c>
      <c r="X316" s="650">
        <f>$K$167*$Q$141*$J$268</f>
        <v>216</v>
      </c>
      <c r="Y316" s="599"/>
      <c r="Z316" s="599"/>
      <c r="AA316" s="599"/>
      <c r="AB316" s="599"/>
      <c r="AC316" s="599"/>
      <c r="AD316" s="599"/>
      <c r="AE316" s="599"/>
      <c r="AF316" s="599"/>
      <c r="AG316" s="599"/>
    </row>
    <row r="317" spans="1:33" s="413" customFormat="1" ht="14.45" hidden="1" customHeight="1" outlineLevel="1" x14ac:dyDescent="0.25">
      <c r="A317" s="633"/>
      <c r="B317" s="489"/>
      <c r="C317" s="616"/>
      <c r="D317" s="2178"/>
      <c r="E317" s="2181"/>
      <c r="F317" s="2171" t="str">
        <f t="shared" si="31"/>
        <v>CAC - SEER 15 ER1: MF</v>
      </c>
      <c r="G317" s="2172"/>
      <c r="H317" s="2173"/>
      <c r="I317" s="638"/>
      <c r="J317" s="599">
        <f>$K$173*$R$141*$J$269</f>
        <v>610.06848809354028</v>
      </c>
      <c r="K317" s="640"/>
      <c r="L317" s="641"/>
      <c r="M317" s="616"/>
      <c r="N317" s="616"/>
      <c r="O317" s="616"/>
      <c r="P317" s="489"/>
      <c r="Q317" s="489"/>
      <c r="R317" s="489"/>
      <c r="S317" s="489"/>
      <c r="T317" s="489"/>
      <c r="U317" s="489"/>
      <c r="V317" s="2120"/>
      <c r="W317" s="599">
        <v>1057.263580001641</v>
      </c>
      <c r="X317" s="650">
        <f>$K$173*$R$141*$J$269</f>
        <v>610.06848809354028</v>
      </c>
      <c r="Y317" s="599"/>
      <c r="Z317" s="599"/>
      <c r="AA317" s="599"/>
      <c r="AB317" s="599"/>
      <c r="AC317" s="599"/>
      <c r="AD317" s="599"/>
      <c r="AE317" s="599"/>
      <c r="AF317" s="599"/>
      <c r="AG317" s="599"/>
    </row>
    <row r="318" spans="1:33" s="413" customFormat="1" ht="14.45" hidden="1" customHeight="1" outlineLevel="1" x14ac:dyDescent="0.25">
      <c r="A318" s="633"/>
      <c r="B318" s="489"/>
      <c r="C318" s="616"/>
      <c r="D318" s="2178"/>
      <c r="E318" s="2181"/>
      <c r="F318" s="2171" t="str">
        <f t="shared" si="31"/>
        <v>CAC - SEER 15 ER2: MF</v>
      </c>
      <c r="G318" s="2172"/>
      <c r="H318" s="2173"/>
      <c r="I318" s="638"/>
      <c r="J318" s="599"/>
      <c r="K318" s="640"/>
      <c r="L318" s="641"/>
      <c r="M318" s="616"/>
      <c r="N318" s="616"/>
      <c r="O318" s="616"/>
      <c r="P318" s="489"/>
      <c r="Q318" s="489"/>
      <c r="R318" s="489"/>
      <c r="S318" s="489"/>
      <c r="T318" s="489"/>
      <c r="U318" s="489"/>
      <c r="V318" s="2120"/>
      <c r="W318" s="599"/>
      <c r="X318" s="599"/>
      <c r="Y318" s="599"/>
      <c r="Z318" s="599"/>
      <c r="AA318" s="599"/>
      <c r="AB318" s="599"/>
      <c r="AC318" s="599"/>
      <c r="AD318" s="599"/>
      <c r="AE318" s="599"/>
      <c r="AF318" s="599"/>
      <c r="AG318" s="599"/>
    </row>
    <row r="319" spans="1:33" s="413" customFormat="1" ht="14.45" hidden="1" customHeight="1" outlineLevel="1" x14ac:dyDescent="0.25">
      <c r="A319" s="633"/>
      <c r="B319" s="489"/>
      <c r="C319" s="616"/>
      <c r="D319" s="2178"/>
      <c r="E319" s="2181"/>
      <c r="F319" s="2171" t="str">
        <f t="shared" si="31"/>
        <v>CAC - SEER 15 ROF: MF</v>
      </c>
      <c r="G319" s="2172"/>
      <c r="H319" s="2173"/>
      <c r="I319" s="638"/>
      <c r="J319" s="599">
        <f>$K$175*$Q$141*$J$271</f>
        <v>218.0745</v>
      </c>
      <c r="K319" s="640"/>
      <c r="L319" s="641"/>
      <c r="M319" s="616"/>
      <c r="N319" s="616"/>
      <c r="O319" s="616"/>
      <c r="P319" s="489"/>
      <c r="Q319" s="489"/>
      <c r="R319" s="489"/>
      <c r="S319" s="489"/>
      <c r="T319" s="489"/>
      <c r="U319" s="489"/>
      <c r="V319" s="2120"/>
      <c r="W319" s="599">
        <v>324</v>
      </c>
      <c r="X319" s="650">
        <f>$K$175*$Q$141*$J$271</f>
        <v>218.0745</v>
      </c>
      <c r="Y319" s="599"/>
      <c r="Z319" s="599"/>
      <c r="AA319" s="599"/>
      <c r="AB319" s="599"/>
      <c r="AC319" s="599"/>
      <c r="AD319" s="599"/>
      <c r="AE319" s="599"/>
      <c r="AF319" s="599"/>
      <c r="AG319" s="599"/>
    </row>
    <row r="320" spans="1:33" s="413" customFormat="1" ht="14.45" hidden="1" customHeight="1" outlineLevel="1" x14ac:dyDescent="0.25">
      <c r="A320" s="633"/>
      <c r="B320" s="489"/>
      <c r="C320" s="616"/>
      <c r="D320" s="2178"/>
      <c r="E320" s="2181"/>
      <c r="F320" s="2171" t="str">
        <f t="shared" si="31"/>
        <v>CAC - SEER 16 ER1: SF</v>
      </c>
      <c r="G320" s="2172"/>
      <c r="H320" s="2173"/>
      <c r="I320" s="638"/>
      <c r="J320" s="599">
        <f>$R$142*$K$176*$J$272</f>
        <v>1266.1541647602637</v>
      </c>
      <c r="K320" s="640"/>
      <c r="L320" s="641"/>
      <c r="M320" s="616"/>
      <c r="N320" s="616"/>
      <c r="O320" s="616"/>
      <c r="P320" s="489"/>
      <c r="Q320" s="489"/>
      <c r="R320" s="489"/>
      <c r="S320" s="489"/>
      <c r="T320" s="489"/>
      <c r="U320" s="489"/>
      <c r="V320" s="2120"/>
      <c r="W320" s="599">
        <v>1343.486999395481</v>
      </c>
      <c r="X320" s="650">
        <f>$R$142*$K$176*$J$272</f>
        <v>1266.1541647602637</v>
      </c>
      <c r="Y320" s="599"/>
      <c r="Z320" s="599"/>
      <c r="AA320" s="599"/>
      <c r="AB320" s="599"/>
      <c r="AC320" s="599"/>
      <c r="AD320" s="599"/>
      <c r="AE320" s="599"/>
      <c r="AF320" s="599"/>
      <c r="AG320" s="599"/>
    </row>
    <row r="321" spans="1:34" s="413" customFormat="1" ht="14.45" hidden="1" customHeight="1" outlineLevel="1" x14ac:dyDescent="0.25">
      <c r="A321" s="633"/>
      <c r="B321" s="489"/>
      <c r="C321" s="616"/>
      <c r="D321" s="2178"/>
      <c r="E321" s="2181"/>
      <c r="F321" s="2171" t="str">
        <f t="shared" si="31"/>
        <v>CAC - SEER 16 ER2: SF</v>
      </c>
      <c r="G321" s="2172"/>
      <c r="H321" s="2173"/>
      <c r="I321" s="638"/>
      <c r="J321" s="599"/>
      <c r="K321" s="640"/>
      <c r="L321" s="641"/>
      <c r="M321" s="616"/>
      <c r="N321" s="616"/>
      <c r="O321" s="616"/>
      <c r="P321" s="489"/>
      <c r="Q321" s="489"/>
      <c r="R321" s="489"/>
      <c r="S321" s="489"/>
      <c r="T321" s="489"/>
      <c r="U321" s="489"/>
      <c r="V321" s="2120"/>
      <c r="W321" s="599"/>
      <c r="X321" s="599"/>
      <c r="Y321" s="599"/>
      <c r="Z321" s="599"/>
      <c r="AA321" s="599"/>
      <c r="AB321" s="599"/>
      <c r="AC321" s="599"/>
      <c r="AD321" s="599"/>
      <c r="AE321" s="599"/>
      <c r="AF321" s="599"/>
      <c r="AG321" s="599"/>
    </row>
    <row r="322" spans="1:34" s="413" customFormat="1" ht="14.45" hidden="1" customHeight="1" outlineLevel="1" x14ac:dyDescent="0.25">
      <c r="A322" s="633"/>
      <c r="B322" s="489"/>
      <c r="C322" s="616"/>
      <c r="D322" s="2178"/>
      <c r="E322" s="2181"/>
      <c r="F322" s="2171" t="str">
        <f t="shared" si="31"/>
        <v>CAC - SEER 16 ROF: SF</v>
      </c>
      <c r="G322" s="2172"/>
      <c r="H322" s="2173"/>
      <c r="I322" s="638"/>
      <c r="J322" s="408">
        <f>$K$178*$Q$142*$J$274</f>
        <v>674.05</v>
      </c>
      <c r="K322" s="640"/>
      <c r="L322" s="641"/>
      <c r="M322" s="616"/>
      <c r="N322" s="616"/>
      <c r="O322" s="616"/>
      <c r="P322" s="489"/>
      <c r="Q322" s="489"/>
      <c r="R322" s="489"/>
      <c r="S322" s="489"/>
      <c r="T322" s="489"/>
      <c r="U322" s="489"/>
      <c r="V322" s="2120"/>
      <c r="W322" s="408">
        <v>640.9</v>
      </c>
      <c r="X322" s="651">
        <f>$K$178*$Q$142*$J$274</f>
        <v>674.05</v>
      </c>
      <c r="Y322" s="408"/>
      <c r="Z322" s="408"/>
      <c r="AA322" s="408"/>
      <c r="AB322" s="408"/>
      <c r="AC322" s="408"/>
      <c r="AD322" s="408"/>
      <c r="AE322" s="408"/>
      <c r="AF322" s="408"/>
      <c r="AG322" s="408"/>
    </row>
    <row r="323" spans="1:34" s="413" customFormat="1" ht="14.45" hidden="1" customHeight="1" outlineLevel="1" x14ac:dyDescent="0.25">
      <c r="A323" s="633"/>
      <c r="B323" s="489"/>
      <c r="C323" s="616"/>
      <c r="D323" s="2178"/>
      <c r="E323" s="2181"/>
      <c r="F323" s="2171" t="str">
        <f t="shared" si="31"/>
        <v>CAC - SEER 16 ER1: MF</v>
      </c>
      <c r="G323" s="2172"/>
      <c r="H323" s="2173"/>
      <c r="I323" s="638"/>
      <c r="J323" s="599">
        <f>$K$179*$R$142*$J$275</f>
        <v>846.21303344810963</v>
      </c>
      <c r="K323" s="640"/>
      <c r="L323" s="641"/>
      <c r="M323" s="616"/>
      <c r="N323" s="616"/>
      <c r="O323" s="616"/>
      <c r="P323" s="489"/>
      <c r="Q323" s="489"/>
      <c r="R323" s="489"/>
      <c r="S323" s="489"/>
      <c r="T323" s="489"/>
      <c r="U323" s="489"/>
      <c r="V323" s="2120"/>
      <c r="W323" s="599">
        <v>1343.486999395481</v>
      </c>
      <c r="X323" s="650">
        <f>$K$179*$R$142*$J$275</f>
        <v>846.21303344810963</v>
      </c>
      <c r="Y323" s="599"/>
      <c r="Z323" s="599"/>
      <c r="AA323" s="599"/>
      <c r="AB323" s="599"/>
      <c r="AC323" s="599"/>
      <c r="AD323" s="599"/>
      <c r="AE323" s="599"/>
      <c r="AF323" s="599"/>
      <c r="AG323" s="599"/>
    </row>
    <row r="324" spans="1:34" s="413" customFormat="1" ht="14.45" hidden="1" customHeight="1" outlineLevel="1" x14ac:dyDescent="0.25">
      <c r="A324" s="633"/>
      <c r="B324" s="489"/>
      <c r="C324" s="616"/>
      <c r="D324" s="2178"/>
      <c r="E324" s="2181"/>
      <c r="F324" s="2171" t="str">
        <f t="shared" si="31"/>
        <v>CAC - SEER 16 ER2: MF</v>
      </c>
      <c r="G324" s="2172"/>
      <c r="H324" s="2173"/>
      <c r="I324" s="638"/>
      <c r="J324" s="599"/>
      <c r="K324" s="640"/>
      <c r="L324" s="641"/>
      <c r="M324" s="616"/>
      <c r="N324" s="616"/>
      <c r="O324" s="616"/>
      <c r="P324" s="489"/>
      <c r="Q324" s="489"/>
      <c r="R324" s="489"/>
      <c r="S324" s="489"/>
      <c r="T324" s="489"/>
      <c r="U324" s="489"/>
      <c r="V324" s="2120"/>
      <c r="W324" s="599"/>
      <c r="X324" s="599"/>
      <c r="Y324" s="599"/>
      <c r="Z324" s="599"/>
      <c r="AA324" s="599"/>
      <c r="AB324" s="599"/>
      <c r="AC324" s="599"/>
      <c r="AD324" s="599"/>
      <c r="AE324" s="599"/>
      <c r="AF324" s="599"/>
      <c r="AG324" s="599"/>
    </row>
    <row r="325" spans="1:34" s="413" customFormat="1" ht="14.45" hidden="1" customHeight="1" outlineLevel="1" x14ac:dyDescent="0.25">
      <c r="A325" s="633"/>
      <c r="B325" s="489"/>
      <c r="C325" s="616"/>
      <c r="D325" s="2178"/>
      <c r="E325" s="2181"/>
      <c r="F325" s="2171" t="str">
        <f t="shared" si="31"/>
        <v>CAC - SEER 16 ROF: MF</v>
      </c>
      <c r="G325" s="2172"/>
      <c r="H325" s="2173"/>
      <c r="I325" s="638"/>
      <c r="J325" s="408">
        <f>$K$181*$Q$142*$J$277</f>
        <v>450.4900833333333</v>
      </c>
      <c r="K325" s="640"/>
      <c r="L325" s="641"/>
      <c r="M325" s="616"/>
      <c r="N325" s="616"/>
      <c r="O325" s="616"/>
      <c r="P325" s="489"/>
      <c r="Q325" s="489"/>
      <c r="R325" s="489"/>
      <c r="S325" s="489"/>
      <c r="T325" s="489"/>
      <c r="U325" s="489"/>
      <c r="V325" s="2120"/>
      <c r="W325" s="408">
        <v>640.9</v>
      </c>
      <c r="X325" s="651">
        <f>$K$181*$Q$142*$J$277</f>
        <v>450.4900833333333</v>
      </c>
      <c r="Y325" s="408"/>
      <c r="Z325" s="408"/>
      <c r="AA325" s="408"/>
      <c r="AB325" s="408"/>
      <c r="AC325" s="408"/>
      <c r="AD325" s="408"/>
      <c r="AE325" s="408"/>
      <c r="AF325" s="408"/>
      <c r="AG325" s="408"/>
    </row>
    <row r="326" spans="1:34" s="413" customFormat="1" ht="14.45" hidden="1" customHeight="1" outlineLevel="1" x14ac:dyDescent="0.25">
      <c r="A326" s="633"/>
      <c r="B326" s="489"/>
      <c r="C326" s="616"/>
      <c r="D326" s="2178"/>
      <c r="E326" s="2181"/>
      <c r="F326" s="2171" t="str">
        <f t="shared" si="31"/>
        <v>CAC - SEER 17+ ER1: SF</v>
      </c>
      <c r="G326" s="2172"/>
      <c r="H326" s="2173"/>
      <c r="I326" s="638"/>
      <c r="J326" s="599">
        <f>$R$143*$K$186*$J$278</f>
        <v>1854.2107904120714</v>
      </c>
      <c r="K326" s="640"/>
      <c r="L326" s="641"/>
      <c r="M326" s="616"/>
      <c r="N326" s="616"/>
      <c r="O326" s="616"/>
      <c r="P326" s="489"/>
      <c r="Q326" s="489"/>
      <c r="R326" s="489"/>
      <c r="S326" s="489"/>
      <c r="T326" s="489"/>
      <c r="U326" s="489"/>
      <c r="V326" s="2120"/>
      <c r="W326" s="599">
        <v>1910.786999395481</v>
      </c>
      <c r="X326" s="650">
        <f>$R$143*$K$186*$J$278</f>
        <v>1854.2107904120714</v>
      </c>
      <c r="Y326" s="599"/>
      <c r="Z326" s="599"/>
      <c r="AA326" s="599"/>
      <c r="AB326" s="599"/>
      <c r="AC326" s="599"/>
      <c r="AD326" s="599"/>
      <c r="AE326" s="599"/>
      <c r="AF326" s="599"/>
      <c r="AG326" s="599"/>
    </row>
    <row r="327" spans="1:34" s="413" customFormat="1" ht="14.45" hidden="1" customHeight="1" outlineLevel="1" x14ac:dyDescent="0.25">
      <c r="A327" s="633"/>
      <c r="B327" s="489"/>
      <c r="C327" s="616"/>
      <c r="D327" s="2178"/>
      <c r="E327" s="2181"/>
      <c r="F327" s="2171" t="str">
        <f t="shared" si="31"/>
        <v>CAC - SEER 17+ ER2: SF</v>
      </c>
      <c r="G327" s="2172"/>
      <c r="H327" s="2173"/>
      <c r="I327" s="638"/>
      <c r="J327" s="599"/>
      <c r="K327" s="640"/>
      <c r="L327" s="641"/>
      <c r="M327" s="616"/>
      <c r="N327" s="616"/>
      <c r="O327" s="616"/>
      <c r="P327" s="489"/>
      <c r="Q327" s="489"/>
      <c r="R327" s="489"/>
      <c r="S327" s="489"/>
      <c r="T327" s="489"/>
      <c r="U327" s="489"/>
      <c r="V327" s="2120"/>
      <c r="W327" s="599"/>
      <c r="X327" s="599"/>
      <c r="Y327" s="599"/>
      <c r="Z327" s="599"/>
      <c r="AA327" s="599"/>
      <c r="AB327" s="599"/>
      <c r="AC327" s="599"/>
      <c r="AD327" s="599"/>
      <c r="AE327" s="599"/>
      <c r="AF327" s="599"/>
      <c r="AG327" s="599"/>
    </row>
    <row r="328" spans="1:34" s="413" customFormat="1" ht="14.45" hidden="1" customHeight="1" outlineLevel="1" x14ac:dyDescent="0.25">
      <c r="A328" s="633"/>
      <c r="B328" s="489"/>
      <c r="C328" s="616"/>
      <c r="D328" s="2178"/>
      <c r="E328" s="2181"/>
      <c r="F328" s="2171" t="str">
        <f t="shared" si="31"/>
        <v>CAC - SEER 17+ ROF: SF</v>
      </c>
      <c r="G328" s="2172"/>
      <c r="H328" s="2173"/>
      <c r="I328" s="638"/>
      <c r="J328" s="599">
        <f>$K$187*$Q$143*$J$280</f>
        <v>1171.5999999999999</v>
      </c>
      <c r="K328" s="640"/>
      <c r="L328" s="641"/>
      <c r="M328" s="616"/>
      <c r="N328" s="616"/>
      <c r="O328" s="616"/>
      <c r="P328" s="489"/>
      <c r="Q328" s="489"/>
      <c r="R328" s="489"/>
      <c r="S328" s="489"/>
      <c r="T328" s="489"/>
      <c r="U328" s="489"/>
      <c r="V328" s="2120"/>
      <c r="W328" s="599">
        <v>1171.5999999999999</v>
      </c>
      <c r="X328" s="599">
        <f>$K$187*$Q$143*$J$280</f>
        <v>1171.5999999999999</v>
      </c>
      <c r="Y328" s="599"/>
      <c r="Z328" s="599"/>
      <c r="AA328" s="599"/>
      <c r="AB328" s="599"/>
      <c r="AC328" s="599"/>
      <c r="AD328" s="599"/>
      <c r="AE328" s="599"/>
      <c r="AF328" s="599"/>
      <c r="AG328" s="599"/>
    </row>
    <row r="329" spans="1:34" s="413" customFormat="1" ht="14.45" hidden="1" customHeight="1" outlineLevel="1" x14ac:dyDescent="0.25">
      <c r="A329" s="633"/>
      <c r="B329" s="489"/>
      <c r="C329" s="616"/>
      <c r="D329" s="2178"/>
      <c r="E329" s="2181"/>
      <c r="F329" s="2171" t="str">
        <f t="shared" si="31"/>
        <v>CAC - SEER 17+ ER1: MF</v>
      </c>
      <c r="G329" s="2172"/>
      <c r="H329" s="2173"/>
      <c r="I329" s="638"/>
      <c r="J329" s="599">
        <f>$K$185*$R$143*$J$281</f>
        <v>1854.2107904120714</v>
      </c>
      <c r="K329" s="640"/>
      <c r="L329" s="641"/>
      <c r="M329" s="616"/>
      <c r="N329" s="616"/>
      <c r="O329" s="616"/>
      <c r="P329" s="489"/>
      <c r="Q329" s="489"/>
      <c r="R329" s="489"/>
      <c r="S329" s="489"/>
      <c r="T329" s="489"/>
      <c r="U329" s="489"/>
      <c r="V329" s="2120"/>
      <c r="W329" s="599">
        <v>1910.786999395481</v>
      </c>
      <c r="X329" s="650">
        <f>$K$185*$R$143*$J$281</f>
        <v>1854.2107904120714</v>
      </c>
      <c r="Y329" s="599"/>
      <c r="Z329" s="599"/>
      <c r="AA329" s="599"/>
      <c r="AB329" s="599"/>
      <c r="AC329" s="599"/>
      <c r="AD329" s="599"/>
      <c r="AE329" s="599"/>
      <c r="AF329" s="599"/>
      <c r="AG329" s="599"/>
    </row>
    <row r="330" spans="1:34" s="413" customFormat="1" ht="14.45" hidden="1" customHeight="1" outlineLevel="1" x14ac:dyDescent="0.25">
      <c r="A330" s="633"/>
      <c r="B330" s="489"/>
      <c r="C330" s="616"/>
      <c r="D330" s="2178"/>
      <c r="E330" s="2181"/>
      <c r="F330" s="2171" t="str">
        <f t="shared" si="31"/>
        <v>CAC - SEER 17+ ER2: MF</v>
      </c>
      <c r="G330" s="2172"/>
      <c r="H330" s="2173"/>
      <c r="I330" s="638"/>
      <c r="J330" s="599"/>
      <c r="K330" s="640"/>
      <c r="L330" s="641"/>
      <c r="M330" s="616"/>
      <c r="N330" s="616"/>
      <c r="O330" s="616"/>
      <c r="P330" s="489"/>
      <c r="Q330" s="489"/>
      <c r="R330" s="489"/>
      <c r="S330" s="489"/>
      <c r="T330" s="489"/>
      <c r="U330" s="489"/>
      <c r="V330" s="2120"/>
      <c r="W330" s="599"/>
      <c r="X330" s="599"/>
      <c r="Y330" s="599"/>
      <c r="Z330" s="599"/>
      <c r="AA330" s="599"/>
      <c r="AB330" s="599"/>
      <c r="AC330" s="599"/>
      <c r="AD330" s="599"/>
      <c r="AE330" s="599"/>
      <c r="AF330" s="599"/>
      <c r="AG330" s="599"/>
    </row>
    <row r="331" spans="1:34" s="413" customFormat="1" ht="14.45" hidden="1" customHeight="1" outlineLevel="1" thickBot="1" x14ac:dyDescent="0.3">
      <c r="A331" s="633"/>
      <c r="B331" s="489"/>
      <c r="C331" s="616"/>
      <c r="D331" s="2179"/>
      <c r="E331" s="2182"/>
      <c r="F331" s="2174" t="str">
        <f t="shared" si="31"/>
        <v>CAC - SEER 17+ ROF: MF</v>
      </c>
      <c r="G331" s="2175"/>
      <c r="H331" s="2176"/>
      <c r="I331" s="643"/>
      <c r="J331" s="652">
        <f>$K$187*$Q$143*$J$283</f>
        <v>1171.5999999999999</v>
      </c>
      <c r="K331" s="644"/>
      <c r="L331" s="645"/>
      <c r="M331" s="616"/>
      <c r="N331" s="616"/>
      <c r="O331" s="616"/>
      <c r="P331" s="489"/>
      <c r="Q331" s="489"/>
      <c r="R331" s="489"/>
      <c r="S331" s="489"/>
      <c r="T331" s="489"/>
      <c r="U331" s="489"/>
      <c r="V331" s="2121"/>
      <c r="W331" s="652">
        <v>1171.5999999999999</v>
      </c>
      <c r="X331" s="652">
        <f>$K$187*$Q$143*$J$283</f>
        <v>1171.5999999999999</v>
      </c>
      <c r="Y331" s="652"/>
      <c r="Z331" s="652"/>
      <c r="AA331" s="652"/>
      <c r="AB331" s="652"/>
      <c r="AC331" s="652"/>
      <c r="AD331" s="652"/>
      <c r="AE331" s="652"/>
      <c r="AF331" s="652"/>
      <c r="AG331" s="652"/>
    </row>
    <row r="332" spans="1:34" collapsed="1" x14ac:dyDescent="0.25">
      <c r="A332" s="597"/>
      <c r="I332" s="130" t="s">
        <v>979</v>
      </c>
      <c r="L332" s="616"/>
      <c r="M332" s="616"/>
      <c r="N332" s="616"/>
      <c r="O332" s="616"/>
      <c r="P332" s="616"/>
      <c r="Q332" s="616"/>
      <c r="V332" s="56"/>
      <c r="W332" s="56"/>
      <c r="X332" s="56"/>
      <c r="Y332" s="56"/>
      <c r="Z332" s="56"/>
    </row>
    <row r="333" spans="1:34" x14ac:dyDescent="0.25">
      <c r="H333" s="616"/>
      <c r="I333" s="616"/>
      <c r="J333" s="616"/>
      <c r="K333" s="616"/>
      <c r="L333" s="616"/>
      <c r="M333" s="616"/>
    </row>
    <row r="334" spans="1:34" s="56" customFormat="1" x14ac:dyDescent="0.25">
      <c r="A334" s="597"/>
      <c r="B334" s="111" t="s">
        <v>1884</v>
      </c>
      <c r="C334" s="653"/>
      <c r="D334" s="112"/>
      <c r="E334" s="112"/>
      <c r="F334" s="112"/>
      <c r="G334" s="112"/>
      <c r="H334" s="112"/>
      <c r="I334" s="112"/>
      <c r="J334" s="112"/>
      <c r="K334" s="112"/>
      <c r="L334" s="112"/>
      <c r="M334" s="112"/>
      <c r="N334" s="1657"/>
      <c r="O334" s="1657"/>
      <c r="P334" s="1657"/>
      <c r="Q334" s="1658"/>
      <c r="R334" s="130"/>
      <c r="S334" s="130"/>
      <c r="T334" s="130"/>
      <c r="U334" s="130"/>
      <c r="V334" s="2022" t="str">
        <f>B334</f>
        <v>Ductless Heat Pumps and A/C</v>
      </c>
      <c r="W334" s="2023"/>
      <c r="X334" s="2023"/>
      <c r="Y334" s="2023"/>
      <c r="Z334" s="2023"/>
      <c r="AA334" s="2023"/>
      <c r="AB334" s="2023"/>
      <c r="AC334" s="2024"/>
      <c r="AD334" s="2024"/>
      <c r="AE334" s="2024"/>
      <c r="AF334" s="2024"/>
      <c r="AG334" s="2024"/>
      <c r="AH334" s="2025"/>
    </row>
    <row r="335" spans="1:34" s="56" customFormat="1" x14ac:dyDescent="0.25">
      <c r="A335" s="597"/>
      <c r="B335" s="130"/>
      <c r="C335" s="616"/>
      <c r="D335" s="658"/>
      <c r="E335" s="658"/>
      <c r="F335" s="130"/>
      <c r="G335" s="658"/>
      <c r="H335" s="616"/>
      <c r="I335" s="616"/>
      <c r="J335" s="616"/>
      <c r="K335" s="616"/>
      <c r="L335" s="616"/>
      <c r="M335" s="616"/>
      <c r="N335" s="130"/>
      <c r="O335" s="130"/>
      <c r="P335" s="130"/>
      <c r="Q335" s="130"/>
      <c r="R335" s="130"/>
      <c r="S335" s="130"/>
      <c r="T335" s="130"/>
      <c r="U335" s="130"/>
    </row>
    <row r="336" spans="1:34" s="56" customFormat="1" ht="45" x14ac:dyDescent="0.25">
      <c r="A336" s="597"/>
      <c r="B336" s="130"/>
      <c r="C336" s="184" t="s">
        <v>16</v>
      </c>
      <c r="D336" s="184" t="s">
        <v>509</v>
      </c>
      <c r="E336" s="184" t="s">
        <v>18</v>
      </c>
      <c r="F336" s="954" t="s">
        <v>19</v>
      </c>
      <c r="G336" s="184" t="s">
        <v>20</v>
      </c>
      <c r="H336" s="184" t="s">
        <v>21</v>
      </c>
      <c r="I336" s="184" t="s">
        <v>22</v>
      </c>
      <c r="J336" s="448" t="s">
        <v>23</v>
      </c>
      <c r="K336" s="184" t="s">
        <v>24</v>
      </c>
      <c r="L336" s="184" t="s">
        <v>919</v>
      </c>
      <c r="M336" s="130"/>
      <c r="N336" s="130"/>
      <c r="O336" s="130"/>
      <c r="P336" s="130"/>
      <c r="Q336" s="130"/>
      <c r="R336" s="251"/>
      <c r="S336" s="251"/>
      <c r="T336" s="251"/>
      <c r="U336" s="251"/>
      <c r="V336" s="48" t="s">
        <v>26</v>
      </c>
      <c r="W336" s="49">
        <v>43252</v>
      </c>
      <c r="X336" s="49">
        <f>$X$6</f>
        <v>43465</v>
      </c>
      <c r="Y336" s="49" t="str">
        <f>$Y$6</f>
        <v>-</v>
      </c>
      <c r="Z336" s="49" t="str">
        <f>$Z$6</f>
        <v>-</v>
      </c>
      <c r="AA336" s="49" t="str">
        <f>$AA$6</f>
        <v>-</v>
      </c>
      <c r="AB336" s="49" t="str">
        <f>$AB$6</f>
        <v>-</v>
      </c>
      <c r="AC336" s="49" t="str">
        <f>$AC$6</f>
        <v>-</v>
      </c>
      <c r="AD336" s="49" t="str">
        <f>$AD$6</f>
        <v>-</v>
      </c>
      <c r="AE336" s="49" t="str">
        <f>$AE$6</f>
        <v>-</v>
      </c>
      <c r="AF336" s="49" t="str">
        <f>$AF$6</f>
        <v>-</v>
      </c>
      <c r="AG336" s="49" t="str">
        <f>$AG$6</f>
        <v>-</v>
      </c>
    </row>
    <row r="337" spans="1:33" s="56" customFormat="1" x14ac:dyDescent="0.25">
      <c r="A337" s="597"/>
      <c r="B337" s="130"/>
      <c r="C337" s="414"/>
      <c r="D337" s="1643" t="s">
        <v>1773</v>
      </c>
      <c r="E337" s="1638" t="s">
        <v>980</v>
      </c>
      <c r="F337" s="1659">
        <f>((J425*J432*(1/J446-1/J453))/1000)*J460</f>
        <v>1807.7600345274061</v>
      </c>
      <c r="G337" s="1660" t="s">
        <v>578</v>
      </c>
      <c r="H337" s="170">
        <f>VLOOKUP(G337,'CP FACTORS'!$A$3:$B$38, 2, FALSE)</f>
        <v>9.4741810000000004E-4</v>
      </c>
      <c r="I337" s="1585">
        <f t="shared" ref="I337:I370" si="32">F337*H337</f>
        <v>1.7127045771678895</v>
      </c>
      <c r="J337" s="123">
        <f>J494</f>
        <v>6</v>
      </c>
      <c r="K337" s="408">
        <f>J528</f>
        <v>2108</v>
      </c>
      <c r="L337" s="821">
        <f>K426</f>
        <v>1.5</v>
      </c>
      <c r="M337" s="130"/>
      <c r="N337" s="130"/>
      <c r="O337" s="130"/>
      <c r="P337" s="130"/>
      <c r="Q337" s="130"/>
      <c r="R337" s="1413"/>
      <c r="S337" s="251"/>
      <c r="T337" s="251"/>
      <c r="U337" s="251"/>
      <c r="V337" s="176" t="s">
        <v>19</v>
      </c>
      <c r="W337" s="655">
        <v>2022.4940476190473</v>
      </c>
      <c r="X337" s="602">
        <v>1807.7600345274061</v>
      </c>
      <c r="Y337" s="656"/>
      <c r="Z337" s="656"/>
      <c r="AA337" s="55"/>
      <c r="AB337" s="55"/>
      <c r="AC337" s="55"/>
      <c r="AD337" s="55"/>
      <c r="AE337" s="55"/>
      <c r="AF337" s="55"/>
      <c r="AG337" s="55"/>
    </row>
    <row r="338" spans="1:33" s="56" customFormat="1" x14ac:dyDescent="0.25">
      <c r="A338" s="597"/>
      <c r="B338" s="130"/>
      <c r="C338" s="414"/>
      <c r="D338" s="1643" t="s">
        <v>1773</v>
      </c>
      <c r="E338" s="1641" t="s">
        <v>981</v>
      </c>
      <c r="F338" s="1659">
        <f>((J425*J432*(1/J439-1/J453))/1000)*J461</f>
        <v>528.13366090103261</v>
      </c>
      <c r="G338" s="1660" t="s">
        <v>922</v>
      </c>
      <c r="H338" s="170">
        <f>VLOOKUP(G338,'CP FACTORS'!$A$3:$B$38, 2, FALSE)</f>
        <v>9.4741810000000004E-4</v>
      </c>
      <c r="I338" s="1585">
        <f t="shared" si="32"/>
        <v>0.50036338955690063</v>
      </c>
      <c r="J338" s="123">
        <f t="shared" ref="J338:J370" si="33">J495</f>
        <v>12</v>
      </c>
      <c r="K338" s="408">
        <f t="shared" ref="K338:K370" si="34">J529</f>
        <v>0</v>
      </c>
      <c r="L338" s="821"/>
      <c r="M338" s="130"/>
      <c r="N338" s="130"/>
      <c r="O338" s="130"/>
      <c r="P338" s="130"/>
      <c r="Q338" s="130"/>
      <c r="R338" s="1413"/>
      <c r="S338" s="251"/>
      <c r="T338" s="251"/>
      <c r="U338" s="251"/>
      <c r="V338" s="176" t="s">
        <v>19</v>
      </c>
      <c r="W338" s="655">
        <v>572.25082417582416</v>
      </c>
      <c r="X338" s="602">
        <v>528.13366090103261</v>
      </c>
      <c r="Y338" s="656"/>
      <c r="Z338" s="656"/>
      <c r="AA338" s="55"/>
      <c r="AB338" s="55"/>
      <c r="AC338" s="55"/>
      <c r="AD338" s="55"/>
      <c r="AE338" s="55"/>
      <c r="AF338" s="55"/>
      <c r="AG338" s="55"/>
    </row>
    <row r="339" spans="1:33" s="56" customFormat="1" x14ac:dyDescent="0.25">
      <c r="A339" s="597"/>
      <c r="B339" s="130"/>
      <c r="C339" s="414"/>
      <c r="D339" s="1643" t="s">
        <v>1773</v>
      </c>
      <c r="E339" s="321" t="s">
        <v>982</v>
      </c>
      <c r="F339" s="1659">
        <f>((J426*J433*(1/J447-1/J454))/1000)*J462</f>
        <v>1807.7600345274061</v>
      </c>
      <c r="G339" s="386" t="s">
        <v>578</v>
      </c>
      <c r="H339" s="170">
        <f>VLOOKUP(G339,'CP FACTORS'!$A$3:$B$38, 2, FALSE)</f>
        <v>9.4741810000000004E-4</v>
      </c>
      <c r="I339" s="1585">
        <f t="shared" si="32"/>
        <v>1.7127045771678895</v>
      </c>
      <c r="J339" s="123">
        <f t="shared" si="33"/>
        <v>18</v>
      </c>
      <c r="K339" s="408">
        <f t="shared" si="34"/>
        <v>1545</v>
      </c>
      <c r="L339" s="821">
        <f>K426</f>
        <v>1.5</v>
      </c>
      <c r="M339" s="130"/>
      <c r="N339" s="130"/>
      <c r="O339" s="130"/>
      <c r="P339" s="130"/>
      <c r="Q339" s="130"/>
      <c r="R339" s="1413"/>
      <c r="S339" s="251"/>
      <c r="T339" s="251"/>
      <c r="U339" s="251"/>
      <c r="V339" s="176" t="s">
        <v>19</v>
      </c>
      <c r="W339" s="655">
        <v>1875.936507936508</v>
      </c>
      <c r="X339" s="602">
        <v>1807.7600345274061</v>
      </c>
      <c r="Y339" s="656"/>
      <c r="Z339" s="656"/>
      <c r="AA339" s="55"/>
      <c r="AB339" s="55"/>
      <c r="AC339" s="55"/>
      <c r="AD339" s="55"/>
      <c r="AE339" s="55"/>
      <c r="AF339" s="55"/>
      <c r="AG339" s="55"/>
    </row>
    <row r="340" spans="1:33" s="56" customFormat="1" x14ac:dyDescent="0.25">
      <c r="A340" s="597"/>
      <c r="B340" s="130"/>
      <c r="C340" s="414"/>
      <c r="D340" s="1643" t="s">
        <v>1773</v>
      </c>
      <c r="E340" s="1638" t="s">
        <v>983</v>
      </c>
      <c r="F340" s="1659">
        <f>((J427*J434*(1/J441-1/J455))/1000)*J463</f>
        <v>528.13366090103261</v>
      </c>
      <c r="G340" s="386" t="s">
        <v>578</v>
      </c>
      <c r="H340" s="170">
        <f>VLOOKUP(G340,'CP FACTORS'!$A$3:$B$38, 2, FALSE)</f>
        <v>9.4741810000000004E-4</v>
      </c>
      <c r="I340" s="1585">
        <f t="shared" si="32"/>
        <v>0.50036338955690063</v>
      </c>
      <c r="J340" s="123">
        <f t="shared" si="33"/>
        <v>18</v>
      </c>
      <c r="K340" s="408">
        <f t="shared" si="34"/>
        <v>888</v>
      </c>
      <c r="L340" s="821">
        <f>K427</f>
        <v>1.5</v>
      </c>
      <c r="M340" s="130"/>
      <c r="N340" s="130"/>
      <c r="O340" s="130"/>
      <c r="P340" s="130"/>
      <c r="Q340" s="130"/>
      <c r="R340" s="1413"/>
      <c r="S340" s="251"/>
      <c r="T340" s="251"/>
      <c r="U340" s="251"/>
      <c r="V340" s="176" t="s">
        <v>19</v>
      </c>
      <c r="W340" s="655">
        <v>548.43293798712307</v>
      </c>
      <c r="X340" s="602">
        <v>528.13366090103261</v>
      </c>
      <c r="Y340" s="656"/>
      <c r="Z340" s="656"/>
      <c r="AA340" s="55"/>
      <c r="AB340" s="55"/>
      <c r="AC340" s="55"/>
      <c r="AD340" s="55"/>
      <c r="AE340" s="55"/>
      <c r="AF340" s="55"/>
      <c r="AG340" s="55"/>
    </row>
    <row r="341" spans="1:33" s="56" customFormat="1" x14ac:dyDescent="0.25">
      <c r="A341" s="597"/>
      <c r="B341" s="130"/>
      <c r="C341" s="414"/>
      <c r="D341" s="1643" t="s">
        <v>1773</v>
      </c>
      <c r="E341" s="1641" t="s">
        <v>983</v>
      </c>
      <c r="F341" s="1659">
        <f xml:space="preserve"> ((J392*J399*(1/J406-1/J420))/1000)*J464</f>
        <v>905.10385245195232</v>
      </c>
      <c r="G341" s="386" t="s">
        <v>579</v>
      </c>
      <c r="H341" s="170">
        <f>VLOOKUP(G341,'CP FACTORS'!$A$3:$B$38, 2, FALSE)</f>
        <v>0</v>
      </c>
      <c r="I341" s="1585">
        <f t="shared" si="32"/>
        <v>0</v>
      </c>
      <c r="J341" s="123">
        <f t="shared" si="33"/>
        <v>18</v>
      </c>
      <c r="K341" s="408">
        <f t="shared" si="34"/>
        <v>0</v>
      </c>
      <c r="L341" s="821"/>
      <c r="M341" s="130"/>
      <c r="N341" s="130"/>
      <c r="O341" s="130"/>
      <c r="P341" s="130"/>
      <c r="Q341" s="130"/>
      <c r="R341" s="1413"/>
      <c r="S341" s="251"/>
      <c r="T341" s="251"/>
      <c r="U341" s="251"/>
      <c r="V341" s="176" t="s">
        <v>19</v>
      </c>
      <c r="W341" s="655">
        <v>1059.3684210526314</v>
      </c>
      <c r="X341" s="602">
        <v>905.10385245195232</v>
      </c>
      <c r="Y341" s="656"/>
      <c r="Z341" s="656"/>
      <c r="AA341" s="55"/>
      <c r="AB341" s="55"/>
      <c r="AC341" s="55"/>
      <c r="AD341" s="55"/>
      <c r="AE341" s="55"/>
      <c r="AF341" s="55"/>
      <c r="AG341" s="55"/>
    </row>
    <row r="342" spans="1:33" s="56" customFormat="1" x14ac:dyDescent="0.25">
      <c r="A342" s="597"/>
      <c r="B342" s="130"/>
      <c r="C342" s="414"/>
      <c r="D342" s="1643" t="s">
        <v>1773</v>
      </c>
      <c r="E342" s="1638" t="s">
        <v>984</v>
      </c>
      <c r="F342" s="1659">
        <f>((J428*J435*(1/J442-1/J456))/1000)*J465</f>
        <v>528.13366090103261</v>
      </c>
      <c r="G342" s="386" t="s">
        <v>578</v>
      </c>
      <c r="H342" s="170">
        <f>VLOOKUP(G342,'CP FACTORS'!$A$3:$B$38, 2, FALSE)</f>
        <v>9.4741810000000004E-4</v>
      </c>
      <c r="I342" s="1585">
        <f t="shared" si="32"/>
        <v>0.50036338955690063</v>
      </c>
      <c r="J342" s="123">
        <f t="shared" si="33"/>
        <v>18</v>
      </c>
      <c r="K342" s="408">
        <f t="shared" si="34"/>
        <v>888</v>
      </c>
      <c r="L342" s="821">
        <f>K425</f>
        <v>1.5</v>
      </c>
      <c r="M342" s="130"/>
      <c r="N342" s="130"/>
      <c r="O342" s="130"/>
      <c r="P342" s="130"/>
      <c r="Q342" s="130"/>
      <c r="R342" s="1413"/>
      <c r="S342" s="251"/>
      <c r="T342" s="251"/>
      <c r="U342" s="251"/>
      <c r="V342" s="176" t="s">
        <v>19</v>
      </c>
      <c r="W342" s="655">
        <v>548.43293798712307</v>
      </c>
      <c r="X342" s="602">
        <v>528.13366090103261</v>
      </c>
      <c r="Y342" s="656"/>
      <c r="Z342" s="656"/>
      <c r="AA342" s="55"/>
      <c r="AB342" s="55"/>
      <c r="AC342" s="55"/>
      <c r="AD342" s="55"/>
      <c r="AE342" s="55"/>
      <c r="AF342" s="55"/>
      <c r="AG342" s="55"/>
    </row>
    <row r="343" spans="1:33" s="56" customFormat="1" x14ac:dyDescent="0.25">
      <c r="A343" s="597"/>
      <c r="B343" s="130"/>
      <c r="C343" s="414"/>
      <c r="D343" s="1643" t="s">
        <v>1773</v>
      </c>
      <c r="E343" s="1641" t="s">
        <v>984</v>
      </c>
      <c r="F343" s="1659">
        <f xml:space="preserve"> ((J393*J400*(1/J407-1/J421))/1000)*J466</f>
        <v>905.10385245195232</v>
      </c>
      <c r="G343" s="386" t="s">
        <v>579</v>
      </c>
      <c r="H343" s="170">
        <f>VLOOKUP(G343,'CP FACTORS'!$A$3:$B$38, 2, FALSE)</f>
        <v>0</v>
      </c>
      <c r="I343" s="1585">
        <f t="shared" si="32"/>
        <v>0</v>
      </c>
      <c r="J343" s="123">
        <f t="shared" si="33"/>
        <v>18</v>
      </c>
      <c r="K343" s="408">
        <f t="shared" si="34"/>
        <v>0</v>
      </c>
      <c r="L343" s="821"/>
      <c r="M343" s="130"/>
      <c r="N343" s="130"/>
      <c r="O343" s="130"/>
      <c r="P343" s="130"/>
      <c r="Q343" s="130"/>
      <c r="R343" s="1413"/>
      <c r="S343" s="251"/>
      <c r="T343" s="251"/>
      <c r="U343" s="251"/>
      <c r="V343" s="176" t="s">
        <v>19</v>
      </c>
      <c r="W343" s="655">
        <v>1059.3684210526314</v>
      </c>
      <c r="X343" s="602">
        <v>905.10385245195232</v>
      </c>
      <c r="Y343" s="656"/>
      <c r="Z343" s="656"/>
      <c r="AA343" s="55"/>
      <c r="AB343" s="55"/>
      <c r="AC343" s="55"/>
      <c r="AD343" s="55"/>
      <c r="AE343" s="55"/>
      <c r="AF343" s="55"/>
      <c r="AG343" s="55"/>
    </row>
    <row r="344" spans="1:33" s="56" customFormat="1" x14ac:dyDescent="0.25">
      <c r="A344" s="597"/>
      <c r="B344" s="130"/>
      <c r="C344" s="414"/>
      <c r="D344" s="1643" t="s">
        <v>1773</v>
      </c>
      <c r="E344" s="1638" t="s">
        <v>985</v>
      </c>
      <c r="F344" s="1659">
        <f>((J429*J436*(1/J450-1/J457))/1000)*J467</f>
        <v>1625.1970093173225</v>
      </c>
      <c r="G344" s="386" t="s">
        <v>578</v>
      </c>
      <c r="H344" s="170">
        <f>VLOOKUP(G344,'CP FACTORS'!$A$3:$B$38, 2, FALSE)</f>
        <v>9.4741810000000004E-4</v>
      </c>
      <c r="I344" s="1585">
        <f t="shared" si="32"/>
        <v>1.5397410626931001</v>
      </c>
      <c r="J344" s="123">
        <f t="shared" si="33"/>
        <v>6</v>
      </c>
      <c r="K344" s="408">
        <f t="shared" si="34"/>
        <v>2108</v>
      </c>
      <c r="L344" s="821">
        <f>K429</f>
        <v>1.5</v>
      </c>
      <c r="M344" s="130"/>
      <c r="N344" s="130"/>
      <c r="O344" s="130"/>
      <c r="P344" s="130"/>
      <c r="Q344" s="130"/>
      <c r="R344" s="1413"/>
      <c r="S344" s="251"/>
      <c r="T344" s="251"/>
      <c r="U344" s="251"/>
      <c r="V344" s="176" t="s">
        <v>19</v>
      </c>
      <c r="W344" s="655">
        <v>1495.1911764705883</v>
      </c>
      <c r="X344" s="602">
        <v>1625.1970093173225</v>
      </c>
      <c r="Y344" s="656"/>
      <c r="Z344" s="656"/>
      <c r="AA344" s="55"/>
      <c r="AB344" s="55"/>
      <c r="AC344" s="55"/>
      <c r="AD344" s="55"/>
      <c r="AE344" s="55"/>
      <c r="AF344" s="55"/>
      <c r="AG344" s="55"/>
    </row>
    <row r="345" spans="1:33" s="56" customFormat="1" x14ac:dyDescent="0.25">
      <c r="A345" s="597"/>
      <c r="B345" s="130"/>
      <c r="C345" s="414"/>
      <c r="D345" s="1643" t="s">
        <v>1773</v>
      </c>
      <c r="E345" s="1661" t="s">
        <v>985</v>
      </c>
      <c r="F345" s="1659">
        <f xml:space="preserve"> ((J394*J401*(1/J415-1/J422))/1000)*J468</f>
        <v>5513.3467827124387</v>
      </c>
      <c r="G345" s="386" t="s">
        <v>579</v>
      </c>
      <c r="H345" s="170">
        <f>VLOOKUP(G345,'CP FACTORS'!$A$3:$B$38, 2, FALSE)</f>
        <v>0</v>
      </c>
      <c r="I345" s="1585">
        <f t="shared" si="32"/>
        <v>0</v>
      </c>
      <c r="J345" s="123">
        <f t="shared" si="33"/>
        <v>6</v>
      </c>
      <c r="K345" s="408">
        <f t="shared" si="34"/>
        <v>0</v>
      </c>
      <c r="L345" s="821"/>
      <c r="M345" s="130"/>
      <c r="N345" s="130"/>
      <c r="O345" s="130"/>
      <c r="P345" s="130"/>
      <c r="Q345" s="130"/>
      <c r="R345" s="1413"/>
      <c r="S345" s="251"/>
      <c r="T345" s="251"/>
      <c r="U345" s="251"/>
      <c r="V345" s="176" t="s">
        <v>19</v>
      </c>
      <c r="W345" s="655">
        <v>5217.8997805633207</v>
      </c>
      <c r="X345" s="602">
        <v>5513.3467827124387</v>
      </c>
      <c r="Y345" s="656"/>
      <c r="Z345" s="656"/>
      <c r="AA345" s="55"/>
      <c r="AB345" s="55"/>
      <c r="AC345" s="55"/>
      <c r="AD345" s="55"/>
      <c r="AE345" s="55"/>
      <c r="AF345" s="55"/>
      <c r="AG345" s="55"/>
    </row>
    <row r="346" spans="1:33" s="56" customFormat="1" x14ac:dyDescent="0.25">
      <c r="A346" s="597"/>
      <c r="B346" s="130"/>
      <c r="C346" s="414"/>
      <c r="D346" s="1643" t="s">
        <v>1773</v>
      </c>
      <c r="E346" s="1661" t="s">
        <v>986</v>
      </c>
      <c r="F346" s="1659">
        <f>((J429*J436*(1/J443-1/J457))/1000)*J469</f>
        <v>528.13366090103261</v>
      </c>
      <c r="G346" s="1660" t="s">
        <v>922</v>
      </c>
      <c r="H346" s="170">
        <f>VLOOKUP(G346,'CP FACTORS'!$A$3:$B$38, 2, FALSE)</f>
        <v>9.4741810000000004E-4</v>
      </c>
      <c r="I346" s="1585">
        <f t="shared" si="32"/>
        <v>0.50036338955690063</v>
      </c>
      <c r="J346" s="123">
        <f t="shared" si="33"/>
        <v>12</v>
      </c>
      <c r="K346" s="408">
        <f t="shared" si="34"/>
        <v>0</v>
      </c>
      <c r="L346" s="821"/>
      <c r="M346" s="130"/>
      <c r="N346" s="130"/>
      <c r="O346" s="130"/>
      <c r="P346" s="130"/>
      <c r="Q346" s="130"/>
      <c r="R346" s="1413"/>
      <c r="S346" s="251"/>
      <c r="T346" s="251"/>
      <c r="U346" s="251"/>
      <c r="V346" s="176" t="s">
        <v>19</v>
      </c>
      <c r="W346" s="655">
        <v>471.26538461538468</v>
      </c>
      <c r="X346" s="602">
        <v>528.13366090103261</v>
      </c>
      <c r="Y346" s="656"/>
      <c r="Z346" s="656"/>
      <c r="AA346" s="55"/>
      <c r="AB346" s="55"/>
      <c r="AC346" s="55"/>
      <c r="AD346" s="55"/>
      <c r="AE346" s="55"/>
      <c r="AF346" s="55"/>
      <c r="AG346" s="55"/>
    </row>
    <row r="347" spans="1:33" s="56" customFormat="1" x14ac:dyDescent="0.25">
      <c r="A347" s="597"/>
      <c r="B347" s="130"/>
      <c r="C347" s="414"/>
      <c r="D347" s="1643" t="s">
        <v>1773</v>
      </c>
      <c r="E347" s="1641" t="s">
        <v>986</v>
      </c>
      <c r="F347" s="1659">
        <f>((J394*J401*(1/J408-1/J422))/1000)*J470</f>
        <v>5517.9756069759478</v>
      </c>
      <c r="G347" s="105" t="s">
        <v>987</v>
      </c>
      <c r="H347" s="170">
        <f>VLOOKUP(G347,'CP FACTORS'!$A$3:$B$38, 2, FALSE)</f>
        <v>0</v>
      </c>
      <c r="I347" s="1585">
        <f t="shared" si="32"/>
        <v>0</v>
      </c>
      <c r="J347" s="123">
        <f t="shared" si="33"/>
        <v>12</v>
      </c>
      <c r="K347" s="408">
        <f t="shared" si="34"/>
        <v>0</v>
      </c>
      <c r="L347" s="821"/>
      <c r="M347" s="130"/>
      <c r="N347" s="130"/>
      <c r="O347" s="130"/>
      <c r="P347" s="130"/>
      <c r="Q347" s="130"/>
      <c r="R347" s="1413"/>
      <c r="S347" s="251"/>
      <c r="T347" s="251"/>
      <c r="U347" s="251"/>
      <c r="V347" s="176" t="s">
        <v>19</v>
      </c>
      <c r="W347" s="655">
        <v>1115.8974358974356</v>
      </c>
      <c r="X347" s="602">
        <v>5517.9756069759478</v>
      </c>
      <c r="Y347" s="656"/>
      <c r="Z347" s="656"/>
      <c r="AA347" s="55"/>
      <c r="AB347" s="55"/>
      <c r="AC347" s="55"/>
      <c r="AD347" s="55"/>
      <c r="AE347" s="55"/>
      <c r="AF347" s="55"/>
      <c r="AG347" s="55"/>
    </row>
    <row r="348" spans="1:33" s="56" customFormat="1" x14ac:dyDescent="0.25">
      <c r="A348" s="597"/>
      <c r="B348" s="130"/>
      <c r="C348" s="414"/>
      <c r="D348" s="1643" t="s">
        <v>1773</v>
      </c>
      <c r="E348" s="1638" t="s">
        <v>988</v>
      </c>
      <c r="F348" s="1659">
        <f>((J430*J437*(1/J444-1/J458))/1000)*J471</f>
        <v>528.13366090103261</v>
      </c>
      <c r="G348" s="386" t="s">
        <v>578</v>
      </c>
      <c r="H348" s="170">
        <f>VLOOKUP(G348,'CP FACTORS'!$A$3:$B$38, 2, FALSE)</f>
        <v>9.4741810000000004E-4</v>
      </c>
      <c r="I348" s="1585">
        <f t="shared" si="32"/>
        <v>0.50036338955690063</v>
      </c>
      <c r="J348" s="123">
        <f t="shared" si="33"/>
        <v>18</v>
      </c>
      <c r="K348" s="408">
        <f t="shared" si="34"/>
        <v>1051</v>
      </c>
      <c r="L348" s="821">
        <f>K430</f>
        <v>1.5</v>
      </c>
      <c r="M348" s="130"/>
      <c r="N348" s="130"/>
      <c r="O348" s="130"/>
      <c r="P348" s="130"/>
      <c r="Q348" s="130"/>
      <c r="R348" s="1413"/>
      <c r="S348" s="251"/>
      <c r="T348" s="251"/>
      <c r="U348" s="251"/>
      <c r="V348" s="176" t="s">
        <v>19</v>
      </c>
      <c r="W348" s="655">
        <v>447.12649572649582</v>
      </c>
      <c r="X348" s="602">
        <v>528.13366090103261</v>
      </c>
      <c r="Y348" s="656"/>
      <c r="Z348" s="656"/>
      <c r="AA348" s="55"/>
      <c r="AB348" s="55"/>
      <c r="AC348" s="55"/>
      <c r="AD348" s="55"/>
      <c r="AE348" s="55"/>
      <c r="AF348" s="55"/>
      <c r="AG348" s="55"/>
    </row>
    <row r="349" spans="1:33" s="56" customFormat="1" x14ac:dyDescent="0.25">
      <c r="A349" s="597"/>
      <c r="B349" s="130"/>
      <c r="C349" s="414"/>
      <c r="D349" s="1643" t="s">
        <v>1773</v>
      </c>
      <c r="E349" s="1641" t="s">
        <v>988</v>
      </c>
      <c r="F349" s="1659">
        <f xml:space="preserve"> ((J395*J402*(1/J409-1/J423))/1000)*J472</f>
        <v>5517.9756069759478</v>
      </c>
      <c r="G349" s="386" t="s">
        <v>579</v>
      </c>
      <c r="H349" s="170">
        <f>VLOOKUP(G349,'CP FACTORS'!$A$3:$B$38, 2, FALSE)</f>
        <v>0</v>
      </c>
      <c r="I349" s="1585">
        <f t="shared" si="32"/>
        <v>0</v>
      </c>
      <c r="J349" s="123">
        <f t="shared" si="33"/>
        <v>18</v>
      </c>
      <c r="K349" s="408">
        <f t="shared" si="34"/>
        <v>0</v>
      </c>
      <c r="L349" s="821"/>
      <c r="M349" s="130"/>
      <c r="N349" s="130"/>
      <c r="O349" s="130"/>
      <c r="P349" s="130"/>
      <c r="Q349" s="130"/>
      <c r="R349" s="1413"/>
      <c r="S349" s="251"/>
      <c r="T349" s="251"/>
      <c r="U349" s="251"/>
      <c r="V349" s="176" t="s">
        <v>19</v>
      </c>
      <c r="W349" s="655">
        <v>1070.7301587301586</v>
      </c>
      <c r="X349" s="602">
        <v>5517.9756069759478</v>
      </c>
      <c r="Y349" s="656"/>
      <c r="Z349" s="656"/>
      <c r="AA349" s="55"/>
      <c r="AB349" s="55"/>
      <c r="AC349" s="55"/>
      <c r="AD349" s="55"/>
      <c r="AE349" s="55"/>
      <c r="AF349" s="55"/>
      <c r="AG349" s="55"/>
    </row>
    <row r="350" spans="1:33" s="56" customFormat="1" x14ac:dyDescent="0.25">
      <c r="A350" s="597"/>
      <c r="B350" s="130"/>
      <c r="C350" s="414"/>
      <c r="D350" s="1643" t="s">
        <v>1773</v>
      </c>
      <c r="E350" s="1638" t="s">
        <v>989</v>
      </c>
      <c r="F350" s="1659">
        <f>((J431*J438*(1/J452-1/J459))/1000)*J473</f>
        <v>1497.4028916702637</v>
      </c>
      <c r="G350" s="386" t="s">
        <v>578</v>
      </c>
      <c r="H350" s="170">
        <f>VLOOKUP(G350,'CP FACTORS'!$A$3:$B$38, 2, FALSE)</f>
        <v>9.4741810000000004E-4</v>
      </c>
      <c r="I350" s="1585">
        <f t="shared" si="32"/>
        <v>1.4186666025607471</v>
      </c>
      <c r="J350" s="123">
        <f t="shared" si="33"/>
        <v>6</v>
      </c>
      <c r="K350" s="408">
        <f t="shared" si="34"/>
        <v>1982</v>
      </c>
      <c r="L350" s="821">
        <f>K431</f>
        <v>1.5</v>
      </c>
      <c r="M350" s="130"/>
      <c r="N350" s="130"/>
      <c r="O350" s="130"/>
      <c r="P350" s="130"/>
      <c r="Q350" s="130"/>
      <c r="R350" s="1413"/>
      <c r="S350" s="251"/>
      <c r="T350" s="251"/>
      <c r="U350" s="251"/>
      <c r="V350" s="176" t="s">
        <v>19</v>
      </c>
      <c r="W350" s="655">
        <v>1625.9591194968555</v>
      </c>
      <c r="X350" s="602">
        <v>1497.4028916702637</v>
      </c>
      <c r="Y350" s="656"/>
      <c r="Z350" s="656"/>
      <c r="AA350" s="55"/>
      <c r="AB350" s="55"/>
      <c r="AC350" s="55"/>
      <c r="AD350" s="55"/>
      <c r="AE350" s="55"/>
      <c r="AF350" s="55"/>
      <c r="AG350" s="55"/>
    </row>
    <row r="351" spans="1:33" s="56" customFormat="1" x14ac:dyDescent="0.25">
      <c r="A351" s="597"/>
      <c r="B351" s="130"/>
      <c r="C351" s="414"/>
      <c r="D351" s="1643" t="s">
        <v>1773</v>
      </c>
      <c r="E351" s="1661" t="s">
        <v>989</v>
      </c>
      <c r="F351" s="1659">
        <f xml:space="preserve"> ((J396*J403*(1/J417-1/J424))/1000)*J474</f>
        <v>2571.2014134275614</v>
      </c>
      <c r="G351" s="386" t="s">
        <v>579</v>
      </c>
      <c r="H351" s="170">
        <f>VLOOKUP(G351,'CP FACTORS'!$A$3:$B$38, 2, FALSE)</f>
        <v>0</v>
      </c>
      <c r="I351" s="1585">
        <f t="shared" si="32"/>
        <v>0</v>
      </c>
      <c r="J351" s="123">
        <f t="shared" si="33"/>
        <v>6</v>
      </c>
      <c r="K351" s="408">
        <f t="shared" si="34"/>
        <v>0</v>
      </c>
      <c r="L351" s="821"/>
      <c r="M351" s="130"/>
      <c r="N351" s="130"/>
      <c r="O351" s="130"/>
      <c r="P351" s="130"/>
      <c r="Q351" s="130"/>
      <c r="R351" s="1413"/>
      <c r="S351" s="251"/>
      <c r="T351" s="251"/>
      <c r="U351" s="251"/>
      <c r="V351" s="176" t="s">
        <v>19</v>
      </c>
      <c r="W351" s="655">
        <v>2932.947368421052</v>
      </c>
      <c r="X351" s="602">
        <v>2571.2014134275614</v>
      </c>
      <c r="Y351" s="656"/>
      <c r="Z351" s="656"/>
      <c r="AA351" s="55"/>
      <c r="AB351" s="55"/>
      <c r="AC351" s="55"/>
      <c r="AD351" s="55"/>
      <c r="AE351" s="55"/>
      <c r="AF351" s="55"/>
      <c r="AG351" s="55"/>
    </row>
    <row r="352" spans="1:33" s="56" customFormat="1" x14ac:dyDescent="0.25">
      <c r="A352" s="597"/>
      <c r="B352" s="130"/>
      <c r="C352" s="414"/>
      <c r="D352" s="1643" t="s">
        <v>1773</v>
      </c>
      <c r="E352" s="1661" t="s">
        <v>990</v>
      </c>
      <c r="F352" s="1659">
        <f>((J431*J438*(1/J445-1/J459))/1000)*J475</f>
        <v>528.13366090103261</v>
      </c>
      <c r="G352" s="1660" t="s">
        <v>922</v>
      </c>
      <c r="H352" s="170">
        <f>VLOOKUP(G352,'CP FACTORS'!$A$3:$B$38, 2, FALSE)</f>
        <v>9.4741810000000004E-4</v>
      </c>
      <c r="I352" s="1585">
        <f t="shared" si="32"/>
        <v>0.50036338955690063</v>
      </c>
      <c r="J352" s="123">
        <f t="shared" si="33"/>
        <v>12</v>
      </c>
      <c r="K352" s="408">
        <f t="shared" si="34"/>
        <v>0</v>
      </c>
      <c r="L352" s="821"/>
      <c r="M352" s="130"/>
      <c r="N352" s="130"/>
      <c r="O352" s="130"/>
      <c r="P352" s="130"/>
      <c r="Q352" s="130"/>
      <c r="R352" s="1413"/>
      <c r="S352" s="251"/>
      <c r="T352" s="251"/>
      <c r="U352" s="251"/>
      <c r="V352" s="176" t="s">
        <v>19</v>
      </c>
      <c r="W352" s="655">
        <v>527.45399129172722</v>
      </c>
      <c r="X352" s="602">
        <v>528.13366090103261</v>
      </c>
      <c r="Y352" s="656"/>
      <c r="Z352" s="656"/>
      <c r="AA352" s="55"/>
      <c r="AB352" s="55"/>
      <c r="AC352" s="55"/>
      <c r="AD352" s="55"/>
      <c r="AE352" s="55"/>
      <c r="AF352" s="55"/>
      <c r="AG352" s="55"/>
    </row>
    <row r="353" spans="1:33" s="56" customFormat="1" x14ac:dyDescent="0.25">
      <c r="A353" s="597"/>
      <c r="B353" s="130"/>
      <c r="C353" s="414"/>
      <c r="D353" s="1643" t="s">
        <v>1773</v>
      </c>
      <c r="E353" s="1641" t="s">
        <v>990</v>
      </c>
      <c r="F353" s="1659">
        <f>((J396*J403*(1/J410-1/J424))/1000)*J476</f>
        <v>1713.6026292330328</v>
      </c>
      <c r="G353" s="105" t="s">
        <v>987</v>
      </c>
      <c r="H353" s="170">
        <f>VLOOKUP(G353,'CP FACTORS'!$A$3:$B$38, 2, FALSE)</f>
        <v>0</v>
      </c>
      <c r="I353" s="1585">
        <f t="shared" si="32"/>
        <v>0</v>
      </c>
      <c r="J353" s="123">
        <f t="shared" si="33"/>
        <v>12</v>
      </c>
      <c r="K353" s="408">
        <f t="shared" si="34"/>
        <v>0</v>
      </c>
      <c r="L353" s="821"/>
      <c r="M353" s="130"/>
      <c r="N353" s="130"/>
      <c r="O353" s="130"/>
      <c r="P353" s="130"/>
      <c r="Q353" s="130"/>
      <c r="R353" s="1413"/>
      <c r="S353" s="130"/>
      <c r="T353" s="130"/>
      <c r="U353" s="130"/>
      <c r="V353" s="176" t="s">
        <v>19</v>
      </c>
      <c r="W353" s="655">
        <v>1286.375939849624</v>
      </c>
      <c r="X353" s="602">
        <v>1713.6026292330328</v>
      </c>
      <c r="Y353" s="656"/>
      <c r="Z353" s="656"/>
      <c r="AA353" s="55"/>
      <c r="AB353" s="55"/>
      <c r="AC353" s="55"/>
      <c r="AD353" s="55"/>
      <c r="AE353" s="55"/>
      <c r="AF353" s="55"/>
      <c r="AG353" s="55"/>
    </row>
    <row r="354" spans="1:33" s="56" customFormat="1" x14ac:dyDescent="0.25">
      <c r="A354" s="597"/>
      <c r="B354" s="130"/>
      <c r="C354" s="414"/>
      <c r="D354" s="1643" t="s">
        <v>1772</v>
      </c>
      <c r="E354" s="1638" t="s">
        <v>991</v>
      </c>
      <c r="F354" s="1659">
        <f t="shared" ref="F354:F370" si="35">F337*J477</f>
        <v>1175.0440224428139</v>
      </c>
      <c r="G354" s="1660" t="s">
        <v>578</v>
      </c>
      <c r="H354" s="170">
        <f>VLOOKUP(G354,'CP FACTORS'!$A$3:$B$38, 2, FALSE)</f>
        <v>9.4741810000000004E-4</v>
      </c>
      <c r="I354" s="1585">
        <f t="shared" si="32"/>
        <v>1.1132579751591281</v>
      </c>
      <c r="J354" s="123">
        <f t="shared" si="33"/>
        <v>6</v>
      </c>
      <c r="K354" s="408">
        <f t="shared" si="34"/>
        <v>918.45</v>
      </c>
      <c r="L354" s="821">
        <f>K425</f>
        <v>1.5</v>
      </c>
      <c r="M354" s="130"/>
      <c r="N354" s="130"/>
      <c r="O354" s="130"/>
      <c r="P354" s="130"/>
      <c r="Q354" s="130"/>
      <c r="R354" s="1413"/>
      <c r="S354" s="130"/>
      <c r="T354" s="130"/>
      <c r="U354" s="130"/>
      <c r="V354" s="176" t="s">
        <v>19</v>
      </c>
      <c r="W354" s="655">
        <v>1314.6211309523808</v>
      </c>
      <c r="X354" s="602">
        <v>1175.0440224428139</v>
      </c>
      <c r="Y354" s="656"/>
      <c r="Z354" s="656"/>
      <c r="AA354" s="55"/>
      <c r="AB354" s="55"/>
      <c r="AC354" s="55"/>
      <c r="AD354" s="55"/>
      <c r="AE354" s="55"/>
      <c r="AF354" s="55"/>
      <c r="AG354" s="55"/>
    </row>
    <row r="355" spans="1:33" s="56" customFormat="1" x14ac:dyDescent="0.25">
      <c r="A355" s="597"/>
      <c r="B355" s="130"/>
      <c r="C355" s="414"/>
      <c r="D355" s="1643" t="s">
        <v>1772</v>
      </c>
      <c r="E355" s="1641" t="s">
        <v>992</v>
      </c>
      <c r="F355" s="1659">
        <f t="shared" si="35"/>
        <v>343.28687958567122</v>
      </c>
      <c r="G355" s="1660" t="s">
        <v>922</v>
      </c>
      <c r="H355" s="170">
        <f>VLOOKUP(G355,'CP FACTORS'!$A$3:$B$38, 2, FALSE)</f>
        <v>9.4741810000000004E-4</v>
      </c>
      <c r="I355" s="1585">
        <f t="shared" si="32"/>
        <v>0.32523620321198543</v>
      </c>
      <c r="J355" s="123">
        <f t="shared" si="33"/>
        <v>12</v>
      </c>
      <c r="K355" s="408">
        <f t="shared" si="34"/>
        <v>0</v>
      </c>
      <c r="L355" s="821"/>
      <c r="M355" s="130"/>
      <c r="N355" s="130"/>
      <c r="O355" s="130"/>
      <c r="P355" s="130"/>
      <c r="Q355" s="130"/>
      <c r="R355" s="1413"/>
      <c r="S355" s="130"/>
      <c r="T355" s="130"/>
      <c r="U355" s="130"/>
      <c r="V355" s="176" t="s">
        <v>19</v>
      </c>
      <c r="W355" s="655">
        <v>371.9630357142857</v>
      </c>
      <c r="X355" s="602">
        <v>343.28687958567122</v>
      </c>
      <c r="Y355" s="656"/>
      <c r="Z355" s="656"/>
      <c r="AA355" s="55"/>
      <c r="AB355" s="55"/>
      <c r="AC355" s="55"/>
      <c r="AD355" s="55"/>
      <c r="AE355" s="55"/>
      <c r="AF355" s="55"/>
      <c r="AG355" s="55"/>
    </row>
    <row r="356" spans="1:33" s="56" customFormat="1" x14ac:dyDescent="0.25">
      <c r="A356" s="597"/>
      <c r="B356" s="130"/>
      <c r="C356" s="414"/>
      <c r="D356" s="1643" t="s">
        <v>1772</v>
      </c>
      <c r="E356" s="321" t="s">
        <v>993</v>
      </c>
      <c r="F356" s="1659">
        <f t="shared" si="35"/>
        <v>1175.0440224428139</v>
      </c>
      <c r="G356" s="386" t="s">
        <v>578</v>
      </c>
      <c r="H356" s="170">
        <f>VLOOKUP(G356,'CP FACTORS'!$A$3:$B$38, 2, FALSE)</f>
        <v>9.4741810000000004E-4</v>
      </c>
      <c r="I356" s="1585">
        <f t="shared" si="32"/>
        <v>1.1132579751591281</v>
      </c>
      <c r="J356" s="123">
        <f t="shared" si="33"/>
        <v>18</v>
      </c>
      <c r="K356" s="408">
        <f t="shared" si="34"/>
        <v>636.02499999999998</v>
      </c>
      <c r="L356" s="821">
        <f>K426</f>
        <v>1.5</v>
      </c>
      <c r="M356" s="130"/>
      <c r="N356" s="130"/>
      <c r="O356" s="130"/>
      <c r="P356" s="130"/>
      <c r="Q356" s="130"/>
      <c r="R356" s="1413"/>
      <c r="S356" s="130"/>
      <c r="T356" s="130"/>
      <c r="U356" s="130"/>
      <c r="V356" s="176" t="s">
        <v>19</v>
      </c>
      <c r="W356" s="655">
        <v>1219.3587301587302</v>
      </c>
      <c r="X356" s="602">
        <v>1175.0440224428139</v>
      </c>
      <c r="Y356" s="656"/>
      <c r="Z356" s="656"/>
      <c r="AA356" s="55"/>
      <c r="AB356" s="55"/>
      <c r="AC356" s="55"/>
      <c r="AD356" s="55"/>
      <c r="AE356" s="55"/>
      <c r="AF356" s="55"/>
      <c r="AG356" s="55"/>
    </row>
    <row r="357" spans="1:33" s="56" customFormat="1" x14ac:dyDescent="0.25">
      <c r="A357" s="597"/>
      <c r="B357" s="130"/>
      <c r="C357" s="414"/>
      <c r="D357" s="1643" t="s">
        <v>1772</v>
      </c>
      <c r="E357" s="1638" t="s">
        <v>994</v>
      </c>
      <c r="F357" s="1659">
        <f t="shared" si="35"/>
        <v>343.28687958567122</v>
      </c>
      <c r="G357" s="386" t="s">
        <v>578</v>
      </c>
      <c r="H357" s="170">
        <f>VLOOKUP(G357,'CP FACTORS'!$A$3:$B$38, 2, FALSE)</f>
        <v>9.4741810000000004E-4</v>
      </c>
      <c r="I357" s="1585">
        <f t="shared" si="32"/>
        <v>0.32523620321198543</v>
      </c>
      <c r="J357" s="123">
        <f t="shared" si="33"/>
        <v>18</v>
      </c>
      <c r="K357" s="408">
        <f t="shared" si="34"/>
        <v>458.25</v>
      </c>
      <c r="L357" s="821">
        <f>K427</f>
        <v>1.5</v>
      </c>
      <c r="M357" s="130"/>
      <c r="N357" s="130"/>
      <c r="O357" s="130"/>
      <c r="P357" s="130"/>
      <c r="Q357" s="130"/>
      <c r="R357" s="1413"/>
      <c r="S357" s="130"/>
      <c r="T357" s="130"/>
      <c r="U357" s="130"/>
      <c r="V357" s="176" t="s">
        <v>19</v>
      </c>
      <c r="W357" s="655">
        <v>356.48140969163001</v>
      </c>
      <c r="X357" s="602">
        <v>343.28687958567122</v>
      </c>
      <c r="Y357" s="656"/>
      <c r="Z357" s="656"/>
      <c r="AA357" s="55"/>
      <c r="AB357" s="55"/>
      <c r="AC357" s="55"/>
      <c r="AD357" s="55"/>
      <c r="AE357" s="55"/>
      <c r="AF357" s="55"/>
      <c r="AG357" s="55"/>
    </row>
    <row r="358" spans="1:33" s="56" customFormat="1" x14ac:dyDescent="0.25">
      <c r="A358" s="597"/>
      <c r="B358" s="130"/>
      <c r="C358" s="414"/>
      <c r="D358" s="1643" t="s">
        <v>1772</v>
      </c>
      <c r="E358" s="1641" t="s">
        <v>994</v>
      </c>
      <c r="F358" s="1659">
        <f t="shared" si="35"/>
        <v>588.317504093769</v>
      </c>
      <c r="G358" s="386" t="s">
        <v>579</v>
      </c>
      <c r="H358" s="170">
        <f>VLOOKUP(G358,'CP FACTORS'!$A$3:$B$38, 2, FALSE)</f>
        <v>0</v>
      </c>
      <c r="I358" s="1585">
        <f t="shared" si="32"/>
        <v>0</v>
      </c>
      <c r="J358" s="123">
        <f t="shared" si="33"/>
        <v>18</v>
      </c>
      <c r="K358" s="408">
        <f t="shared" si="34"/>
        <v>0</v>
      </c>
      <c r="L358" s="821"/>
      <c r="M358" s="130"/>
      <c r="N358" s="130"/>
      <c r="O358" s="130"/>
      <c r="P358" s="130"/>
      <c r="Q358" s="130"/>
      <c r="R358" s="1413"/>
      <c r="S358" s="130"/>
      <c r="T358" s="130"/>
      <c r="U358" s="130"/>
      <c r="V358" s="176" t="s">
        <v>19</v>
      </c>
      <c r="W358" s="655">
        <v>688.58947368421047</v>
      </c>
      <c r="X358" s="602">
        <v>588.317504093769</v>
      </c>
      <c r="Y358" s="656"/>
      <c r="Z358" s="656"/>
      <c r="AA358" s="55"/>
      <c r="AB358" s="55"/>
      <c r="AC358" s="55"/>
      <c r="AD358" s="55"/>
      <c r="AE358" s="55"/>
      <c r="AF358" s="55"/>
      <c r="AG358" s="55"/>
    </row>
    <row r="359" spans="1:33" s="56" customFormat="1" x14ac:dyDescent="0.25">
      <c r="A359" s="597"/>
      <c r="B359" s="130"/>
      <c r="C359" s="414"/>
      <c r="D359" s="1643" t="s">
        <v>1772</v>
      </c>
      <c r="E359" s="1638" t="s">
        <v>995</v>
      </c>
      <c r="F359" s="1659">
        <f t="shared" si="35"/>
        <v>343.28687958567122</v>
      </c>
      <c r="G359" s="386" t="s">
        <v>578</v>
      </c>
      <c r="H359" s="170">
        <f>VLOOKUP(G359,'CP FACTORS'!$A$3:$B$38, 2, FALSE)</f>
        <v>9.4741810000000004E-4</v>
      </c>
      <c r="I359" s="1585">
        <f t="shared" si="32"/>
        <v>0.32523620321198543</v>
      </c>
      <c r="J359" s="123">
        <f t="shared" si="33"/>
        <v>18</v>
      </c>
      <c r="K359" s="408">
        <f t="shared" si="34"/>
        <v>458.25</v>
      </c>
      <c r="L359" s="821">
        <f>K428</f>
        <v>1.5</v>
      </c>
      <c r="M359" s="130"/>
      <c r="N359" s="130"/>
      <c r="O359" s="130"/>
      <c r="P359" s="130"/>
      <c r="Q359" s="130"/>
      <c r="R359" s="1413"/>
      <c r="S359" s="130"/>
      <c r="T359" s="130"/>
      <c r="U359" s="130"/>
      <c r="V359" s="176" t="s">
        <v>19</v>
      </c>
      <c r="W359" s="655">
        <v>356.48140969163001</v>
      </c>
      <c r="X359" s="602">
        <v>343.28687958567122</v>
      </c>
      <c r="Y359" s="656"/>
      <c r="Z359" s="656"/>
      <c r="AA359" s="55"/>
      <c r="AB359" s="55"/>
      <c r="AC359" s="55"/>
      <c r="AD359" s="55"/>
      <c r="AE359" s="55"/>
      <c r="AF359" s="55"/>
      <c r="AG359" s="55"/>
    </row>
    <row r="360" spans="1:33" s="56" customFormat="1" x14ac:dyDescent="0.25">
      <c r="A360" s="597"/>
      <c r="B360" s="130"/>
      <c r="C360" s="414"/>
      <c r="D360" s="1643" t="s">
        <v>1772</v>
      </c>
      <c r="E360" s="1641" t="s">
        <v>995</v>
      </c>
      <c r="F360" s="1659">
        <f t="shared" si="35"/>
        <v>588.317504093769</v>
      </c>
      <c r="G360" s="386" t="s">
        <v>579</v>
      </c>
      <c r="H360" s="170">
        <f>VLOOKUP(G360,'CP FACTORS'!$A$3:$B$38, 2, FALSE)</f>
        <v>0</v>
      </c>
      <c r="I360" s="1585">
        <f t="shared" si="32"/>
        <v>0</v>
      </c>
      <c r="J360" s="123">
        <f t="shared" si="33"/>
        <v>18</v>
      </c>
      <c r="K360" s="408">
        <f t="shared" si="34"/>
        <v>0</v>
      </c>
      <c r="L360" s="821"/>
      <c r="M360" s="130"/>
      <c r="N360" s="130"/>
      <c r="O360" s="130"/>
      <c r="P360" s="130"/>
      <c r="Q360" s="130"/>
      <c r="R360" s="1413"/>
      <c r="S360" s="130"/>
      <c r="T360" s="130"/>
      <c r="U360" s="130"/>
      <c r="V360" s="176" t="s">
        <v>19</v>
      </c>
      <c r="W360" s="655">
        <v>688.58947368421047</v>
      </c>
      <c r="X360" s="602">
        <v>588.317504093769</v>
      </c>
      <c r="Y360" s="656"/>
      <c r="Z360" s="656"/>
      <c r="AA360" s="55"/>
      <c r="AB360" s="55"/>
      <c r="AC360" s="55"/>
      <c r="AD360" s="55"/>
      <c r="AE360" s="55"/>
      <c r="AF360" s="55"/>
      <c r="AG360" s="55"/>
    </row>
    <row r="361" spans="1:33" s="56" customFormat="1" x14ac:dyDescent="0.25">
      <c r="A361" s="597"/>
      <c r="B361" s="130"/>
      <c r="C361" s="414"/>
      <c r="D361" s="1643" t="s">
        <v>1772</v>
      </c>
      <c r="E361" s="1638" t="s">
        <v>996</v>
      </c>
      <c r="F361" s="1659">
        <f t="shared" si="35"/>
        <v>1056.3780560562595</v>
      </c>
      <c r="G361" s="386" t="s">
        <v>578</v>
      </c>
      <c r="H361" s="170">
        <f>VLOOKUP(G361,'CP FACTORS'!$A$3:$B$38, 2, FALSE)</f>
        <v>9.4741810000000004E-4</v>
      </c>
      <c r="I361" s="1585">
        <f t="shared" si="32"/>
        <v>1.000831690750515</v>
      </c>
      <c r="J361" s="123">
        <f t="shared" si="33"/>
        <v>6</v>
      </c>
      <c r="K361" s="408">
        <f t="shared" si="34"/>
        <v>1033.5</v>
      </c>
      <c r="L361" s="821">
        <f>K429</f>
        <v>1.5</v>
      </c>
      <c r="M361" s="130"/>
      <c r="N361" s="130"/>
      <c r="O361" s="130"/>
      <c r="P361" s="130"/>
      <c r="Q361" s="130"/>
      <c r="R361" s="1413"/>
      <c r="S361" s="130"/>
      <c r="T361" s="130"/>
      <c r="U361" s="130"/>
      <c r="V361" s="176" t="s">
        <v>19</v>
      </c>
      <c r="W361" s="655">
        <v>971.87426470588241</v>
      </c>
      <c r="X361" s="602">
        <v>1056.3780560562595</v>
      </c>
      <c r="Y361" s="656"/>
      <c r="Z361" s="656"/>
      <c r="AA361" s="55"/>
      <c r="AB361" s="55"/>
      <c r="AC361" s="55"/>
      <c r="AD361" s="55"/>
      <c r="AE361" s="55"/>
      <c r="AF361" s="55"/>
      <c r="AG361" s="55"/>
    </row>
    <row r="362" spans="1:33" s="56" customFormat="1" x14ac:dyDescent="0.25">
      <c r="A362" s="597"/>
      <c r="B362" s="130"/>
      <c r="C362" s="414"/>
      <c r="D362" s="1643" t="s">
        <v>1772</v>
      </c>
      <c r="E362" s="1661" t="s">
        <v>996</v>
      </c>
      <c r="F362" s="1659">
        <f t="shared" si="35"/>
        <v>3583.6754087630852</v>
      </c>
      <c r="G362" s="386" t="s">
        <v>579</v>
      </c>
      <c r="H362" s="170">
        <f>VLOOKUP(G362,'CP FACTORS'!$A$3:$B$38, 2, FALSE)</f>
        <v>0</v>
      </c>
      <c r="I362" s="1585">
        <f t="shared" si="32"/>
        <v>0</v>
      </c>
      <c r="J362" s="123">
        <f t="shared" si="33"/>
        <v>6</v>
      </c>
      <c r="K362" s="408">
        <f t="shared" si="34"/>
        <v>0</v>
      </c>
      <c r="L362" s="821"/>
      <c r="M362" s="130"/>
      <c r="N362" s="130"/>
      <c r="O362" s="130"/>
      <c r="P362" s="130"/>
      <c r="Q362" s="130"/>
      <c r="R362" s="1413"/>
      <c r="S362" s="130"/>
      <c r="T362" s="130"/>
      <c r="U362" s="130"/>
      <c r="V362" s="176" t="s">
        <v>19</v>
      </c>
      <c r="W362" s="655">
        <v>3391.6348573661585</v>
      </c>
      <c r="X362" s="602">
        <v>3583.6754087630852</v>
      </c>
      <c r="Y362" s="656"/>
      <c r="Z362" s="656"/>
      <c r="AA362" s="55"/>
      <c r="AB362" s="55"/>
      <c r="AC362" s="55"/>
      <c r="AD362" s="55"/>
      <c r="AE362" s="55"/>
      <c r="AF362" s="55"/>
      <c r="AG362" s="55"/>
    </row>
    <row r="363" spans="1:33" s="56" customFormat="1" x14ac:dyDescent="0.25">
      <c r="A363" s="597"/>
      <c r="B363" s="130"/>
      <c r="C363" s="414"/>
      <c r="D363" s="1643" t="s">
        <v>1772</v>
      </c>
      <c r="E363" s="1661" t="s">
        <v>997</v>
      </c>
      <c r="F363" s="1659">
        <f t="shared" si="35"/>
        <v>343.28687958567122</v>
      </c>
      <c r="G363" s="1660" t="s">
        <v>922</v>
      </c>
      <c r="H363" s="170">
        <f>VLOOKUP(G363,'CP FACTORS'!$A$3:$B$38, 2, FALSE)</f>
        <v>9.4741810000000004E-4</v>
      </c>
      <c r="I363" s="1585">
        <f t="shared" si="32"/>
        <v>0.32523620321198543</v>
      </c>
      <c r="J363" s="123">
        <f t="shared" si="33"/>
        <v>12</v>
      </c>
      <c r="K363" s="408">
        <f t="shared" si="34"/>
        <v>0</v>
      </c>
      <c r="L363" s="821"/>
      <c r="M363" s="130"/>
      <c r="N363" s="130"/>
      <c r="O363" s="130"/>
      <c r="P363" s="130"/>
      <c r="Q363" s="130"/>
      <c r="R363" s="1413"/>
      <c r="S363" s="130"/>
      <c r="T363" s="130"/>
      <c r="U363" s="130"/>
      <c r="V363" s="176" t="s">
        <v>19</v>
      </c>
      <c r="W363" s="655">
        <v>306.32250000000005</v>
      </c>
      <c r="X363" s="602">
        <v>343.28687958567122</v>
      </c>
      <c r="Y363" s="656"/>
      <c r="Z363" s="656"/>
      <c r="AA363" s="55"/>
      <c r="AB363" s="55"/>
      <c r="AC363" s="55"/>
      <c r="AD363" s="55"/>
      <c r="AE363" s="55"/>
      <c r="AF363" s="55"/>
      <c r="AG363" s="55"/>
    </row>
    <row r="364" spans="1:33" s="56" customFormat="1" x14ac:dyDescent="0.25">
      <c r="A364" s="597"/>
      <c r="B364" s="130"/>
      <c r="C364" s="414"/>
      <c r="D364" s="1643" t="s">
        <v>1772</v>
      </c>
      <c r="E364" s="1641" t="s">
        <v>997</v>
      </c>
      <c r="F364" s="1659">
        <f t="shared" si="35"/>
        <v>3586.6841445343662</v>
      </c>
      <c r="G364" s="105" t="s">
        <v>987</v>
      </c>
      <c r="H364" s="170">
        <f>VLOOKUP(G364,'CP FACTORS'!$A$3:$B$38, 2, FALSE)</f>
        <v>0</v>
      </c>
      <c r="I364" s="1585">
        <f t="shared" si="32"/>
        <v>0</v>
      </c>
      <c r="J364" s="123">
        <f t="shared" si="33"/>
        <v>12</v>
      </c>
      <c r="K364" s="408">
        <f t="shared" si="34"/>
        <v>0</v>
      </c>
      <c r="L364" s="821"/>
      <c r="M364" s="130"/>
      <c r="N364" s="130"/>
      <c r="O364" s="130"/>
      <c r="P364" s="130"/>
      <c r="Q364" s="130"/>
      <c r="R364" s="1413"/>
      <c r="S364" s="130"/>
      <c r="T364" s="130"/>
      <c r="U364" s="130"/>
      <c r="V364" s="176" t="s">
        <v>19</v>
      </c>
      <c r="W364" s="655">
        <v>725.33333333333314</v>
      </c>
      <c r="X364" s="602">
        <v>3586.6841445343662</v>
      </c>
      <c r="Y364" s="656"/>
      <c r="Z364" s="656"/>
      <c r="AA364" s="55"/>
      <c r="AB364" s="55"/>
      <c r="AC364" s="55"/>
      <c r="AD364" s="55"/>
      <c r="AE364" s="55"/>
      <c r="AF364" s="55"/>
      <c r="AG364" s="55"/>
    </row>
    <row r="365" spans="1:33" s="56" customFormat="1" x14ac:dyDescent="0.25">
      <c r="A365" s="597"/>
      <c r="B365" s="130"/>
      <c r="C365" s="414"/>
      <c r="D365" s="1643" t="s">
        <v>1772</v>
      </c>
      <c r="E365" s="1638" t="s">
        <v>998</v>
      </c>
      <c r="F365" s="1659">
        <f t="shared" si="35"/>
        <v>343.28687958567122</v>
      </c>
      <c r="G365" s="386" t="s">
        <v>578</v>
      </c>
      <c r="H365" s="170">
        <f>VLOOKUP(G365,'CP FACTORS'!$A$3:$B$38, 2, FALSE)</f>
        <v>9.4741810000000004E-4</v>
      </c>
      <c r="I365" s="1585">
        <f t="shared" si="32"/>
        <v>0.32523620321198543</v>
      </c>
      <c r="J365" s="123">
        <f t="shared" si="33"/>
        <v>18</v>
      </c>
      <c r="K365" s="408">
        <f t="shared" si="34"/>
        <v>458.25</v>
      </c>
      <c r="L365" s="821">
        <f>K430</f>
        <v>1.5</v>
      </c>
      <c r="M365" s="130"/>
      <c r="N365" s="130"/>
      <c r="O365" s="130"/>
      <c r="P365" s="130"/>
      <c r="Q365" s="130"/>
      <c r="R365" s="1413"/>
      <c r="S365" s="130"/>
      <c r="T365" s="130"/>
      <c r="U365" s="130"/>
      <c r="V365" s="176" t="s">
        <v>19</v>
      </c>
      <c r="W365" s="655">
        <v>290.63222222222231</v>
      </c>
      <c r="X365" s="602">
        <v>343.28687958567122</v>
      </c>
      <c r="Y365" s="656"/>
      <c r="Z365" s="656"/>
      <c r="AA365" s="55"/>
      <c r="AB365" s="55"/>
      <c r="AC365" s="55"/>
      <c r="AD365" s="55"/>
      <c r="AE365" s="55"/>
      <c r="AF365" s="55"/>
      <c r="AG365" s="55"/>
    </row>
    <row r="366" spans="1:33" s="56" customFormat="1" x14ac:dyDescent="0.25">
      <c r="A366" s="597"/>
      <c r="B366" s="130"/>
      <c r="C366" s="414"/>
      <c r="D366" s="1643" t="s">
        <v>1772</v>
      </c>
      <c r="E366" s="1641" t="s">
        <v>998</v>
      </c>
      <c r="F366" s="1659">
        <f t="shared" si="35"/>
        <v>3586.6841445343662</v>
      </c>
      <c r="G366" s="386" t="s">
        <v>579</v>
      </c>
      <c r="H366" s="170">
        <f>VLOOKUP(G366,'CP FACTORS'!$A$3:$B$38, 2, FALSE)</f>
        <v>0</v>
      </c>
      <c r="I366" s="1585">
        <f t="shared" si="32"/>
        <v>0</v>
      </c>
      <c r="J366" s="123">
        <f t="shared" si="33"/>
        <v>18</v>
      </c>
      <c r="K366" s="408">
        <f t="shared" si="34"/>
        <v>0</v>
      </c>
      <c r="L366" s="821"/>
      <c r="M366" s="130"/>
      <c r="N366" s="130"/>
      <c r="O366" s="130"/>
      <c r="P366" s="130"/>
      <c r="Q366" s="130"/>
      <c r="R366" s="1413"/>
      <c r="S366" s="130"/>
      <c r="T366" s="130"/>
      <c r="U366" s="130"/>
      <c r="V366" s="176" t="s">
        <v>19</v>
      </c>
      <c r="W366" s="655">
        <v>695.97460317460309</v>
      </c>
      <c r="X366" s="602">
        <v>3586.6841445343662</v>
      </c>
      <c r="Y366" s="656"/>
      <c r="Z366" s="656"/>
      <c r="AA366" s="55"/>
      <c r="AB366" s="55"/>
      <c r="AC366" s="55"/>
      <c r="AD366" s="55"/>
      <c r="AE366" s="55"/>
      <c r="AF366" s="55"/>
      <c r="AG366" s="55"/>
    </row>
    <row r="367" spans="1:33" s="56" customFormat="1" x14ac:dyDescent="0.25">
      <c r="A367" s="597"/>
      <c r="B367" s="130"/>
      <c r="C367" s="414"/>
      <c r="D367" s="1643" t="s">
        <v>1772</v>
      </c>
      <c r="E367" s="1638" t="s">
        <v>999</v>
      </c>
      <c r="F367" s="1659">
        <f t="shared" si="35"/>
        <v>973.31187958567136</v>
      </c>
      <c r="G367" s="386" t="s">
        <v>578</v>
      </c>
      <c r="H367" s="170">
        <f>VLOOKUP(G367,'CP FACTORS'!$A$3:$B$38, 2, FALSE)</f>
        <v>9.4741810000000004E-4</v>
      </c>
      <c r="I367" s="1585">
        <f t="shared" si="32"/>
        <v>0.92213329166448554</v>
      </c>
      <c r="J367" s="123">
        <f t="shared" si="33"/>
        <v>6</v>
      </c>
      <c r="K367" s="408">
        <f t="shared" si="34"/>
        <v>936</v>
      </c>
      <c r="L367" s="821">
        <f>K431</f>
        <v>1.5</v>
      </c>
      <c r="M367" s="130"/>
      <c r="N367" s="130"/>
      <c r="O367" s="130"/>
      <c r="P367" s="130"/>
      <c r="Q367" s="130"/>
      <c r="R367" s="1413"/>
      <c r="S367" s="130"/>
      <c r="T367" s="130"/>
      <c r="U367" s="130"/>
      <c r="V367" s="176" t="s">
        <v>19</v>
      </c>
      <c r="W367" s="655">
        <v>1056.873427672956</v>
      </c>
      <c r="X367" s="602">
        <v>973.31187958567136</v>
      </c>
      <c r="Y367" s="656"/>
      <c r="Z367" s="656"/>
      <c r="AA367" s="55"/>
      <c r="AB367" s="55"/>
      <c r="AC367" s="55"/>
      <c r="AD367" s="55"/>
      <c r="AE367" s="55"/>
      <c r="AF367" s="55"/>
      <c r="AG367" s="55"/>
    </row>
    <row r="368" spans="1:33" s="56" customFormat="1" x14ac:dyDescent="0.25">
      <c r="A368" s="597"/>
      <c r="B368" s="130"/>
      <c r="C368" s="414"/>
      <c r="D368" s="1643" t="s">
        <v>1772</v>
      </c>
      <c r="E368" s="1661" t="s">
        <v>999</v>
      </c>
      <c r="F368" s="1659">
        <f t="shared" si="35"/>
        <v>1671.2809187279149</v>
      </c>
      <c r="G368" s="386" t="s">
        <v>579</v>
      </c>
      <c r="H368" s="170">
        <f>VLOOKUP(G368,'CP FACTORS'!$A$3:$B$38, 2, FALSE)</f>
        <v>0</v>
      </c>
      <c r="I368" s="1585">
        <f t="shared" si="32"/>
        <v>0</v>
      </c>
      <c r="J368" s="123">
        <f t="shared" si="33"/>
        <v>6</v>
      </c>
      <c r="K368" s="408">
        <f t="shared" si="34"/>
        <v>0</v>
      </c>
      <c r="L368" s="821"/>
      <c r="M368" s="130"/>
      <c r="N368" s="130"/>
      <c r="O368" s="130"/>
      <c r="P368" s="130"/>
      <c r="Q368" s="130"/>
      <c r="R368" s="1413"/>
      <c r="S368" s="130"/>
      <c r="T368" s="130"/>
      <c r="U368" s="130"/>
      <c r="V368" s="176" t="s">
        <v>19</v>
      </c>
      <c r="W368" s="655">
        <v>1906.4157894736838</v>
      </c>
      <c r="X368" s="602">
        <v>1671.2809187279149</v>
      </c>
      <c r="Y368" s="656"/>
      <c r="Z368" s="656"/>
      <c r="AA368" s="55"/>
      <c r="AB368" s="55"/>
      <c r="AC368" s="55"/>
      <c r="AD368" s="55"/>
      <c r="AE368" s="55"/>
      <c r="AF368" s="55"/>
      <c r="AG368" s="55"/>
    </row>
    <row r="369" spans="1:33" s="56" customFormat="1" x14ac:dyDescent="0.25">
      <c r="A369" s="597"/>
      <c r="B369" s="130"/>
      <c r="C369" s="414"/>
      <c r="D369" s="1643" t="s">
        <v>1772</v>
      </c>
      <c r="E369" s="1661" t="s">
        <v>1000</v>
      </c>
      <c r="F369" s="1659">
        <f t="shared" si="35"/>
        <v>343.28687958567122</v>
      </c>
      <c r="G369" s="1660" t="s">
        <v>922</v>
      </c>
      <c r="H369" s="170">
        <f>VLOOKUP(G369,'CP FACTORS'!$A$3:$B$38, 2, FALSE)</f>
        <v>9.4741810000000004E-4</v>
      </c>
      <c r="I369" s="1585">
        <f t="shared" si="32"/>
        <v>0.32523620321198543</v>
      </c>
      <c r="J369" s="123">
        <f t="shared" si="33"/>
        <v>12</v>
      </c>
      <c r="K369" s="408">
        <f t="shared" si="34"/>
        <v>0</v>
      </c>
      <c r="L369" s="821"/>
      <c r="M369" s="130"/>
      <c r="N369" s="130"/>
      <c r="O369" s="130"/>
      <c r="P369" s="130"/>
      <c r="Q369" s="130"/>
      <c r="R369" s="1413"/>
      <c r="S369" s="130"/>
      <c r="T369" s="130"/>
      <c r="U369" s="130"/>
      <c r="V369" s="176" t="s">
        <v>19</v>
      </c>
      <c r="W369" s="655">
        <v>342.84509433962273</v>
      </c>
      <c r="X369" s="602">
        <v>343.28687958567122</v>
      </c>
      <c r="Y369" s="656"/>
      <c r="Z369" s="656"/>
      <c r="AA369" s="55"/>
      <c r="AB369" s="55"/>
      <c r="AC369" s="55"/>
      <c r="AD369" s="55"/>
      <c r="AE369" s="55"/>
      <c r="AF369" s="55"/>
      <c r="AG369" s="55"/>
    </row>
    <row r="370" spans="1:33" s="56" customFormat="1" x14ac:dyDescent="0.25">
      <c r="A370" s="597"/>
      <c r="B370" s="130"/>
      <c r="C370" s="414"/>
      <c r="D370" s="1643" t="s">
        <v>1772</v>
      </c>
      <c r="E370" s="1641" t="s">
        <v>1000</v>
      </c>
      <c r="F370" s="1659">
        <f t="shared" si="35"/>
        <v>1113.8417090014714</v>
      </c>
      <c r="G370" s="105" t="s">
        <v>987</v>
      </c>
      <c r="H370" s="170">
        <f>VLOOKUP(G370,'CP FACTORS'!$A$3:$B$38, 2, FALSE)</f>
        <v>0</v>
      </c>
      <c r="I370" s="1585">
        <f t="shared" si="32"/>
        <v>0</v>
      </c>
      <c r="J370" s="123">
        <f t="shared" si="33"/>
        <v>12</v>
      </c>
      <c r="K370" s="408">
        <f t="shared" si="34"/>
        <v>0</v>
      </c>
      <c r="L370" s="821"/>
      <c r="M370" s="130"/>
      <c r="N370" s="130"/>
      <c r="O370" s="130"/>
      <c r="P370" s="130"/>
      <c r="Q370" s="130"/>
      <c r="R370" s="1413"/>
      <c r="S370" s="130"/>
      <c r="T370" s="130"/>
      <c r="U370" s="130"/>
      <c r="V370" s="176" t="s">
        <v>19</v>
      </c>
      <c r="W370" s="655">
        <v>836.1443609022557</v>
      </c>
      <c r="X370" s="602">
        <v>1113.8417090014714</v>
      </c>
      <c r="Y370" s="656"/>
      <c r="Z370" s="656"/>
      <c r="AA370" s="55"/>
      <c r="AB370" s="55"/>
      <c r="AC370" s="55"/>
      <c r="AD370" s="55"/>
      <c r="AE370" s="55"/>
      <c r="AF370" s="55"/>
      <c r="AG370" s="55"/>
    </row>
    <row r="371" spans="1:33" s="56" customFormat="1" hidden="1" outlineLevel="1" x14ac:dyDescent="0.25">
      <c r="A371" s="597"/>
      <c r="B371" s="130"/>
      <c r="C371" s="616"/>
      <c r="D371" s="658"/>
      <c r="E371" s="658" t="s">
        <v>1001</v>
      </c>
      <c r="F371" s="130"/>
      <c r="G371" s="658"/>
      <c r="H371" s="616"/>
      <c r="I371" s="130"/>
      <c r="J371" s="130"/>
      <c r="K371" s="130"/>
      <c r="L371" s="130"/>
      <c r="M371" s="130"/>
      <c r="N371" s="130"/>
      <c r="O371" s="130"/>
      <c r="P371" s="130"/>
      <c r="Q371" s="130"/>
      <c r="R371" s="130"/>
      <c r="S371" s="130"/>
      <c r="T371" s="130"/>
      <c r="U371" s="130"/>
    </row>
    <row r="372" spans="1:33" s="56" customFormat="1" hidden="1" outlineLevel="1" x14ac:dyDescent="0.25">
      <c r="A372" s="597"/>
      <c r="B372" s="130"/>
      <c r="C372" s="616"/>
      <c r="D372" s="1651"/>
      <c r="E372" s="658"/>
      <c r="F372" s="130"/>
      <c r="G372" s="658"/>
      <c r="H372" s="616"/>
      <c r="I372" s="130"/>
      <c r="J372" s="130"/>
      <c r="K372" s="130"/>
      <c r="L372" s="130"/>
      <c r="M372" s="130"/>
      <c r="N372" s="130"/>
      <c r="O372" s="130"/>
      <c r="P372" s="130"/>
      <c r="Q372" s="130"/>
      <c r="R372" s="130"/>
      <c r="S372" s="130"/>
      <c r="T372" s="130"/>
      <c r="U372" s="130"/>
    </row>
    <row r="373" spans="1:33" s="56" customFormat="1" hidden="1" outlineLevel="1" x14ac:dyDescent="0.25">
      <c r="A373" s="597"/>
      <c r="B373" s="130"/>
      <c r="C373" s="616"/>
      <c r="D373" s="1418" t="s">
        <v>463</v>
      </c>
      <c r="E373" s="603"/>
      <c r="F373" s="130"/>
      <c r="G373" s="658"/>
      <c r="H373" s="130"/>
      <c r="I373" s="489"/>
      <c r="J373" s="130"/>
      <c r="K373" s="130"/>
      <c r="L373" s="130"/>
      <c r="M373" s="130"/>
      <c r="N373" s="130"/>
      <c r="O373" s="130"/>
      <c r="P373" s="130"/>
      <c r="Q373" s="130"/>
      <c r="R373" s="130"/>
      <c r="S373" s="130"/>
      <c r="T373" s="130"/>
      <c r="U373" s="130"/>
    </row>
    <row r="374" spans="1:33" s="56" customFormat="1" hidden="1" outlineLevel="1" x14ac:dyDescent="0.25">
      <c r="A374" s="597"/>
      <c r="B374" s="130"/>
      <c r="C374" s="616"/>
      <c r="D374" s="658"/>
      <c r="E374" s="658"/>
      <c r="F374" s="130"/>
      <c r="G374" s="1584"/>
      <c r="H374" s="616"/>
      <c r="I374" s="489"/>
      <c r="J374" s="130"/>
      <c r="K374" s="130"/>
      <c r="L374" s="130"/>
      <c r="M374" s="130"/>
      <c r="N374" s="130"/>
      <c r="O374" s="130"/>
      <c r="P374" s="130"/>
      <c r="Q374" s="130"/>
      <c r="R374" s="130"/>
      <c r="S374" s="130"/>
      <c r="T374" s="130"/>
      <c r="U374" s="130"/>
    </row>
    <row r="375" spans="1:33" s="56" customFormat="1" hidden="1" outlineLevel="1" x14ac:dyDescent="0.25">
      <c r="A375" s="597"/>
      <c r="B375" s="130"/>
      <c r="C375" s="616"/>
      <c r="D375" s="658"/>
      <c r="E375" s="603"/>
      <c r="F375" s="1594"/>
      <c r="G375" s="1584"/>
      <c r="H375" s="616"/>
      <c r="I375" s="489"/>
      <c r="J375" s="130"/>
      <c r="K375" s="130"/>
      <c r="L375" s="130"/>
      <c r="M375" s="130"/>
      <c r="N375" s="130"/>
      <c r="O375" s="130"/>
      <c r="P375" s="130"/>
      <c r="Q375" s="130"/>
      <c r="R375" s="130"/>
      <c r="S375" s="130"/>
      <c r="T375" s="130"/>
      <c r="U375" s="130"/>
    </row>
    <row r="376" spans="1:33" s="56" customFormat="1" hidden="1" outlineLevel="1" x14ac:dyDescent="0.25">
      <c r="A376" s="597"/>
      <c r="B376" s="130"/>
      <c r="C376" s="616"/>
      <c r="D376" s="658"/>
      <c r="E376" s="603"/>
      <c r="F376" s="1594"/>
      <c r="G376" s="1584"/>
      <c r="H376" s="616"/>
      <c r="I376" s="489"/>
      <c r="J376" s="130"/>
      <c r="K376" s="130"/>
      <c r="L376" s="130"/>
      <c r="M376" s="130"/>
      <c r="N376" s="130"/>
      <c r="O376" s="130"/>
      <c r="P376" s="130"/>
      <c r="Q376" s="130"/>
      <c r="R376" s="130"/>
      <c r="S376" s="130"/>
      <c r="T376" s="130"/>
      <c r="U376" s="130"/>
    </row>
    <row r="377" spans="1:33" s="56" customFormat="1" hidden="1" outlineLevel="1" x14ac:dyDescent="0.25">
      <c r="A377" s="597"/>
      <c r="B377" s="130"/>
      <c r="C377" s="616"/>
      <c r="D377" s="658"/>
      <c r="E377" s="603"/>
      <c r="F377" s="1594"/>
      <c r="G377" s="1584"/>
      <c r="H377" s="616"/>
      <c r="I377" s="489"/>
      <c r="J377" s="130"/>
      <c r="K377" s="130"/>
      <c r="L377" s="130"/>
      <c r="M377" s="130"/>
      <c r="N377" s="130"/>
      <c r="O377" s="130"/>
      <c r="P377" s="130"/>
      <c r="Q377" s="130"/>
      <c r="R377" s="130"/>
      <c r="S377" s="130"/>
      <c r="T377" s="130"/>
      <c r="U377" s="130"/>
    </row>
    <row r="378" spans="1:33" s="56" customFormat="1" hidden="1" outlineLevel="1" x14ac:dyDescent="0.25">
      <c r="A378" s="597"/>
      <c r="B378" s="130"/>
      <c r="C378" s="616"/>
      <c r="D378" s="658"/>
      <c r="E378" s="603"/>
      <c r="F378" s="1594"/>
      <c r="G378" s="1584"/>
      <c r="H378" s="616"/>
      <c r="I378" s="489"/>
      <c r="J378" s="130"/>
      <c r="K378" s="130"/>
      <c r="L378" s="130"/>
      <c r="M378" s="130"/>
      <c r="N378" s="130"/>
      <c r="O378" s="130"/>
      <c r="P378" s="130"/>
      <c r="Q378" s="130"/>
      <c r="R378" s="130"/>
      <c r="S378" s="130"/>
      <c r="T378" s="130"/>
      <c r="U378" s="130"/>
    </row>
    <row r="379" spans="1:33" s="56" customFormat="1" hidden="1" outlineLevel="1" x14ac:dyDescent="0.25">
      <c r="A379" s="597"/>
      <c r="B379" s="130"/>
      <c r="C379" s="616"/>
      <c r="D379" s="658" t="s">
        <v>945</v>
      </c>
      <c r="E379" s="603"/>
      <c r="F379" s="1594"/>
      <c r="G379" s="1584"/>
      <c r="H379" s="616"/>
      <c r="I379" s="489"/>
      <c r="J379" s="130"/>
      <c r="K379" s="130"/>
      <c r="L379" s="130"/>
      <c r="M379" s="130"/>
      <c r="N379" s="130"/>
      <c r="O379" s="130"/>
      <c r="P379" s="130"/>
      <c r="Q379" s="130"/>
      <c r="R379" s="130"/>
      <c r="S379" s="130"/>
      <c r="T379" s="130"/>
      <c r="U379" s="130"/>
    </row>
    <row r="380" spans="1:33" s="56" customFormat="1" hidden="1" outlineLevel="1" x14ac:dyDescent="0.25">
      <c r="A380" s="597"/>
      <c r="B380" s="130"/>
      <c r="C380" s="616"/>
      <c r="D380" s="658"/>
      <c r="E380" s="603"/>
      <c r="F380" s="1594"/>
      <c r="G380" s="1584"/>
      <c r="H380" s="616"/>
      <c r="I380" s="489"/>
      <c r="J380" s="130"/>
      <c r="K380" s="130"/>
      <c r="L380" s="130"/>
      <c r="M380" s="130"/>
      <c r="N380" s="130"/>
      <c r="O380" s="130"/>
      <c r="P380" s="130"/>
      <c r="Q380" s="130"/>
      <c r="R380" s="130"/>
      <c r="S380" s="130"/>
      <c r="T380" s="130"/>
      <c r="U380" s="130"/>
    </row>
    <row r="381" spans="1:33" s="56" customFormat="1" hidden="1" outlineLevel="1" x14ac:dyDescent="0.25">
      <c r="A381" s="597"/>
      <c r="B381" s="130"/>
      <c r="C381" s="616"/>
      <c r="D381" s="658"/>
      <c r="E381" s="603"/>
      <c r="F381" s="1594"/>
      <c r="G381" s="1584"/>
      <c r="H381" s="616"/>
      <c r="I381" s="489"/>
      <c r="J381" s="130"/>
      <c r="K381" s="130"/>
      <c r="L381" s="130"/>
      <c r="M381" s="130"/>
      <c r="N381" s="130"/>
      <c r="O381" s="130"/>
      <c r="P381" s="130"/>
      <c r="Q381" s="130"/>
      <c r="R381" s="130"/>
      <c r="S381" s="130"/>
      <c r="T381" s="130"/>
      <c r="U381" s="130"/>
    </row>
    <row r="382" spans="1:33" s="56" customFormat="1" hidden="1" outlineLevel="1" x14ac:dyDescent="0.25">
      <c r="A382" s="597"/>
      <c r="B382" s="130"/>
      <c r="C382" s="616"/>
      <c r="D382" s="658"/>
      <c r="E382" s="603"/>
      <c r="F382" s="1594"/>
      <c r="G382" s="1584"/>
      <c r="H382" s="616"/>
      <c r="I382" s="489"/>
      <c r="J382" s="130"/>
      <c r="K382" s="130"/>
      <c r="L382" s="130"/>
      <c r="M382" s="130"/>
      <c r="N382" s="130"/>
      <c r="O382" s="130"/>
      <c r="P382" s="130"/>
      <c r="Q382" s="130"/>
      <c r="R382" s="130"/>
      <c r="S382" s="130"/>
      <c r="T382" s="130"/>
      <c r="U382" s="130"/>
    </row>
    <row r="383" spans="1:33" s="56" customFormat="1" hidden="1" outlineLevel="1" x14ac:dyDescent="0.25">
      <c r="A383" s="597"/>
      <c r="B383" s="130"/>
      <c r="C383" s="616"/>
      <c r="D383" s="658"/>
      <c r="E383" s="603"/>
      <c r="F383" s="1594"/>
      <c r="G383" s="1584"/>
      <c r="H383" s="616"/>
      <c r="I383" s="489"/>
      <c r="J383" s="130"/>
      <c r="K383" s="130"/>
      <c r="L383" s="130"/>
      <c r="M383" s="130"/>
      <c r="N383" s="130"/>
      <c r="O383" s="130"/>
      <c r="P383" s="130"/>
      <c r="Q383" s="130"/>
      <c r="R383" s="130"/>
      <c r="S383" s="130"/>
      <c r="T383" s="130"/>
      <c r="U383" s="130"/>
    </row>
    <row r="384" spans="1:33" s="56" customFormat="1" hidden="1" outlineLevel="1" x14ac:dyDescent="0.25">
      <c r="A384" s="597"/>
      <c r="B384" s="130"/>
      <c r="C384" s="616"/>
      <c r="D384" s="658"/>
      <c r="E384" s="658"/>
      <c r="F384" s="1594"/>
      <c r="G384" s="1584"/>
      <c r="H384" s="616"/>
      <c r="I384" s="489"/>
      <c r="J384" s="130"/>
      <c r="K384" s="130"/>
      <c r="L384" s="130"/>
      <c r="M384" s="130"/>
      <c r="N384" s="130"/>
      <c r="O384" s="130"/>
      <c r="P384" s="130"/>
      <c r="Q384" s="130"/>
      <c r="R384" s="130"/>
      <c r="S384" s="130"/>
      <c r="T384" s="130"/>
      <c r="U384" s="130"/>
    </row>
    <row r="385" spans="1:33" s="56" customFormat="1" hidden="1" outlineLevel="1" x14ac:dyDescent="0.25">
      <c r="A385" s="597"/>
      <c r="B385" s="130"/>
      <c r="C385" s="616"/>
      <c r="D385" s="658" t="s">
        <v>1002</v>
      </c>
      <c r="E385" s="658"/>
      <c r="F385" s="1594"/>
      <c r="G385" s="1584"/>
      <c r="H385" s="616"/>
      <c r="I385" s="489"/>
      <c r="J385" s="130"/>
      <c r="K385" s="130"/>
      <c r="L385" s="130"/>
      <c r="M385" s="130"/>
      <c r="N385" s="130"/>
      <c r="O385" s="130"/>
      <c r="P385" s="130"/>
      <c r="Q385" s="130"/>
      <c r="R385" s="130"/>
      <c r="S385" s="130"/>
      <c r="T385" s="130"/>
      <c r="U385" s="130"/>
    </row>
    <row r="386" spans="1:33" s="56" customFormat="1" hidden="1" outlineLevel="1" x14ac:dyDescent="0.25">
      <c r="A386" s="597"/>
      <c r="B386" s="130"/>
      <c r="C386" s="616"/>
      <c r="D386" s="658"/>
      <c r="E386" s="658"/>
      <c r="F386" s="1594"/>
      <c r="G386" s="1584"/>
      <c r="H386" s="616"/>
      <c r="I386" s="489"/>
      <c r="J386" s="130"/>
      <c r="K386" s="130"/>
      <c r="L386" s="130"/>
      <c r="M386" s="130"/>
      <c r="N386" s="130"/>
      <c r="O386" s="130"/>
      <c r="P386" s="130"/>
      <c r="Q386" s="130"/>
      <c r="R386" s="130"/>
      <c r="S386" s="130"/>
      <c r="T386" s="130"/>
      <c r="U386" s="130"/>
    </row>
    <row r="387" spans="1:33" s="56" customFormat="1" hidden="1" outlineLevel="1" x14ac:dyDescent="0.25">
      <c r="A387" s="597"/>
      <c r="B387" s="130"/>
      <c r="C387" s="616"/>
      <c r="D387" s="658"/>
      <c r="E387" s="658"/>
      <c r="F387" s="1594"/>
      <c r="G387" s="1584"/>
      <c r="H387" s="616"/>
      <c r="I387" s="130"/>
      <c r="J387" s="130"/>
      <c r="K387" s="130"/>
      <c r="L387" s="130"/>
      <c r="M387" s="130"/>
      <c r="N387" s="130"/>
      <c r="O387" s="130"/>
      <c r="P387" s="130"/>
      <c r="Q387" s="130"/>
      <c r="R387" s="130"/>
      <c r="S387" s="130"/>
      <c r="T387" s="130"/>
      <c r="U387" s="130"/>
    </row>
    <row r="388" spans="1:33" s="56" customFormat="1" hidden="1" outlineLevel="1" x14ac:dyDescent="0.25">
      <c r="A388" s="597"/>
      <c r="B388" s="130"/>
      <c r="C388" s="616"/>
      <c r="D388" s="658"/>
      <c r="E388" s="658"/>
      <c r="F388" s="130"/>
      <c r="G388" s="658"/>
      <c r="H388" s="616"/>
      <c r="I388" s="130"/>
      <c r="J388" s="130"/>
      <c r="K388" s="130"/>
      <c r="L388" s="130"/>
      <c r="M388" s="130"/>
      <c r="N388" s="130"/>
      <c r="O388" s="130"/>
      <c r="P388" s="130"/>
      <c r="Q388" s="130"/>
      <c r="R388" s="130"/>
      <c r="S388" s="130"/>
      <c r="T388" s="130"/>
      <c r="U388" s="130"/>
    </row>
    <row r="389" spans="1:33" s="56" customFormat="1" ht="45.75" hidden="1" outlineLevel="1" thickBot="1" x14ac:dyDescent="0.3">
      <c r="A389" s="597"/>
      <c r="B389" s="251"/>
      <c r="C389" s="616"/>
      <c r="D389" s="358" t="s">
        <v>465</v>
      </c>
      <c r="E389" s="358" t="s">
        <v>466</v>
      </c>
      <c r="F389" s="2122" t="s">
        <v>514</v>
      </c>
      <c r="G389" s="2122"/>
      <c r="H389" s="2122"/>
      <c r="I389" s="534" t="s">
        <v>16</v>
      </c>
      <c r="J389" s="534" t="s">
        <v>467</v>
      </c>
      <c r="K389" s="534" t="s">
        <v>948</v>
      </c>
      <c r="L389" s="534" t="s">
        <v>655</v>
      </c>
      <c r="M389" s="305"/>
      <c r="N389" s="251"/>
      <c r="O389" s="251"/>
      <c r="P389" s="251"/>
      <c r="Q389" s="251"/>
      <c r="R389" s="251"/>
      <c r="S389" s="251"/>
      <c r="T389" s="130"/>
      <c r="U389" s="130"/>
      <c r="V389" s="48" t="s">
        <v>26</v>
      </c>
      <c r="W389" s="49">
        <v>43252</v>
      </c>
      <c r="X389" s="49">
        <f>$X$6</f>
        <v>43465</v>
      </c>
      <c r="Y389" s="49" t="str">
        <f>$Y$6</f>
        <v>-</v>
      </c>
      <c r="Z389" s="49" t="str">
        <f>$Z$6</f>
        <v>-</v>
      </c>
      <c r="AA389" s="49" t="str">
        <f>$AA$6</f>
        <v>-</v>
      </c>
      <c r="AB389" s="49" t="str">
        <f>$AB$6</f>
        <v>-</v>
      </c>
      <c r="AC389" s="49" t="str">
        <f>$AC$6</f>
        <v>-</v>
      </c>
      <c r="AD389" s="49" t="str">
        <f>$AD$6</f>
        <v>-</v>
      </c>
      <c r="AE389" s="49" t="str">
        <f>$AE$6</f>
        <v>-</v>
      </c>
      <c r="AF389" s="49" t="str">
        <f>$AF$6</f>
        <v>-</v>
      </c>
      <c r="AG389" s="49" t="str">
        <f>$AG$6</f>
        <v>-</v>
      </c>
    </row>
    <row r="390" spans="1:33" s="56" customFormat="1" hidden="1" outlineLevel="1" x14ac:dyDescent="0.25">
      <c r="A390" s="597"/>
      <c r="B390" s="251"/>
      <c r="C390" s="616"/>
      <c r="D390" s="2159" t="s">
        <v>1003</v>
      </c>
      <c r="E390" s="2100" t="s">
        <v>1004</v>
      </c>
      <c r="F390" s="2144" t="str">
        <f>E337</f>
        <v>Ductless AC - ER1 SF</v>
      </c>
      <c r="G390" s="2144"/>
      <c r="H390" s="2144"/>
      <c r="I390" s="707"/>
      <c r="J390" s="734">
        <v>0</v>
      </c>
      <c r="K390" s="660"/>
      <c r="L390" s="661" t="s">
        <v>1005</v>
      </c>
      <c r="M390" s="1662"/>
      <c r="N390" s="251"/>
      <c r="O390" s="251"/>
      <c r="P390" s="251"/>
      <c r="Q390" s="251"/>
      <c r="R390" s="251"/>
      <c r="S390" s="251"/>
      <c r="T390" s="130"/>
      <c r="U390" s="130"/>
      <c r="V390" s="2161" t="s">
        <v>1003</v>
      </c>
      <c r="W390" s="659">
        <v>0</v>
      </c>
      <c r="X390" s="659">
        <v>0</v>
      </c>
      <c r="Y390" s="659"/>
      <c r="Z390" s="659"/>
      <c r="AA390" s="659"/>
      <c r="AB390" s="659"/>
      <c r="AC390" s="659"/>
      <c r="AD390" s="659"/>
      <c r="AE390" s="659"/>
      <c r="AF390" s="659"/>
      <c r="AG390" s="659"/>
    </row>
    <row r="391" spans="1:33" s="56" customFormat="1" hidden="1" outlineLevel="1" x14ac:dyDescent="0.25">
      <c r="A391" s="597"/>
      <c r="B391" s="251"/>
      <c r="C391" s="616"/>
      <c r="D391" s="2160"/>
      <c r="E391" s="2101"/>
      <c r="F391" s="2148" t="str">
        <f>E339</f>
        <v>Ductless AC - ROF SF</v>
      </c>
      <c r="G391" s="2148"/>
      <c r="H391" s="2148"/>
      <c r="I391" s="709"/>
      <c r="J391" s="735">
        <v>0</v>
      </c>
      <c r="K391" s="663"/>
      <c r="L391" s="664" t="s">
        <v>1005</v>
      </c>
      <c r="M391" s="1662"/>
      <c r="N391" s="251"/>
      <c r="O391" s="251"/>
      <c r="P391" s="251"/>
      <c r="Q391" s="251"/>
      <c r="R391" s="251"/>
      <c r="S391" s="251"/>
      <c r="T391" s="130"/>
      <c r="U391" s="130"/>
      <c r="V391" s="2162"/>
      <c r="W391" s="662">
        <v>0</v>
      </c>
      <c r="X391" s="662">
        <v>0</v>
      </c>
      <c r="Y391" s="662"/>
      <c r="Z391" s="662"/>
      <c r="AA391" s="662"/>
      <c r="AB391" s="662"/>
      <c r="AC391" s="662"/>
      <c r="AD391" s="662"/>
      <c r="AE391" s="662"/>
      <c r="AF391" s="662"/>
      <c r="AG391" s="662"/>
    </row>
    <row r="392" spans="1:33" s="56" customFormat="1" hidden="1" outlineLevel="1" x14ac:dyDescent="0.25">
      <c r="A392" s="597"/>
      <c r="B392" s="251"/>
      <c r="C392" s="616"/>
      <c r="D392" s="2160"/>
      <c r="E392" s="2101"/>
      <c r="F392" s="2148" t="str">
        <f>E340</f>
        <v>Ductless ASHP - ROF SF NC</v>
      </c>
      <c r="G392" s="2148"/>
      <c r="H392" s="2148"/>
      <c r="I392" s="709"/>
      <c r="J392" s="735">
        <f>1.5*12000</f>
        <v>18000</v>
      </c>
      <c r="K392" s="663">
        <f>J392/12000</f>
        <v>1.5</v>
      </c>
      <c r="L392" s="664" t="s">
        <v>1006</v>
      </c>
      <c r="M392" s="1662"/>
      <c r="N392" s="251"/>
      <c r="O392" s="251"/>
      <c r="P392" s="251"/>
      <c r="Q392" s="251"/>
      <c r="R392" s="251"/>
      <c r="S392" s="251"/>
      <c r="T392" s="130"/>
      <c r="U392" s="130"/>
      <c r="V392" s="2162"/>
      <c r="W392" s="662">
        <v>16800</v>
      </c>
      <c r="X392" s="665">
        <f>1.5*12000</f>
        <v>18000</v>
      </c>
      <c r="Y392" s="662"/>
      <c r="Z392" s="662"/>
      <c r="AA392" s="662"/>
      <c r="AB392" s="662"/>
      <c r="AC392" s="662"/>
      <c r="AD392" s="662"/>
      <c r="AE392" s="662"/>
      <c r="AF392" s="662"/>
      <c r="AG392" s="662"/>
    </row>
    <row r="393" spans="1:33" s="56" customFormat="1" hidden="1" outlineLevel="1" x14ac:dyDescent="0.25">
      <c r="A393" s="597"/>
      <c r="B393" s="251"/>
      <c r="C393" s="616"/>
      <c r="D393" s="2160"/>
      <c r="E393" s="2101"/>
      <c r="F393" s="2148" t="str">
        <f>E342</f>
        <v>Ductless ASHP - ROF SF</v>
      </c>
      <c r="G393" s="2148"/>
      <c r="H393" s="2148"/>
      <c r="I393" s="709"/>
      <c r="J393" s="735">
        <f>1.5*12000</f>
        <v>18000</v>
      </c>
      <c r="K393" s="663">
        <f>J393/12000</f>
        <v>1.5</v>
      </c>
      <c r="L393" s="666" t="s">
        <v>1006</v>
      </c>
      <c r="M393" s="1655"/>
      <c r="N393" s="251"/>
      <c r="O393" s="251"/>
      <c r="P393" s="251"/>
      <c r="Q393" s="251"/>
      <c r="R393" s="251"/>
      <c r="S393" s="251"/>
      <c r="T393" s="130"/>
      <c r="U393" s="130"/>
      <c r="V393" s="2162"/>
      <c r="W393" s="662">
        <v>16800</v>
      </c>
      <c r="X393" s="665">
        <f>1.5*12000</f>
        <v>18000</v>
      </c>
      <c r="Y393" s="662"/>
      <c r="Z393" s="662"/>
      <c r="AA393" s="662"/>
      <c r="AB393" s="662"/>
      <c r="AC393" s="662"/>
      <c r="AD393" s="662"/>
      <c r="AE393" s="662"/>
      <c r="AF393" s="662"/>
      <c r="AG393" s="662"/>
    </row>
    <row r="394" spans="1:33" s="56" customFormat="1" hidden="1" outlineLevel="1" x14ac:dyDescent="0.25">
      <c r="A394" s="597"/>
      <c r="B394" s="251"/>
      <c r="C394" s="616"/>
      <c r="D394" s="2160"/>
      <c r="E394" s="2101"/>
      <c r="F394" s="2148" t="str">
        <f>E344</f>
        <v>Ductless ASHP Replace Electric Resistance ER1 SF</v>
      </c>
      <c r="G394" s="2148"/>
      <c r="H394" s="2148"/>
      <c r="I394" s="709"/>
      <c r="J394" s="735">
        <f>1.5*12000</f>
        <v>18000</v>
      </c>
      <c r="K394" s="663">
        <f>J394/12000</f>
        <v>1.5</v>
      </c>
      <c r="L394" s="666" t="s">
        <v>1007</v>
      </c>
      <c r="M394" s="1655"/>
      <c r="N394" s="251"/>
      <c r="O394" s="251"/>
      <c r="P394" s="251"/>
      <c r="Q394" s="251"/>
      <c r="R394" s="251"/>
      <c r="S394" s="251"/>
      <c r="T394" s="130"/>
      <c r="U394" s="130"/>
      <c r="V394" s="2162"/>
      <c r="W394" s="662">
        <v>16800</v>
      </c>
      <c r="X394" s="665">
        <f>1.5*12000</f>
        <v>18000</v>
      </c>
      <c r="Y394" s="662"/>
      <c r="Z394" s="662"/>
      <c r="AA394" s="662"/>
      <c r="AB394" s="662"/>
      <c r="AC394" s="662"/>
      <c r="AD394" s="662"/>
      <c r="AE394" s="662"/>
      <c r="AF394" s="662"/>
      <c r="AG394" s="662"/>
    </row>
    <row r="395" spans="1:33" s="56" customFormat="1" hidden="1" outlineLevel="1" x14ac:dyDescent="0.25">
      <c r="A395" s="597"/>
      <c r="B395" s="251"/>
      <c r="C395" s="616"/>
      <c r="D395" s="2160"/>
      <c r="E395" s="2101"/>
      <c r="F395" s="2148" t="str">
        <f>E348</f>
        <v>Ductless ASHP Replace Electric Resistance ROF</v>
      </c>
      <c r="G395" s="2148"/>
      <c r="H395" s="2148"/>
      <c r="I395" s="709"/>
      <c r="J395" s="735">
        <f>1.5*12000</f>
        <v>18000</v>
      </c>
      <c r="K395" s="663">
        <f>J395/12000</f>
        <v>1.5</v>
      </c>
      <c r="L395" s="666" t="s">
        <v>1007</v>
      </c>
      <c r="M395" s="1655"/>
      <c r="N395" s="251"/>
      <c r="O395" s="251"/>
      <c r="P395" s="251"/>
      <c r="Q395" s="251"/>
      <c r="R395" s="251"/>
      <c r="S395" s="251"/>
      <c r="T395" s="130"/>
      <c r="U395" s="130"/>
      <c r="V395" s="2162"/>
      <c r="W395" s="662">
        <v>19200</v>
      </c>
      <c r="X395" s="665">
        <f>1.5*12000</f>
        <v>18000</v>
      </c>
      <c r="Y395" s="662"/>
      <c r="Z395" s="662"/>
      <c r="AA395" s="662"/>
      <c r="AB395" s="662"/>
      <c r="AC395" s="662"/>
      <c r="AD395" s="662"/>
      <c r="AE395" s="662"/>
      <c r="AF395" s="662"/>
      <c r="AG395" s="662"/>
    </row>
    <row r="396" spans="1:33" s="56" customFormat="1" ht="15.75" hidden="1" outlineLevel="1" thickBot="1" x14ac:dyDescent="0.3">
      <c r="A396" s="597"/>
      <c r="B396" s="251"/>
      <c r="C396" s="616"/>
      <c r="D396" s="2163"/>
      <c r="E396" s="2102"/>
      <c r="F396" s="2149" t="str">
        <f>E350</f>
        <v>Ductless ASHP ER1 SF</v>
      </c>
      <c r="G396" s="2149"/>
      <c r="H396" s="2149"/>
      <c r="I396" s="712"/>
      <c r="J396" s="735">
        <f>1.5*12000</f>
        <v>18000</v>
      </c>
      <c r="K396" s="663">
        <f>J396/12000</f>
        <v>1.5</v>
      </c>
      <c r="L396" s="667" t="s">
        <v>1007</v>
      </c>
      <c r="M396" s="1662"/>
      <c r="N396" s="251"/>
      <c r="O396" s="251"/>
      <c r="P396" s="251"/>
      <c r="Q396" s="251"/>
      <c r="R396" s="251"/>
      <c r="S396" s="251"/>
      <c r="T396" s="130"/>
      <c r="U396" s="130"/>
      <c r="V396" s="2164"/>
      <c r="W396" s="668">
        <v>20400</v>
      </c>
      <c r="X396" s="665">
        <f>1.5*12000</f>
        <v>18000</v>
      </c>
      <c r="Y396" s="668"/>
      <c r="Z396" s="668"/>
      <c r="AA396" s="668"/>
      <c r="AB396" s="668"/>
      <c r="AC396" s="668"/>
      <c r="AD396" s="668"/>
      <c r="AE396" s="668"/>
      <c r="AF396" s="668"/>
      <c r="AG396" s="668"/>
    </row>
    <row r="397" spans="1:33" s="56" customFormat="1" hidden="1" outlineLevel="1" x14ac:dyDescent="0.25">
      <c r="A397" s="597"/>
      <c r="B397" s="251"/>
      <c r="C397" s="616"/>
      <c r="D397" s="2159" t="s">
        <v>410</v>
      </c>
      <c r="E397" s="2100" t="s">
        <v>1008</v>
      </c>
      <c r="F397" s="2144" t="str">
        <f>F390</f>
        <v>Ductless AC - ER1 SF</v>
      </c>
      <c r="G397" s="2144"/>
      <c r="H397" s="2144"/>
      <c r="I397" s="707"/>
      <c r="J397" s="734">
        <v>0</v>
      </c>
      <c r="K397" s="660"/>
      <c r="L397" s="661"/>
      <c r="M397" s="1662"/>
      <c r="N397" s="251"/>
      <c r="O397" s="251"/>
      <c r="P397" s="251"/>
      <c r="Q397" s="251"/>
      <c r="R397" s="251"/>
      <c r="S397" s="251"/>
      <c r="T397" s="130"/>
      <c r="U397" s="130"/>
      <c r="V397" s="2161" t="s">
        <v>410</v>
      </c>
      <c r="W397" s="659">
        <v>0</v>
      </c>
      <c r="X397" s="659">
        <v>0</v>
      </c>
      <c r="Y397" s="659"/>
      <c r="Z397" s="659"/>
      <c r="AA397" s="659"/>
      <c r="AB397" s="659"/>
      <c r="AC397" s="659"/>
      <c r="AD397" s="659"/>
      <c r="AE397" s="659"/>
      <c r="AF397" s="659"/>
      <c r="AG397" s="659"/>
    </row>
    <row r="398" spans="1:33" s="56" customFormat="1" hidden="1" outlineLevel="1" x14ac:dyDescent="0.25">
      <c r="A398" s="597"/>
      <c r="B398" s="251"/>
      <c r="C398" s="616"/>
      <c r="D398" s="2160"/>
      <c r="E398" s="2101"/>
      <c r="F398" s="2148" t="str">
        <f t="shared" ref="F398:F459" si="36">F391</f>
        <v>Ductless AC - ROF SF</v>
      </c>
      <c r="G398" s="2148"/>
      <c r="H398" s="2148"/>
      <c r="I398" s="709"/>
      <c r="J398" s="735">
        <v>0</v>
      </c>
      <c r="K398" s="669"/>
      <c r="L398" s="664"/>
      <c r="M398" s="1662"/>
      <c r="N398" s="251"/>
      <c r="O398" s="251"/>
      <c r="P398" s="251"/>
      <c r="Q398" s="251"/>
      <c r="R398" s="251"/>
      <c r="S398" s="251"/>
      <c r="T398" s="130"/>
      <c r="U398" s="130"/>
      <c r="V398" s="2162"/>
      <c r="W398" s="662">
        <v>0</v>
      </c>
      <c r="X398" s="662">
        <v>0</v>
      </c>
      <c r="Y398" s="662"/>
      <c r="Z398" s="662"/>
      <c r="AA398" s="662"/>
      <c r="AB398" s="662"/>
      <c r="AC398" s="662"/>
      <c r="AD398" s="662"/>
      <c r="AE398" s="662"/>
      <c r="AF398" s="662"/>
      <c r="AG398" s="662"/>
    </row>
    <row r="399" spans="1:33" s="56" customFormat="1" hidden="1" outlineLevel="1" x14ac:dyDescent="0.25">
      <c r="A399" s="597"/>
      <c r="B399" s="251"/>
      <c r="C399" s="616"/>
      <c r="D399" s="2160"/>
      <c r="E399" s="2101"/>
      <c r="F399" s="2148" t="str">
        <f t="shared" si="36"/>
        <v>Ductless ASHP - ROF SF NC</v>
      </c>
      <c r="G399" s="2148"/>
      <c r="H399" s="2148"/>
      <c r="I399" s="709"/>
      <c r="J399" s="735">
        <v>1496</v>
      </c>
      <c r="K399" s="669"/>
      <c r="L399" s="730" t="s">
        <v>1800</v>
      </c>
      <c r="M399" s="1662"/>
      <c r="N399" s="251"/>
      <c r="O399" s="251"/>
      <c r="P399" s="251"/>
      <c r="Q399" s="251"/>
      <c r="R399" s="251"/>
      <c r="S399" s="251"/>
      <c r="T399" s="130"/>
      <c r="U399" s="130"/>
      <c r="V399" s="2162"/>
      <c r="W399" s="662">
        <v>1496</v>
      </c>
      <c r="X399" s="662">
        <v>1496</v>
      </c>
      <c r="Y399" s="662"/>
      <c r="Z399" s="662"/>
      <c r="AA399" s="662"/>
      <c r="AB399" s="662"/>
      <c r="AC399" s="662"/>
      <c r="AD399" s="662"/>
      <c r="AE399" s="662"/>
      <c r="AF399" s="662"/>
      <c r="AG399" s="662"/>
    </row>
    <row r="400" spans="1:33" s="56" customFormat="1" hidden="1" outlineLevel="1" x14ac:dyDescent="0.25">
      <c r="A400" s="597"/>
      <c r="B400" s="251"/>
      <c r="C400" s="616"/>
      <c r="D400" s="2160"/>
      <c r="E400" s="2101"/>
      <c r="F400" s="2148" t="str">
        <f t="shared" si="36"/>
        <v>Ductless ASHP - ROF SF</v>
      </c>
      <c r="G400" s="2148"/>
      <c r="H400" s="2148"/>
      <c r="I400" s="709"/>
      <c r="J400" s="735">
        <v>1496</v>
      </c>
      <c r="K400" s="669"/>
      <c r="L400" s="730"/>
      <c r="M400" s="1662"/>
      <c r="N400" s="251"/>
      <c r="O400" s="251"/>
      <c r="P400" s="251"/>
      <c r="Q400" s="251"/>
      <c r="R400" s="251"/>
      <c r="S400" s="251"/>
      <c r="T400" s="130"/>
      <c r="U400" s="130"/>
      <c r="V400" s="2162"/>
      <c r="W400" s="662">
        <v>1496</v>
      </c>
      <c r="X400" s="662">
        <v>1496</v>
      </c>
      <c r="Y400" s="662"/>
      <c r="Z400" s="662"/>
      <c r="AA400" s="662"/>
      <c r="AB400" s="662"/>
      <c r="AC400" s="662"/>
      <c r="AD400" s="662"/>
      <c r="AE400" s="662"/>
      <c r="AF400" s="662"/>
      <c r="AG400" s="662"/>
    </row>
    <row r="401" spans="1:33" s="56" customFormat="1" hidden="1" outlineLevel="1" x14ac:dyDescent="0.25">
      <c r="A401" s="597"/>
      <c r="B401" s="251"/>
      <c r="C401" s="616"/>
      <c r="D401" s="2160"/>
      <c r="E401" s="2101"/>
      <c r="F401" s="2148" t="str">
        <f t="shared" si="36"/>
        <v>Ductless ASHP Replace Electric Resistance ER1 SF</v>
      </c>
      <c r="G401" s="2148"/>
      <c r="H401" s="2148"/>
      <c r="I401" s="709"/>
      <c r="J401" s="735">
        <v>1496</v>
      </c>
      <c r="K401" s="670"/>
      <c r="L401" s="730"/>
      <c r="M401" s="1662"/>
      <c r="N401" s="251"/>
      <c r="O401" s="251"/>
      <c r="P401" s="251"/>
      <c r="Q401" s="251"/>
      <c r="R401" s="251"/>
      <c r="S401" s="251"/>
      <c r="T401" s="130"/>
      <c r="U401" s="130"/>
      <c r="V401" s="2162"/>
      <c r="W401" s="662">
        <v>1496</v>
      </c>
      <c r="X401" s="662">
        <v>1496</v>
      </c>
      <c r="Y401" s="662"/>
      <c r="Z401" s="662"/>
      <c r="AA401" s="662"/>
      <c r="AB401" s="662"/>
      <c r="AC401" s="662"/>
      <c r="AD401" s="662"/>
      <c r="AE401" s="662"/>
      <c r="AF401" s="662"/>
      <c r="AG401" s="662"/>
    </row>
    <row r="402" spans="1:33" s="56" customFormat="1" hidden="1" outlineLevel="1" x14ac:dyDescent="0.25">
      <c r="A402" s="597"/>
      <c r="B402" s="251"/>
      <c r="C402" s="616"/>
      <c r="D402" s="2160"/>
      <c r="E402" s="2101"/>
      <c r="F402" s="2148" t="str">
        <f t="shared" si="36"/>
        <v>Ductless ASHP Replace Electric Resistance ROF</v>
      </c>
      <c r="G402" s="2148"/>
      <c r="H402" s="2148"/>
      <c r="I402" s="709"/>
      <c r="J402" s="735">
        <v>1496</v>
      </c>
      <c r="K402" s="670"/>
      <c r="L402" s="730"/>
      <c r="M402" s="1662"/>
      <c r="N402" s="251"/>
      <c r="O402" s="251"/>
      <c r="P402" s="251"/>
      <c r="Q402" s="251"/>
      <c r="R402" s="251"/>
      <c r="S402" s="251"/>
      <c r="T402" s="130"/>
      <c r="U402" s="130"/>
      <c r="V402" s="2162"/>
      <c r="W402" s="662">
        <v>1496</v>
      </c>
      <c r="X402" s="662">
        <v>1496</v>
      </c>
      <c r="Y402" s="662"/>
      <c r="Z402" s="662"/>
      <c r="AA402" s="662"/>
      <c r="AB402" s="662"/>
      <c r="AC402" s="662"/>
      <c r="AD402" s="662"/>
      <c r="AE402" s="662"/>
      <c r="AF402" s="662"/>
      <c r="AG402" s="662"/>
    </row>
    <row r="403" spans="1:33" s="56" customFormat="1" ht="15.75" hidden="1" outlineLevel="1" thickBot="1" x14ac:dyDescent="0.3">
      <c r="A403" s="597"/>
      <c r="B403" s="251"/>
      <c r="C403" s="616"/>
      <c r="D403" s="2163"/>
      <c r="E403" s="2102"/>
      <c r="F403" s="2149" t="str">
        <f t="shared" si="36"/>
        <v>Ductless ASHP ER1 SF</v>
      </c>
      <c r="G403" s="2149"/>
      <c r="H403" s="2149"/>
      <c r="I403" s="712"/>
      <c r="J403" s="738">
        <v>1496</v>
      </c>
      <c r="K403" s="671"/>
      <c r="L403" s="622"/>
      <c r="M403" s="1662"/>
      <c r="N403" s="251"/>
      <c r="O403" s="251"/>
      <c r="P403" s="251"/>
      <c r="Q403" s="251"/>
      <c r="R403" s="251"/>
      <c r="S403" s="251"/>
      <c r="T403" s="130"/>
      <c r="U403" s="130"/>
      <c r="V403" s="2164"/>
      <c r="W403" s="668">
        <v>1496</v>
      </c>
      <c r="X403" s="668">
        <v>1496</v>
      </c>
      <c r="Y403" s="668"/>
      <c r="Z403" s="668"/>
      <c r="AA403" s="668"/>
      <c r="AB403" s="668"/>
      <c r="AC403" s="668"/>
      <c r="AD403" s="668"/>
      <c r="AE403" s="668"/>
      <c r="AF403" s="668"/>
      <c r="AG403" s="668"/>
    </row>
    <row r="404" spans="1:33" s="56" customFormat="1" hidden="1" outlineLevel="1" x14ac:dyDescent="0.25">
      <c r="A404" s="597"/>
      <c r="B404" s="251"/>
      <c r="C404" s="616"/>
      <c r="D404" s="2159" t="s">
        <v>1009</v>
      </c>
      <c r="E404" s="2100" t="s">
        <v>1010</v>
      </c>
      <c r="F404" s="2144" t="str">
        <f>F397</f>
        <v>Ductless AC - ER1 SF</v>
      </c>
      <c r="G404" s="2144"/>
      <c r="H404" s="2144"/>
      <c r="I404" s="707"/>
      <c r="J404" s="734">
        <v>0</v>
      </c>
      <c r="K404" s="660"/>
      <c r="L404" s="661"/>
      <c r="M404" s="1662"/>
      <c r="N404" s="251"/>
      <c r="O404" s="251"/>
      <c r="P404" s="251"/>
      <c r="Q404" s="251"/>
      <c r="R404" s="251"/>
      <c r="S404" s="251"/>
      <c r="T404" s="130"/>
      <c r="U404" s="130"/>
      <c r="V404" s="2161" t="s">
        <v>1009</v>
      </c>
      <c r="W404" s="659">
        <v>0</v>
      </c>
      <c r="X404" s="659">
        <v>0</v>
      </c>
      <c r="Y404" s="659"/>
      <c r="Z404" s="659"/>
      <c r="AA404" s="659"/>
      <c r="AB404" s="659"/>
      <c r="AC404" s="659"/>
      <c r="AD404" s="659"/>
      <c r="AE404" s="659"/>
      <c r="AF404" s="659"/>
      <c r="AG404" s="659"/>
    </row>
    <row r="405" spans="1:33" s="56" customFormat="1" hidden="1" outlineLevel="1" x14ac:dyDescent="0.25">
      <c r="A405" s="597"/>
      <c r="B405" s="251"/>
      <c r="C405" s="616"/>
      <c r="D405" s="2160"/>
      <c r="E405" s="2101"/>
      <c r="F405" s="2148" t="str">
        <f t="shared" si="36"/>
        <v>Ductless AC - ROF SF</v>
      </c>
      <c r="G405" s="2148"/>
      <c r="H405" s="2148"/>
      <c r="I405" s="709"/>
      <c r="J405" s="735">
        <v>0</v>
      </c>
      <c r="K405" s="669"/>
      <c r="L405" s="664"/>
      <c r="M405" s="1662"/>
      <c r="N405" s="251"/>
      <c r="O405" s="251"/>
      <c r="P405" s="251"/>
      <c r="Q405" s="251"/>
      <c r="R405" s="251"/>
      <c r="S405" s="251"/>
      <c r="T405" s="130"/>
      <c r="U405" s="130"/>
      <c r="V405" s="2162"/>
      <c r="W405" s="662">
        <v>0</v>
      </c>
      <c r="X405" s="662">
        <v>0</v>
      </c>
      <c r="Y405" s="662"/>
      <c r="Z405" s="662"/>
      <c r="AA405" s="662"/>
      <c r="AB405" s="662"/>
      <c r="AC405" s="662"/>
      <c r="AD405" s="662"/>
      <c r="AE405" s="662"/>
      <c r="AF405" s="662"/>
      <c r="AG405" s="662"/>
    </row>
    <row r="406" spans="1:33" s="56" customFormat="1" hidden="1" outlineLevel="1" x14ac:dyDescent="0.25">
      <c r="A406" s="597"/>
      <c r="B406" s="251"/>
      <c r="C406" s="616"/>
      <c r="D406" s="2160"/>
      <c r="E406" s="2101"/>
      <c r="F406" s="2148" t="str">
        <f t="shared" si="36"/>
        <v>Ductless ASHP - ROF SF NC</v>
      </c>
      <c r="G406" s="2148"/>
      <c r="H406" s="2148"/>
      <c r="I406" s="709"/>
      <c r="J406" s="735">
        <v>8.1999999999999993</v>
      </c>
      <c r="K406" s="669"/>
      <c r="L406" s="664" t="s">
        <v>1800</v>
      </c>
      <c r="M406" s="1662"/>
      <c r="N406" s="251"/>
      <c r="O406" s="251"/>
      <c r="P406" s="251"/>
      <c r="Q406" s="251"/>
      <c r="R406" s="251"/>
      <c r="S406" s="251"/>
      <c r="T406" s="130"/>
      <c r="U406" s="130"/>
      <c r="V406" s="2162"/>
      <c r="W406" s="662">
        <v>7.7</v>
      </c>
      <c r="X406" s="662">
        <v>7.7</v>
      </c>
      <c r="Y406" s="662"/>
      <c r="Z406" s="662"/>
      <c r="AA406" s="662"/>
      <c r="AB406" s="662"/>
      <c r="AC406" s="662"/>
      <c r="AD406" s="662"/>
      <c r="AE406" s="662"/>
      <c r="AF406" s="662"/>
      <c r="AG406" s="662"/>
    </row>
    <row r="407" spans="1:33" s="56" customFormat="1" hidden="1" outlineLevel="1" x14ac:dyDescent="0.25">
      <c r="A407" s="597"/>
      <c r="B407" s="251"/>
      <c r="C407" s="616"/>
      <c r="D407" s="2160"/>
      <c r="E407" s="2101"/>
      <c r="F407" s="2148" t="str">
        <f t="shared" si="36"/>
        <v>Ductless ASHP - ROF SF</v>
      </c>
      <c r="G407" s="2148"/>
      <c r="H407" s="2148"/>
      <c r="I407" s="709"/>
      <c r="J407" s="735">
        <v>8.1999999999999993</v>
      </c>
      <c r="K407" s="669"/>
      <c r="L407" s="664" t="s">
        <v>1800</v>
      </c>
      <c r="M407" s="1655"/>
      <c r="N407" s="251"/>
      <c r="O407" s="251"/>
      <c r="P407" s="251"/>
      <c r="Q407" s="251"/>
      <c r="R407" s="251"/>
      <c r="S407" s="251"/>
      <c r="T407" s="130"/>
      <c r="U407" s="130"/>
      <c r="V407" s="2162"/>
      <c r="W407" s="662">
        <v>7.7</v>
      </c>
      <c r="X407" s="662">
        <v>7.7</v>
      </c>
      <c r="Y407" s="662"/>
      <c r="Z407" s="662"/>
      <c r="AA407" s="662"/>
      <c r="AB407" s="662"/>
      <c r="AC407" s="662"/>
      <c r="AD407" s="662"/>
      <c r="AE407" s="662"/>
      <c r="AF407" s="662"/>
      <c r="AG407" s="662"/>
    </row>
    <row r="408" spans="1:33" s="56" customFormat="1" hidden="1" outlineLevel="1" x14ac:dyDescent="0.25">
      <c r="A408" s="597"/>
      <c r="B408" s="251"/>
      <c r="C408" s="616"/>
      <c r="D408" s="2160"/>
      <c r="E408" s="2101"/>
      <c r="F408" s="2148" t="str">
        <f t="shared" si="36"/>
        <v>Ductless ASHP Replace Electric Resistance ER1 SF</v>
      </c>
      <c r="G408" s="2148"/>
      <c r="H408" s="2148"/>
      <c r="I408" s="709"/>
      <c r="J408" s="735">
        <v>3.41</v>
      </c>
      <c r="K408" s="670"/>
      <c r="L408" s="664" t="s">
        <v>1800</v>
      </c>
      <c r="M408" s="1655"/>
      <c r="N408" s="251"/>
      <c r="O408" s="251"/>
      <c r="P408" s="251"/>
      <c r="Q408" s="251"/>
      <c r="R408" s="251"/>
      <c r="S408" s="251"/>
      <c r="T408" s="130"/>
      <c r="U408" s="130"/>
      <c r="V408" s="2162"/>
      <c r="W408" s="662">
        <v>7.7</v>
      </c>
      <c r="X408" s="662">
        <v>7.7</v>
      </c>
      <c r="Y408" s="662"/>
      <c r="Z408" s="662"/>
      <c r="AA408" s="662"/>
      <c r="AB408" s="662"/>
      <c r="AC408" s="662"/>
      <c r="AD408" s="662"/>
      <c r="AE408" s="662"/>
      <c r="AF408" s="662"/>
      <c r="AG408" s="662"/>
    </row>
    <row r="409" spans="1:33" s="56" customFormat="1" hidden="1" outlineLevel="1" x14ac:dyDescent="0.25">
      <c r="A409" s="597"/>
      <c r="B409" s="251"/>
      <c r="C409" s="616"/>
      <c r="D409" s="2160"/>
      <c r="E409" s="2101"/>
      <c r="F409" s="2148" t="str">
        <f t="shared" si="36"/>
        <v>Ductless ASHP Replace Electric Resistance ROF</v>
      </c>
      <c r="G409" s="2148"/>
      <c r="H409" s="2148"/>
      <c r="I409" s="709"/>
      <c r="J409" s="735">
        <v>3.41</v>
      </c>
      <c r="K409" s="670"/>
      <c r="L409" s="664" t="s">
        <v>1800</v>
      </c>
      <c r="M409" s="1655"/>
      <c r="N409" s="251"/>
      <c r="O409" s="251"/>
      <c r="P409" s="251"/>
      <c r="Q409" s="251"/>
      <c r="R409" s="251"/>
      <c r="S409" s="251"/>
      <c r="T409" s="130"/>
      <c r="U409" s="130"/>
      <c r="V409" s="2162"/>
      <c r="W409" s="662">
        <v>7.7</v>
      </c>
      <c r="X409" s="662">
        <v>7.7</v>
      </c>
      <c r="Y409" s="662"/>
      <c r="Z409" s="662"/>
      <c r="AA409" s="662"/>
      <c r="AB409" s="662"/>
      <c r="AC409" s="662"/>
      <c r="AD409" s="662"/>
      <c r="AE409" s="662"/>
      <c r="AF409" s="662"/>
      <c r="AG409" s="662"/>
    </row>
    <row r="410" spans="1:33" s="56" customFormat="1" ht="15.75" hidden="1" outlineLevel="1" thickBot="1" x14ac:dyDescent="0.3">
      <c r="A410" s="597"/>
      <c r="B410" s="251"/>
      <c r="C410" s="616"/>
      <c r="D410" s="2163"/>
      <c r="E410" s="2102"/>
      <c r="F410" s="2149" t="str">
        <f t="shared" si="36"/>
        <v>Ductless ASHP ER1 SF</v>
      </c>
      <c r="G410" s="2149"/>
      <c r="H410" s="2149"/>
      <c r="I410" s="712"/>
      <c r="J410" s="738">
        <v>6.58</v>
      </c>
      <c r="K410" s="671"/>
      <c r="L410" s="672" t="s">
        <v>1800</v>
      </c>
      <c r="M410" s="1662"/>
      <c r="N410" s="251"/>
      <c r="O410" s="251"/>
      <c r="P410" s="251"/>
      <c r="Q410" s="251"/>
      <c r="R410" s="251"/>
      <c r="S410" s="251"/>
      <c r="T410" s="130"/>
      <c r="U410" s="130"/>
      <c r="V410" s="2164"/>
      <c r="W410" s="668">
        <v>7.7</v>
      </c>
      <c r="X410" s="668">
        <v>7.7</v>
      </c>
      <c r="Y410" s="668"/>
      <c r="Z410" s="668"/>
      <c r="AA410" s="668"/>
      <c r="AB410" s="668"/>
      <c r="AC410" s="668"/>
      <c r="AD410" s="668"/>
      <c r="AE410" s="668"/>
      <c r="AF410" s="668"/>
      <c r="AG410" s="668"/>
    </row>
    <row r="411" spans="1:33" s="56" customFormat="1" hidden="1" outlineLevel="1" x14ac:dyDescent="0.25">
      <c r="A411" s="597"/>
      <c r="B411" s="251"/>
      <c r="C411" s="616"/>
      <c r="D411" s="2159" t="s">
        <v>1012</v>
      </c>
      <c r="E411" s="2100" t="s">
        <v>1013</v>
      </c>
      <c r="F411" s="2144" t="str">
        <f>F404</f>
        <v>Ductless AC - ER1 SF</v>
      </c>
      <c r="G411" s="2144"/>
      <c r="H411" s="2144"/>
      <c r="I411" s="707"/>
      <c r="J411" s="734">
        <v>0</v>
      </c>
      <c r="K411" s="660"/>
      <c r="L411" s="661"/>
      <c r="M411" s="1662"/>
      <c r="N411" s="251"/>
      <c r="O411" s="251"/>
      <c r="P411" s="251"/>
      <c r="Q411" s="251"/>
      <c r="R411" s="251"/>
      <c r="S411" s="251"/>
      <c r="T411" s="130"/>
      <c r="U411" s="130"/>
      <c r="V411" s="2161" t="s">
        <v>1012</v>
      </c>
      <c r="W411" s="659">
        <v>0</v>
      </c>
      <c r="X411" s="659">
        <v>0</v>
      </c>
      <c r="Y411" s="659"/>
      <c r="Z411" s="659"/>
      <c r="AA411" s="659"/>
      <c r="AB411" s="659"/>
      <c r="AC411" s="659"/>
      <c r="AD411" s="659"/>
      <c r="AE411" s="659"/>
      <c r="AF411" s="659"/>
      <c r="AG411" s="659"/>
    </row>
    <row r="412" spans="1:33" s="56" customFormat="1" hidden="1" outlineLevel="1" x14ac:dyDescent="0.25">
      <c r="A412" s="597"/>
      <c r="B412" s="251"/>
      <c r="C412" s="616"/>
      <c r="D412" s="2160"/>
      <c r="E412" s="2101"/>
      <c r="F412" s="2148" t="str">
        <f t="shared" si="36"/>
        <v>Ductless AC - ROF SF</v>
      </c>
      <c r="G412" s="2148"/>
      <c r="H412" s="2148"/>
      <c r="I412" s="709"/>
      <c r="J412" s="735">
        <v>0</v>
      </c>
      <c r="K412" s="669"/>
      <c r="L412" s="664"/>
      <c r="M412" s="1662"/>
      <c r="N412" s="251"/>
      <c r="O412" s="251"/>
      <c r="P412" s="251"/>
      <c r="Q412" s="251"/>
      <c r="R412" s="251"/>
      <c r="S412" s="251"/>
      <c r="T412" s="130"/>
      <c r="U412" s="130"/>
      <c r="V412" s="2162"/>
      <c r="W412" s="662">
        <v>0</v>
      </c>
      <c r="X412" s="662">
        <v>0</v>
      </c>
      <c r="Y412" s="662"/>
      <c r="Z412" s="662"/>
      <c r="AA412" s="662"/>
      <c r="AB412" s="662"/>
      <c r="AC412" s="662"/>
      <c r="AD412" s="662"/>
      <c r="AE412" s="662"/>
      <c r="AF412" s="662"/>
      <c r="AG412" s="662"/>
    </row>
    <row r="413" spans="1:33" s="56" customFormat="1" hidden="1" outlineLevel="1" x14ac:dyDescent="0.25">
      <c r="A413" s="597"/>
      <c r="B413" s="251"/>
      <c r="C413" s="616"/>
      <c r="D413" s="2160"/>
      <c r="E413" s="2101"/>
      <c r="F413" s="2148" t="str">
        <f t="shared" si="36"/>
        <v>Ductless ASHP - ROF SF NC</v>
      </c>
      <c r="G413" s="2148"/>
      <c r="H413" s="2148"/>
      <c r="I413" s="709"/>
      <c r="J413" s="735">
        <v>5.44</v>
      </c>
      <c r="K413" s="669"/>
      <c r="L413" s="664" t="s">
        <v>1011</v>
      </c>
      <c r="M413" s="1662"/>
      <c r="N413" s="251"/>
      <c r="O413" s="251"/>
      <c r="P413" s="251"/>
      <c r="Q413" s="251"/>
      <c r="R413" s="251"/>
      <c r="S413" s="251"/>
      <c r="T413" s="130"/>
      <c r="U413" s="130"/>
      <c r="V413" s="2162"/>
      <c r="W413" s="662">
        <v>5.44</v>
      </c>
      <c r="X413" s="662">
        <v>5.44</v>
      </c>
      <c r="Y413" s="662"/>
      <c r="Z413" s="662"/>
      <c r="AA413" s="662"/>
      <c r="AB413" s="662"/>
      <c r="AC413" s="662"/>
      <c r="AD413" s="662"/>
      <c r="AE413" s="662"/>
      <c r="AF413" s="662"/>
      <c r="AG413" s="662"/>
    </row>
    <row r="414" spans="1:33" s="56" customFormat="1" hidden="1" outlineLevel="1" x14ac:dyDescent="0.25">
      <c r="A414" s="597"/>
      <c r="B414" s="251"/>
      <c r="C414" s="616"/>
      <c r="D414" s="2160"/>
      <c r="E414" s="2101"/>
      <c r="F414" s="2148" t="str">
        <f t="shared" si="36"/>
        <v>Ductless ASHP - ROF SF</v>
      </c>
      <c r="G414" s="2148"/>
      <c r="H414" s="2148"/>
      <c r="I414" s="709"/>
      <c r="J414" s="735">
        <v>5.44</v>
      </c>
      <c r="K414" s="669"/>
      <c r="L414" s="664" t="s">
        <v>1011</v>
      </c>
      <c r="M414" s="1655"/>
      <c r="N414" s="251"/>
      <c r="O414" s="251"/>
      <c r="P414" s="251"/>
      <c r="Q414" s="251"/>
      <c r="R414" s="251"/>
      <c r="S414" s="251"/>
      <c r="T414" s="130"/>
      <c r="U414" s="130"/>
      <c r="V414" s="2162"/>
      <c r="W414" s="662">
        <v>5.44</v>
      </c>
      <c r="X414" s="662">
        <v>5.44</v>
      </c>
      <c r="Y414" s="662"/>
      <c r="Z414" s="662"/>
      <c r="AA414" s="662"/>
      <c r="AB414" s="662"/>
      <c r="AC414" s="662"/>
      <c r="AD414" s="662"/>
      <c r="AE414" s="662"/>
      <c r="AF414" s="662"/>
      <c r="AG414" s="662"/>
    </row>
    <row r="415" spans="1:33" s="56" customFormat="1" hidden="1" outlineLevel="1" x14ac:dyDescent="0.25">
      <c r="A415" s="597"/>
      <c r="B415" s="251"/>
      <c r="C415" s="616"/>
      <c r="D415" s="2160"/>
      <c r="E415" s="2101"/>
      <c r="F415" s="2148" t="str">
        <f t="shared" si="36"/>
        <v>Ductless ASHP Replace Electric Resistance ER1 SF</v>
      </c>
      <c r="G415" s="2148"/>
      <c r="H415" s="2148"/>
      <c r="I415" s="709"/>
      <c r="J415" s="735">
        <v>3.4119999999999999</v>
      </c>
      <c r="K415" s="670"/>
      <c r="L415" s="664" t="s">
        <v>1011</v>
      </c>
      <c r="M415" s="1655"/>
      <c r="N415" s="251"/>
      <c r="O415" s="251"/>
      <c r="P415" s="251"/>
      <c r="Q415" s="251"/>
      <c r="R415" s="251"/>
      <c r="S415" s="251"/>
      <c r="T415" s="130"/>
      <c r="U415" s="130"/>
      <c r="V415" s="2162"/>
      <c r="W415" s="662">
        <v>3.4119999999999999</v>
      </c>
      <c r="X415" s="662">
        <v>3.4119999999999999</v>
      </c>
      <c r="Y415" s="662"/>
      <c r="Z415" s="662"/>
      <c r="AA415" s="662"/>
      <c r="AB415" s="662"/>
      <c r="AC415" s="662"/>
      <c r="AD415" s="662"/>
      <c r="AE415" s="662"/>
      <c r="AF415" s="662"/>
      <c r="AG415" s="662"/>
    </row>
    <row r="416" spans="1:33" s="56" customFormat="1" hidden="1" outlineLevel="1" x14ac:dyDescent="0.25">
      <c r="A416" s="597"/>
      <c r="B416" s="251"/>
      <c r="C416" s="616"/>
      <c r="D416" s="2160"/>
      <c r="E416" s="2101"/>
      <c r="F416" s="2148" t="str">
        <f t="shared" si="36"/>
        <v>Ductless ASHP Replace Electric Resistance ROF</v>
      </c>
      <c r="G416" s="2148"/>
      <c r="H416" s="2148"/>
      <c r="I416" s="709"/>
      <c r="J416" s="735">
        <v>3.4119999999999999</v>
      </c>
      <c r="K416" s="670"/>
      <c r="L416" s="664" t="s">
        <v>1011</v>
      </c>
      <c r="M416" s="1655"/>
      <c r="N416" s="251"/>
      <c r="O416" s="251"/>
      <c r="P416" s="251"/>
      <c r="Q416" s="251"/>
      <c r="R416" s="251"/>
      <c r="S416" s="251"/>
      <c r="T416" s="130"/>
      <c r="U416" s="130"/>
      <c r="V416" s="2162"/>
      <c r="W416" s="662">
        <v>3.4119999999999999</v>
      </c>
      <c r="X416" s="662">
        <v>3.4119999999999999</v>
      </c>
      <c r="Y416" s="662"/>
      <c r="Z416" s="662"/>
      <c r="AA416" s="662"/>
      <c r="AB416" s="662"/>
      <c r="AC416" s="662"/>
      <c r="AD416" s="662"/>
      <c r="AE416" s="662"/>
      <c r="AF416" s="662"/>
      <c r="AG416" s="662"/>
    </row>
    <row r="417" spans="1:33" s="56" customFormat="1" ht="15.75" hidden="1" outlineLevel="1" thickBot="1" x14ac:dyDescent="0.3">
      <c r="A417" s="597"/>
      <c r="B417" s="251"/>
      <c r="C417" s="616"/>
      <c r="D417" s="2163"/>
      <c r="E417" s="2102"/>
      <c r="F417" s="2149" t="str">
        <f t="shared" si="36"/>
        <v>Ductless ASHP ER1 SF</v>
      </c>
      <c r="G417" s="2149"/>
      <c r="H417" s="2149"/>
      <c r="I417" s="712"/>
      <c r="J417" s="738">
        <v>5.44</v>
      </c>
      <c r="K417" s="671"/>
      <c r="L417" s="672" t="s">
        <v>1011</v>
      </c>
      <c r="M417" s="1662"/>
      <c r="N417" s="251"/>
      <c r="O417" s="251"/>
      <c r="P417" s="251"/>
      <c r="Q417" s="251"/>
      <c r="R417" s="251"/>
      <c r="S417" s="251"/>
      <c r="T417" s="130"/>
      <c r="U417" s="130"/>
      <c r="V417" s="2164"/>
      <c r="W417" s="668">
        <v>5.44</v>
      </c>
      <c r="X417" s="668">
        <v>5.44</v>
      </c>
      <c r="Y417" s="668"/>
      <c r="Z417" s="668"/>
      <c r="AA417" s="668"/>
      <c r="AB417" s="668"/>
      <c r="AC417" s="668"/>
      <c r="AD417" s="668"/>
      <c r="AE417" s="668"/>
      <c r="AF417" s="668"/>
      <c r="AG417" s="668"/>
    </row>
    <row r="418" spans="1:33" s="56" customFormat="1" hidden="1" outlineLevel="1" x14ac:dyDescent="0.25">
      <c r="A418" s="597"/>
      <c r="B418" s="251"/>
      <c r="C418" s="616"/>
      <c r="D418" s="2159" t="s">
        <v>259</v>
      </c>
      <c r="E418" s="2100" t="s">
        <v>1014</v>
      </c>
      <c r="F418" s="2144" t="str">
        <f>F411</f>
        <v>Ductless AC - ER1 SF</v>
      </c>
      <c r="G418" s="2144"/>
      <c r="H418" s="2144"/>
      <c r="I418" s="707"/>
      <c r="J418" s="734">
        <v>0</v>
      </c>
      <c r="K418" s="660"/>
      <c r="L418" s="661"/>
      <c r="M418" s="1662"/>
      <c r="N418" s="251"/>
      <c r="O418" s="251"/>
      <c r="P418" s="251"/>
      <c r="Q418" s="251"/>
      <c r="R418" s="251"/>
      <c r="S418" s="251"/>
      <c r="T418" s="130"/>
      <c r="U418" s="130"/>
      <c r="V418" s="2161" t="s">
        <v>259</v>
      </c>
      <c r="W418" s="659">
        <v>0</v>
      </c>
      <c r="X418" s="659">
        <v>0</v>
      </c>
      <c r="Y418" s="659"/>
      <c r="Z418" s="659"/>
      <c r="AA418" s="659"/>
      <c r="AB418" s="659"/>
      <c r="AC418" s="659"/>
      <c r="AD418" s="659"/>
      <c r="AE418" s="659"/>
      <c r="AF418" s="659"/>
      <c r="AG418" s="659"/>
    </row>
    <row r="419" spans="1:33" s="56" customFormat="1" hidden="1" outlineLevel="1" x14ac:dyDescent="0.25">
      <c r="A419" s="597"/>
      <c r="B419" s="251"/>
      <c r="C419" s="616"/>
      <c r="D419" s="2160"/>
      <c r="E419" s="2101"/>
      <c r="F419" s="2148" t="str">
        <f t="shared" si="36"/>
        <v>Ductless AC - ROF SF</v>
      </c>
      <c r="G419" s="2148"/>
      <c r="H419" s="2148"/>
      <c r="I419" s="709"/>
      <c r="J419" s="735">
        <v>0</v>
      </c>
      <c r="K419" s="669"/>
      <c r="L419" s="664"/>
      <c r="M419" s="1662"/>
      <c r="N419" s="251"/>
      <c r="O419" s="251"/>
      <c r="P419" s="251"/>
      <c r="Q419" s="251"/>
      <c r="R419" s="251"/>
      <c r="S419" s="251"/>
      <c r="T419" s="130"/>
      <c r="U419" s="130"/>
      <c r="V419" s="2162"/>
      <c r="W419" s="662">
        <v>0</v>
      </c>
      <c r="X419" s="662">
        <v>0</v>
      </c>
      <c r="Y419" s="662"/>
      <c r="Z419" s="662"/>
      <c r="AA419" s="662"/>
      <c r="AB419" s="662"/>
      <c r="AC419" s="662"/>
      <c r="AD419" s="662"/>
      <c r="AE419" s="662"/>
      <c r="AF419" s="662"/>
      <c r="AG419" s="662"/>
    </row>
    <row r="420" spans="1:33" s="56" customFormat="1" hidden="1" outlineLevel="1" x14ac:dyDescent="0.25">
      <c r="A420" s="597"/>
      <c r="B420" s="251"/>
      <c r="C420" s="616"/>
      <c r="D420" s="2160"/>
      <c r="E420" s="2101"/>
      <c r="F420" s="2148" t="str">
        <f t="shared" si="36"/>
        <v>Ductless ASHP - ROF SF NC</v>
      </c>
      <c r="G420" s="2148"/>
      <c r="H420" s="2148"/>
      <c r="I420" s="709"/>
      <c r="J420" s="735">
        <v>11.32</v>
      </c>
      <c r="K420" s="669"/>
      <c r="L420" s="730" t="s">
        <v>1794</v>
      </c>
      <c r="M420" s="1662"/>
      <c r="N420" s="251"/>
      <c r="O420" s="251"/>
      <c r="P420" s="251"/>
      <c r="Q420" s="251"/>
      <c r="R420" s="251"/>
      <c r="S420" s="251"/>
      <c r="T420" s="130"/>
      <c r="U420" s="130"/>
      <c r="V420" s="2162"/>
      <c r="W420" s="662">
        <v>11.4</v>
      </c>
      <c r="X420" s="665">
        <v>11.32</v>
      </c>
      <c r="Y420" s="662"/>
      <c r="Z420" s="662"/>
      <c r="AA420" s="662"/>
      <c r="AB420" s="662"/>
      <c r="AC420" s="662"/>
      <c r="AD420" s="662"/>
      <c r="AE420" s="662"/>
      <c r="AF420" s="662"/>
      <c r="AG420" s="662"/>
    </row>
    <row r="421" spans="1:33" s="56" customFormat="1" hidden="1" outlineLevel="1" x14ac:dyDescent="0.25">
      <c r="A421" s="597"/>
      <c r="B421" s="251"/>
      <c r="C421" s="616"/>
      <c r="D421" s="2160"/>
      <c r="E421" s="2101"/>
      <c r="F421" s="2148" t="str">
        <f t="shared" si="36"/>
        <v>Ductless ASHP - ROF SF</v>
      </c>
      <c r="G421" s="2148"/>
      <c r="H421" s="2148"/>
      <c r="I421" s="709"/>
      <c r="J421" s="735">
        <v>11.32</v>
      </c>
      <c r="K421" s="669"/>
      <c r="L421" s="730"/>
      <c r="M421" s="1655"/>
      <c r="N421" s="251"/>
      <c r="O421" s="251"/>
      <c r="P421" s="251"/>
      <c r="Q421" s="251"/>
      <c r="R421" s="251"/>
      <c r="S421" s="251"/>
      <c r="T421" s="130"/>
      <c r="U421" s="130"/>
      <c r="V421" s="2162"/>
      <c r="W421" s="662">
        <v>11.4</v>
      </c>
      <c r="X421" s="665">
        <v>11.32</v>
      </c>
      <c r="Y421" s="662"/>
      <c r="Z421" s="662"/>
      <c r="AA421" s="662"/>
      <c r="AB421" s="662"/>
      <c r="AC421" s="662"/>
      <c r="AD421" s="662"/>
      <c r="AE421" s="662"/>
      <c r="AF421" s="662"/>
      <c r="AG421" s="662"/>
    </row>
    <row r="422" spans="1:33" s="56" customFormat="1" hidden="1" outlineLevel="1" x14ac:dyDescent="0.25">
      <c r="A422" s="597"/>
      <c r="B422" s="251"/>
      <c r="C422" s="616"/>
      <c r="D422" s="2160"/>
      <c r="E422" s="2101"/>
      <c r="F422" s="2148" t="str">
        <f t="shared" si="36"/>
        <v>Ductless ASHP Replace Electric Resistance ER1 SF</v>
      </c>
      <c r="G422" s="2148"/>
      <c r="H422" s="2148"/>
      <c r="I422" s="709"/>
      <c r="J422" s="735">
        <v>11.32</v>
      </c>
      <c r="K422" s="670"/>
      <c r="L422" s="730"/>
      <c r="M422" s="1655"/>
      <c r="N422" s="251"/>
      <c r="O422" s="251"/>
      <c r="P422" s="251"/>
      <c r="Q422" s="251"/>
      <c r="R422" s="251"/>
      <c r="S422" s="251"/>
      <c r="T422" s="130"/>
      <c r="U422" s="130"/>
      <c r="V422" s="2162"/>
      <c r="W422" s="662">
        <v>11.7</v>
      </c>
      <c r="X422" s="665">
        <v>11.32</v>
      </c>
      <c r="Y422" s="662"/>
      <c r="Z422" s="662"/>
      <c r="AA422" s="662"/>
      <c r="AB422" s="662"/>
      <c r="AC422" s="662"/>
      <c r="AD422" s="662"/>
      <c r="AE422" s="662"/>
      <c r="AF422" s="662"/>
      <c r="AG422" s="662"/>
    </row>
    <row r="423" spans="1:33" s="56" customFormat="1" hidden="1" outlineLevel="1" x14ac:dyDescent="0.25">
      <c r="A423" s="597"/>
      <c r="B423" s="251"/>
      <c r="C423" s="616"/>
      <c r="D423" s="2160"/>
      <c r="E423" s="2101"/>
      <c r="F423" s="2148" t="str">
        <f t="shared" si="36"/>
        <v>Ductless ASHP Replace Electric Resistance ROF</v>
      </c>
      <c r="G423" s="2148"/>
      <c r="H423" s="2148"/>
      <c r="I423" s="709"/>
      <c r="J423" s="735">
        <v>11.32</v>
      </c>
      <c r="K423" s="670"/>
      <c r="L423" s="730"/>
      <c r="M423" s="1655"/>
      <c r="N423" s="251"/>
      <c r="O423" s="251"/>
      <c r="P423" s="251"/>
      <c r="Q423" s="251"/>
      <c r="R423" s="251"/>
      <c r="S423" s="251"/>
      <c r="T423" s="130"/>
      <c r="U423" s="130"/>
      <c r="V423" s="2162"/>
      <c r="W423" s="662">
        <v>10.8</v>
      </c>
      <c r="X423" s="665">
        <v>11.32</v>
      </c>
      <c r="Y423" s="662"/>
      <c r="Z423" s="662"/>
      <c r="AA423" s="662"/>
      <c r="AB423" s="662"/>
      <c r="AC423" s="662"/>
      <c r="AD423" s="662"/>
      <c r="AE423" s="662"/>
      <c r="AF423" s="662"/>
      <c r="AG423" s="662"/>
    </row>
    <row r="424" spans="1:33" s="56" customFormat="1" ht="15.75" hidden="1" outlineLevel="1" thickBot="1" x14ac:dyDescent="0.3">
      <c r="A424" s="597"/>
      <c r="B424" s="251"/>
      <c r="C424" s="616"/>
      <c r="D424" s="2163"/>
      <c r="E424" s="2102"/>
      <c r="F424" s="2149" t="str">
        <f t="shared" si="36"/>
        <v>Ductless ASHP ER1 SF</v>
      </c>
      <c r="G424" s="2149"/>
      <c r="H424" s="2149"/>
      <c r="I424" s="712"/>
      <c r="J424" s="738">
        <v>11.32</v>
      </c>
      <c r="K424" s="671"/>
      <c r="L424" s="730"/>
      <c r="M424" s="1663"/>
      <c r="N424" s="251"/>
      <c r="O424" s="251"/>
      <c r="P424" s="251"/>
      <c r="Q424" s="251"/>
      <c r="R424" s="251"/>
      <c r="S424" s="251"/>
      <c r="T424" s="130"/>
      <c r="U424" s="130"/>
      <c r="V424" s="2164"/>
      <c r="W424" s="668">
        <v>11.4</v>
      </c>
      <c r="X424" s="673">
        <v>11.32</v>
      </c>
      <c r="Y424" s="668"/>
      <c r="Z424" s="668"/>
      <c r="AA424" s="668"/>
      <c r="AB424" s="668"/>
      <c r="AC424" s="668"/>
      <c r="AD424" s="668"/>
      <c r="AE424" s="668"/>
      <c r="AF424" s="668"/>
      <c r="AG424" s="668"/>
    </row>
    <row r="425" spans="1:33" s="56" customFormat="1" hidden="1" outlineLevel="1" x14ac:dyDescent="0.25">
      <c r="A425" s="597"/>
      <c r="B425" s="251"/>
      <c r="C425" s="616"/>
      <c r="D425" s="2159" t="s">
        <v>1015</v>
      </c>
      <c r="E425" s="2100" t="s">
        <v>1016</v>
      </c>
      <c r="F425" s="2144" t="str">
        <f>F418</f>
        <v>Ductless AC - ER1 SF</v>
      </c>
      <c r="G425" s="2144"/>
      <c r="H425" s="2144"/>
      <c r="I425" s="707"/>
      <c r="J425" s="735">
        <f t="shared" ref="J425:J431" si="37">1.5*12000</f>
        <v>18000</v>
      </c>
      <c r="K425" s="674">
        <f>J425/12000</f>
        <v>1.5</v>
      </c>
      <c r="L425" s="661" t="s">
        <v>1794</v>
      </c>
      <c r="M425" s="1664"/>
      <c r="N425" s="251"/>
      <c r="O425" s="251"/>
      <c r="P425" s="251"/>
      <c r="Q425" s="251"/>
      <c r="R425" s="251"/>
      <c r="S425" s="251"/>
      <c r="T425" s="130"/>
      <c r="U425" s="130"/>
      <c r="V425" s="2161" t="s">
        <v>1015</v>
      </c>
      <c r="W425" s="659">
        <v>20400</v>
      </c>
      <c r="X425" s="665">
        <f t="shared" ref="X425:X431" si="38">1.5*12000</f>
        <v>18000</v>
      </c>
      <c r="Y425" s="659"/>
      <c r="Z425" s="659"/>
      <c r="AA425" s="659"/>
      <c r="AB425" s="659"/>
      <c r="AC425" s="659"/>
      <c r="AD425" s="659"/>
      <c r="AE425" s="659"/>
      <c r="AF425" s="659"/>
      <c r="AG425" s="659"/>
    </row>
    <row r="426" spans="1:33" s="56" customFormat="1" hidden="1" outlineLevel="1" x14ac:dyDescent="0.25">
      <c r="A426" s="597"/>
      <c r="B426" s="251"/>
      <c r="C426" s="616"/>
      <c r="D426" s="2160"/>
      <c r="E426" s="2101"/>
      <c r="F426" s="2148" t="str">
        <f t="shared" si="36"/>
        <v>Ductless AC - ROF SF</v>
      </c>
      <c r="G426" s="2148"/>
      <c r="H426" s="2148"/>
      <c r="I426" s="709"/>
      <c r="J426" s="735">
        <f t="shared" si="37"/>
        <v>18000</v>
      </c>
      <c r="K426" s="675">
        <f t="shared" ref="K426:K431" si="39">J426/12000</f>
        <v>1.5</v>
      </c>
      <c r="L426" s="664"/>
      <c r="M426" s="1662"/>
      <c r="N426" s="251"/>
      <c r="O426" s="251"/>
      <c r="P426" s="251"/>
      <c r="Q426" s="251"/>
      <c r="R426" s="251"/>
      <c r="S426" s="251"/>
      <c r="T426" s="130"/>
      <c r="U426" s="130"/>
      <c r="V426" s="2162"/>
      <c r="W426" s="662">
        <v>19200</v>
      </c>
      <c r="X426" s="665">
        <f t="shared" si="38"/>
        <v>18000</v>
      </c>
      <c r="Y426" s="662"/>
      <c r="Z426" s="662"/>
      <c r="AA426" s="662"/>
      <c r="AB426" s="662"/>
      <c r="AC426" s="662"/>
      <c r="AD426" s="662"/>
      <c r="AE426" s="662"/>
      <c r="AF426" s="662"/>
      <c r="AG426" s="662"/>
    </row>
    <row r="427" spans="1:33" s="56" customFormat="1" hidden="1" outlineLevel="1" x14ac:dyDescent="0.25">
      <c r="A427" s="597"/>
      <c r="B427" s="251"/>
      <c r="C427" s="616"/>
      <c r="D427" s="2160"/>
      <c r="E427" s="2101"/>
      <c r="F427" s="2148" t="str">
        <f t="shared" si="36"/>
        <v>Ductless ASHP - ROF SF NC</v>
      </c>
      <c r="G427" s="2148"/>
      <c r="H427" s="2148"/>
      <c r="I427" s="709"/>
      <c r="J427" s="735">
        <f t="shared" si="37"/>
        <v>18000</v>
      </c>
      <c r="K427" s="675">
        <f t="shared" si="39"/>
        <v>1.5</v>
      </c>
      <c r="L427" s="664"/>
      <c r="M427" s="1662"/>
      <c r="N427" s="251"/>
      <c r="O427" s="251"/>
      <c r="P427" s="251"/>
      <c r="Q427" s="251"/>
      <c r="R427" s="251"/>
      <c r="S427" s="251"/>
      <c r="T427" s="130"/>
      <c r="U427" s="130"/>
      <c r="V427" s="2162"/>
      <c r="W427" s="662">
        <v>19200</v>
      </c>
      <c r="X427" s="665">
        <f t="shared" si="38"/>
        <v>18000</v>
      </c>
      <c r="Y427" s="662"/>
      <c r="Z427" s="662"/>
      <c r="AA427" s="662"/>
      <c r="AB427" s="662"/>
      <c r="AC427" s="662"/>
      <c r="AD427" s="662"/>
      <c r="AE427" s="662"/>
      <c r="AF427" s="662"/>
      <c r="AG427" s="662"/>
    </row>
    <row r="428" spans="1:33" s="56" customFormat="1" hidden="1" outlineLevel="1" x14ac:dyDescent="0.25">
      <c r="A428" s="597"/>
      <c r="B428" s="251"/>
      <c r="C428" s="616"/>
      <c r="D428" s="2160"/>
      <c r="E428" s="2101"/>
      <c r="F428" s="2148" t="str">
        <f t="shared" si="36"/>
        <v>Ductless ASHP - ROF SF</v>
      </c>
      <c r="G428" s="2148"/>
      <c r="H428" s="2148"/>
      <c r="I428" s="709"/>
      <c r="J428" s="735">
        <f t="shared" si="37"/>
        <v>18000</v>
      </c>
      <c r="K428" s="675">
        <f t="shared" si="39"/>
        <v>1.5</v>
      </c>
      <c r="L428" s="664"/>
      <c r="M428" s="1655"/>
      <c r="N428" s="251"/>
      <c r="O428" s="251"/>
      <c r="P428" s="251"/>
      <c r="Q428" s="251"/>
      <c r="R428" s="251"/>
      <c r="S428" s="251"/>
      <c r="T428" s="130"/>
      <c r="U428" s="130"/>
      <c r="V428" s="2162"/>
      <c r="W428" s="662">
        <v>19200</v>
      </c>
      <c r="X428" s="665">
        <f t="shared" si="38"/>
        <v>18000</v>
      </c>
      <c r="Y428" s="662"/>
      <c r="Z428" s="662"/>
      <c r="AA428" s="662"/>
      <c r="AB428" s="662"/>
      <c r="AC428" s="662"/>
      <c r="AD428" s="662"/>
      <c r="AE428" s="662"/>
      <c r="AF428" s="662"/>
      <c r="AG428" s="662"/>
    </row>
    <row r="429" spans="1:33" s="56" customFormat="1" hidden="1" outlineLevel="1" x14ac:dyDescent="0.25">
      <c r="A429" s="597"/>
      <c r="B429" s="251"/>
      <c r="C429" s="616"/>
      <c r="D429" s="2160"/>
      <c r="E429" s="2101"/>
      <c r="F429" s="2148" t="str">
        <f t="shared" si="36"/>
        <v>Ductless ASHP Replace Electric Resistance ER1 SF</v>
      </c>
      <c r="G429" s="2148"/>
      <c r="H429" s="2148"/>
      <c r="I429" s="709"/>
      <c r="J429" s="735">
        <f t="shared" si="37"/>
        <v>18000</v>
      </c>
      <c r="K429" s="676">
        <f t="shared" si="39"/>
        <v>1.5</v>
      </c>
      <c r="L429" s="664"/>
      <c r="M429" s="1655"/>
      <c r="N429" s="251"/>
      <c r="O429" s="251"/>
      <c r="P429" s="251"/>
      <c r="Q429" s="251"/>
      <c r="R429" s="251"/>
      <c r="S429" s="251"/>
      <c r="T429" s="130"/>
      <c r="U429" s="130"/>
      <c r="V429" s="2162"/>
      <c r="W429" s="662">
        <v>16800</v>
      </c>
      <c r="X429" s="665">
        <f t="shared" si="38"/>
        <v>18000</v>
      </c>
      <c r="Y429" s="662"/>
      <c r="Z429" s="662"/>
      <c r="AA429" s="662"/>
      <c r="AB429" s="662"/>
      <c r="AC429" s="662"/>
      <c r="AD429" s="662"/>
      <c r="AE429" s="662"/>
      <c r="AF429" s="662"/>
      <c r="AG429" s="662"/>
    </row>
    <row r="430" spans="1:33" s="56" customFormat="1" hidden="1" outlineLevel="1" x14ac:dyDescent="0.25">
      <c r="A430" s="597"/>
      <c r="B430" s="251"/>
      <c r="C430" s="616"/>
      <c r="D430" s="2160"/>
      <c r="E430" s="2101"/>
      <c r="F430" s="2148" t="str">
        <f t="shared" si="36"/>
        <v>Ductless ASHP Replace Electric Resistance ROF</v>
      </c>
      <c r="G430" s="2148"/>
      <c r="H430" s="2148"/>
      <c r="I430" s="709"/>
      <c r="J430" s="735">
        <f t="shared" si="37"/>
        <v>18000</v>
      </c>
      <c r="K430" s="676">
        <f t="shared" si="39"/>
        <v>1.5</v>
      </c>
      <c r="L430" s="664"/>
      <c r="M430" s="1655"/>
      <c r="N430" s="251"/>
      <c r="O430" s="251"/>
      <c r="P430" s="251"/>
      <c r="Q430" s="251"/>
      <c r="R430" s="251"/>
      <c r="S430" s="251"/>
      <c r="T430" s="130"/>
      <c r="U430" s="130"/>
      <c r="V430" s="2162"/>
      <c r="W430" s="662">
        <v>16800</v>
      </c>
      <c r="X430" s="665">
        <f t="shared" si="38"/>
        <v>18000</v>
      </c>
      <c r="Y430" s="662"/>
      <c r="Z430" s="662"/>
      <c r="AA430" s="662"/>
      <c r="AB430" s="662"/>
      <c r="AC430" s="662"/>
      <c r="AD430" s="662"/>
      <c r="AE430" s="662"/>
      <c r="AF430" s="662"/>
      <c r="AG430" s="662"/>
    </row>
    <row r="431" spans="1:33" s="56" customFormat="1" ht="15.75" hidden="1" outlineLevel="1" thickBot="1" x14ac:dyDescent="0.3">
      <c r="A431" s="597"/>
      <c r="B431" s="251"/>
      <c r="C431" s="616"/>
      <c r="D431" s="2163"/>
      <c r="E431" s="2102"/>
      <c r="F431" s="2149" t="str">
        <f t="shared" si="36"/>
        <v>Ductless ASHP ER1 SF</v>
      </c>
      <c r="G431" s="2149"/>
      <c r="H431" s="2149"/>
      <c r="I431" s="712"/>
      <c r="J431" s="735">
        <f t="shared" si="37"/>
        <v>18000</v>
      </c>
      <c r="K431" s="677">
        <f t="shared" si="39"/>
        <v>1.5</v>
      </c>
      <c r="L431" s="672"/>
      <c r="M431" s="1655"/>
      <c r="N431" s="251"/>
      <c r="O431" s="251"/>
      <c r="P431" s="251"/>
      <c r="Q431" s="251"/>
      <c r="R431" s="251"/>
      <c r="S431" s="251"/>
      <c r="T431" s="130"/>
      <c r="U431" s="130"/>
      <c r="V431" s="2164"/>
      <c r="W431" s="668">
        <v>20400</v>
      </c>
      <c r="X431" s="665">
        <f t="shared" si="38"/>
        <v>18000</v>
      </c>
      <c r="Y431" s="668"/>
      <c r="Z431" s="668"/>
      <c r="AA431" s="668"/>
      <c r="AB431" s="668"/>
      <c r="AC431" s="668"/>
      <c r="AD431" s="668"/>
      <c r="AE431" s="668"/>
      <c r="AF431" s="668"/>
      <c r="AG431" s="668"/>
    </row>
    <row r="432" spans="1:33" s="56" customFormat="1" hidden="1" outlineLevel="1" x14ac:dyDescent="0.25">
      <c r="A432" s="597"/>
      <c r="B432" s="251"/>
      <c r="C432" s="616"/>
      <c r="D432" s="2159" t="s">
        <v>409</v>
      </c>
      <c r="E432" s="2100" t="s">
        <v>1017</v>
      </c>
      <c r="F432" s="2144" t="str">
        <f>F425</f>
        <v>Ductless AC - ER1 SF</v>
      </c>
      <c r="G432" s="2144"/>
      <c r="H432" s="2144"/>
      <c r="I432" s="707"/>
      <c r="J432" s="734">
        <v>869</v>
      </c>
      <c r="K432" s="660"/>
      <c r="L432" s="661" t="s">
        <v>977</v>
      </c>
      <c r="M432" s="1662"/>
      <c r="N432" s="251"/>
      <c r="O432" s="251"/>
      <c r="P432" s="251"/>
      <c r="Q432" s="251"/>
      <c r="R432" s="251"/>
      <c r="S432" s="251"/>
      <c r="T432" s="130"/>
      <c r="U432" s="130"/>
      <c r="V432" s="2161" t="s">
        <v>409</v>
      </c>
      <c r="W432" s="659">
        <v>869</v>
      </c>
      <c r="X432" s="659">
        <v>869</v>
      </c>
      <c r="Y432" s="659"/>
      <c r="Z432" s="659"/>
      <c r="AA432" s="659"/>
      <c r="AB432" s="659"/>
      <c r="AC432" s="659"/>
      <c r="AD432" s="659"/>
      <c r="AE432" s="659"/>
      <c r="AF432" s="659"/>
      <c r="AG432" s="659"/>
    </row>
    <row r="433" spans="1:33" s="56" customFormat="1" hidden="1" outlineLevel="1" x14ac:dyDescent="0.25">
      <c r="A433" s="597"/>
      <c r="B433" s="251"/>
      <c r="C433" s="616"/>
      <c r="D433" s="2160"/>
      <c r="E433" s="2101"/>
      <c r="F433" s="2148" t="str">
        <f t="shared" si="36"/>
        <v>Ductless AC - ROF SF</v>
      </c>
      <c r="G433" s="2148"/>
      <c r="H433" s="2148"/>
      <c r="I433" s="709"/>
      <c r="J433" s="735">
        <v>869</v>
      </c>
      <c r="K433" s="669"/>
      <c r="L433" s="664" t="s">
        <v>977</v>
      </c>
      <c r="M433" s="1662"/>
      <c r="N433" s="251"/>
      <c r="O433" s="251"/>
      <c r="P433" s="251"/>
      <c r="Q433" s="251"/>
      <c r="R433" s="251"/>
      <c r="S433" s="251"/>
      <c r="T433" s="130"/>
      <c r="U433" s="130"/>
      <c r="V433" s="2162"/>
      <c r="W433" s="662">
        <v>869</v>
      </c>
      <c r="X433" s="662">
        <v>869</v>
      </c>
      <c r="Y433" s="662"/>
      <c r="Z433" s="662"/>
      <c r="AA433" s="662"/>
      <c r="AB433" s="662"/>
      <c r="AC433" s="662"/>
      <c r="AD433" s="662"/>
      <c r="AE433" s="662"/>
      <c r="AF433" s="662"/>
      <c r="AG433" s="662"/>
    </row>
    <row r="434" spans="1:33" s="56" customFormat="1" hidden="1" outlineLevel="1" x14ac:dyDescent="0.25">
      <c r="A434" s="597"/>
      <c r="B434" s="251"/>
      <c r="C434" s="616"/>
      <c r="D434" s="2160"/>
      <c r="E434" s="2101"/>
      <c r="F434" s="2148" t="str">
        <f t="shared" si="36"/>
        <v>Ductless ASHP - ROF SF NC</v>
      </c>
      <c r="G434" s="2148"/>
      <c r="H434" s="2148"/>
      <c r="I434" s="709"/>
      <c r="J434" s="735">
        <v>869</v>
      </c>
      <c r="K434" s="669"/>
      <c r="L434" s="664" t="s">
        <v>977</v>
      </c>
      <c r="M434" s="1662"/>
      <c r="N434" s="251"/>
      <c r="O434" s="251"/>
      <c r="P434" s="251"/>
      <c r="Q434" s="251"/>
      <c r="R434" s="251"/>
      <c r="S434" s="251"/>
      <c r="T434" s="130"/>
      <c r="U434" s="130"/>
      <c r="V434" s="2162"/>
      <c r="W434" s="662">
        <v>869</v>
      </c>
      <c r="X434" s="662">
        <v>869</v>
      </c>
      <c r="Y434" s="662"/>
      <c r="Z434" s="662"/>
      <c r="AA434" s="662"/>
      <c r="AB434" s="662"/>
      <c r="AC434" s="662"/>
      <c r="AD434" s="662"/>
      <c r="AE434" s="662"/>
      <c r="AF434" s="662"/>
      <c r="AG434" s="662"/>
    </row>
    <row r="435" spans="1:33" s="56" customFormat="1" hidden="1" outlineLevel="1" x14ac:dyDescent="0.25">
      <c r="A435" s="597"/>
      <c r="B435" s="251"/>
      <c r="C435" s="616"/>
      <c r="D435" s="2160"/>
      <c r="E435" s="2101"/>
      <c r="F435" s="2148" t="str">
        <f t="shared" si="36"/>
        <v>Ductless ASHP - ROF SF</v>
      </c>
      <c r="G435" s="2148"/>
      <c r="H435" s="2148"/>
      <c r="I435" s="709"/>
      <c r="J435" s="735">
        <v>869</v>
      </c>
      <c r="K435" s="669"/>
      <c r="L435" s="664" t="s">
        <v>977</v>
      </c>
      <c r="M435" s="1662"/>
      <c r="N435" s="251"/>
      <c r="O435" s="251"/>
      <c r="P435" s="251"/>
      <c r="Q435" s="251"/>
      <c r="R435" s="251"/>
      <c r="S435" s="251"/>
      <c r="T435" s="130"/>
      <c r="U435" s="130"/>
      <c r="V435" s="2162"/>
      <c r="W435" s="662">
        <v>869</v>
      </c>
      <c r="X435" s="662">
        <v>869</v>
      </c>
      <c r="Y435" s="662"/>
      <c r="Z435" s="662"/>
      <c r="AA435" s="662"/>
      <c r="AB435" s="662"/>
      <c r="AC435" s="662"/>
      <c r="AD435" s="662"/>
      <c r="AE435" s="662"/>
      <c r="AF435" s="662"/>
      <c r="AG435" s="662"/>
    </row>
    <row r="436" spans="1:33" s="56" customFormat="1" hidden="1" outlineLevel="1" x14ac:dyDescent="0.25">
      <c r="A436" s="597"/>
      <c r="B436" s="251"/>
      <c r="C436" s="616"/>
      <c r="D436" s="2160"/>
      <c r="E436" s="2101"/>
      <c r="F436" s="2148" t="str">
        <f t="shared" si="36"/>
        <v>Ductless ASHP Replace Electric Resistance ER1 SF</v>
      </c>
      <c r="G436" s="2148"/>
      <c r="H436" s="2148"/>
      <c r="I436" s="709"/>
      <c r="J436" s="735">
        <v>869</v>
      </c>
      <c r="K436" s="670"/>
      <c r="L436" s="664" t="s">
        <v>977</v>
      </c>
      <c r="M436" s="1662"/>
      <c r="N436" s="251"/>
      <c r="O436" s="251"/>
      <c r="P436" s="251"/>
      <c r="Q436" s="251"/>
      <c r="R436" s="251"/>
      <c r="S436" s="251"/>
      <c r="T436" s="130"/>
      <c r="U436" s="130"/>
      <c r="V436" s="2162"/>
      <c r="W436" s="662">
        <v>869</v>
      </c>
      <c r="X436" s="662">
        <v>869</v>
      </c>
      <c r="Y436" s="662"/>
      <c r="Z436" s="662"/>
      <c r="AA436" s="662"/>
      <c r="AB436" s="662"/>
      <c r="AC436" s="662"/>
      <c r="AD436" s="662"/>
      <c r="AE436" s="662"/>
      <c r="AF436" s="662"/>
      <c r="AG436" s="662"/>
    </row>
    <row r="437" spans="1:33" s="56" customFormat="1" hidden="1" outlineLevel="1" x14ac:dyDescent="0.25">
      <c r="A437" s="597"/>
      <c r="B437" s="251"/>
      <c r="C437" s="616"/>
      <c r="D437" s="2160"/>
      <c r="E437" s="2101"/>
      <c r="F437" s="2148" t="str">
        <f t="shared" si="36"/>
        <v>Ductless ASHP Replace Electric Resistance ROF</v>
      </c>
      <c r="G437" s="2148"/>
      <c r="H437" s="2148"/>
      <c r="I437" s="709"/>
      <c r="J437" s="735">
        <v>869</v>
      </c>
      <c r="K437" s="670"/>
      <c r="L437" s="664" t="s">
        <v>977</v>
      </c>
      <c r="M437" s="1662"/>
      <c r="N437" s="251"/>
      <c r="O437" s="251"/>
      <c r="P437" s="251"/>
      <c r="Q437" s="251"/>
      <c r="R437" s="251"/>
      <c r="S437" s="251"/>
      <c r="T437" s="130"/>
      <c r="U437" s="130"/>
      <c r="V437" s="2162"/>
      <c r="W437" s="662">
        <v>869</v>
      </c>
      <c r="X437" s="662">
        <v>869</v>
      </c>
      <c r="Y437" s="662"/>
      <c r="Z437" s="662"/>
      <c r="AA437" s="662"/>
      <c r="AB437" s="662"/>
      <c r="AC437" s="662"/>
      <c r="AD437" s="662"/>
      <c r="AE437" s="662"/>
      <c r="AF437" s="662"/>
      <c r="AG437" s="662"/>
    </row>
    <row r="438" spans="1:33" s="56" customFormat="1" ht="15.75" hidden="1" outlineLevel="1" thickBot="1" x14ac:dyDescent="0.3">
      <c r="A438" s="597"/>
      <c r="B438" s="251"/>
      <c r="C438" s="616"/>
      <c r="D438" s="2163"/>
      <c r="E438" s="2102"/>
      <c r="F438" s="2149" t="str">
        <f t="shared" si="36"/>
        <v>Ductless ASHP ER1 SF</v>
      </c>
      <c r="G438" s="2149"/>
      <c r="H438" s="2149"/>
      <c r="I438" s="712"/>
      <c r="J438" s="738">
        <v>869</v>
      </c>
      <c r="K438" s="671"/>
      <c r="L438" s="672" t="s">
        <v>977</v>
      </c>
      <c r="M438" s="1662"/>
      <c r="N438" s="251"/>
      <c r="O438" s="251"/>
      <c r="P438" s="251"/>
      <c r="Q438" s="251"/>
      <c r="R438" s="251"/>
      <c r="S438" s="251"/>
      <c r="T438" s="130"/>
      <c r="U438" s="130"/>
      <c r="V438" s="2164"/>
      <c r="W438" s="668">
        <v>869</v>
      </c>
      <c r="X438" s="668">
        <v>869</v>
      </c>
      <c r="Y438" s="668"/>
      <c r="Z438" s="668"/>
      <c r="AA438" s="668"/>
      <c r="AB438" s="668"/>
      <c r="AC438" s="668"/>
      <c r="AD438" s="668"/>
      <c r="AE438" s="668"/>
      <c r="AF438" s="668"/>
      <c r="AG438" s="668"/>
    </row>
    <row r="439" spans="1:33" s="56" customFormat="1" hidden="1" outlineLevel="1" x14ac:dyDescent="0.25">
      <c r="A439" s="597"/>
      <c r="B439" s="251"/>
      <c r="C439" s="616"/>
      <c r="D439" s="2165" t="s">
        <v>970</v>
      </c>
      <c r="E439" s="2100" t="s">
        <v>1018</v>
      </c>
      <c r="F439" s="2144" t="str">
        <f>F432</f>
        <v>Ductless AC - ER1 SF</v>
      </c>
      <c r="G439" s="2144"/>
      <c r="H439" s="2144"/>
      <c r="I439" s="707"/>
      <c r="J439" s="734">
        <v>13</v>
      </c>
      <c r="K439" s="660"/>
      <c r="L439" s="661" t="s">
        <v>972</v>
      </c>
      <c r="M439" s="1662"/>
      <c r="N439" s="251"/>
      <c r="O439" s="251"/>
      <c r="P439" s="251"/>
      <c r="Q439" s="251"/>
      <c r="R439" s="251"/>
      <c r="S439" s="251"/>
      <c r="T439" s="130"/>
      <c r="U439" s="130"/>
      <c r="V439" s="2168" t="s">
        <v>970</v>
      </c>
      <c r="W439" s="659">
        <v>13</v>
      </c>
      <c r="X439" s="659">
        <v>13</v>
      </c>
      <c r="Y439" s="659"/>
      <c r="Z439" s="659"/>
      <c r="AA439" s="659"/>
      <c r="AB439" s="659"/>
      <c r="AC439" s="659"/>
      <c r="AD439" s="659"/>
      <c r="AE439" s="659"/>
      <c r="AF439" s="659"/>
      <c r="AG439" s="659"/>
    </row>
    <row r="440" spans="1:33" s="56" customFormat="1" hidden="1" outlineLevel="1" x14ac:dyDescent="0.25">
      <c r="A440" s="597"/>
      <c r="B440" s="251"/>
      <c r="C440" s="616"/>
      <c r="D440" s="2166"/>
      <c r="E440" s="2101"/>
      <c r="F440" s="2148" t="str">
        <f t="shared" si="36"/>
        <v>Ductless AC - ROF SF</v>
      </c>
      <c r="G440" s="2148"/>
      <c r="H440" s="2148"/>
      <c r="I440" s="709"/>
      <c r="J440" s="735">
        <v>13</v>
      </c>
      <c r="K440" s="669"/>
      <c r="L440" s="664" t="s">
        <v>972</v>
      </c>
      <c r="M440" s="1662"/>
      <c r="N440" s="251"/>
      <c r="O440" s="251"/>
      <c r="P440" s="251"/>
      <c r="Q440" s="251"/>
      <c r="R440" s="251"/>
      <c r="S440" s="251"/>
      <c r="T440" s="130"/>
      <c r="U440" s="130"/>
      <c r="V440" s="2169"/>
      <c r="W440" s="662">
        <v>13</v>
      </c>
      <c r="X440" s="662">
        <v>13</v>
      </c>
      <c r="Y440" s="662"/>
      <c r="Z440" s="662"/>
      <c r="AA440" s="662"/>
      <c r="AB440" s="662"/>
      <c r="AC440" s="662"/>
      <c r="AD440" s="662"/>
      <c r="AE440" s="662"/>
      <c r="AF440" s="662"/>
      <c r="AG440" s="662"/>
    </row>
    <row r="441" spans="1:33" s="56" customFormat="1" hidden="1" outlineLevel="1" x14ac:dyDescent="0.25">
      <c r="A441" s="597"/>
      <c r="B441" s="251"/>
      <c r="C441" s="616"/>
      <c r="D441" s="2166"/>
      <c r="E441" s="2101"/>
      <c r="F441" s="2148" t="str">
        <f t="shared" si="36"/>
        <v>Ductless ASHP - ROF SF NC</v>
      </c>
      <c r="G441" s="2148"/>
      <c r="H441" s="2148"/>
      <c r="I441" s="709"/>
      <c r="J441" s="735">
        <v>13</v>
      </c>
      <c r="K441" s="669"/>
      <c r="L441" s="664" t="s">
        <v>972</v>
      </c>
      <c r="M441" s="1662"/>
      <c r="N441" s="251"/>
      <c r="O441" s="251"/>
      <c r="P441" s="251"/>
      <c r="Q441" s="251"/>
      <c r="R441" s="251"/>
      <c r="S441" s="251"/>
      <c r="T441" s="130"/>
      <c r="U441" s="130"/>
      <c r="V441" s="2169"/>
      <c r="W441" s="662">
        <v>13</v>
      </c>
      <c r="X441" s="662">
        <v>13</v>
      </c>
      <c r="Y441" s="662"/>
      <c r="Z441" s="662"/>
      <c r="AA441" s="662"/>
      <c r="AB441" s="662"/>
      <c r="AC441" s="662"/>
      <c r="AD441" s="662"/>
      <c r="AE441" s="662"/>
      <c r="AF441" s="662"/>
      <c r="AG441" s="662"/>
    </row>
    <row r="442" spans="1:33" s="56" customFormat="1" hidden="1" outlineLevel="1" x14ac:dyDescent="0.25">
      <c r="A442" s="597"/>
      <c r="B442" s="251"/>
      <c r="C442" s="616"/>
      <c r="D442" s="2166"/>
      <c r="E442" s="2101"/>
      <c r="F442" s="2148" t="str">
        <f t="shared" si="36"/>
        <v>Ductless ASHP - ROF SF</v>
      </c>
      <c r="G442" s="2148"/>
      <c r="H442" s="2148"/>
      <c r="I442" s="709"/>
      <c r="J442" s="735">
        <v>13</v>
      </c>
      <c r="K442" s="669"/>
      <c r="L442" s="664" t="s">
        <v>972</v>
      </c>
      <c r="M442" s="1655"/>
      <c r="N442" s="251"/>
      <c r="O442" s="251"/>
      <c r="P442" s="251"/>
      <c r="Q442" s="251"/>
      <c r="R442" s="251"/>
      <c r="S442" s="251"/>
      <c r="T442" s="130"/>
      <c r="U442" s="130"/>
      <c r="V442" s="2169"/>
      <c r="W442" s="662">
        <v>13</v>
      </c>
      <c r="X442" s="662">
        <v>13</v>
      </c>
      <c r="Y442" s="662"/>
      <c r="Z442" s="662"/>
      <c r="AA442" s="662"/>
      <c r="AB442" s="662"/>
      <c r="AC442" s="662"/>
      <c r="AD442" s="662"/>
      <c r="AE442" s="662"/>
      <c r="AF442" s="662"/>
      <c r="AG442" s="662"/>
    </row>
    <row r="443" spans="1:33" s="56" customFormat="1" hidden="1" outlineLevel="1" x14ac:dyDescent="0.25">
      <c r="A443" s="597"/>
      <c r="B443" s="251"/>
      <c r="C443" s="616"/>
      <c r="D443" s="2166"/>
      <c r="E443" s="2101"/>
      <c r="F443" s="2148" t="str">
        <f t="shared" si="36"/>
        <v>Ductless ASHP Replace Electric Resistance ER1 SF</v>
      </c>
      <c r="G443" s="2148"/>
      <c r="H443" s="2148"/>
      <c r="I443" s="709"/>
      <c r="J443" s="735">
        <v>13</v>
      </c>
      <c r="K443" s="670"/>
      <c r="L443" s="664" t="s">
        <v>972</v>
      </c>
      <c r="M443" s="1655"/>
      <c r="N443" s="251"/>
      <c r="O443" s="251"/>
      <c r="P443" s="251"/>
      <c r="Q443" s="251"/>
      <c r="R443" s="251"/>
      <c r="S443" s="251"/>
      <c r="T443" s="130"/>
      <c r="U443" s="130"/>
      <c r="V443" s="2169"/>
      <c r="W443" s="662">
        <v>13</v>
      </c>
      <c r="X443" s="662">
        <v>13</v>
      </c>
      <c r="Y443" s="662"/>
      <c r="Z443" s="662"/>
      <c r="AA443" s="662"/>
      <c r="AB443" s="662"/>
      <c r="AC443" s="662"/>
      <c r="AD443" s="662"/>
      <c r="AE443" s="662"/>
      <c r="AF443" s="662"/>
      <c r="AG443" s="662"/>
    </row>
    <row r="444" spans="1:33" s="56" customFormat="1" hidden="1" outlineLevel="1" x14ac:dyDescent="0.25">
      <c r="A444" s="597"/>
      <c r="B444" s="251"/>
      <c r="C444" s="616"/>
      <c r="D444" s="2166"/>
      <c r="E444" s="2101"/>
      <c r="F444" s="2148" t="str">
        <f t="shared" si="36"/>
        <v>Ductless ASHP Replace Electric Resistance ROF</v>
      </c>
      <c r="G444" s="2148"/>
      <c r="H444" s="2148"/>
      <c r="I444" s="709"/>
      <c r="J444" s="735">
        <v>13</v>
      </c>
      <c r="K444" s="670"/>
      <c r="L444" s="664" t="s">
        <v>972</v>
      </c>
      <c r="M444" s="1655"/>
      <c r="N444" s="251"/>
      <c r="O444" s="251"/>
      <c r="P444" s="251"/>
      <c r="Q444" s="251"/>
      <c r="R444" s="251"/>
      <c r="S444" s="251"/>
      <c r="T444" s="130"/>
      <c r="U444" s="130"/>
      <c r="V444" s="2169"/>
      <c r="W444" s="662">
        <v>13</v>
      </c>
      <c r="X444" s="662">
        <v>13</v>
      </c>
      <c r="Y444" s="662"/>
      <c r="Z444" s="662"/>
      <c r="AA444" s="662"/>
      <c r="AB444" s="662"/>
      <c r="AC444" s="662"/>
      <c r="AD444" s="662"/>
      <c r="AE444" s="662"/>
      <c r="AF444" s="662"/>
      <c r="AG444" s="662"/>
    </row>
    <row r="445" spans="1:33" s="56" customFormat="1" ht="15.75" hidden="1" outlineLevel="1" thickBot="1" x14ac:dyDescent="0.3">
      <c r="A445" s="597"/>
      <c r="B445" s="251"/>
      <c r="C445" s="616"/>
      <c r="D445" s="2167"/>
      <c r="E445" s="2102"/>
      <c r="F445" s="2149" t="str">
        <f t="shared" si="36"/>
        <v>Ductless ASHP ER1 SF</v>
      </c>
      <c r="G445" s="2149"/>
      <c r="H445" s="2149"/>
      <c r="I445" s="712"/>
      <c r="J445" s="738">
        <v>13</v>
      </c>
      <c r="K445" s="671"/>
      <c r="L445" s="672" t="s">
        <v>972</v>
      </c>
      <c r="M445" s="1662"/>
      <c r="N445" s="251"/>
      <c r="O445" s="251"/>
      <c r="P445" s="251"/>
      <c r="Q445" s="251"/>
      <c r="R445" s="251"/>
      <c r="S445" s="251"/>
      <c r="T445" s="130"/>
      <c r="U445" s="130"/>
      <c r="V445" s="2170"/>
      <c r="W445" s="668">
        <v>13</v>
      </c>
      <c r="X445" s="668">
        <v>13</v>
      </c>
      <c r="Y445" s="668"/>
      <c r="Z445" s="668"/>
      <c r="AA445" s="668"/>
      <c r="AB445" s="668"/>
      <c r="AC445" s="668"/>
      <c r="AD445" s="668"/>
      <c r="AE445" s="668"/>
      <c r="AF445" s="668"/>
      <c r="AG445" s="668"/>
    </row>
    <row r="446" spans="1:33" s="56" customFormat="1" hidden="1" outlineLevel="1" x14ac:dyDescent="0.25">
      <c r="A446" s="597"/>
      <c r="B446" s="251"/>
      <c r="C446" s="616"/>
      <c r="D446" s="2159" t="s">
        <v>975</v>
      </c>
      <c r="E446" s="2100" t="s">
        <v>1019</v>
      </c>
      <c r="F446" s="2144" t="str">
        <f>F439</f>
        <v>Ductless AC - ER1 SF</v>
      </c>
      <c r="G446" s="2144"/>
      <c r="H446" s="2144"/>
      <c r="I446" s="707"/>
      <c r="J446" s="734">
        <v>6.3</v>
      </c>
      <c r="K446" s="660"/>
      <c r="L446" s="661" t="s">
        <v>972</v>
      </c>
      <c r="M446" s="1662"/>
      <c r="N446" s="251"/>
      <c r="O446" s="251"/>
      <c r="P446" s="251"/>
      <c r="Q446" s="251"/>
      <c r="R446" s="251"/>
      <c r="S446" s="251"/>
      <c r="T446" s="130"/>
      <c r="U446" s="130"/>
      <c r="V446" s="2161" t="s">
        <v>975</v>
      </c>
      <c r="W446" s="659">
        <v>6.3</v>
      </c>
      <c r="X446" s="659">
        <v>6.3</v>
      </c>
      <c r="Y446" s="659"/>
      <c r="Z446" s="659"/>
      <c r="AA446" s="659"/>
      <c r="AB446" s="659"/>
      <c r="AC446" s="659"/>
      <c r="AD446" s="659"/>
      <c r="AE446" s="659"/>
      <c r="AF446" s="659"/>
      <c r="AG446" s="659"/>
    </row>
    <row r="447" spans="1:33" s="56" customFormat="1" hidden="1" outlineLevel="1" x14ac:dyDescent="0.25">
      <c r="A447" s="597"/>
      <c r="B447" s="251"/>
      <c r="C447" s="616"/>
      <c r="D447" s="2160"/>
      <c r="E447" s="2101"/>
      <c r="F447" s="2148" t="str">
        <f t="shared" si="36"/>
        <v>Ductless AC - ROF SF</v>
      </c>
      <c r="G447" s="2148"/>
      <c r="H447" s="2148"/>
      <c r="I447" s="709"/>
      <c r="J447" s="735">
        <v>6.3</v>
      </c>
      <c r="K447" s="669"/>
      <c r="L447" s="664" t="s">
        <v>972</v>
      </c>
      <c r="M447" s="1662"/>
      <c r="N447" s="251"/>
      <c r="O447" s="251"/>
      <c r="P447" s="251"/>
      <c r="Q447" s="251"/>
      <c r="R447" s="251"/>
      <c r="S447" s="251"/>
      <c r="T447" s="130"/>
      <c r="U447" s="130"/>
      <c r="V447" s="2162"/>
      <c r="W447" s="662">
        <v>6.3</v>
      </c>
      <c r="X447" s="662">
        <v>6.3</v>
      </c>
      <c r="Y447" s="662"/>
      <c r="Z447" s="662"/>
      <c r="AA447" s="662"/>
      <c r="AB447" s="662"/>
      <c r="AC447" s="662"/>
      <c r="AD447" s="662"/>
      <c r="AE447" s="662"/>
      <c r="AF447" s="662"/>
      <c r="AG447" s="662"/>
    </row>
    <row r="448" spans="1:33" s="56" customFormat="1" hidden="1" outlineLevel="1" x14ac:dyDescent="0.25">
      <c r="A448" s="597"/>
      <c r="B448" s="251"/>
      <c r="C448" s="616"/>
      <c r="D448" s="2160"/>
      <c r="E448" s="2101"/>
      <c r="F448" s="2148" t="str">
        <f t="shared" si="36"/>
        <v>Ductless ASHP - ROF SF NC</v>
      </c>
      <c r="G448" s="2148"/>
      <c r="H448" s="2148"/>
      <c r="I448" s="709"/>
      <c r="J448" s="735">
        <v>7.2</v>
      </c>
      <c r="K448" s="669"/>
      <c r="L448" s="664" t="s">
        <v>972</v>
      </c>
      <c r="M448" s="1662"/>
      <c r="N448" s="251"/>
      <c r="O448" s="251"/>
      <c r="P448" s="251"/>
      <c r="Q448" s="251"/>
      <c r="R448" s="251"/>
      <c r="S448" s="251"/>
      <c r="T448" s="130"/>
      <c r="U448" s="130"/>
      <c r="V448" s="2162"/>
      <c r="W448" s="662">
        <v>7.2</v>
      </c>
      <c r="X448" s="662">
        <v>7.2</v>
      </c>
      <c r="Y448" s="662"/>
      <c r="Z448" s="662"/>
      <c r="AA448" s="662"/>
      <c r="AB448" s="662"/>
      <c r="AC448" s="662"/>
      <c r="AD448" s="662"/>
      <c r="AE448" s="662"/>
      <c r="AF448" s="662"/>
      <c r="AG448" s="662"/>
    </row>
    <row r="449" spans="1:33" s="56" customFormat="1" hidden="1" outlineLevel="1" x14ac:dyDescent="0.25">
      <c r="A449" s="597"/>
      <c r="B449" s="251"/>
      <c r="C449" s="616"/>
      <c r="D449" s="2160"/>
      <c r="E449" s="2101"/>
      <c r="F449" s="2148" t="str">
        <f t="shared" si="36"/>
        <v>Ductless ASHP - ROF SF</v>
      </c>
      <c r="G449" s="2148"/>
      <c r="H449" s="2148"/>
      <c r="I449" s="709"/>
      <c r="J449" s="735">
        <v>7.2</v>
      </c>
      <c r="K449" s="669"/>
      <c r="L449" s="664" t="s">
        <v>972</v>
      </c>
      <c r="M449" s="1655"/>
      <c r="N449" s="251"/>
      <c r="O449" s="251"/>
      <c r="P449" s="251"/>
      <c r="Q449" s="251"/>
      <c r="R449" s="251"/>
      <c r="S449" s="251"/>
      <c r="T449" s="130"/>
      <c r="U449" s="130"/>
      <c r="V449" s="2162"/>
      <c r="W449" s="662">
        <v>7.2</v>
      </c>
      <c r="X449" s="662">
        <v>7.2</v>
      </c>
      <c r="Y449" s="662"/>
      <c r="Z449" s="662"/>
      <c r="AA449" s="662"/>
      <c r="AB449" s="662"/>
      <c r="AC449" s="662"/>
      <c r="AD449" s="662"/>
      <c r="AE449" s="662"/>
      <c r="AF449" s="662"/>
      <c r="AG449" s="662"/>
    </row>
    <row r="450" spans="1:33" s="56" customFormat="1" hidden="1" outlineLevel="1" x14ac:dyDescent="0.25">
      <c r="A450" s="597"/>
      <c r="B450" s="251"/>
      <c r="C450" s="616"/>
      <c r="D450" s="2160"/>
      <c r="E450" s="2101"/>
      <c r="F450" s="2148" t="str">
        <f t="shared" si="36"/>
        <v>Ductless ASHP Replace Electric Resistance ER1 SF</v>
      </c>
      <c r="G450" s="2148"/>
      <c r="H450" s="2148"/>
      <c r="I450" s="709"/>
      <c r="J450" s="735">
        <v>6.8</v>
      </c>
      <c r="K450" s="670"/>
      <c r="L450" s="664" t="s">
        <v>972</v>
      </c>
      <c r="M450" s="1655"/>
      <c r="N450" s="251"/>
      <c r="O450" s="251"/>
      <c r="P450" s="251"/>
      <c r="Q450" s="251"/>
      <c r="R450" s="251"/>
      <c r="S450" s="251"/>
      <c r="T450" s="130"/>
      <c r="U450" s="130"/>
      <c r="V450" s="2162"/>
      <c r="W450" s="662">
        <v>6.8</v>
      </c>
      <c r="X450" s="662">
        <v>6.8</v>
      </c>
      <c r="Y450" s="662"/>
      <c r="Z450" s="662"/>
      <c r="AA450" s="662"/>
      <c r="AB450" s="662"/>
      <c r="AC450" s="662"/>
      <c r="AD450" s="662"/>
      <c r="AE450" s="662"/>
      <c r="AF450" s="662"/>
      <c r="AG450" s="662"/>
    </row>
    <row r="451" spans="1:33" s="56" customFormat="1" hidden="1" outlineLevel="1" x14ac:dyDescent="0.25">
      <c r="A451" s="597"/>
      <c r="B451" s="251"/>
      <c r="C451" s="616"/>
      <c r="D451" s="2160"/>
      <c r="E451" s="2101"/>
      <c r="F451" s="2148" t="str">
        <f t="shared" si="36"/>
        <v>Ductless ASHP Replace Electric Resistance ROF</v>
      </c>
      <c r="G451" s="2148"/>
      <c r="H451" s="2148"/>
      <c r="I451" s="709"/>
      <c r="J451" s="735">
        <v>6.8</v>
      </c>
      <c r="K451" s="670"/>
      <c r="L451" s="664" t="s">
        <v>972</v>
      </c>
      <c r="M451" s="1655"/>
      <c r="N451" s="251"/>
      <c r="O451" s="251"/>
      <c r="P451" s="251"/>
      <c r="Q451" s="251"/>
      <c r="R451" s="251"/>
      <c r="S451" s="251"/>
      <c r="T451" s="130"/>
      <c r="U451" s="130"/>
      <c r="V451" s="2162"/>
      <c r="W451" s="662">
        <v>6.8</v>
      </c>
      <c r="X451" s="662">
        <v>6.8</v>
      </c>
      <c r="Y451" s="662"/>
      <c r="Z451" s="662"/>
      <c r="AA451" s="662"/>
      <c r="AB451" s="662"/>
      <c r="AC451" s="662"/>
      <c r="AD451" s="662"/>
      <c r="AE451" s="662"/>
      <c r="AF451" s="662"/>
      <c r="AG451" s="662"/>
    </row>
    <row r="452" spans="1:33" s="56" customFormat="1" ht="15.75" hidden="1" outlineLevel="1" thickBot="1" x14ac:dyDescent="0.3">
      <c r="A452" s="597"/>
      <c r="B452" s="251"/>
      <c r="C452" s="616"/>
      <c r="D452" s="2163"/>
      <c r="E452" s="2102"/>
      <c r="F452" s="2149" t="str">
        <f t="shared" si="36"/>
        <v>Ductless ASHP ER1 SF</v>
      </c>
      <c r="G452" s="2149"/>
      <c r="H452" s="2149"/>
      <c r="I452" s="712"/>
      <c r="J452" s="738">
        <v>7.2</v>
      </c>
      <c r="K452" s="671"/>
      <c r="L452" s="672" t="s">
        <v>972</v>
      </c>
      <c r="M452" s="1662"/>
      <c r="N452" s="251"/>
      <c r="O452" s="251"/>
      <c r="P452" s="251"/>
      <c r="Q452" s="251"/>
      <c r="R452" s="251"/>
      <c r="S452" s="251"/>
      <c r="T452" s="130"/>
      <c r="U452" s="130"/>
      <c r="V452" s="2164"/>
      <c r="W452" s="668">
        <v>7.2</v>
      </c>
      <c r="X452" s="668">
        <v>7.2</v>
      </c>
      <c r="Y452" s="668"/>
      <c r="Z452" s="668"/>
      <c r="AA452" s="668"/>
      <c r="AB452" s="668"/>
      <c r="AC452" s="668"/>
      <c r="AD452" s="668"/>
      <c r="AE452" s="668"/>
      <c r="AF452" s="668"/>
      <c r="AG452" s="668"/>
    </row>
    <row r="453" spans="1:33" s="56" customFormat="1" hidden="1" outlineLevel="1" x14ac:dyDescent="0.25">
      <c r="A453" s="597"/>
      <c r="B453" s="251"/>
      <c r="C453" s="616"/>
      <c r="D453" s="2159" t="s">
        <v>246</v>
      </c>
      <c r="E453" s="2100" t="s">
        <v>1020</v>
      </c>
      <c r="F453" s="2144" t="str">
        <f>F446</f>
        <v>Ductless AC - ER1 SF</v>
      </c>
      <c r="G453" s="2144"/>
      <c r="H453" s="2144"/>
      <c r="I453" s="707"/>
      <c r="J453" s="734">
        <v>23.17</v>
      </c>
      <c r="K453" s="660"/>
      <c r="L453" s="661" t="s">
        <v>1794</v>
      </c>
      <c r="M453" s="1662"/>
      <c r="N453" s="251"/>
      <c r="O453" s="251"/>
      <c r="P453" s="251"/>
      <c r="Q453" s="251"/>
      <c r="R453" s="251"/>
      <c r="S453" s="251"/>
      <c r="T453" s="130"/>
      <c r="U453" s="130"/>
      <c r="V453" s="2161" t="s">
        <v>246</v>
      </c>
      <c r="W453" s="659">
        <v>22.4</v>
      </c>
      <c r="X453" s="678">
        <v>23.17</v>
      </c>
      <c r="Y453" s="659"/>
      <c r="Z453" s="659"/>
      <c r="AA453" s="659"/>
      <c r="AB453" s="659"/>
      <c r="AC453" s="659"/>
      <c r="AD453" s="659"/>
      <c r="AE453" s="659"/>
      <c r="AF453" s="659"/>
      <c r="AG453" s="659"/>
    </row>
    <row r="454" spans="1:33" s="56" customFormat="1" hidden="1" outlineLevel="1" x14ac:dyDescent="0.25">
      <c r="A454" s="597"/>
      <c r="B454" s="251"/>
      <c r="C454" s="616"/>
      <c r="D454" s="2160"/>
      <c r="E454" s="2101"/>
      <c r="F454" s="2148" t="str">
        <f t="shared" si="36"/>
        <v>Ductless AC - ROF SF</v>
      </c>
      <c r="G454" s="2148"/>
      <c r="H454" s="2148"/>
      <c r="I454" s="709"/>
      <c r="J454" s="735">
        <v>23.17</v>
      </c>
      <c r="K454" s="669"/>
      <c r="L454" s="664"/>
      <c r="M454" s="1662"/>
      <c r="N454" s="251"/>
      <c r="O454" s="251"/>
      <c r="P454" s="251"/>
      <c r="Q454" s="251"/>
      <c r="R454" s="251"/>
      <c r="S454" s="251"/>
      <c r="T454" s="130"/>
      <c r="U454" s="130"/>
      <c r="V454" s="2162"/>
      <c r="W454" s="662">
        <v>21.6</v>
      </c>
      <c r="X454" s="665">
        <v>23.17</v>
      </c>
      <c r="Y454" s="662"/>
      <c r="Z454" s="662"/>
      <c r="AA454" s="662"/>
      <c r="AB454" s="662"/>
      <c r="AC454" s="662"/>
      <c r="AD454" s="662"/>
      <c r="AE454" s="662"/>
      <c r="AF454" s="662"/>
      <c r="AG454" s="662"/>
    </row>
    <row r="455" spans="1:33" s="56" customFormat="1" hidden="1" outlineLevel="1" x14ac:dyDescent="0.25">
      <c r="A455" s="597"/>
      <c r="B455" s="251"/>
      <c r="C455" s="616"/>
      <c r="D455" s="2160"/>
      <c r="E455" s="2101"/>
      <c r="F455" s="2148" t="str">
        <f t="shared" si="36"/>
        <v>Ductless ASHP - ROF SF NC</v>
      </c>
      <c r="G455" s="2148"/>
      <c r="H455" s="2148"/>
      <c r="I455" s="709"/>
      <c r="J455" s="735">
        <v>23.17</v>
      </c>
      <c r="K455" s="669"/>
      <c r="L455" s="664"/>
      <c r="M455" s="1662"/>
      <c r="N455" s="251"/>
      <c r="O455" s="251"/>
      <c r="P455" s="251"/>
      <c r="Q455" s="251"/>
      <c r="R455" s="251"/>
      <c r="S455" s="251"/>
      <c r="T455" s="130"/>
      <c r="U455" s="130"/>
      <c r="V455" s="2162"/>
      <c r="W455" s="662">
        <v>22.7</v>
      </c>
      <c r="X455" s="665">
        <v>23.17</v>
      </c>
      <c r="Y455" s="662"/>
      <c r="Z455" s="662"/>
      <c r="AA455" s="662"/>
      <c r="AB455" s="662"/>
      <c r="AC455" s="662"/>
      <c r="AD455" s="662"/>
      <c r="AE455" s="662"/>
      <c r="AF455" s="662"/>
      <c r="AG455" s="662"/>
    </row>
    <row r="456" spans="1:33" s="56" customFormat="1" hidden="1" outlineLevel="1" x14ac:dyDescent="0.25">
      <c r="A456" s="597"/>
      <c r="B456" s="251"/>
      <c r="C456" s="616"/>
      <c r="D456" s="2160"/>
      <c r="E456" s="2101"/>
      <c r="F456" s="2148" t="str">
        <f t="shared" si="36"/>
        <v>Ductless ASHP - ROF SF</v>
      </c>
      <c r="G456" s="2148"/>
      <c r="H456" s="2148"/>
      <c r="I456" s="709"/>
      <c r="J456" s="735">
        <v>23.17</v>
      </c>
      <c r="K456" s="669"/>
      <c r="L456" s="664"/>
      <c r="M456" s="1655"/>
      <c r="N456" s="251"/>
      <c r="O456" s="251"/>
      <c r="P456" s="251"/>
      <c r="Q456" s="251"/>
      <c r="R456" s="251"/>
      <c r="S456" s="251"/>
      <c r="T456" s="130"/>
      <c r="U456" s="130"/>
      <c r="V456" s="2162"/>
      <c r="W456" s="662">
        <v>22.7</v>
      </c>
      <c r="X456" s="665">
        <v>23.17</v>
      </c>
      <c r="Y456" s="662"/>
      <c r="Z456" s="662"/>
      <c r="AA456" s="662"/>
      <c r="AB456" s="662"/>
      <c r="AC456" s="662"/>
      <c r="AD456" s="662"/>
      <c r="AE456" s="662"/>
      <c r="AF456" s="662"/>
      <c r="AG456" s="662"/>
    </row>
    <row r="457" spans="1:33" s="56" customFormat="1" hidden="1" outlineLevel="1" x14ac:dyDescent="0.25">
      <c r="A457" s="597"/>
      <c r="B457" s="251"/>
      <c r="C457" s="616"/>
      <c r="D457" s="2160"/>
      <c r="E457" s="2101"/>
      <c r="F457" s="2148" t="str">
        <f t="shared" si="36"/>
        <v>Ductless ASHP Replace Electric Resistance ER1 SF</v>
      </c>
      <c r="G457" s="2148"/>
      <c r="H457" s="2148"/>
      <c r="I457" s="709"/>
      <c r="J457" s="735">
        <v>23.17</v>
      </c>
      <c r="K457" s="670"/>
      <c r="L457" s="664"/>
      <c r="M457" s="1655"/>
      <c r="N457" s="251"/>
      <c r="O457" s="251"/>
      <c r="P457" s="251"/>
      <c r="Q457" s="251"/>
      <c r="R457" s="251"/>
      <c r="S457" s="251"/>
      <c r="T457" s="130"/>
      <c r="U457" s="130"/>
      <c r="V457" s="2162"/>
      <c r="W457" s="662">
        <v>22.4</v>
      </c>
      <c r="X457" s="665">
        <v>23.17</v>
      </c>
      <c r="Y457" s="662"/>
      <c r="Z457" s="662"/>
      <c r="AA457" s="662"/>
      <c r="AB457" s="662"/>
      <c r="AC457" s="662"/>
      <c r="AD457" s="662"/>
      <c r="AE457" s="662"/>
      <c r="AF457" s="662"/>
      <c r="AG457" s="662"/>
    </row>
    <row r="458" spans="1:33" s="56" customFormat="1" hidden="1" outlineLevel="1" x14ac:dyDescent="0.25">
      <c r="A458" s="597"/>
      <c r="B458" s="251"/>
      <c r="C458" s="616"/>
      <c r="D458" s="2160"/>
      <c r="E458" s="2101"/>
      <c r="F458" s="2148" t="str">
        <f t="shared" si="36"/>
        <v>Ductless ASHP Replace Electric Resistance ROF</v>
      </c>
      <c r="G458" s="2148"/>
      <c r="H458" s="2148"/>
      <c r="I458" s="709"/>
      <c r="J458" s="735">
        <v>23.17</v>
      </c>
      <c r="K458" s="670"/>
      <c r="L458" s="664"/>
      <c r="M458" s="1655"/>
      <c r="N458" s="251"/>
      <c r="O458" s="251"/>
      <c r="P458" s="251"/>
      <c r="Q458" s="251"/>
      <c r="R458" s="251"/>
      <c r="S458" s="251"/>
      <c r="T458" s="130"/>
      <c r="U458" s="130"/>
      <c r="V458" s="2162"/>
      <c r="W458" s="662">
        <v>21.6</v>
      </c>
      <c r="X458" s="665">
        <v>23.17</v>
      </c>
      <c r="Y458" s="662"/>
      <c r="Z458" s="662"/>
      <c r="AA458" s="662"/>
      <c r="AB458" s="662"/>
      <c r="AC458" s="662"/>
      <c r="AD458" s="662"/>
      <c r="AE458" s="662"/>
      <c r="AF458" s="662"/>
      <c r="AG458" s="662"/>
    </row>
    <row r="459" spans="1:33" s="56" customFormat="1" ht="15.75" hidden="1" outlineLevel="1" thickBot="1" x14ac:dyDescent="0.3">
      <c r="A459" s="597"/>
      <c r="B459" s="251"/>
      <c r="C459" s="616"/>
      <c r="D459" s="2160"/>
      <c r="E459" s="2101"/>
      <c r="F459" s="2149" t="str">
        <f t="shared" si="36"/>
        <v>Ductless ASHP ER1 SF</v>
      </c>
      <c r="G459" s="2149"/>
      <c r="H459" s="2149"/>
      <c r="I459" s="773"/>
      <c r="J459" s="622">
        <v>23.17</v>
      </c>
      <c r="K459" s="680"/>
      <c r="L459" s="681"/>
      <c r="M459" s="1662"/>
      <c r="N459" s="251"/>
      <c r="O459" s="251"/>
      <c r="P459" s="251"/>
      <c r="Q459" s="251"/>
      <c r="R459" s="251"/>
      <c r="S459" s="251"/>
      <c r="T459" s="130"/>
      <c r="U459" s="130"/>
      <c r="V459" s="2162"/>
      <c r="W459" s="622">
        <v>21.2</v>
      </c>
      <c r="X459" s="679">
        <v>23.17</v>
      </c>
      <c r="Y459" s="622"/>
      <c r="Z459" s="622"/>
      <c r="AA459" s="622"/>
      <c r="AB459" s="622"/>
      <c r="AC459" s="622"/>
      <c r="AD459" s="622"/>
      <c r="AE459" s="622"/>
      <c r="AF459" s="622"/>
      <c r="AG459" s="622"/>
    </row>
    <row r="460" spans="1:33" s="56" customFormat="1" hidden="1" outlineLevel="1" x14ac:dyDescent="0.25">
      <c r="A460" s="597"/>
      <c r="B460" s="251"/>
      <c r="C460" s="616"/>
      <c r="D460" s="2100" t="s">
        <v>598</v>
      </c>
      <c r="E460" s="2103" t="s">
        <v>1001</v>
      </c>
      <c r="F460" s="2156" t="str">
        <f>E337</f>
        <v>Ductless AC - ER1 SF</v>
      </c>
      <c r="G460" s="2157"/>
      <c r="H460" s="2158"/>
      <c r="I460" s="707"/>
      <c r="J460" s="682">
        <v>1</v>
      </c>
      <c r="K460" s="683"/>
      <c r="L460" s="661"/>
      <c r="M460" s="1662"/>
      <c r="N460" s="251"/>
      <c r="O460" s="251"/>
      <c r="P460" s="251"/>
      <c r="Q460" s="251"/>
      <c r="R460" s="251"/>
      <c r="S460" s="251"/>
      <c r="T460" s="130"/>
      <c r="U460" s="130"/>
      <c r="V460" s="2106" t="s">
        <v>598</v>
      </c>
      <c r="W460" s="682">
        <v>1</v>
      </c>
      <c r="X460" s="682">
        <v>1</v>
      </c>
      <c r="Y460" s="682"/>
      <c r="Z460" s="682"/>
      <c r="AA460" s="682"/>
      <c r="AB460" s="682"/>
      <c r="AC460" s="682"/>
      <c r="AD460" s="682"/>
      <c r="AE460" s="682"/>
      <c r="AF460" s="682"/>
      <c r="AG460" s="682"/>
    </row>
    <row r="461" spans="1:33" s="56" customFormat="1" hidden="1" outlineLevel="1" x14ac:dyDescent="0.25">
      <c r="A461" s="597"/>
      <c r="B461" s="251"/>
      <c r="C461" s="616"/>
      <c r="D461" s="2101"/>
      <c r="E461" s="2104"/>
      <c r="F461" s="2150" t="str">
        <f t="shared" ref="F461:F493" si="40">E338</f>
        <v>Ductless AC - ER2 SF</v>
      </c>
      <c r="G461" s="2151"/>
      <c r="H461" s="2152"/>
      <c r="I461" s="709"/>
      <c r="J461" s="684">
        <v>1</v>
      </c>
      <c r="K461" s="685"/>
      <c r="L461" s="664"/>
      <c r="M461" s="1662"/>
      <c r="N461" s="251"/>
      <c r="O461" s="251"/>
      <c r="P461" s="251"/>
      <c r="Q461" s="251"/>
      <c r="R461" s="251"/>
      <c r="S461" s="251"/>
      <c r="T461" s="130"/>
      <c r="U461" s="130"/>
      <c r="V461" s="2107"/>
      <c r="W461" s="684">
        <v>1</v>
      </c>
      <c r="X461" s="684">
        <v>1</v>
      </c>
      <c r="Y461" s="684"/>
      <c r="Z461" s="684"/>
      <c r="AA461" s="684"/>
      <c r="AB461" s="684"/>
      <c r="AC461" s="684"/>
      <c r="AD461" s="684"/>
      <c r="AE461" s="684"/>
      <c r="AF461" s="684"/>
      <c r="AG461" s="684"/>
    </row>
    <row r="462" spans="1:33" s="56" customFormat="1" hidden="1" outlineLevel="1" x14ac:dyDescent="0.25">
      <c r="A462" s="597"/>
      <c r="B462" s="251"/>
      <c r="C462" s="616"/>
      <c r="D462" s="2101"/>
      <c r="E462" s="2104"/>
      <c r="F462" s="2150" t="str">
        <f t="shared" si="40"/>
        <v>Ductless AC - ROF SF</v>
      </c>
      <c r="G462" s="2151"/>
      <c r="H462" s="2152"/>
      <c r="I462" s="709"/>
      <c r="J462" s="684">
        <v>1</v>
      </c>
      <c r="K462" s="685"/>
      <c r="L462" s="664"/>
      <c r="M462" s="1662"/>
      <c r="N462" s="251"/>
      <c r="O462" s="251"/>
      <c r="P462" s="251"/>
      <c r="Q462" s="251"/>
      <c r="R462" s="251"/>
      <c r="S462" s="251"/>
      <c r="T462" s="130"/>
      <c r="U462" s="130"/>
      <c r="V462" s="2107"/>
      <c r="W462" s="684">
        <v>1</v>
      </c>
      <c r="X462" s="684">
        <v>1</v>
      </c>
      <c r="Y462" s="684"/>
      <c r="Z462" s="684"/>
      <c r="AA462" s="684"/>
      <c r="AB462" s="684"/>
      <c r="AC462" s="684"/>
      <c r="AD462" s="684"/>
      <c r="AE462" s="684"/>
      <c r="AF462" s="684"/>
      <c r="AG462" s="684"/>
    </row>
    <row r="463" spans="1:33" s="56" customFormat="1" hidden="1" outlineLevel="1" x14ac:dyDescent="0.25">
      <c r="A463" s="597"/>
      <c r="B463" s="251"/>
      <c r="C463" s="616"/>
      <c r="D463" s="2101"/>
      <c r="E463" s="2104"/>
      <c r="F463" s="2150" t="str">
        <f t="shared" si="40"/>
        <v>Ductless ASHP - ROF SF NC</v>
      </c>
      <c r="G463" s="2151"/>
      <c r="H463" s="2152"/>
      <c r="I463" s="709"/>
      <c r="J463" s="684">
        <v>1</v>
      </c>
      <c r="K463" s="685"/>
      <c r="L463" s="664"/>
      <c r="M463" s="1662"/>
      <c r="N463" s="251"/>
      <c r="O463" s="251"/>
      <c r="P463" s="251"/>
      <c r="Q463" s="251"/>
      <c r="R463" s="251"/>
      <c r="S463" s="251"/>
      <c r="T463" s="130"/>
      <c r="U463" s="130"/>
      <c r="V463" s="2107"/>
      <c r="W463" s="684">
        <v>1</v>
      </c>
      <c r="X463" s="684">
        <v>1</v>
      </c>
      <c r="Y463" s="684"/>
      <c r="Z463" s="684"/>
      <c r="AA463" s="684"/>
      <c r="AB463" s="684"/>
      <c r="AC463" s="684"/>
      <c r="AD463" s="684"/>
      <c r="AE463" s="684"/>
      <c r="AF463" s="684"/>
      <c r="AG463" s="684"/>
    </row>
    <row r="464" spans="1:33" s="56" customFormat="1" hidden="1" outlineLevel="1" x14ac:dyDescent="0.25">
      <c r="A464" s="597"/>
      <c r="B464" s="251"/>
      <c r="C464" s="616"/>
      <c r="D464" s="2101"/>
      <c r="E464" s="2104"/>
      <c r="F464" s="2150" t="str">
        <f t="shared" si="40"/>
        <v>Ductless ASHP - ROF SF NC</v>
      </c>
      <c r="G464" s="2151"/>
      <c r="H464" s="2152"/>
      <c r="I464" s="709"/>
      <c r="J464" s="684">
        <v>1</v>
      </c>
      <c r="K464" s="685"/>
      <c r="L464" s="664"/>
      <c r="M464" s="1662"/>
      <c r="N464" s="251"/>
      <c r="O464" s="251"/>
      <c r="P464" s="251"/>
      <c r="Q464" s="251"/>
      <c r="R464" s="251"/>
      <c r="S464" s="251"/>
      <c r="T464" s="130"/>
      <c r="U464" s="130"/>
      <c r="V464" s="2107"/>
      <c r="W464" s="684">
        <v>1</v>
      </c>
      <c r="X464" s="684">
        <v>1</v>
      </c>
      <c r="Y464" s="684"/>
      <c r="Z464" s="684"/>
      <c r="AA464" s="684"/>
      <c r="AB464" s="684"/>
      <c r="AC464" s="684"/>
      <c r="AD464" s="684"/>
      <c r="AE464" s="684"/>
      <c r="AF464" s="684"/>
      <c r="AG464" s="684"/>
    </row>
    <row r="465" spans="1:33" s="56" customFormat="1" hidden="1" outlineLevel="1" x14ac:dyDescent="0.25">
      <c r="A465" s="597"/>
      <c r="B465" s="251"/>
      <c r="C465" s="616"/>
      <c r="D465" s="2101"/>
      <c r="E465" s="2104"/>
      <c r="F465" s="2150" t="str">
        <f t="shared" si="40"/>
        <v>Ductless ASHP - ROF SF</v>
      </c>
      <c r="G465" s="2151"/>
      <c r="H465" s="2152"/>
      <c r="I465" s="709"/>
      <c r="J465" s="684">
        <v>1</v>
      </c>
      <c r="K465" s="685"/>
      <c r="L465" s="664"/>
      <c r="M465" s="1662"/>
      <c r="N465" s="251"/>
      <c r="O465" s="251"/>
      <c r="P465" s="251"/>
      <c r="Q465" s="251"/>
      <c r="R465" s="251"/>
      <c r="S465" s="251"/>
      <c r="T465" s="130"/>
      <c r="U465" s="130"/>
      <c r="V465" s="2107"/>
      <c r="W465" s="684">
        <v>1</v>
      </c>
      <c r="X465" s="684">
        <v>1</v>
      </c>
      <c r="Y465" s="684"/>
      <c r="Z465" s="684"/>
      <c r="AA465" s="684"/>
      <c r="AB465" s="684"/>
      <c r="AC465" s="684"/>
      <c r="AD465" s="684"/>
      <c r="AE465" s="684"/>
      <c r="AF465" s="684"/>
      <c r="AG465" s="684"/>
    </row>
    <row r="466" spans="1:33" s="56" customFormat="1" hidden="1" outlineLevel="1" x14ac:dyDescent="0.25">
      <c r="A466" s="597"/>
      <c r="B466" s="251"/>
      <c r="C466" s="616"/>
      <c r="D466" s="2101"/>
      <c r="E466" s="2104"/>
      <c r="F466" s="2150" t="str">
        <f t="shared" si="40"/>
        <v>Ductless ASHP - ROF SF</v>
      </c>
      <c r="G466" s="2151"/>
      <c r="H466" s="2152"/>
      <c r="I466" s="709"/>
      <c r="J466" s="684">
        <v>1</v>
      </c>
      <c r="K466" s="685"/>
      <c r="L466" s="664"/>
      <c r="M466" s="1662"/>
      <c r="N466" s="251"/>
      <c r="O466" s="251"/>
      <c r="P466" s="251"/>
      <c r="Q466" s="251"/>
      <c r="R466" s="251"/>
      <c r="S466" s="251"/>
      <c r="T466" s="130"/>
      <c r="U466" s="130"/>
      <c r="V466" s="2107"/>
      <c r="W466" s="684">
        <v>1</v>
      </c>
      <c r="X466" s="684">
        <v>1</v>
      </c>
      <c r="Y466" s="684"/>
      <c r="Z466" s="684"/>
      <c r="AA466" s="684"/>
      <c r="AB466" s="684"/>
      <c r="AC466" s="684"/>
      <c r="AD466" s="684"/>
      <c r="AE466" s="684"/>
      <c r="AF466" s="684"/>
      <c r="AG466" s="684"/>
    </row>
    <row r="467" spans="1:33" s="56" customFormat="1" hidden="1" outlineLevel="1" x14ac:dyDescent="0.25">
      <c r="A467" s="597"/>
      <c r="B467" s="251"/>
      <c r="C467" s="616"/>
      <c r="D467" s="2101"/>
      <c r="E467" s="2104"/>
      <c r="F467" s="2150" t="str">
        <f t="shared" si="40"/>
        <v>Ductless ASHP Replace Electric Resistance ER1 SF</v>
      </c>
      <c r="G467" s="2151"/>
      <c r="H467" s="2152"/>
      <c r="I467" s="709"/>
      <c r="J467" s="684">
        <v>1</v>
      </c>
      <c r="K467" s="685"/>
      <c r="L467" s="664"/>
      <c r="M467" s="1662"/>
      <c r="N467" s="251"/>
      <c r="O467" s="251"/>
      <c r="P467" s="251"/>
      <c r="Q467" s="251"/>
      <c r="R467" s="251"/>
      <c r="S467" s="251"/>
      <c r="T467" s="130"/>
      <c r="U467" s="130"/>
      <c r="V467" s="2107"/>
      <c r="W467" s="684">
        <v>1</v>
      </c>
      <c r="X467" s="684">
        <v>1</v>
      </c>
      <c r="Y467" s="684"/>
      <c r="Z467" s="684"/>
      <c r="AA467" s="684"/>
      <c r="AB467" s="684"/>
      <c r="AC467" s="684"/>
      <c r="AD467" s="684"/>
      <c r="AE467" s="684"/>
      <c r="AF467" s="684"/>
      <c r="AG467" s="684"/>
    </row>
    <row r="468" spans="1:33" s="56" customFormat="1" hidden="1" outlineLevel="1" x14ac:dyDescent="0.25">
      <c r="A468" s="597"/>
      <c r="B468" s="251"/>
      <c r="C468" s="616"/>
      <c r="D468" s="2101"/>
      <c r="E468" s="2104"/>
      <c r="F468" s="2150" t="str">
        <f t="shared" si="40"/>
        <v>Ductless ASHP Replace Electric Resistance ER1 SF</v>
      </c>
      <c r="G468" s="2151"/>
      <c r="H468" s="2152"/>
      <c r="I468" s="709"/>
      <c r="J468" s="684">
        <v>1</v>
      </c>
      <c r="K468" s="685"/>
      <c r="L468" s="664"/>
      <c r="M468" s="1662"/>
      <c r="N468" s="251"/>
      <c r="O468" s="251"/>
      <c r="P468" s="251"/>
      <c r="Q468" s="251"/>
      <c r="R468" s="251"/>
      <c r="S468" s="251"/>
      <c r="T468" s="130"/>
      <c r="U468" s="130"/>
      <c r="V468" s="2107"/>
      <c r="W468" s="684">
        <v>1</v>
      </c>
      <c r="X468" s="684">
        <v>1</v>
      </c>
      <c r="Y468" s="684"/>
      <c r="Z468" s="684"/>
      <c r="AA468" s="684"/>
      <c r="AB468" s="684"/>
      <c r="AC468" s="684"/>
      <c r="AD468" s="684"/>
      <c r="AE468" s="684"/>
      <c r="AF468" s="684"/>
      <c r="AG468" s="684"/>
    </row>
    <row r="469" spans="1:33" s="56" customFormat="1" hidden="1" outlineLevel="1" x14ac:dyDescent="0.25">
      <c r="A469" s="597"/>
      <c r="B469" s="251"/>
      <c r="C469" s="616"/>
      <c r="D469" s="2101"/>
      <c r="E469" s="2104"/>
      <c r="F469" s="2150" t="str">
        <f t="shared" si="40"/>
        <v>Ductless ASHP Replace Electric Resistance ER2 SF</v>
      </c>
      <c r="G469" s="2151"/>
      <c r="H469" s="2152"/>
      <c r="I469" s="709"/>
      <c r="J469" s="684">
        <v>1</v>
      </c>
      <c r="K469" s="685"/>
      <c r="L469" s="664"/>
      <c r="M469" s="1662"/>
      <c r="N469" s="251"/>
      <c r="O469" s="251"/>
      <c r="P469" s="251"/>
      <c r="Q469" s="251"/>
      <c r="R469" s="251"/>
      <c r="S469" s="251"/>
      <c r="T469" s="130"/>
      <c r="U469" s="130"/>
      <c r="V469" s="2107"/>
      <c r="W469" s="684">
        <v>1</v>
      </c>
      <c r="X469" s="684">
        <v>1</v>
      </c>
      <c r="Y469" s="684"/>
      <c r="Z469" s="684"/>
      <c r="AA469" s="684"/>
      <c r="AB469" s="684"/>
      <c r="AC469" s="684"/>
      <c r="AD469" s="684"/>
      <c r="AE469" s="684"/>
      <c r="AF469" s="684"/>
      <c r="AG469" s="684"/>
    </row>
    <row r="470" spans="1:33" s="56" customFormat="1" hidden="1" outlineLevel="1" x14ac:dyDescent="0.25">
      <c r="A470" s="597"/>
      <c r="B470" s="251"/>
      <c r="C470" s="616"/>
      <c r="D470" s="2101"/>
      <c r="E470" s="2104"/>
      <c r="F470" s="2150" t="str">
        <f t="shared" si="40"/>
        <v>Ductless ASHP Replace Electric Resistance ER2 SF</v>
      </c>
      <c r="G470" s="2151"/>
      <c r="H470" s="2152"/>
      <c r="I470" s="709"/>
      <c r="J470" s="684">
        <v>1</v>
      </c>
      <c r="K470" s="685"/>
      <c r="L470" s="664"/>
      <c r="M470" s="1662"/>
      <c r="N470" s="251"/>
      <c r="O470" s="251"/>
      <c r="P470" s="251"/>
      <c r="Q470" s="251"/>
      <c r="R470" s="251"/>
      <c r="S470" s="251"/>
      <c r="T470" s="130"/>
      <c r="U470" s="130"/>
      <c r="V470" s="2107"/>
      <c r="W470" s="684">
        <v>1</v>
      </c>
      <c r="X470" s="684">
        <v>1</v>
      </c>
      <c r="Y470" s="684"/>
      <c r="Z470" s="684"/>
      <c r="AA470" s="684"/>
      <c r="AB470" s="684"/>
      <c r="AC470" s="684"/>
      <c r="AD470" s="684"/>
      <c r="AE470" s="684"/>
      <c r="AF470" s="684"/>
      <c r="AG470" s="684"/>
    </row>
    <row r="471" spans="1:33" s="56" customFormat="1" hidden="1" outlineLevel="1" x14ac:dyDescent="0.25">
      <c r="A471" s="597"/>
      <c r="B471" s="251"/>
      <c r="C471" s="616"/>
      <c r="D471" s="2101"/>
      <c r="E471" s="2104"/>
      <c r="F471" s="2150" t="str">
        <f t="shared" si="40"/>
        <v>Ductless ASHP Replace Electric Resistance ROF</v>
      </c>
      <c r="G471" s="2151"/>
      <c r="H471" s="2152"/>
      <c r="I471" s="709"/>
      <c r="J471" s="684">
        <v>1</v>
      </c>
      <c r="K471" s="685"/>
      <c r="L471" s="664"/>
      <c r="M471" s="1662"/>
      <c r="N471" s="251"/>
      <c r="O471" s="251"/>
      <c r="P471" s="251"/>
      <c r="Q471" s="251"/>
      <c r="R471" s="251"/>
      <c r="S471" s="251"/>
      <c r="T471" s="130"/>
      <c r="U471" s="130"/>
      <c r="V471" s="2107"/>
      <c r="W471" s="684">
        <v>1</v>
      </c>
      <c r="X471" s="684">
        <v>1</v>
      </c>
      <c r="Y471" s="684"/>
      <c r="Z471" s="684"/>
      <c r="AA471" s="684"/>
      <c r="AB471" s="684"/>
      <c r="AC471" s="684"/>
      <c r="AD471" s="684"/>
      <c r="AE471" s="684"/>
      <c r="AF471" s="684"/>
      <c r="AG471" s="684"/>
    </row>
    <row r="472" spans="1:33" s="56" customFormat="1" hidden="1" outlineLevel="1" x14ac:dyDescent="0.25">
      <c r="A472" s="597"/>
      <c r="B472" s="251"/>
      <c r="C472" s="616"/>
      <c r="D472" s="2101"/>
      <c r="E472" s="2104"/>
      <c r="F472" s="2150" t="str">
        <f t="shared" si="40"/>
        <v>Ductless ASHP Replace Electric Resistance ROF</v>
      </c>
      <c r="G472" s="2151"/>
      <c r="H472" s="2152"/>
      <c r="I472" s="709"/>
      <c r="J472" s="684">
        <v>1</v>
      </c>
      <c r="K472" s="685"/>
      <c r="L472" s="664"/>
      <c r="M472" s="1662"/>
      <c r="N472" s="251"/>
      <c r="O472" s="251"/>
      <c r="P472" s="251"/>
      <c r="Q472" s="251"/>
      <c r="R472" s="251"/>
      <c r="S472" s="251"/>
      <c r="T472" s="130"/>
      <c r="U472" s="130"/>
      <c r="V472" s="2107"/>
      <c r="W472" s="684">
        <v>1</v>
      </c>
      <c r="X472" s="684">
        <v>1</v>
      </c>
      <c r="Y472" s="684"/>
      <c r="Z472" s="684"/>
      <c r="AA472" s="684"/>
      <c r="AB472" s="684"/>
      <c r="AC472" s="684"/>
      <c r="AD472" s="684"/>
      <c r="AE472" s="684"/>
      <c r="AF472" s="684"/>
      <c r="AG472" s="684"/>
    </row>
    <row r="473" spans="1:33" s="56" customFormat="1" hidden="1" outlineLevel="1" x14ac:dyDescent="0.25">
      <c r="A473" s="597"/>
      <c r="B473" s="251"/>
      <c r="C473" s="616"/>
      <c r="D473" s="2101"/>
      <c r="E473" s="2104"/>
      <c r="F473" s="2150" t="str">
        <f>E350</f>
        <v>Ductless ASHP ER1 SF</v>
      </c>
      <c r="G473" s="2151"/>
      <c r="H473" s="2152"/>
      <c r="I473" s="709"/>
      <c r="J473" s="684">
        <v>1</v>
      </c>
      <c r="K473" s="685"/>
      <c r="L473" s="664"/>
      <c r="M473" s="1662"/>
      <c r="N473" s="251"/>
      <c r="O473" s="251"/>
      <c r="P473" s="251"/>
      <c r="Q473" s="251"/>
      <c r="R473" s="251"/>
      <c r="S473" s="251"/>
      <c r="T473" s="130"/>
      <c r="U473" s="130"/>
      <c r="V473" s="2107"/>
      <c r="W473" s="684">
        <v>1</v>
      </c>
      <c r="X473" s="684">
        <v>1</v>
      </c>
      <c r="Y473" s="684"/>
      <c r="Z473" s="684"/>
      <c r="AA473" s="684"/>
      <c r="AB473" s="684"/>
      <c r="AC473" s="684"/>
      <c r="AD473" s="684"/>
      <c r="AE473" s="684"/>
      <c r="AF473" s="684"/>
      <c r="AG473" s="684"/>
    </row>
    <row r="474" spans="1:33" s="56" customFormat="1" hidden="1" outlineLevel="1" x14ac:dyDescent="0.25">
      <c r="A474" s="597"/>
      <c r="B474" s="251"/>
      <c r="C474" s="616"/>
      <c r="D474" s="2101"/>
      <c r="E474" s="2104"/>
      <c r="F474" s="2150" t="str">
        <f t="shared" si="40"/>
        <v>Ductless ASHP ER1 SF</v>
      </c>
      <c r="G474" s="2151"/>
      <c r="H474" s="2152"/>
      <c r="I474" s="709"/>
      <c r="J474" s="684">
        <v>1</v>
      </c>
      <c r="K474" s="685"/>
      <c r="L474" s="664"/>
      <c r="M474" s="1662"/>
      <c r="N474" s="251"/>
      <c r="O474" s="251"/>
      <c r="P474" s="251"/>
      <c r="Q474" s="251"/>
      <c r="R474" s="251"/>
      <c r="S474" s="251"/>
      <c r="T474" s="130"/>
      <c r="U474" s="130"/>
      <c r="V474" s="2107"/>
      <c r="W474" s="684">
        <v>1</v>
      </c>
      <c r="X474" s="684">
        <v>1</v>
      </c>
      <c r="Y474" s="684"/>
      <c r="Z474" s="684"/>
      <c r="AA474" s="684"/>
      <c r="AB474" s="684"/>
      <c r="AC474" s="684"/>
      <c r="AD474" s="684"/>
      <c r="AE474" s="684"/>
      <c r="AF474" s="684"/>
      <c r="AG474" s="684"/>
    </row>
    <row r="475" spans="1:33" s="56" customFormat="1" hidden="1" outlineLevel="1" x14ac:dyDescent="0.25">
      <c r="A475" s="597"/>
      <c r="B475" s="251"/>
      <c r="C475" s="616"/>
      <c r="D475" s="2101"/>
      <c r="E475" s="2104"/>
      <c r="F475" s="2150" t="str">
        <f t="shared" si="40"/>
        <v>Ductless ASHP ER2 SF</v>
      </c>
      <c r="G475" s="2151"/>
      <c r="H475" s="2152"/>
      <c r="I475" s="709"/>
      <c r="J475" s="684">
        <v>1</v>
      </c>
      <c r="K475" s="685"/>
      <c r="L475" s="664"/>
      <c r="M475" s="1662"/>
      <c r="N475" s="251"/>
      <c r="O475" s="251"/>
      <c r="P475" s="251"/>
      <c r="Q475" s="251"/>
      <c r="R475" s="251"/>
      <c r="S475" s="251"/>
      <c r="T475" s="130"/>
      <c r="U475" s="130"/>
      <c r="V475" s="2107"/>
      <c r="W475" s="684">
        <v>1</v>
      </c>
      <c r="X475" s="684">
        <v>1</v>
      </c>
      <c r="Y475" s="684"/>
      <c r="Z475" s="684"/>
      <c r="AA475" s="684"/>
      <c r="AB475" s="684"/>
      <c r="AC475" s="684"/>
      <c r="AD475" s="684"/>
      <c r="AE475" s="684"/>
      <c r="AF475" s="684"/>
      <c r="AG475" s="684"/>
    </row>
    <row r="476" spans="1:33" s="56" customFormat="1" hidden="1" outlineLevel="1" x14ac:dyDescent="0.25">
      <c r="A476" s="597"/>
      <c r="B476" s="251"/>
      <c r="C476" s="616"/>
      <c r="D476" s="2101"/>
      <c r="E476" s="2104"/>
      <c r="F476" s="2150" t="str">
        <f t="shared" si="40"/>
        <v>Ductless ASHP ER2 SF</v>
      </c>
      <c r="G476" s="2151"/>
      <c r="H476" s="2152"/>
      <c r="I476" s="709"/>
      <c r="J476" s="684">
        <v>1</v>
      </c>
      <c r="K476" s="685"/>
      <c r="L476" s="664"/>
      <c r="M476" s="1662"/>
      <c r="N476" s="251"/>
      <c r="O476" s="251"/>
      <c r="P476" s="251"/>
      <c r="Q476" s="251"/>
      <c r="R476" s="251"/>
      <c r="S476" s="251"/>
      <c r="T476" s="130"/>
      <c r="U476" s="130"/>
      <c r="V476" s="2107"/>
      <c r="W476" s="684">
        <v>1</v>
      </c>
      <c r="X476" s="684">
        <v>1</v>
      </c>
      <c r="Y476" s="684"/>
      <c r="Z476" s="684"/>
      <c r="AA476" s="684"/>
      <c r="AB476" s="684"/>
      <c r="AC476" s="684"/>
      <c r="AD476" s="684"/>
      <c r="AE476" s="684"/>
      <c r="AF476" s="684"/>
      <c r="AG476" s="684"/>
    </row>
    <row r="477" spans="1:33" s="56" customFormat="1" hidden="1" outlineLevel="1" x14ac:dyDescent="0.25">
      <c r="A477" s="597"/>
      <c r="B477" s="251"/>
      <c r="C477" s="616"/>
      <c r="D477" s="2101"/>
      <c r="E477" s="2104"/>
      <c r="F477" s="2150" t="str">
        <f t="shared" si="40"/>
        <v>Ductless AC - ER1 MF</v>
      </c>
      <c r="G477" s="2151"/>
      <c r="H477" s="2152"/>
      <c r="I477" s="709"/>
      <c r="J477" s="684">
        <v>0.65</v>
      </c>
      <c r="K477" s="685"/>
      <c r="L477" s="664"/>
      <c r="M477" s="1662"/>
      <c r="N477" s="251"/>
      <c r="O477" s="251"/>
      <c r="P477" s="251"/>
      <c r="Q477" s="251"/>
      <c r="R477" s="251"/>
      <c r="S477" s="251"/>
      <c r="T477" s="130"/>
      <c r="U477" s="130"/>
      <c r="V477" s="2107"/>
      <c r="W477" s="684">
        <v>0.65</v>
      </c>
      <c r="X477" s="684">
        <v>0.65</v>
      </c>
      <c r="Y477" s="684"/>
      <c r="Z477" s="684"/>
      <c r="AA477" s="684"/>
      <c r="AB477" s="684"/>
      <c r="AC477" s="684"/>
      <c r="AD477" s="684"/>
      <c r="AE477" s="684"/>
      <c r="AF477" s="684"/>
      <c r="AG477" s="684"/>
    </row>
    <row r="478" spans="1:33" s="56" customFormat="1" hidden="1" outlineLevel="1" x14ac:dyDescent="0.25">
      <c r="A478" s="597"/>
      <c r="B478" s="251"/>
      <c r="C478" s="616"/>
      <c r="D478" s="2101"/>
      <c r="E478" s="2104"/>
      <c r="F478" s="2150" t="str">
        <f t="shared" si="40"/>
        <v>Ductless AC - ER2 MF</v>
      </c>
      <c r="G478" s="2151"/>
      <c r="H478" s="2152"/>
      <c r="I478" s="709"/>
      <c r="J478" s="684">
        <v>0.65</v>
      </c>
      <c r="K478" s="685"/>
      <c r="L478" s="664"/>
      <c r="M478" s="1662"/>
      <c r="N478" s="251"/>
      <c r="O478" s="251"/>
      <c r="P478" s="251"/>
      <c r="Q478" s="251"/>
      <c r="R478" s="251"/>
      <c r="S478" s="251"/>
      <c r="T478" s="130"/>
      <c r="U478" s="130"/>
      <c r="V478" s="2107"/>
      <c r="W478" s="684">
        <v>0.65</v>
      </c>
      <c r="X478" s="684">
        <v>0.65</v>
      </c>
      <c r="Y478" s="684"/>
      <c r="Z478" s="684"/>
      <c r="AA478" s="684"/>
      <c r="AB478" s="684"/>
      <c r="AC478" s="684"/>
      <c r="AD478" s="684"/>
      <c r="AE478" s="684"/>
      <c r="AF478" s="684"/>
      <c r="AG478" s="684"/>
    </row>
    <row r="479" spans="1:33" s="56" customFormat="1" hidden="1" outlineLevel="1" x14ac:dyDescent="0.25">
      <c r="A479" s="597"/>
      <c r="B479" s="251"/>
      <c r="C479" s="616"/>
      <c r="D479" s="2101"/>
      <c r="E479" s="2104"/>
      <c r="F479" s="2150" t="str">
        <f t="shared" si="40"/>
        <v>Ductless AC - ROF MF</v>
      </c>
      <c r="G479" s="2151"/>
      <c r="H479" s="2152"/>
      <c r="I479" s="709"/>
      <c r="J479" s="684">
        <v>0.65</v>
      </c>
      <c r="K479" s="685"/>
      <c r="L479" s="664"/>
      <c r="M479" s="1662"/>
      <c r="N479" s="251"/>
      <c r="O479" s="251"/>
      <c r="P479" s="251"/>
      <c r="Q479" s="251"/>
      <c r="R479" s="251"/>
      <c r="S479" s="251"/>
      <c r="T479" s="130"/>
      <c r="U479" s="130"/>
      <c r="V479" s="2107"/>
      <c r="W479" s="684">
        <v>0.65</v>
      </c>
      <c r="X479" s="684">
        <v>0.65</v>
      </c>
      <c r="Y479" s="684"/>
      <c r="Z479" s="684"/>
      <c r="AA479" s="684"/>
      <c r="AB479" s="684"/>
      <c r="AC479" s="684"/>
      <c r="AD479" s="684"/>
      <c r="AE479" s="684"/>
      <c r="AF479" s="684"/>
      <c r="AG479" s="684"/>
    </row>
    <row r="480" spans="1:33" s="56" customFormat="1" hidden="1" outlineLevel="1" x14ac:dyDescent="0.25">
      <c r="A480" s="597"/>
      <c r="B480" s="251"/>
      <c r="C480" s="616"/>
      <c r="D480" s="2101"/>
      <c r="E480" s="2104"/>
      <c r="F480" s="2150" t="str">
        <f t="shared" si="40"/>
        <v>Ductless ASHP - ROF MF NC</v>
      </c>
      <c r="G480" s="2151"/>
      <c r="H480" s="2152"/>
      <c r="I480" s="709"/>
      <c r="J480" s="684">
        <v>0.65</v>
      </c>
      <c r="K480" s="685"/>
      <c r="L480" s="664"/>
      <c r="M480" s="1662"/>
      <c r="N480" s="251"/>
      <c r="O480" s="251"/>
      <c r="P480" s="251"/>
      <c r="Q480" s="251"/>
      <c r="R480" s="251"/>
      <c r="S480" s="251"/>
      <c r="T480" s="130"/>
      <c r="U480" s="130"/>
      <c r="V480" s="2107"/>
      <c r="W480" s="684">
        <v>0.65</v>
      </c>
      <c r="X480" s="684">
        <v>0.65</v>
      </c>
      <c r="Y480" s="684"/>
      <c r="Z480" s="684"/>
      <c r="AA480" s="684"/>
      <c r="AB480" s="684"/>
      <c r="AC480" s="684"/>
      <c r="AD480" s="684"/>
      <c r="AE480" s="684"/>
      <c r="AF480" s="684"/>
      <c r="AG480" s="684"/>
    </row>
    <row r="481" spans="1:33" s="56" customFormat="1" hidden="1" outlineLevel="1" x14ac:dyDescent="0.25">
      <c r="A481" s="597"/>
      <c r="B481" s="251"/>
      <c r="C481" s="616"/>
      <c r="D481" s="2101"/>
      <c r="E481" s="2104"/>
      <c r="F481" s="2150" t="str">
        <f t="shared" si="40"/>
        <v>Ductless ASHP - ROF MF NC</v>
      </c>
      <c r="G481" s="2151"/>
      <c r="H481" s="2152"/>
      <c r="I481" s="709"/>
      <c r="J481" s="684">
        <v>0.65</v>
      </c>
      <c r="K481" s="685"/>
      <c r="L481" s="664"/>
      <c r="M481" s="1662"/>
      <c r="N481" s="251"/>
      <c r="O481" s="251"/>
      <c r="P481" s="251"/>
      <c r="Q481" s="251"/>
      <c r="R481" s="251"/>
      <c r="S481" s="251"/>
      <c r="T481" s="130"/>
      <c r="U481" s="130"/>
      <c r="V481" s="2107"/>
      <c r="W481" s="684">
        <v>0.65</v>
      </c>
      <c r="X481" s="684">
        <v>0.65</v>
      </c>
      <c r="Y481" s="684"/>
      <c r="Z481" s="684"/>
      <c r="AA481" s="684"/>
      <c r="AB481" s="684"/>
      <c r="AC481" s="684"/>
      <c r="AD481" s="684"/>
      <c r="AE481" s="684"/>
      <c r="AF481" s="684"/>
      <c r="AG481" s="684"/>
    </row>
    <row r="482" spans="1:33" s="56" customFormat="1" hidden="1" outlineLevel="1" x14ac:dyDescent="0.25">
      <c r="A482" s="597"/>
      <c r="B482" s="251"/>
      <c r="C482" s="616"/>
      <c r="D482" s="2101"/>
      <c r="E482" s="2104"/>
      <c r="F482" s="2150" t="str">
        <f t="shared" si="40"/>
        <v>Ductless ASHP - ROF MF</v>
      </c>
      <c r="G482" s="2151"/>
      <c r="H482" s="2152"/>
      <c r="I482" s="709"/>
      <c r="J482" s="684">
        <v>0.65</v>
      </c>
      <c r="K482" s="685"/>
      <c r="L482" s="664"/>
      <c r="M482" s="1662"/>
      <c r="N482" s="251"/>
      <c r="O482" s="251"/>
      <c r="P482" s="251"/>
      <c r="Q482" s="251"/>
      <c r="R482" s="251"/>
      <c r="S482" s="251"/>
      <c r="T482" s="130"/>
      <c r="U482" s="130"/>
      <c r="V482" s="2107"/>
      <c r="W482" s="684">
        <v>0.65</v>
      </c>
      <c r="X482" s="684">
        <v>0.65</v>
      </c>
      <c r="Y482" s="684"/>
      <c r="Z482" s="684"/>
      <c r="AA482" s="684"/>
      <c r="AB482" s="684"/>
      <c r="AC482" s="684"/>
      <c r="AD482" s="684"/>
      <c r="AE482" s="684"/>
      <c r="AF482" s="684"/>
      <c r="AG482" s="684"/>
    </row>
    <row r="483" spans="1:33" s="56" customFormat="1" hidden="1" outlineLevel="1" x14ac:dyDescent="0.25">
      <c r="A483" s="597"/>
      <c r="B483" s="251"/>
      <c r="C483" s="616"/>
      <c r="D483" s="2101"/>
      <c r="E483" s="2104"/>
      <c r="F483" s="2150" t="str">
        <f t="shared" si="40"/>
        <v>Ductless ASHP - ROF MF</v>
      </c>
      <c r="G483" s="2151"/>
      <c r="H483" s="2152"/>
      <c r="I483" s="709"/>
      <c r="J483" s="684">
        <v>0.65</v>
      </c>
      <c r="K483" s="685"/>
      <c r="L483" s="664"/>
      <c r="M483" s="1662"/>
      <c r="N483" s="251"/>
      <c r="O483" s="251"/>
      <c r="P483" s="251"/>
      <c r="Q483" s="251"/>
      <c r="R483" s="251"/>
      <c r="S483" s="251"/>
      <c r="T483" s="130"/>
      <c r="U483" s="130"/>
      <c r="V483" s="2107"/>
      <c r="W483" s="684">
        <v>0.65</v>
      </c>
      <c r="X483" s="684">
        <v>0.65</v>
      </c>
      <c r="Y483" s="684"/>
      <c r="Z483" s="684"/>
      <c r="AA483" s="684"/>
      <c r="AB483" s="684"/>
      <c r="AC483" s="684"/>
      <c r="AD483" s="684"/>
      <c r="AE483" s="684"/>
      <c r="AF483" s="684"/>
      <c r="AG483" s="684"/>
    </row>
    <row r="484" spans="1:33" s="56" customFormat="1" hidden="1" outlineLevel="1" x14ac:dyDescent="0.25">
      <c r="A484" s="597"/>
      <c r="B484" s="251"/>
      <c r="C484" s="616"/>
      <c r="D484" s="2101"/>
      <c r="E484" s="2104"/>
      <c r="F484" s="2150" t="str">
        <f t="shared" si="40"/>
        <v>Ductless ASHP Replace Electric Resistance ER1 MF</v>
      </c>
      <c r="G484" s="2151"/>
      <c r="H484" s="2152"/>
      <c r="I484" s="709"/>
      <c r="J484" s="684">
        <v>0.65</v>
      </c>
      <c r="K484" s="685"/>
      <c r="L484" s="664"/>
      <c r="M484" s="1662"/>
      <c r="N484" s="251"/>
      <c r="O484" s="251"/>
      <c r="P484" s="251"/>
      <c r="Q484" s="251"/>
      <c r="R484" s="251"/>
      <c r="S484" s="251"/>
      <c r="T484" s="130"/>
      <c r="U484" s="130"/>
      <c r="V484" s="2107"/>
      <c r="W484" s="684">
        <v>0.65</v>
      </c>
      <c r="X484" s="684">
        <v>0.65</v>
      </c>
      <c r="Y484" s="684"/>
      <c r="Z484" s="684"/>
      <c r="AA484" s="684"/>
      <c r="AB484" s="684"/>
      <c r="AC484" s="684"/>
      <c r="AD484" s="684"/>
      <c r="AE484" s="684"/>
      <c r="AF484" s="684"/>
      <c r="AG484" s="684"/>
    </row>
    <row r="485" spans="1:33" s="56" customFormat="1" hidden="1" outlineLevel="1" x14ac:dyDescent="0.25">
      <c r="A485" s="597"/>
      <c r="B485" s="251"/>
      <c r="C485" s="616"/>
      <c r="D485" s="2101"/>
      <c r="E485" s="2104"/>
      <c r="F485" s="2150" t="str">
        <f t="shared" si="40"/>
        <v>Ductless ASHP Replace Electric Resistance ER1 MF</v>
      </c>
      <c r="G485" s="2151"/>
      <c r="H485" s="2152"/>
      <c r="I485" s="709"/>
      <c r="J485" s="684">
        <v>0.65</v>
      </c>
      <c r="K485" s="685"/>
      <c r="L485" s="664"/>
      <c r="M485" s="1662"/>
      <c r="N485" s="251"/>
      <c r="O485" s="251"/>
      <c r="P485" s="251"/>
      <c r="Q485" s="251"/>
      <c r="R485" s="251"/>
      <c r="S485" s="251"/>
      <c r="T485" s="130"/>
      <c r="U485" s="130"/>
      <c r="V485" s="2107"/>
      <c r="W485" s="684">
        <v>0.65</v>
      </c>
      <c r="X485" s="684">
        <v>0.65</v>
      </c>
      <c r="Y485" s="684"/>
      <c r="Z485" s="684"/>
      <c r="AA485" s="684"/>
      <c r="AB485" s="684"/>
      <c r="AC485" s="684"/>
      <c r="AD485" s="684"/>
      <c r="AE485" s="684"/>
      <c r="AF485" s="684"/>
      <c r="AG485" s="684"/>
    </row>
    <row r="486" spans="1:33" s="56" customFormat="1" hidden="1" outlineLevel="1" x14ac:dyDescent="0.25">
      <c r="A486" s="597"/>
      <c r="B486" s="251"/>
      <c r="C486" s="616"/>
      <c r="D486" s="2101"/>
      <c r="E486" s="2104"/>
      <c r="F486" s="2150" t="str">
        <f t="shared" si="40"/>
        <v>Ductless ASHP Replace Electric Resistance ER2 MF</v>
      </c>
      <c r="G486" s="2151"/>
      <c r="H486" s="2152"/>
      <c r="I486" s="709"/>
      <c r="J486" s="684">
        <v>0.65</v>
      </c>
      <c r="K486" s="685"/>
      <c r="L486" s="664"/>
      <c r="M486" s="1662"/>
      <c r="N486" s="251"/>
      <c r="O486" s="251"/>
      <c r="P486" s="251"/>
      <c r="Q486" s="251"/>
      <c r="R486" s="251"/>
      <c r="S486" s="251"/>
      <c r="T486" s="130"/>
      <c r="U486" s="130"/>
      <c r="V486" s="2107"/>
      <c r="W486" s="684">
        <v>0.65</v>
      </c>
      <c r="X486" s="684">
        <v>0.65</v>
      </c>
      <c r="Y486" s="684"/>
      <c r="Z486" s="684"/>
      <c r="AA486" s="684"/>
      <c r="AB486" s="684"/>
      <c r="AC486" s="684"/>
      <c r="AD486" s="684"/>
      <c r="AE486" s="684"/>
      <c r="AF486" s="684"/>
      <c r="AG486" s="684"/>
    </row>
    <row r="487" spans="1:33" s="56" customFormat="1" hidden="1" outlineLevel="1" x14ac:dyDescent="0.25">
      <c r="A487" s="597"/>
      <c r="B487" s="251"/>
      <c r="C487" s="616"/>
      <c r="D487" s="2101"/>
      <c r="E487" s="2104"/>
      <c r="F487" s="2150" t="str">
        <f t="shared" si="40"/>
        <v>Ductless ASHP Replace Electric Resistance ER2 MF</v>
      </c>
      <c r="G487" s="2151"/>
      <c r="H487" s="2152"/>
      <c r="I487" s="709"/>
      <c r="J487" s="684">
        <v>0.65</v>
      </c>
      <c r="K487" s="685"/>
      <c r="L487" s="664"/>
      <c r="M487" s="1662"/>
      <c r="N487" s="251"/>
      <c r="O487" s="251"/>
      <c r="P487" s="251"/>
      <c r="Q487" s="251"/>
      <c r="R487" s="251"/>
      <c r="S487" s="251"/>
      <c r="T487" s="130"/>
      <c r="U487" s="130"/>
      <c r="V487" s="2107"/>
      <c r="W487" s="684">
        <v>0.65</v>
      </c>
      <c r="X487" s="684">
        <v>0.65</v>
      </c>
      <c r="Y487" s="684"/>
      <c r="Z487" s="684"/>
      <c r="AA487" s="684"/>
      <c r="AB487" s="684"/>
      <c r="AC487" s="684"/>
      <c r="AD487" s="684"/>
      <c r="AE487" s="684"/>
      <c r="AF487" s="684"/>
      <c r="AG487" s="684"/>
    </row>
    <row r="488" spans="1:33" s="56" customFormat="1" hidden="1" outlineLevel="1" x14ac:dyDescent="0.25">
      <c r="A488" s="597"/>
      <c r="B488" s="251"/>
      <c r="C488" s="616"/>
      <c r="D488" s="2101"/>
      <c r="E488" s="2104"/>
      <c r="F488" s="2150" t="str">
        <f t="shared" si="40"/>
        <v>Ductless ASHP Replace Electric Resistance ROF MF</v>
      </c>
      <c r="G488" s="2151"/>
      <c r="H488" s="2152"/>
      <c r="I488" s="709"/>
      <c r="J488" s="684">
        <v>0.65</v>
      </c>
      <c r="K488" s="685"/>
      <c r="L488" s="664"/>
      <c r="M488" s="1662"/>
      <c r="N488" s="251"/>
      <c r="O488" s="251"/>
      <c r="P488" s="251"/>
      <c r="Q488" s="251"/>
      <c r="R488" s="251"/>
      <c r="S488" s="251"/>
      <c r="T488" s="130"/>
      <c r="U488" s="130"/>
      <c r="V488" s="2107"/>
      <c r="W488" s="684">
        <v>0.65</v>
      </c>
      <c r="X488" s="684">
        <v>0.65</v>
      </c>
      <c r="Y488" s="684"/>
      <c r="Z488" s="684"/>
      <c r="AA488" s="684"/>
      <c r="AB488" s="684"/>
      <c r="AC488" s="684"/>
      <c r="AD488" s="684"/>
      <c r="AE488" s="684"/>
      <c r="AF488" s="684"/>
      <c r="AG488" s="684"/>
    </row>
    <row r="489" spans="1:33" s="56" customFormat="1" hidden="1" outlineLevel="1" x14ac:dyDescent="0.25">
      <c r="A489" s="597"/>
      <c r="B489" s="251"/>
      <c r="C489" s="616"/>
      <c r="D489" s="2101"/>
      <c r="E489" s="2104"/>
      <c r="F489" s="2150" t="str">
        <f t="shared" si="40"/>
        <v>Ductless ASHP Replace Electric Resistance ROF MF</v>
      </c>
      <c r="G489" s="2151"/>
      <c r="H489" s="2152"/>
      <c r="I489" s="709"/>
      <c r="J489" s="684">
        <v>0.65</v>
      </c>
      <c r="K489" s="685"/>
      <c r="L489" s="664"/>
      <c r="M489" s="1662"/>
      <c r="N489" s="251"/>
      <c r="O489" s="251"/>
      <c r="P489" s="251"/>
      <c r="Q489" s="251"/>
      <c r="R489" s="251"/>
      <c r="S489" s="251"/>
      <c r="T489" s="130"/>
      <c r="U489" s="130"/>
      <c r="V489" s="2107"/>
      <c r="W489" s="684">
        <v>0.65</v>
      </c>
      <c r="X489" s="684">
        <v>0.65</v>
      </c>
      <c r="Y489" s="684"/>
      <c r="Z489" s="684"/>
      <c r="AA489" s="684"/>
      <c r="AB489" s="684"/>
      <c r="AC489" s="684"/>
      <c r="AD489" s="684"/>
      <c r="AE489" s="684"/>
      <c r="AF489" s="684"/>
      <c r="AG489" s="684"/>
    </row>
    <row r="490" spans="1:33" s="56" customFormat="1" hidden="1" outlineLevel="1" x14ac:dyDescent="0.25">
      <c r="A490" s="597"/>
      <c r="B490" s="251"/>
      <c r="C490" s="616"/>
      <c r="D490" s="2101"/>
      <c r="E490" s="2104"/>
      <c r="F490" s="2150" t="str">
        <f t="shared" si="40"/>
        <v>Ductless ASHP ER1 MF</v>
      </c>
      <c r="G490" s="2151"/>
      <c r="H490" s="2152"/>
      <c r="I490" s="709"/>
      <c r="J490" s="684">
        <v>0.65</v>
      </c>
      <c r="K490" s="685"/>
      <c r="L490" s="664"/>
      <c r="M490" s="1662"/>
      <c r="N490" s="251"/>
      <c r="O490" s="251"/>
      <c r="P490" s="251"/>
      <c r="Q490" s="251"/>
      <c r="R490" s="251"/>
      <c r="S490" s="251"/>
      <c r="T490" s="130"/>
      <c r="U490" s="130"/>
      <c r="V490" s="2107"/>
      <c r="W490" s="684">
        <v>0.65</v>
      </c>
      <c r="X490" s="684">
        <v>0.65</v>
      </c>
      <c r="Y490" s="684"/>
      <c r="Z490" s="684"/>
      <c r="AA490" s="684"/>
      <c r="AB490" s="684"/>
      <c r="AC490" s="684"/>
      <c r="AD490" s="684"/>
      <c r="AE490" s="684"/>
      <c r="AF490" s="684"/>
      <c r="AG490" s="684"/>
    </row>
    <row r="491" spans="1:33" s="56" customFormat="1" hidden="1" outlineLevel="1" x14ac:dyDescent="0.25">
      <c r="A491" s="597"/>
      <c r="B491" s="251"/>
      <c r="C491" s="616"/>
      <c r="D491" s="2101"/>
      <c r="E491" s="2104"/>
      <c r="F491" s="2150" t="str">
        <f t="shared" si="40"/>
        <v>Ductless ASHP ER1 MF</v>
      </c>
      <c r="G491" s="2151"/>
      <c r="H491" s="2152"/>
      <c r="I491" s="709"/>
      <c r="J491" s="684">
        <v>0.65</v>
      </c>
      <c r="K491" s="685"/>
      <c r="L491" s="664"/>
      <c r="M491" s="1662"/>
      <c r="N491" s="251"/>
      <c r="O491" s="251"/>
      <c r="P491" s="251"/>
      <c r="Q491" s="251"/>
      <c r="R491" s="251"/>
      <c r="S491" s="251"/>
      <c r="T491" s="130"/>
      <c r="U491" s="130"/>
      <c r="V491" s="2107"/>
      <c r="W491" s="684">
        <v>0.65</v>
      </c>
      <c r="X491" s="684">
        <v>0.65</v>
      </c>
      <c r="Y491" s="684"/>
      <c r="Z491" s="684"/>
      <c r="AA491" s="684"/>
      <c r="AB491" s="684"/>
      <c r="AC491" s="684"/>
      <c r="AD491" s="684"/>
      <c r="AE491" s="684"/>
      <c r="AF491" s="684"/>
      <c r="AG491" s="684"/>
    </row>
    <row r="492" spans="1:33" s="56" customFormat="1" hidden="1" outlineLevel="1" x14ac:dyDescent="0.25">
      <c r="A492" s="597"/>
      <c r="B492" s="251"/>
      <c r="C492" s="616"/>
      <c r="D492" s="2101"/>
      <c r="E492" s="2104"/>
      <c r="F492" s="2150" t="str">
        <f t="shared" si="40"/>
        <v>Ductless ASHP ER2 MF</v>
      </c>
      <c r="G492" s="2151"/>
      <c r="H492" s="2152"/>
      <c r="I492" s="709"/>
      <c r="J492" s="684">
        <v>0.65</v>
      </c>
      <c r="K492" s="685"/>
      <c r="L492" s="664"/>
      <c r="M492" s="1662"/>
      <c r="N492" s="251"/>
      <c r="O492" s="251"/>
      <c r="P492" s="251"/>
      <c r="Q492" s="251"/>
      <c r="R492" s="251"/>
      <c r="S492" s="251"/>
      <c r="T492" s="130"/>
      <c r="U492" s="130"/>
      <c r="V492" s="2107"/>
      <c r="W492" s="684">
        <v>0.65</v>
      </c>
      <c r="X492" s="684">
        <v>0.65</v>
      </c>
      <c r="Y492" s="684"/>
      <c r="Z492" s="684"/>
      <c r="AA492" s="684"/>
      <c r="AB492" s="684"/>
      <c r="AC492" s="684"/>
      <c r="AD492" s="684"/>
      <c r="AE492" s="684"/>
      <c r="AF492" s="684"/>
      <c r="AG492" s="684"/>
    </row>
    <row r="493" spans="1:33" s="56" customFormat="1" ht="15.75" hidden="1" outlineLevel="1" thickBot="1" x14ac:dyDescent="0.3">
      <c r="A493" s="597"/>
      <c r="B493" s="251"/>
      <c r="C493" s="616"/>
      <c r="D493" s="2102"/>
      <c r="E493" s="2105"/>
      <c r="F493" s="2153" t="str">
        <f t="shared" si="40"/>
        <v>Ductless ASHP ER2 MF</v>
      </c>
      <c r="G493" s="2154"/>
      <c r="H493" s="2155"/>
      <c r="I493" s="712"/>
      <c r="J493" s="686">
        <v>0.65</v>
      </c>
      <c r="K493" s="687"/>
      <c r="L493" s="672"/>
      <c r="M493" s="1662"/>
      <c r="N493" s="251"/>
      <c r="O493" s="251"/>
      <c r="P493" s="251"/>
      <c r="Q493" s="251"/>
      <c r="R493" s="251"/>
      <c r="S493" s="251"/>
      <c r="T493" s="130"/>
      <c r="U493" s="130"/>
      <c r="V493" s="2108"/>
      <c r="W493" s="686">
        <v>0.65</v>
      </c>
      <c r="X493" s="686">
        <v>0.65</v>
      </c>
      <c r="Y493" s="686"/>
      <c r="Z493" s="686"/>
      <c r="AA493" s="686"/>
      <c r="AB493" s="686"/>
      <c r="AC493" s="686"/>
      <c r="AD493" s="686"/>
      <c r="AE493" s="686"/>
      <c r="AF493" s="686"/>
      <c r="AG493" s="686"/>
    </row>
    <row r="494" spans="1:33" s="56" customFormat="1" ht="15" hidden="1" customHeight="1" outlineLevel="1" x14ac:dyDescent="0.25">
      <c r="A494" s="597"/>
      <c r="B494" s="251"/>
      <c r="C494" s="616"/>
      <c r="D494" s="2100" t="str">
        <f>D284</f>
        <v>EUL</v>
      </c>
      <c r="E494" s="2100" t="str">
        <f>E284</f>
        <v>End Useful Life</v>
      </c>
      <c r="F494" s="2156" t="str">
        <f>F460</f>
        <v>Ductless AC - ER1 SF</v>
      </c>
      <c r="G494" s="2157"/>
      <c r="H494" s="2158"/>
      <c r="I494" s="707"/>
      <c r="J494" s="688">
        <v>6</v>
      </c>
      <c r="K494" s="683"/>
      <c r="L494" s="661"/>
      <c r="M494" s="1662"/>
      <c r="N494" s="251"/>
      <c r="O494" s="251"/>
      <c r="P494" s="251"/>
      <c r="Q494" s="251"/>
      <c r="R494" s="251"/>
      <c r="S494" s="251"/>
      <c r="T494" s="130"/>
      <c r="U494" s="130"/>
      <c r="V494" s="2106" t="str">
        <f>D494</f>
        <v>EUL</v>
      </c>
      <c r="W494" s="689">
        <v>6</v>
      </c>
      <c r="X494" s="689">
        <v>6</v>
      </c>
      <c r="Y494" s="682"/>
      <c r="Z494" s="682"/>
      <c r="AA494" s="682"/>
      <c r="AB494" s="682"/>
      <c r="AC494" s="682"/>
      <c r="AD494" s="682"/>
      <c r="AE494" s="682"/>
      <c r="AF494" s="682"/>
      <c r="AG494" s="682"/>
    </row>
    <row r="495" spans="1:33" s="56" customFormat="1" hidden="1" outlineLevel="1" x14ac:dyDescent="0.25">
      <c r="A495" s="597"/>
      <c r="B495" s="251"/>
      <c r="C495" s="616"/>
      <c r="D495" s="2101"/>
      <c r="E495" s="2101"/>
      <c r="F495" s="2150" t="str">
        <f t="shared" ref="F495:F558" si="41">F461</f>
        <v>Ductless AC - ER2 SF</v>
      </c>
      <c r="G495" s="2151"/>
      <c r="H495" s="2152"/>
      <c r="I495" s="709"/>
      <c r="J495" s="690">
        <v>12</v>
      </c>
      <c r="K495" s="685"/>
      <c r="L495" s="664"/>
      <c r="M495" s="1662"/>
      <c r="N495" s="251"/>
      <c r="O495" s="251"/>
      <c r="P495" s="251"/>
      <c r="Q495" s="251"/>
      <c r="R495" s="251"/>
      <c r="S495" s="251"/>
      <c r="T495" s="130"/>
      <c r="U495" s="130"/>
      <c r="V495" s="2107"/>
      <c r="W495" s="691">
        <v>12</v>
      </c>
      <c r="X495" s="691">
        <v>12</v>
      </c>
      <c r="Y495" s="684"/>
      <c r="Z495" s="684"/>
      <c r="AA495" s="684"/>
      <c r="AB495" s="684"/>
      <c r="AC495" s="684"/>
      <c r="AD495" s="684"/>
      <c r="AE495" s="684"/>
      <c r="AF495" s="684"/>
      <c r="AG495" s="684"/>
    </row>
    <row r="496" spans="1:33" s="56" customFormat="1" hidden="1" outlineLevel="1" x14ac:dyDescent="0.25">
      <c r="A496" s="597"/>
      <c r="B496" s="251"/>
      <c r="C496" s="616"/>
      <c r="D496" s="2101"/>
      <c r="E496" s="2101"/>
      <c r="F496" s="2150" t="str">
        <f t="shared" si="41"/>
        <v>Ductless AC - ROF SF</v>
      </c>
      <c r="G496" s="2151"/>
      <c r="H496" s="2152"/>
      <c r="I496" s="709"/>
      <c r="J496" s="690">
        <v>18</v>
      </c>
      <c r="K496" s="685"/>
      <c r="L496" s="664"/>
      <c r="M496" s="1662"/>
      <c r="N496" s="251"/>
      <c r="O496" s="251"/>
      <c r="P496" s="251"/>
      <c r="Q496" s="251"/>
      <c r="R496" s="251"/>
      <c r="S496" s="251"/>
      <c r="T496" s="130"/>
      <c r="U496" s="130"/>
      <c r="V496" s="2107"/>
      <c r="W496" s="691">
        <v>18</v>
      </c>
      <c r="X496" s="691">
        <v>18</v>
      </c>
      <c r="Y496" s="684"/>
      <c r="Z496" s="684"/>
      <c r="AA496" s="684"/>
      <c r="AB496" s="684"/>
      <c r="AC496" s="684"/>
      <c r="AD496" s="684"/>
      <c r="AE496" s="684"/>
      <c r="AF496" s="684"/>
      <c r="AG496" s="684"/>
    </row>
    <row r="497" spans="1:33" s="56" customFormat="1" hidden="1" outlineLevel="1" x14ac:dyDescent="0.25">
      <c r="A497" s="597"/>
      <c r="B497" s="251"/>
      <c r="C497" s="616"/>
      <c r="D497" s="2101"/>
      <c r="E497" s="2101"/>
      <c r="F497" s="2150" t="str">
        <f t="shared" si="41"/>
        <v>Ductless ASHP - ROF SF NC</v>
      </c>
      <c r="G497" s="2151"/>
      <c r="H497" s="2152"/>
      <c r="I497" s="709"/>
      <c r="J497" s="690">
        <v>18</v>
      </c>
      <c r="K497" s="685"/>
      <c r="L497" s="664"/>
      <c r="M497" s="1662"/>
      <c r="N497" s="251"/>
      <c r="O497" s="251"/>
      <c r="P497" s="251"/>
      <c r="Q497" s="251"/>
      <c r="R497" s="251"/>
      <c r="S497" s="251"/>
      <c r="T497" s="130"/>
      <c r="U497" s="130"/>
      <c r="V497" s="2107"/>
      <c r="W497" s="691">
        <v>18</v>
      </c>
      <c r="X497" s="691">
        <v>18</v>
      </c>
      <c r="Y497" s="684"/>
      <c r="Z497" s="684"/>
      <c r="AA497" s="684"/>
      <c r="AB497" s="684"/>
      <c r="AC497" s="684"/>
      <c r="AD497" s="684"/>
      <c r="AE497" s="684"/>
      <c r="AF497" s="684"/>
      <c r="AG497" s="684"/>
    </row>
    <row r="498" spans="1:33" s="56" customFormat="1" hidden="1" outlineLevel="1" x14ac:dyDescent="0.25">
      <c r="A498" s="597"/>
      <c r="B498" s="251"/>
      <c r="C498" s="616"/>
      <c r="D498" s="2101"/>
      <c r="E498" s="2101"/>
      <c r="F498" s="2150" t="str">
        <f t="shared" si="41"/>
        <v>Ductless ASHP - ROF SF NC</v>
      </c>
      <c r="G498" s="2151"/>
      <c r="H498" s="2152"/>
      <c r="I498" s="709"/>
      <c r="J498" s="690">
        <v>18</v>
      </c>
      <c r="K498" s="685"/>
      <c r="L498" s="664"/>
      <c r="M498" s="1662"/>
      <c r="N498" s="251"/>
      <c r="O498" s="251"/>
      <c r="P498" s="251"/>
      <c r="Q498" s="251"/>
      <c r="R498" s="251"/>
      <c r="S498" s="251"/>
      <c r="T498" s="130"/>
      <c r="U498" s="130"/>
      <c r="V498" s="2107"/>
      <c r="W498" s="691">
        <v>18</v>
      </c>
      <c r="X498" s="691">
        <v>18</v>
      </c>
      <c r="Y498" s="684"/>
      <c r="Z498" s="684"/>
      <c r="AA498" s="684"/>
      <c r="AB498" s="684"/>
      <c r="AC498" s="684"/>
      <c r="AD498" s="684"/>
      <c r="AE498" s="684"/>
      <c r="AF498" s="684"/>
      <c r="AG498" s="684"/>
    </row>
    <row r="499" spans="1:33" s="56" customFormat="1" hidden="1" outlineLevel="1" x14ac:dyDescent="0.25">
      <c r="A499" s="597"/>
      <c r="B499" s="251"/>
      <c r="C499" s="616"/>
      <c r="D499" s="2101"/>
      <c r="E499" s="2101"/>
      <c r="F499" s="2150" t="str">
        <f t="shared" si="41"/>
        <v>Ductless ASHP - ROF SF</v>
      </c>
      <c r="G499" s="2151"/>
      <c r="H499" s="2152"/>
      <c r="I499" s="709"/>
      <c r="J499" s="690">
        <v>18</v>
      </c>
      <c r="K499" s="685"/>
      <c r="L499" s="664"/>
      <c r="M499" s="1662"/>
      <c r="N499" s="251"/>
      <c r="O499" s="251"/>
      <c r="P499" s="251"/>
      <c r="Q499" s="251"/>
      <c r="R499" s="251"/>
      <c r="S499" s="251"/>
      <c r="T499" s="130"/>
      <c r="U499" s="130"/>
      <c r="V499" s="2107"/>
      <c r="W499" s="691">
        <v>18</v>
      </c>
      <c r="X499" s="691">
        <v>18</v>
      </c>
      <c r="Y499" s="684"/>
      <c r="Z499" s="684"/>
      <c r="AA499" s="684"/>
      <c r="AB499" s="684"/>
      <c r="AC499" s="684"/>
      <c r="AD499" s="684"/>
      <c r="AE499" s="684"/>
      <c r="AF499" s="684"/>
      <c r="AG499" s="684"/>
    </row>
    <row r="500" spans="1:33" s="56" customFormat="1" hidden="1" outlineLevel="1" x14ac:dyDescent="0.25">
      <c r="A500" s="597"/>
      <c r="B500" s="251"/>
      <c r="C500" s="616"/>
      <c r="D500" s="2101"/>
      <c r="E500" s="2101"/>
      <c r="F500" s="2150" t="str">
        <f t="shared" si="41"/>
        <v>Ductless ASHP - ROF SF</v>
      </c>
      <c r="G500" s="2151"/>
      <c r="H500" s="2152"/>
      <c r="I500" s="709"/>
      <c r="J500" s="690">
        <v>18</v>
      </c>
      <c r="K500" s="685"/>
      <c r="L500" s="664"/>
      <c r="M500" s="1662"/>
      <c r="N500" s="251"/>
      <c r="O500" s="251"/>
      <c r="P500" s="251"/>
      <c r="Q500" s="251"/>
      <c r="R500" s="251"/>
      <c r="S500" s="251"/>
      <c r="T500" s="130"/>
      <c r="U500" s="130"/>
      <c r="V500" s="2107"/>
      <c r="W500" s="691">
        <v>18</v>
      </c>
      <c r="X500" s="691">
        <v>18</v>
      </c>
      <c r="Y500" s="684"/>
      <c r="Z500" s="684"/>
      <c r="AA500" s="684"/>
      <c r="AB500" s="684"/>
      <c r="AC500" s="684"/>
      <c r="AD500" s="684"/>
      <c r="AE500" s="684"/>
      <c r="AF500" s="684"/>
      <c r="AG500" s="684"/>
    </row>
    <row r="501" spans="1:33" s="56" customFormat="1" hidden="1" outlineLevel="1" x14ac:dyDescent="0.25">
      <c r="A501" s="597"/>
      <c r="B501" s="251"/>
      <c r="C501" s="616"/>
      <c r="D501" s="2101"/>
      <c r="E501" s="2101"/>
      <c r="F501" s="2150" t="str">
        <f t="shared" si="41"/>
        <v>Ductless ASHP Replace Electric Resistance ER1 SF</v>
      </c>
      <c r="G501" s="2151"/>
      <c r="H501" s="2152"/>
      <c r="I501" s="709"/>
      <c r="J501" s="690">
        <v>6</v>
      </c>
      <c r="K501" s="685"/>
      <c r="L501" s="664"/>
      <c r="M501" s="1662"/>
      <c r="N501" s="251"/>
      <c r="O501" s="251"/>
      <c r="P501" s="251"/>
      <c r="Q501" s="251"/>
      <c r="R501" s="251"/>
      <c r="S501" s="251"/>
      <c r="T501" s="130"/>
      <c r="U501" s="130"/>
      <c r="V501" s="2107"/>
      <c r="W501" s="691">
        <v>6</v>
      </c>
      <c r="X501" s="691">
        <v>6</v>
      </c>
      <c r="Y501" s="684"/>
      <c r="Z501" s="684"/>
      <c r="AA501" s="684"/>
      <c r="AB501" s="684"/>
      <c r="AC501" s="684"/>
      <c r="AD501" s="684"/>
      <c r="AE501" s="684"/>
      <c r="AF501" s="684"/>
      <c r="AG501" s="684"/>
    </row>
    <row r="502" spans="1:33" s="56" customFormat="1" hidden="1" outlineLevel="1" x14ac:dyDescent="0.25">
      <c r="A502" s="597"/>
      <c r="B502" s="251"/>
      <c r="C502" s="616"/>
      <c r="D502" s="2101"/>
      <c r="E502" s="2101"/>
      <c r="F502" s="2150" t="str">
        <f t="shared" si="41"/>
        <v>Ductless ASHP Replace Electric Resistance ER1 SF</v>
      </c>
      <c r="G502" s="2151"/>
      <c r="H502" s="2152"/>
      <c r="I502" s="709"/>
      <c r="J502" s="690">
        <v>6</v>
      </c>
      <c r="K502" s="685"/>
      <c r="L502" s="664"/>
      <c r="M502" s="1662"/>
      <c r="N502" s="251"/>
      <c r="O502" s="251"/>
      <c r="P502" s="251"/>
      <c r="Q502" s="251"/>
      <c r="R502" s="251"/>
      <c r="S502" s="251"/>
      <c r="T502" s="130"/>
      <c r="U502" s="130"/>
      <c r="V502" s="2107"/>
      <c r="W502" s="691">
        <v>6</v>
      </c>
      <c r="X502" s="691">
        <v>6</v>
      </c>
      <c r="Y502" s="684"/>
      <c r="Z502" s="684"/>
      <c r="AA502" s="684"/>
      <c r="AB502" s="684"/>
      <c r="AC502" s="684"/>
      <c r="AD502" s="684"/>
      <c r="AE502" s="684"/>
      <c r="AF502" s="684"/>
      <c r="AG502" s="684"/>
    </row>
    <row r="503" spans="1:33" s="56" customFormat="1" hidden="1" outlineLevel="1" x14ac:dyDescent="0.25">
      <c r="A503" s="597"/>
      <c r="B503" s="251"/>
      <c r="C503" s="616"/>
      <c r="D503" s="2101"/>
      <c r="E503" s="2101"/>
      <c r="F503" s="2150" t="str">
        <f t="shared" si="41"/>
        <v>Ductless ASHP Replace Electric Resistance ER2 SF</v>
      </c>
      <c r="G503" s="2151"/>
      <c r="H503" s="2152"/>
      <c r="I503" s="709"/>
      <c r="J503" s="690">
        <v>12</v>
      </c>
      <c r="K503" s="685"/>
      <c r="L503" s="664"/>
      <c r="M503" s="1662"/>
      <c r="N503" s="251"/>
      <c r="O503" s="251"/>
      <c r="P503" s="251"/>
      <c r="Q503" s="251"/>
      <c r="R503" s="251"/>
      <c r="S503" s="251"/>
      <c r="T503" s="130"/>
      <c r="U503" s="130"/>
      <c r="V503" s="2107"/>
      <c r="W503" s="691">
        <v>12</v>
      </c>
      <c r="X503" s="691">
        <v>12</v>
      </c>
      <c r="Y503" s="684"/>
      <c r="Z503" s="684"/>
      <c r="AA503" s="684"/>
      <c r="AB503" s="684"/>
      <c r="AC503" s="684"/>
      <c r="AD503" s="684"/>
      <c r="AE503" s="684"/>
      <c r="AF503" s="684"/>
      <c r="AG503" s="684"/>
    </row>
    <row r="504" spans="1:33" s="56" customFormat="1" hidden="1" outlineLevel="1" x14ac:dyDescent="0.25">
      <c r="A504" s="597"/>
      <c r="B504" s="251"/>
      <c r="C504" s="616"/>
      <c r="D504" s="2101"/>
      <c r="E504" s="2101"/>
      <c r="F504" s="2150" t="str">
        <f t="shared" si="41"/>
        <v>Ductless ASHP Replace Electric Resistance ER2 SF</v>
      </c>
      <c r="G504" s="2151"/>
      <c r="H504" s="2152"/>
      <c r="I504" s="709"/>
      <c r="J504" s="690">
        <v>12</v>
      </c>
      <c r="K504" s="685"/>
      <c r="L504" s="664"/>
      <c r="M504" s="1662"/>
      <c r="N504" s="251"/>
      <c r="O504" s="251"/>
      <c r="P504" s="251"/>
      <c r="Q504" s="251"/>
      <c r="R504" s="251"/>
      <c r="S504" s="251"/>
      <c r="T504" s="130"/>
      <c r="U504" s="130"/>
      <c r="V504" s="2107"/>
      <c r="W504" s="691">
        <v>12</v>
      </c>
      <c r="X504" s="691">
        <v>12</v>
      </c>
      <c r="Y504" s="684"/>
      <c r="Z504" s="684"/>
      <c r="AA504" s="684"/>
      <c r="AB504" s="684"/>
      <c r="AC504" s="684"/>
      <c r="AD504" s="684"/>
      <c r="AE504" s="684"/>
      <c r="AF504" s="684"/>
      <c r="AG504" s="684"/>
    </row>
    <row r="505" spans="1:33" s="56" customFormat="1" hidden="1" outlineLevel="1" x14ac:dyDescent="0.25">
      <c r="A505" s="597"/>
      <c r="B505" s="251"/>
      <c r="C505" s="616"/>
      <c r="D505" s="2101"/>
      <c r="E505" s="2101"/>
      <c r="F505" s="2150" t="str">
        <f t="shared" si="41"/>
        <v>Ductless ASHP Replace Electric Resistance ROF</v>
      </c>
      <c r="G505" s="2151"/>
      <c r="H505" s="2152"/>
      <c r="I505" s="709"/>
      <c r="J505" s="690">
        <v>18</v>
      </c>
      <c r="K505" s="685"/>
      <c r="L505" s="664"/>
      <c r="M505" s="1662"/>
      <c r="N505" s="251"/>
      <c r="O505" s="251"/>
      <c r="P505" s="251"/>
      <c r="Q505" s="251"/>
      <c r="R505" s="251"/>
      <c r="S505" s="251"/>
      <c r="T505" s="130"/>
      <c r="U505" s="130"/>
      <c r="V505" s="2107"/>
      <c r="W505" s="691">
        <v>18</v>
      </c>
      <c r="X505" s="691">
        <v>18</v>
      </c>
      <c r="Y505" s="684"/>
      <c r="Z505" s="684"/>
      <c r="AA505" s="684"/>
      <c r="AB505" s="684"/>
      <c r="AC505" s="684"/>
      <c r="AD505" s="684"/>
      <c r="AE505" s="684"/>
      <c r="AF505" s="684"/>
      <c r="AG505" s="684"/>
    </row>
    <row r="506" spans="1:33" s="56" customFormat="1" hidden="1" outlineLevel="1" x14ac:dyDescent="0.25">
      <c r="A506" s="597"/>
      <c r="B506" s="251"/>
      <c r="C506" s="616"/>
      <c r="D506" s="2101"/>
      <c r="E506" s="2101"/>
      <c r="F506" s="2150" t="str">
        <f t="shared" si="41"/>
        <v>Ductless ASHP Replace Electric Resistance ROF</v>
      </c>
      <c r="G506" s="2151"/>
      <c r="H506" s="2152"/>
      <c r="I506" s="709"/>
      <c r="J506" s="690">
        <v>18</v>
      </c>
      <c r="K506" s="685"/>
      <c r="L506" s="664"/>
      <c r="M506" s="1662"/>
      <c r="N506" s="251"/>
      <c r="O506" s="251"/>
      <c r="P506" s="251"/>
      <c r="Q506" s="251"/>
      <c r="R506" s="251"/>
      <c r="S506" s="251"/>
      <c r="T506" s="130"/>
      <c r="U506" s="130"/>
      <c r="V506" s="2107"/>
      <c r="W506" s="691">
        <v>18</v>
      </c>
      <c r="X506" s="691">
        <v>18</v>
      </c>
      <c r="Y506" s="684"/>
      <c r="Z506" s="684"/>
      <c r="AA506" s="684"/>
      <c r="AB506" s="684"/>
      <c r="AC506" s="684"/>
      <c r="AD506" s="684"/>
      <c r="AE506" s="684"/>
      <c r="AF506" s="684"/>
      <c r="AG506" s="684"/>
    </row>
    <row r="507" spans="1:33" s="56" customFormat="1" hidden="1" outlineLevel="1" x14ac:dyDescent="0.25">
      <c r="A507" s="597"/>
      <c r="B507" s="251"/>
      <c r="C507" s="616"/>
      <c r="D507" s="2101"/>
      <c r="E507" s="2101"/>
      <c r="F507" s="2150" t="str">
        <f t="shared" si="41"/>
        <v>Ductless ASHP ER1 SF</v>
      </c>
      <c r="G507" s="2151"/>
      <c r="H507" s="2152"/>
      <c r="I507" s="709"/>
      <c r="J507" s="690">
        <v>6</v>
      </c>
      <c r="K507" s="685"/>
      <c r="L507" s="664"/>
      <c r="M507" s="1662"/>
      <c r="N507" s="251"/>
      <c r="O507" s="251"/>
      <c r="P507" s="251"/>
      <c r="Q507" s="251"/>
      <c r="R507" s="251"/>
      <c r="S507" s="251"/>
      <c r="T507" s="130"/>
      <c r="U507" s="130"/>
      <c r="V507" s="2107"/>
      <c r="W507" s="691">
        <v>6</v>
      </c>
      <c r="X507" s="691">
        <v>6</v>
      </c>
      <c r="Y507" s="684"/>
      <c r="Z507" s="684"/>
      <c r="AA507" s="684"/>
      <c r="AB507" s="684"/>
      <c r="AC507" s="684"/>
      <c r="AD507" s="684"/>
      <c r="AE507" s="684"/>
      <c r="AF507" s="684"/>
      <c r="AG507" s="684"/>
    </row>
    <row r="508" spans="1:33" s="56" customFormat="1" hidden="1" outlineLevel="1" x14ac:dyDescent="0.25">
      <c r="A508" s="597"/>
      <c r="B508" s="251"/>
      <c r="C508" s="616"/>
      <c r="D508" s="2101"/>
      <c r="E508" s="2101"/>
      <c r="F508" s="2150" t="str">
        <f t="shared" si="41"/>
        <v>Ductless ASHP ER1 SF</v>
      </c>
      <c r="G508" s="2151"/>
      <c r="H508" s="2152"/>
      <c r="I508" s="709"/>
      <c r="J508" s="690">
        <v>6</v>
      </c>
      <c r="K508" s="685"/>
      <c r="L508" s="664"/>
      <c r="M508" s="1662"/>
      <c r="N508" s="251"/>
      <c r="O508" s="251"/>
      <c r="P508" s="251"/>
      <c r="Q508" s="251"/>
      <c r="R508" s="251"/>
      <c r="S508" s="251"/>
      <c r="T508" s="130"/>
      <c r="U508" s="130"/>
      <c r="V508" s="2107"/>
      <c r="W508" s="691">
        <v>6</v>
      </c>
      <c r="X508" s="691">
        <v>6</v>
      </c>
      <c r="Y508" s="684"/>
      <c r="Z508" s="684"/>
      <c r="AA508" s="684"/>
      <c r="AB508" s="684"/>
      <c r="AC508" s="684"/>
      <c r="AD508" s="684"/>
      <c r="AE508" s="684"/>
      <c r="AF508" s="684"/>
      <c r="AG508" s="684"/>
    </row>
    <row r="509" spans="1:33" s="56" customFormat="1" hidden="1" outlineLevel="1" x14ac:dyDescent="0.25">
      <c r="A509" s="597"/>
      <c r="B509" s="251"/>
      <c r="C509" s="616"/>
      <c r="D509" s="2101"/>
      <c r="E509" s="2101"/>
      <c r="F509" s="2150" t="str">
        <f t="shared" si="41"/>
        <v>Ductless ASHP ER2 SF</v>
      </c>
      <c r="G509" s="2151"/>
      <c r="H509" s="2152"/>
      <c r="I509" s="709"/>
      <c r="J509" s="690">
        <v>12</v>
      </c>
      <c r="K509" s="685"/>
      <c r="L509" s="664"/>
      <c r="M509" s="1662"/>
      <c r="N509" s="251"/>
      <c r="O509" s="251"/>
      <c r="P509" s="251"/>
      <c r="Q509" s="251"/>
      <c r="R509" s="251"/>
      <c r="S509" s="251"/>
      <c r="T509" s="130"/>
      <c r="U509" s="130"/>
      <c r="V509" s="2107"/>
      <c r="W509" s="691">
        <v>12</v>
      </c>
      <c r="X509" s="691">
        <v>12</v>
      </c>
      <c r="Y509" s="684"/>
      <c r="Z509" s="684"/>
      <c r="AA509" s="684"/>
      <c r="AB509" s="684"/>
      <c r="AC509" s="684"/>
      <c r="AD509" s="684"/>
      <c r="AE509" s="684"/>
      <c r="AF509" s="684"/>
      <c r="AG509" s="684"/>
    </row>
    <row r="510" spans="1:33" s="56" customFormat="1" hidden="1" outlineLevel="1" x14ac:dyDescent="0.25">
      <c r="A510" s="597"/>
      <c r="B510" s="251"/>
      <c r="C510" s="616"/>
      <c r="D510" s="2101"/>
      <c r="E510" s="2101"/>
      <c r="F510" s="2150" t="str">
        <f t="shared" si="41"/>
        <v>Ductless ASHP ER2 SF</v>
      </c>
      <c r="G510" s="2151"/>
      <c r="H510" s="2152"/>
      <c r="I510" s="709"/>
      <c r="J510" s="690">
        <v>12</v>
      </c>
      <c r="K510" s="685"/>
      <c r="L510" s="664"/>
      <c r="M510" s="1662"/>
      <c r="N510" s="251"/>
      <c r="O510" s="251"/>
      <c r="P510" s="251"/>
      <c r="Q510" s="251"/>
      <c r="R510" s="251"/>
      <c r="S510" s="251"/>
      <c r="T510" s="130"/>
      <c r="U510" s="130"/>
      <c r="V510" s="2107"/>
      <c r="W510" s="691">
        <v>12</v>
      </c>
      <c r="X510" s="691">
        <v>12</v>
      </c>
      <c r="Y510" s="684"/>
      <c r="Z510" s="684"/>
      <c r="AA510" s="684"/>
      <c r="AB510" s="684"/>
      <c r="AC510" s="684"/>
      <c r="AD510" s="684"/>
      <c r="AE510" s="684"/>
      <c r="AF510" s="684"/>
      <c r="AG510" s="684"/>
    </row>
    <row r="511" spans="1:33" s="56" customFormat="1" hidden="1" outlineLevel="1" x14ac:dyDescent="0.25">
      <c r="A511" s="597"/>
      <c r="B511" s="251"/>
      <c r="C511" s="616"/>
      <c r="D511" s="2101"/>
      <c r="E511" s="2101"/>
      <c r="F511" s="2150" t="str">
        <f t="shared" si="41"/>
        <v>Ductless AC - ER1 MF</v>
      </c>
      <c r="G511" s="2151"/>
      <c r="H511" s="2152"/>
      <c r="I511" s="709"/>
      <c r="J511" s="690">
        <v>6</v>
      </c>
      <c r="K511" s="685"/>
      <c r="L511" s="664"/>
      <c r="M511" s="1662"/>
      <c r="N511" s="251"/>
      <c r="O511" s="251"/>
      <c r="P511" s="251"/>
      <c r="Q511" s="251"/>
      <c r="R511" s="251"/>
      <c r="S511" s="251"/>
      <c r="T511" s="130"/>
      <c r="U511" s="130"/>
      <c r="V511" s="2107"/>
      <c r="W511" s="691">
        <v>6</v>
      </c>
      <c r="X511" s="691">
        <v>6</v>
      </c>
      <c r="Y511" s="684"/>
      <c r="Z511" s="684"/>
      <c r="AA511" s="684"/>
      <c r="AB511" s="684"/>
      <c r="AC511" s="684"/>
      <c r="AD511" s="684"/>
      <c r="AE511" s="684"/>
      <c r="AF511" s="684"/>
      <c r="AG511" s="684"/>
    </row>
    <row r="512" spans="1:33" s="56" customFormat="1" hidden="1" outlineLevel="1" x14ac:dyDescent="0.25">
      <c r="A512" s="597"/>
      <c r="B512" s="251"/>
      <c r="C512" s="616"/>
      <c r="D512" s="2101"/>
      <c r="E512" s="2101"/>
      <c r="F512" s="2150" t="str">
        <f t="shared" si="41"/>
        <v>Ductless AC - ER2 MF</v>
      </c>
      <c r="G512" s="2151"/>
      <c r="H512" s="2152"/>
      <c r="I512" s="709"/>
      <c r="J512" s="690">
        <v>12</v>
      </c>
      <c r="K512" s="685"/>
      <c r="L512" s="664"/>
      <c r="M512" s="1662"/>
      <c r="N512" s="251"/>
      <c r="O512" s="251"/>
      <c r="P512" s="251"/>
      <c r="Q512" s="251"/>
      <c r="R512" s="251"/>
      <c r="S512" s="251"/>
      <c r="T512" s="130"/>
      <c r="U512" s="130"/>
      <c r="V512" s="2107"/>
      <c r="W512" s="691">
        <v>12</v>
      </c>
      <c r="X512" s="691">
        <v>12</v>
      </c>
      <c r="Y512" s="684"/>
      <c r="Z512" s="684"/>
      <c r="AA512" s="684"/>
      <c r="AB512" s="684"/>
      <c r="AC512" s="684"/>
      <c r="AD512" s="684"/>
      <c r="AE512" s="684"/>
      <c r="AF512" s="684"/>
      <c r="AG512" s="684"/>
    </row>
    <row r="513" spans="1:33" s="56" customFormat="1" hidden="1" outlineLevel="1" x14ac:dyDescent="0.25">
      <c r="A513" s="597"/>
      <c r="B513" s="251"/>
      <c r="C513" s="616"/>
      <c r="D513" s="2101"/>
      <c r="E513" s="2101"/>
      <c r="F513" s="2150" t="str">
        <f t="shared" si="41"/>
        <v>Ductless AC - ROF MF</v>
      </c>
      <c r="G513" s="2151"/>
      <c r="H513" s="2152"/>
      <c r="I513" s="709"/>
      <c r="J513" s="690">
        <v>18</v>
      </c>
      <c r="K513" s="685"/>
      <c r="L513" s="664"/>
      <c r="M513" s="1662"/>
      <c r="N513" s="251"/>
      <c r="O513" s="251"/>
      <c r="P513" s="251"/>
      <c r="Q513" s="251"/>
      <c r="R513" s="251"/>
      <c r="S513" s="251"/>
      <c r="T513" s="130"/>
      <c r="U513" s="130"/>
      <c r="V513" s="2107"/>
      <c r="W513" s="691">
        <v>18</v>
      </c>
      <c r="X513" s="691">
        <v>18</v>
      </c>
      <c r="Y513" s="684"/>
      <c r="Z513" s="684"/>
      <c r="AA513" s="684"/>
      <c r="AB513" s="684"/>
      <c r="AC513" s="684"/>
      <c r="AD513" s="684"/>
      <c r="AE513" s="684"/>
      <c r="AF513" s="684"/>
      <c r="AG513" s="684"/>
    </row>
    <row r="514" spans="1:33" s="56" customFormat="1" hidden="1" outlineLevel="1" x14ac:dyDescent="0.25">
      <c r="A514" s="597"/>
      <c r="B514" s="251"/>
      <c r="C514" s="616"/>
      <c r="D514" s="2101"/>
      <c r="E514" s="2101"/>
      <c r="F514" s="2150" t="str">
        <f t="shared" si="41"/>
        <v>Ductless ASHP - ROF MF NC</v>
      </c>
      <c r="G514" s="2151"/>
      <c r="H514" s="2152"/>
      <c r="I514" s="709"/>
      <c r="J514" s="690">
        <v>18</v>
      </c>
      <c r="K514" s="685"/>
      <c r="L514" s="664"/>
      <c r="M514" s="1662"/>
      <c r="N514" s="251"/>
      <c r="O514" s="251"/>
      <c r="P514" s="251"/>
      <c r="Q514" s="251"/>
      <c r="R514" s="251"/>
      <c r="S514" s="251"/>
      <c r="T514" s="130"/>
      <c r="U514" s="130"/>
      <c r="V514" s="2107"/>
      <c r="W514" s="691">
        <v>18</v>
      </c>
      <c r="X514" s="691">
        <v>18</v>
      </c>
      <c r="Y514" s="684"/>
      <c r="Z514" s="684"/>
      <c r="AA514" s="684"/>
      <c r="AB514" s="684"/>
      <c r="AC514" s="684"/>
      <c r="AD514" s="684"/>
      <c r="AE514" s="684"/>
      <c r="AF514" s="684"/>
      <c r="AG514" s="684"/>
    </row>
    <row r="515" spans="1:33" s="56" customFormat="1" hidden="1" outlineLevel="1" x14ac:dyDescent="0.25">
      <c r="A515" s="597"/>
      <c r="B515" s="251"/>
      <c r="C515" s="616"/>
      <c r="D515" s="2101"/>
      <c r="E515" s="2101"/>
      <c r="F515" s="2150" t="str">
        <f t="shared" si="41"/>
        <v>Ductless ASHP - ROF MF NC</v>
      </c>
      <c r="G515" s="2151"/>
      <c r="H515" s="2152"/>
      <c r="I515" s="709"/>
      <c r="J515" s="690">
        <v>18</v>
      </c>
      <c r="K515" s="685"/>
      <c r="L515" s="664"/>
      <c r="M515" s="1662"/>
      <c r="N515" s="251"/>
      <c r="O515" s="251"/>
      <c r="P515" s="251"/>
      <c r="Q515" s="251"/>
      <c r="R515" s="251"/>
      <c r="S515" s="251"/>
      <c r="T515" s="130"/>
      <c r="U515" s="130"/>
      <c r="V515" s="2107"/>
      <c r="W515" s="691">
        <v>18</v>
      </c>
      <c r="X515" s="691">
        <v>18</v>
      </c>
      <c r="Y515" s="684"/>
      <c r="Z515" s="684"/>
      <c r="AA515" s="684"/>
      <c r="AB515" s="684"/>
      <c r="AC515" s="684"/>
      <c r="AD515" s="684"/>
      <c r="AE515" s="684"/>
      <c r="AF515" s="684"/>
      <c r="AG515" s="684"/>
    </row>
    <row r="516" spans="1:33" s="56" customFormat="1" hidden="1" outlineLevel="1" x14ac:dyDescent="0.25">
      <c r="A516" s="597"/>
      <c r="B516" s="251"/>
      <c r="C516" s="616"/>
      <c r="D516" s="2101"/>
      <c r="E516" s="2101"/>
      <c r="F516" s="2150" t="str">
        <f t="shared" si="41"/>
        <v>Ductless ASHP - ROF MF</v>
      </c>
      <c r="G516" s="2151"/>
      <c r="H516" s="2152"/>
      <c r="I516" s="709"/>
      <c r="J516" s="690">
        <v>18</v>
      </c>
      <c r="K516" s="685"/>
      <c r="L516" s="664"/>
      <c r="M516" s="1662"/>
      <c r="N516" s="251"/>
      <c r="O516" s="251"/>
      <c r="P516" s="251"/>
      <c r="Q516" s="251"/>
      <c r="R516" s="251"/>
      <c r="S516" s="251"/>
      <c r="T516" s="130"/>
      <c r="U516" s="130"/>
      <c r="V516" s="2107"/>
      <c r="W516" s="691">
        <v>18</v>
      </c>
      <c r="X516" s="691">
        <v>18</v>
      </c>
      <c r="Y516" s="684"/>
      <c r="Z516" s="684"/>
      <c r="AA516" s="684"/>
      <c r="AB516" s="684"/>
      <c r="AC516" s="684"/>
      <c r="AD516" s="684"/>
      <c r="AE516" s="684"/>
      <c r="AF516" s="684"/>
      <c r="AG516" s="684"/>
    </row>
    <row r="517" spans="1:33" s="56" customFormat="1" hidden="1" outlineLevel="1" x14ac:dyDescent="0.25">
      <c r="A517" s="597"/>
      <c r="B517" s="251"/>
      <c r="C517" s="616"/>
      <c r="D517" s="2101"/>
      <c r="E517" s="2101"/>
      <c r="F517" s="2150" t="str">
        <f t="shared" si="41"/>
        <v>Ductless ASHP - ROF MF</v>
      </c>
      <c r="G517" s="2151"/>
      <c r="H517" s="2152"/>
      <c r="I517" s="709"/>
      <c r="J517" s="690">
        <v>18</v>
      </c>
      <c r="K517" s="685"/>
      <c r="L517" s="664"/>
      <c r="M517" s="1662"/>
      <c r="N517" s="251"/>
      <c r="O517" s="251"/>
      <c r="P517" s="251"/>
      <c r="Q517" s="251"/>
      <c r="R517" s="251"/>
      <c r="S517" s="251"/>
      <c r="T517" s="130"/>
      <c r="U517" s="130"/>
      <c r="V517" s="2107"/>
      <c r="W517" s="691">
        <v>18</v>
      </c>
      <c r="X517" s="691">
        <v>18</v>
      </c>
      <c r="Y517" s="684"/>
      <c r="Z517" s="684"/>
      <c r="AA517" s="684"/>
      <c r="AB517" s="684"/>
      <c r="AC517" s="684"/>
      <c r="AD517" s="684"/>
      <c r="AE517" s="684"/>
      <c r="AF517" s="684"/>
      <c r="AG517" s="684"/>
    </row>
    <row r="518" spans="1:33" s="56" customFormat="1" hidden="1" outlineLevel="1" x14ac:dyDescent="0.25">
      <c r="A518" s="597"/>
      <c r="B518" s="251"/>
      <c r="C518" s="616"/>
      <c r="D518" s="2101"/>
      <c r="E518" s="2101"/>
      <c r="F518" s="2150" t="str">
        <f t="shared" si="41"/>
        <v>Ductless ASHP Replace Electric Resistance ER1 MF</v>
      </c>
      <c r="G518" s="2151"/>
      <c r="H518" s="2152"/>
      <c r="I518" s="709"/>
      <c r="J518" s="690">
        <v>6</v>
      </c>
      <c r="K518" s="685"/>
      <c r="L518" s="664"/>
      <c r="M518" s="1662"/>
      <c r="N518" s="251"/>
      <c r="O518" s="251"/>
      <c r="P518" s="251"/>
      <c r="Q518" s="251"/>
      <c r="R518" s="251"/>
      <c r="S518" s="251"/>
      <c r="T518" s="130"/>
      <c r="U518" s="130"/>
      <c r="V518" s="2107"/>
      <c r="W518" s="691">
        <v>6</v>
      </c>
      <c r="X518" s="691">
        <v>6</v>
      </c>
      <c r="Y518" s="684"/>
      <c r="Z518" s="684"/>
      <c r="AA518" s="684"/>
      <c r="AB518" s="684"/>
      <c r="AC518" s="684"/>
      <c r="AD518" s="684"/>
      <c r="AE518" s="684"/>
      <c r="AF518" s="684"/>
      <c r="AG518" s="684"/>
    </row>
    <row r="519" spans="1:33" s="56" customFormat="1" hidden="1" outlineLevel="1" x14ac:dyDescent="0.25">
      <c r="A519" s="597"/>
      <c r="B519" s="251"/>
      <c r="C519" s="616"/>
      <c r="D519" s="2101"/>
      <c r="E519" s="2101"/>
      <c r="F519" s="2150" t="str">
        <f t="shared" si="41"/>
        <v>Ductless ASHP Replace Electric Resistance ER1 MF</v>
      </c>
      <c r="G519" s="2151"/>
      <c r="H519" s="2152"/>
      <c r="I519" s="709"/>
      <c r="J519" s="690">
        <v>6</v>
      </c>
      <c r="K519" s="685"/>
      <c r="L519" s="664"/>
      <c r="M519" s="1662"/>
      <c r="N519" s="251"/>
      <c r="O519" s="251"/>
      <c r="P519" s="251"/>
      <c r="Q519" s="251"/>
      <c r="R519" s="251"/>
      <c r="S519" s="251"/>
      <c r="T519" s="130"/>
      <c r="U519" s="130"/>
      <c r="V519" s="2107"/>
      <c r="W519" s="691">
        <v>6</v>
      </c>
      <c r="X519" s="691">
        <v>6</v>
      </c>
      <c r="Y519" s="684"/>
      <c r="Z519" s="684"/>
      <c r="AA519" s="684"/>
      <c r="AB519" s="684"/>
      <c r="AC519" s="684"/>
      <c r="AD519" s="684"/>
      <c r="AE519" s="684"/>
      <c r="AF519" s="684"/>
      <c r="AG519" s="684"/>
    </row>
    <row r="520" spans="1:33" s="56" customFormat="1" hidden="1" outlineLevel="1" x14ac:dyDescent="0.25">
      <c r="A520" s="597"/>
      <c r="B520" s="251"/>
      <c r="C520" s="616"/>
      <c r="D520" s="2101"/>
      <c r="E520" s="2101"/>
      <c r="F520" s="2150" t="str">
        <f t="shared" si="41"/>
        <v>Ductless ASHP Replace Electric Resistance ER2 MF</v>
      </c>
      <c r="G520" s="2151"/>
      <c r="H520" s="2152"/>
      <c r="I520" s="709"/>
      <c r="J520" s="690">
        <v>12</v>
      </c>
      <c r="K520" s="685"/>
      <c r="L520" s="664"/>
      <c r="M520" s="1662"/>
      <c r="N520" s="251"/>
      <c r="O520" s="251"/>
      <c r="P520" s="251"/>
      <c r="Q520" s="251"/>
      <c r="R520" s="251"/>
      <c r="S520" s="251"/>
      <c r="T520" s="130"/>
      <c r="U520" s="130"/>
      <c r="V520" s="2107"/>
      <c r="W520" s="691">
        <v>12</v>
      </c>
      <c r="X520" s="691">
        <v>12</v>
      </c>
      <c r="Y520" s="684"/>
      <c r="Z520" s="684"/>
      <c r="AA520" s="684"/>
      <c r="AB520" s="684"/>
      <c r="AC520" s="684"/>
      <c r="AD520" s="684"/>
      <c r="AE520" s="684"/>
      <c r="AF520" s="684"/>
      <c r="AG520" s="684"/>
    </row>
    <row r="521" spans="1:33" s="56" customFormat="1" hidden="1" outlineLevel="1" x14ac:dyDescent="0.25">
      <c r="A521" s="597"/>
      <c r="B521" s="251"/>
      <c r="C521" s="616"/>
      <c r="D521" s="2101"/>
      <c r="E521" s="2101"/>
      <c r="F521" s="2150" t="str">
        <f t="shared" si="41"/>
        <v>Ductless ASHP Replace Electric Resistance ER2 MF</v>
      </c>
      <c r="G521" s="2151"/>
      <c r="H521" s="2152"/>
      <c r="I521" s="709"/>
      <c r="J521" s="690">
        <v>12</v>
      </c>
      <c r="K521" s="685"/>
      <c r="L521" s="664"/>
      <c r="M521" s="1662"/>
      <c r="N521" s="251"/>
      <c r="O521" s="251"/>
      <c r="P521" s="251"/>
      <c r="Q521" s="251"/>
      <c r="R521" s="251"/>
      <c r="S521" s="251"/>
      <c r="T521" s="130"/>
      <c r="U521" s="130"/>
      <c r="V521" s="2107"/>
      <c r="W521" s="691">
        <v>12</v>
      </c>
      <c r="X521" s="691">
        <v>12</v>
      </c>
      <c r="Y521" s="684"/>
      <c r="Z521" s="684"/>
      <c r="AA521" s="684"/>
      <c r="AB521" s="684"/>
      <c r="AC521" s="684"/>
      <c r="AD521" s="684"/>
      <c r="AE521" s="684"/>
      <c r="AF521" s="684"/>
      <c r="AG521" s="684"/>
    </row>
    <row r="522" spans="1:33" s="56" customFormat="1" hidden="1" outlineLevel="1" x14ac:dyDescent="0.25">
      <c r="A522" s="597"/>
      <c r="B522" s="251"/>
      <c r="C522" s="616"/>
      <c r="D522" s="2101"/>
      <c r="E522" s="2101"/>
      <c r="F522" s="2150" t="str">
        <f t="shared" si="41"/>
        <v>Ductless ASHP Replace Electric Resistance ROF MF</v>
      </c>
      <c r="G522" s="2151"/>
      <c r="H522" s="2152"/>
      <c r="I522" s="709"/>
      <c r="J522" s="690">
        <v>18</v>
      </c>
      <c r="K522" s="685"/>
      <c r="L522" s="664"/>
      <c r="M522" s="1662"/>
      <c r="N522" s="251"/>
      <c r="O522" s="251"/>
      <c r="P522" s="251"/>
      <c r="Q522" s="251"/>
      <c r="R522" s="251"/>
      <c r="S522" s="251"/>
      <c r="T522" s="130"/>
      <c r="U522" s="130"/>
      <c r="V522" s="2107"/>
      <c r="W522" s="691">
        <v>18</v>
      </c>
      <c r="X522" s="691">
        <v>18</v>
      </c>
      <c r="Y522" s="684"/>
      <c r="Z522" s="684"/>
      <c r="AA522" s="684"/>
      <c r="AB522" s="684"/>
      <c r="AC522" s="684"/>
      <c r="AD522" s="684"/>
      <c r="AE522" s="684"/>
      <c r="AF522" s="684"/>
      <c r="AG522" s="684"/>
    </row>
    <row r="523" spans="1:33" s="56" customFormat="1" hidden="1" outlineLevel="1" x14ac:dyDescent="0.25">
      <c r="A523" s="597"/>
      <c r="B523" s="251"/>
      <c r="C523" s="616"/>
      <c r="D523" s="2101"/>
      <c r="E523" s="2101"/>
      <c r="F523" s="2150" t="str">
        <f t="shared" si="41"/>
        <v>Ductless ASHP Replace Electric Resistance ROF MF</v>
      </c>
      <c r="G523" s="2151"/>
      <c r="H523" s="2152"/>
      <c r="I523" s="709"/>
      <c r="J523" s="690">
        <v>18</v>
      </c>
      <c r="K523" s="685"/>
      <c r="L523" s="664"/>
      <c r="M523" s="1662"/>
      <c r="N523" s="251"/>
      <c r="O523" s="251"/>
      <c r="P523" s="251"/>
      <c r="Q523" s="251"/>
      <c r="R523" s="251"/>
      <c r="S523" s="251"/>
      <c r="T523" s="130"/>
      <c r="U523" s="130"/>
      <c r="V523" s="2107"/>
      <c r="W523" s="691">
        <v>18</v>
      </c>
      <c r="X523" s="691">
        <v>18</v>
      </c>
      <c r="Y523" s="684"/>
      <c r="Z523" s="684"/>
      <c r="AA523" s="684"/>
      <c r="AB523" s="684"/>
      <c r="AC523" s="684"/>
      <c r="AD523" s="684"/>
      <c r="AE523" s="684"/>
      <c r="AF523" s="684"/>
      <c r="AG523" s="684"/>
    </row>
    <row r="524" spans="1:33" s="56" customFormat="1" hidden="1" outlineLevel="1" x14ac:dyDescent="0.25">
      <c r="A524" s="597"/>
      <c r="B524" s="251"/>
      <c r="C524" s="616"/>
      <c r="D524" s="2101"/>
      <c r="E524" s="2101"/>
      <c r="F524" s="2150" t="str">
        <f t="shared" si="41"/>
        <v>Ductless ASHP ER1 MF</v>
      </c>
      <c r="G524" s="2151"/>
      <c r="H524" s="2152"/>
      <c r="I524" s="709"/>
      <c r="J524" s="690">
        <v>6</v>
      </c>
      <c r="K524" s="685"/>
      <c r="L524" s="664"/>
      <c r="M524" s="1662"/>
      <c r="N524" s="251"/>
      <c r="O524" s="251"/>
      <c r="P524" s="251"/>
      <c r="Q524" s="251"/>
      <c r="R524" s="251"/>
      <c r="S524" s="251"/>
      <c r="T524" s="130"/>
      <c r="U524" s="130"/>
      <c r="V524" s="2107"/>
      <c r="W524" s="691">
        <v>6</v>
      </c>
      <c r="X524" s="691">
        <v>6</v>
      </c>
      <c r="Y524" s="684"/>
      <c r="Z524" s="684"/>
      <c r="AA524" s="684"/>
      <c r="AB524" s="684"/>
      <c r="AC524" s="684"/>
      <c r="AD524" s="684"/>
      <c r="AE524" s="684"/>
      <c r="AF524" s="684"/>
      <c r="AG524" s="684"/>
    </row>
    <row r="525" spans="1:33" s="56" customFormat="1" hidden="1" outlineLevel="1" x14ac:dyDescent="0.25">
      <c r="A525" s="597"/>
      <c r="B525" s="251"/>
      <c r="C525" s="616"/>
      <c r="D525" s="2101"/>
      <c r="E525" s="2101"/>
      <c r="F525" s="2150" t="str">
        <f t="shared" si="41"/>
        <v>Ductless ASHP ER1 MF</v>
      </c>
      <c r="G525" s="2151"/>
      <c r="H525" s="2152"/>
      <c r="I525" s="709"/>
      <c r="J525" s="690">
        <v>6</v>
      </c>
      <c r="K525" s="685"/>
      <c r="L525" s="664"/>
      <c r="M525" s="1662"/>
      <c r="N525" s="251"/>
      <c r="O525" s="251"/>
      <c r="P525" s="251"/>
      <c r="Q525" s="251"/>
      <c r="R525" s="251"/>
      <c r="S525" s="251"/>
      <c r="T525" s="130"/>
      <c r="U525" s="130"/>
      <c r="V525" s="2107"/>
      <c r="W525" s="691">
        <v>6</v>
      </c>
      <c r="X525" s="691">
        <v>6</v>
      </c>
      <c r="Y525" s="684"/>
      <c r="Z525" s="684"/>
      <c r="AA525" s="684"/>
      <c r="AB525" s="684"/>
      <c r="AC525" s="684"/>
      <c r="AD525" s="684"/>
      <c r="AE525" s="684"/>
      <c r="AF525" s="684"/>
      <c r="AG525" s="684"/>
    </row>
    <row r="526" spans="1:33" s="56" customFormat="1" hidden="1" outlineLevel="1" x14ac:dyDescent="0.25">
      <c r="A526" s="597"/>
      <c r="B526" s="251"/>
      <c r="C526" s="616"/>
      <c r="D526" s="2101"/>
      <c r="E526" s="2101"/>
      <c r="F526" s="2150" t="str">
        <f t="shared" si="41"/>
        <v>Ductless ASHP ER2 MF</v>
      </c>
      <c r="G526" s="2151"/>
      <c r="H526" s="2152"/>
      <c r="I526" s="709"/>
      <c r="J526" s="690">
        <v>12</v>
      </c>
      <c r="K526" s="685"/>
      <c r="L526" s="664"/>
      <c r="M526" s="1662"/>
      <c r="N526" s="251"/>
      <c r="O526" s="251"/>
      <c r="P526" s="251"/>
      <c r="Q526" s="251"/>
      <c r="R526" s="251"/>
      <c r="S526" s="251"/>
      <c r="T526" s="130"/>
      <c r="U526" s="130"/>
      <c r="V526" s="2107"/>
      <c r="W526" s="691">
        <v>12</v>
      </c>
      <c r="X526" s="691">
        <v>12</v>
      </c>
      <c r="Y526" s="684"/>
      <c r="Z526" s="684"/>
      <c r="AA526" s="684"/>
      <c r="AB526" s="684"/>
      <c r="AC526" s="684"/>
      <c r="AD526" s="684"/>
      <c r="AE526" s="684"/>
      <c r="AF526" s="684"/>
      <c r="AG526" s="684"/>
    </row>
    <row r="527" spans="1:33" s="56" customFormat="1" ht="15.75" hidden="1" outlineLevel="1" thickBot="1" x14ac:dyDescent="0.3">
      <c r="A527" s="597"/>
      <c r="B527" s="251"/>
      <c r="C527" s="616"/>
      <c r="D527" s="2102"/>
      <c r="E527" s="2102"/>
      <c r="F527" s="2153" t="str">
        <f t="shared" si="41"/>
        <v>Ductless ASHP ER2 MF</v>
      </c>
      <c r="G527" s="2154"/>
      <c r="H527" s="2155"/>
      <c r="I527" s="712"/>
      <c r="J527" s="692">
        <v>12</v>
      </c>
      <c r="K527" s="687"/>
      <c r="L527" s="672"/>
      <c r="M527" s="1662"/>
      <c r="N527" s="251"/>
      <c r="O527" s="251"/>
      <c r="P527" s="251"/>
      <c r="Q527" s="251"/>
      <c r="R527" s="251"/>
      <c r="S527" s="251"/>
      <c r="T527" s="130"/>
      <c r="U527" s="130"/>
      <c r="V527" s="2108"/>
      <c r="W527" s="693">
        <v>12</v>
      </c>
      <c r="X527" s="693">
        <v>12</v>
      </c>
      <c r="Y527" s="686"/>
      <c r="Z527" s="686"/>
      <c r="AA527" s="686"/>
      <c r="AB527" s="686"/>
      <c r="AC527" s="686"/>
      <c r="AD527" s="686"/>
      <c r="AE527" s="686"/>
      <c r="AF527" s="686"/>
      <c r="AG527" s="686"/>
    </row>
    <row r="528" spans="1:33" s="56" customFormat="1" ht="15" hidden="1" customHeight="1" outlineLevel="1" x14ac:dyDescent="0.25">
      <c r="A528" s="597"/>
      <c r="B528" s="251"/>
      <c r="C528" s="616"/>
      <c r="D528" s="2100" t="str">
        <f>D308</f>
        <v>Inc. Cost</v>
      </c>
      <c r="E528" s="2100" t="str">
        <f>E308</f>
        <v>Incremental Cost ($)</v>
      </c>
      <c r="F528" s="2156" t="str">
        <f>F494</f>
        <v>Ductless AC - ER1 SF</v>
      </c>
      <c r="G528" s="2157"/>
      <c r="H528" s="2158"/>
      <c r="I528" s="707"/>
      <c r="J528" s="694">
        <f>(2108*$K$425/1.5)*$J$460</f>
        <v>2108</v>
      </c>
      <c r="K528" s="683"/>
      <c r="L528" s="661"/>
      <c r="M528" s="1662"/>
      <c r="N528" s="251"/>
      <c r="O528" s="251"/>
      <c r="P528" s="251"/>
      <c r="Q528" s="251"/>
      <c r="R528" s="251"/>
      <c r="S528" s="251"/>
      <c r="T528" s="130"/>
      <c r="U528" s="130"/>
      <c r="V528" s="2106" t="str">
        <f>D528</f>
        <v>Inc. Cost</v>
      </c>
      <c r="W528" s="695">
        <v>2389.0666666666666</v>
      </c>
      <c r="X528" s="696">
        <f>(2108*$K$425/1.5)*$J$460</f>
        <v>2108</v>
      </c>
      <c r="Y528" s="682"/>
      <c r="Z528" s="682"/>
      <c r="AA528" s="682"/>
      <c r="AB528" s="682"/>
      <c r="AC528" s="682"/>
      <c r="AD528" s="682"/>
      <c r="AE528" s="682"/>
      <c r="AF528" s="682"/>
      <c r="AG528" s="682"/>
    </row>
    <row r="529" spans="1:33" s="56" customFormat="1" hidden="1" outlineLevel="1" x14ac:dyDescent="0.25">
      <c r="A529" s="597"/>
      <c r="B529" s="251"/>
      <c r="C529" s="616"/>
      <c r="D529" s="2101"/>
      <c r="E529" s="2101"/>
      <c r="F529" s="2150" t="str">
        <f t="shared" si="41"/>
        <v>Ductless AC - ER2 SF</v>
      </c>
      <c r="G529" s="2151"/>
      <c r="H529" s="2152"/>
      <c r="I529" s="709"/>
      <c r="J529" s="697"/>
      <c r="K529" s="685"/>
      <c r="L529" s="664"/>
      <c r="M529" s="1662"/>
      <c r="N529" s="251"/>
      <c r="O529" s="251"/>
      <c r="P529" s="251"/>
      <c r="Q529" s="251"/>
      <c r="R529" s="251"/>
      <c r="S529" s="251"/>
      <c r="T529" s="130"/>
      <c r="U529" s="130"/>
      <c r="V529" s="2107"/>
      <c r="W529" s="695"/>
      <c r="X529" s="696"/>
      <c r="Y529" s="684"/>
      <c r="Z529" s="684"/>
      <c r="AA529" s="684"/>
      <c r="AB529" s="684"/>
      <c r="AC529" s="684"/>
      <c r="AD529" s="684"/>
      <c r="AE529" s="684"/>
      <c r="AF529" s="684"/>
      <c r="AG529" s="684"/>
    </row>
    <row r="530" spans="1:33" s="56" customFormat="1" hidden="1" outlineLevel="1" x14ac:dyDescent="0.25">
      <c r="A530" s="597"/>
      <c r="B530" s="251"/>
      <c r="C530" s="616"/>
      <c r="D530" s="2101"/>
      <c r="E530" s="2101"/>
      <c r="F530" s="2150" t="str">
        <f t="shared" si="41"/>
        <v>Ductless AC - ROF SF</v>
      </c>
      <c r="G530" s="2151"/>
      <c r="H530" s="2152"/>
      <c r="I530" s="709"/>
      <c r="J530" s="697">
        <f>(1545*$K$426/1.5)*$J$462</f>
        <v>1545</v>
      </c>
      <c r="K530" s="685"/>
      <c r="L530" s="664"/>
      <c r="M530" s="1662"/>
      <c r="N530" s="251"/>
      <c r="O530" s="251"/>
      <c r="P530" s="251"/>
      <c r="Q530" s="251"/>
      <c r="R530" s="251"/>
      <c r="S530" s="251"/>
      <c r="T530" s="130"/>
      <c r="U530" s="130"/>
      <c r="V530" s="2107"/>
      <c r="W530" s="695">
        <v>1648</v>
      </c>
      <c r="X530" s="696">
        <f>(1545*$K$426/1.5)*$J$462</f>
        <v>1545</v>
      </c>
      <c r="Y530" s="684"/>
      <c r="Z530" s="684"/>
      <c r="AA530" s="684"/>
      <c r="AB530" s="684"/>
      <c r="AC530" s="684"/>
      <c r="AD530" s="684"/>
      <c r="AE530" s="684"/>
      <c r="AF530" s="684"/>
      <c r="AG530" s="684"/>
    </row>
    <row r="531" spans="1:33" s="56" customFormat="1" hidden="1" outlineLevel="1" x14ac:dyDescent="0.25">
      <c r="A531" s="597"/>
      <c r="B531" s="251"/>
      <c r="C531" s="616"/>
      <c r="D531" s="2101"/>
      <c r="E531" s="2101"/>
      <c r="F531" s="2150" t="str">
        <f t="shared" si="41"/>
        <v>Ductless ASHP - ROF SF NC</v>
      </c>
      <c r="G531" s="2151"/>
      <c r="H531" s="2152"/>
      <c r="I531" s="709"/>
      <c r="J531" s="697">
        <f>(888*$K$427/1.5)*$J$463</f>
        <v>888</v>
      </c>
      <c r="K531" s="685"/>
      <c r="L531" s="664"/>
      <c r="M531" s="1662"/>
      <c r="N531" s="251"/>
      <c r="O531" s="251"/>
      <c r="P531" s="251"/>
      <c r="Q531" s="251"/>
      <c r="R531" s="251"/>
      <c r="S531" s="251"/>
      <c r="T531" s="130"/>
      <c r="U531" s="130"/>
      <c r="V531" s="2107"/>
      <c r="W531" s="695">
        <v>828.79999999999984</v>
      </c>
      <c r="X531" s="696">
        <f>(888*$K$427/1.5)*$J$463</f>
        <v>888</v>
      </c>
      <c r="Y531" s="684"/>
      <c r="Z531" s="684"/>
      <c r="AA531" s="684"/>
      <c r="AB531" s="684"/>
      <c r="AC531" s="684"/>
      <c r="AD531" s="684"/>
      <c r="AE531" s="684"/>
      <c r="AF531" s="684"/>
      <c r="AG531" s="684"/>
    </row>
    <row r="532" spans="1:33" s="56" customFormat="1" hidden="1" outlineLevel="1" x14ac:dyDescent="0.25">
      <c r="A532" s="597"/>
      <c r="B532" s="251"/>
      <c r="C532" s="616"/>
      <c r="D532" s="2101"/>
      <c r="E532" s="2101"/>
      <c r="F532" s="2150" t="str">
        <f t="shared" si="41"/>
        <v>Ductless ASHP - ROF SF NC</v>
      </c>
      <c r="G532" s="2151"/>
      <c r="H532" s="2152"/>
      <c r="I532" s="709"/>
      <c r="J532" s="697"/>
      <c r="K532" s="685"/>
      <c r="L532" s="664"/>
      <c r="M532" s="1662"/>
      <c r="N532" s="251"/>
      <c r="O532" s="251"/>
      <c r="P532" s="251"/>
      <c r="Q532" s="251"/>
      <c r="R532" s="251"/>
      <c r="S532" s="251"/>
      <c r="T532" s="130"/>
      <c r="U532" s="130"/>
      <c r="V532" s="2107"/>
      <c r="W532" s="695"/>
      <c r="X532" s="696"/>
      <c r="Y532" s="684"/>
      <c r="Z532" s="684"/>
      <c r="AA532" s="684"/>
      <c r="AB532" s="684"/>
      <c r="AC532" s="684"/>
      <c r="AD532" s="684"/>
      <c r="AE532" s="684"/>
      <c r="AF532" s="684"/>
      <c r="AG532" s="684"/>
    </row>
    <row r="533" spans="1:33" s="56" customFormat="1" hidden="1" outlineLevel="1" x14ac:dyDescent="0.25">
      <c r="A533" s="597"/>
      <c r="B533" s="251"/>
      <c r="C533" s="616"/>
      <c r="D533" s="2101"/>
      <c r="E533" s="2101"/>
      <c r="F533" s="2150" t="str">
        <f t="shared" si="41"/>
        <v>Ductless ASHP - ROF SF</v>
      </c>
      <c r="G533" s="2151"/>
      <c r="H533" s="2152"/>
      <c r="I533" s="709"/>
      <c r="J533" s="697">
        <f>(888*$K$425/1.5)*$J$465</f>
        <v>888</v>
      </c>
      <c r="K533" s="685"/>
      <c r="L533" s="664"/>
      <c r="M533" s="1662"/>
      <c r="N533" s="251"/>
      <c r="O533" s="251"/>
      <c r="P533" s="251"/>
      <c r="Q533" s="251"/>
      <c r="R533" s="251"/>
      <c r="S533" s="251"/>
      <c r="T533" s="130"/>
      <c r="U533" s="130"/>
      <c r="V533" s="2107"/>
      <c r="W533" s="695">
        <v>1006.4</v>
      </c>
      <c r="X533" s="696">
        <f>(888*$K$425/1.5)*$J$465</f>
        <v>888</v>
      </c>
      <c r="Y533" s="684"/>
      <c r="Z533" s="684"/>
      <c r="AA533" s="684"/>
      <c r="AB533" s="684"/>
      <c r="AC533" s="684"/>
      <c r="AD533" s="684"/>
      <c r="AE533" s="684"/>
      <c r="AF533" s="684"/>
      <c r="AG533" s="684"/>
    </row>
    <row r="534" spans="1:33" s="56" customFormat="1" hidden="1" outlineLevel="1" x14ac:dyDescent="0.25">
      <c r="A534" s="597"/>
      <c r="B534" s="251"/>
      <c r="C534" s="616"/>
      <c r="D534" s="2101"/>
      <c r="E534" s="2101"/>
      <c r="F534" s="2150" t="str">
        <f t="shared" si="41"/>
        <v>Ductless ASHP - ROF SF</v>
      </c>
      <c r="G534" s="2151"/>
      <c r="H534" s="2152"/>
      <c r="I534" s="709"/>
      <c r="J534" s="697"/>
      <c r="K534" s="685"/>
      <c r="L534" s="664"/>
      <c r="M534" s="1662"/>
      <c r="N534" s="251"/>
      <c r="O534" s="251"/>
      <c r="P534" s="251"/>
      <c r="Q534" s="251"/>
      <c r="R534" s="251"/>
      <c r="S534" s="251"/>
      <c r="T534" s="130"/>
      <c r="U534" s="130"/>
      <c r="V534" s="2107"/>
      <c r="W534" s="695"/>
      <c r="X534" s="696"/>
      <c r="Y534" s="684"/>
      <c r="Z534" s="684"/>
      <c r="AA534" s="684"/>
      <c r="AB534" s="684"/>
      <c r="AC534" s="684"/>
      <c r="AD534" s="684"/>
      <c r="AE534" s="684"/>
      <c r="AF534" s="684"/>
      <c r="AG534" s="684"/>
    </row>
    <row r="535" spans="1:33" s="56" customFormat="1" hidden="1" outlineLevel="1" x14ac:dyDescent="0.25">
      <c r="A535" s="597"/>
      <c r="B535" s="251"/>
      <c r="C535" s="616"/>
      <c r="D535" s="2101"/>
      <c r="E535" s="2101"/>
      <c r="F535" s="2150" t="str">
        <f t="shared" si="41"/>
        <v>Ductless ASHP Replace Electric Resistance ER1 SF</v>
      </c>
      <c r="G535" s="2151"/>
      <c r="H535" s="2152"/>
      <c r="I535" s="709"/>
      <c r="J535" s="697">
        <f>(2108*$K$429/1.5)*$J$467</f>
        <v>2108</v>
      </c>
      <c r="K535" s="685"/>
      <c r="L535" s="664"/>
      <c r="M535" s="1662"/>
      <c r="N535" s="251"/>
      <c r="O535" s="251"/>
      <c r="P535" s="251"/>
      <c r="Q535" s="251"/>
      <c r="R535" s="251"/>
      <c r="S535" s="251"/>
      <c r="T535" s="130"/>
      <c r="U535" s="130"/>
      <c r="V535" s="2107"/>
      <c r="W535" s="695">
        <v>1967.4666666666665</v>
      </c>
      <c r="X535" s="696">
        <f>(2108*$K$429/1.5)*$J$467</f>
        <v>2108</v>
      </c>
      <c r="Y535" s="684"/>
      <c r="Z535" s="684"/>
      <c r="AA535" s="684"/>
      <c r="AB535" s="684"/>
      <c r="AC535" s="684"/>
      <c r="AD535" s="684"/>
      <c r="AE535" s="684"/>
      <c r="AF535" s="684"/>
      <c r="AG535" s="684"/>
    </row>
    <row r="536" spans="1:33" s="56" customFormat="1" hidden="1" outlineLevel="1" x14ac:dyDescent="0.25">
      <c r="A536" s="597"/>
      <c r="B536" s="251"/>
      <c r="C536" s="616"/>
      <c r="D536" s="2101"/>
      <c r="E536" s="2101"/>
      <c r="F536" s="2150" t="str">
        <f t="shared" si="41"/>
        <v>Ductless ASHP Replace Electric Resistance ER1 SF</v>
      </c>
      <c r="G536" s="2151"/>
      <c r="H536" s="2152"/>
      <c r="I536" s="709"/>
      <c r="J536" s="697"/>
      <c r="K536" s="685"/>
      <c r="L536" s="664"/>
      <c r="M536" s="1662"/>
      <c r="N536" s="251"/>
      <c r="O536" s="251"/>
      <c r="P536" s="251"/>
      <c r="Q536" s="251"/>
      <c r="R536" s="251"/>
      <c r="S536" s="251"/>
      <c r="T536" s="130"/>
      <c r="U536" s="130"/>
      <c r="V536" s="2107"/>
      <c r="W536" s="695"/>
      <c r="X536" s="696"/>
      <c r="Y536" s="684"/>
      <c r="Z536" s="684"/>
      <c r="AA536" s="684"/>
      <c r="AB536" s="684"/>
      <c r="AC536" s="684"/>
      <c r="AD536" s="684"/>
      <c r="AE536" s="684"/>
      <c r="AF536" s="684"/>
      <c r="AG536" s="684"/>
    </row>
    <row r="537" spans="1:33" s="56" customFormat="1" hidden="1" outlineLevel="1" x14ac:dyDescent="0.25">
      <c r="A537" s="597"/>
      <c r="B537" s="251"/>
      <c r="C537" s="616"/>
      <c r="D537" s="2101"/>
      <c r="E537" s="2101"/>
      <c r="F537" s="2150" t="str">
        <f t="shared" si="41"/>
        <v>Ductless ASHP Replace Electric Resistance ER2 SF</v>
      </c>
      <c r="G537" s="2151"/>
      <c r="H537" s="2152"/>
      <c r="I537" s="709"/>
      <c r="J537" s="697"/>
      <c r="K537" s="685"/>
      <c r="L537" s="664"/>
      <c r="M537" s="1662"/>
      <c r="N537" s="251"/>
      <c r="O537" s="251"/>
      <c r="P537" s="251"/>
      <c r="Q537" s="251"/>
      <c r="R537" s="251"/>
      <c r="S537" s="251"/>
      <c r="T537" s="130"/>
      <c r="U537" s="130"/>
      <c r="V537" s="2107"/>
      <c r="W537" s="695"/>
      <c r="X537" s="696"/>
      <c r="Y537" s="684"/>
      <c r="Z537" s="684"/>
      <c r="AA537" s="684"/>
      <c r="AB537" s="684"/>
      <c r="AC537" s="684"/>
      <c r="AD537" s="684"/>
      <c r="AE537" s="684"/>
      <c r="AF537" s="684"/>
      <c r="AG537" s="684"/>
    </row>
    <row r="538" spans="1:33" s="56" customFormat="1" hidden="1" outlineLevel="1" x14ac:dyDescent="0.25">
      <c r="A538" s="597"/>
      <c r="B538" s="251"/>
      <c r="C538" s="616"/>
      <c r="D538" s="2101"/>
      <c r="E538" s="2101"/>
      <c r="F538" s="2150" t="str">
        <f t="shared" si="41"/>
        <v>Ductless ASHP Replace Electric Resistance ER2 SF</v>
      </c>
      <c r="G538" s="2151"/>
      <c r="H538" s="2152"/>
      <c r="I538" s="709"/>
      <c r="J538" s="697"/>
      <c r="K538" s="685"/>
      <c r="L538" s="664"/>
      <c r="M538" s="1662"/>
      <c r="N538" s="251"/>
      <c r="O538" s="251"/>
      <c r="P538" s="251"/>
      <c r="Q538" s="251"/>
      <c r="R538" s="251"/>
      <c r="S538" s="251"/>
      <c r="T538" s="130"/>
      <c r="U538" s="130"/>
      <c r="V538" s="2107"/>
      <c r="W538" s="695"/>
      <c r="X538" s="696"/>
      <c r="Y538" s="684"/>
      <c r="Z538" s="684"/>
      <c r="AA538" s="684"/>
      <c r="AB538" s="684"/>
      <c r="AC538" s="684"/>
      <c r="AD538" s="684"/>
      <c r="AE538" s="684"/>
      <c r="AF538" s="684"/>
      <c r="AG538" s="684"/>
    </row>
    <row r="539" spans="1:33" s="56" customFormat="1" hidden="1" outlineLevel="1" x14ac:dyDescent="0.25">
      <c r="A539" s="597"/>
      <c r="B539" s="251"/>
      <c r="C539" s="616"/>
      <c r="D539" s="2101"/>
      <c r="E539" s="2101"/>
      <c r="F539" s="2150" t="str">
        <f t="shared" si="41"/>
        <v>Ductless ASHP Replace Electric Resistance ROF</v>
      </c>
      <c r="G539" s="2151"/>
      <c r="H539" s="2152"/>
      <c r="I539" s="709"/>
      <c r="J539" s="697">
        <f>(1051*$K$430/1.5)*$J$471</f>
        <v>1051</v>
      </c>
      <c r="K539" s="685"/>
      <c r="L539" s="664"/>
      <c r="M539" s="1662"/>
      <c r="N539" s="251"/>
      <c r="O539" s="251"/>
      <c r="P539" s="251"/>
      <c r="Q539" s="251"/>
      <c r="R539" s="251"/>
      <c r="S539" s="251"/>
      <c r="T539" s="130"/>
      <c r="U539" s="130"/>
      <c r="V539" s="2107"/>
      <c r="W539" s="695">
        <v>1121.0666666666668</v>
      </c>
      <c r="X539" s="696">
        <f>(1051*$K$430/1.5)*$J$471</f>
        <v>1051</v>
      </c>
      <c r="Y539" s="684"/>
      <c r="Z539" s="684"/>
      <c r="AA539" s="684"/>
      <c r="AB539" s="684"/>
      <c r="AC539" s="684"/>
      <c r="AD539" s="684"/>
      <c r="AE539" s="684"/>
      <c r="AF539" s="684"/>
      <c r="AG539" s="684"/>
    </row>
    <row r="540" spans="1:33" s="56" customFormat="1" hidden="1" outlineLevel="1" x14ac:dyDescent="0.25">
      <c r="A540" s="597"/>
      <c r="B540" s="251"/>
      <c r="C540" s="616"/>
      <c r="D540" s="2101"/>
      <c r="E540" s="2101"/>
      <c r="F540" s="2150" t="str">
        <f t="shared" si="41"/>
        <v>Ductless ASHP Replace Electric Resistance ROF</v>
      </c>
      <c r="G540" s="2151"/>
      <c r="H540" s="2152"/>
      <c r="I540" s="709"/>
      <c r="J540" s="697"/>
      <c r="K540" s="685"/>
      <c r="L540" s="664"/>
      <c r="M540" s="1662"/>
      <c r="N540" s="251"/>
      <c r="O540" s="251"/>
      <c r="P540" s="251"/>
      <c r="Q540" s="251"/>
      <c r="R540" s="251"/>
      <c r="S540" s="251"/>
      <c r="T540" s="130"/>
      <c r="U540" s="130"/>
      <c r="V540" s="2107"/>
      <c r="W540" s="695"/>
      <c r="X540" s="696"/>
      <c r="Y540" s="684"/>
      <c r="Z540" s="684"/>
      <c r="AA540" s="684"/>
      <c r="AB540" s="684"/>
      <c r="AC540" s="684"/>
      <c r="AD540" s="684"/>
      <c r="AE540" s="684"/>
      <c r="AF540" s="684"/>
      <c r="AG540" s="684"/>
    </row>
    <row r="541" spans="1:33" s="56" customFormat="1" hidden="1" outlineLevel="1" x14ac:dyDescent="0.25">
      <c r="A541" s="597"/>
      <c r="B541" s="251"/>
      <c r="C541" s="616"/>
      <c r="D541" s="2101"/>
      <c r="E541" s="2101"/>
      <c r="F541" s="2150" t="str">
        <f t="shared" si="41"/>
        <v>Ductless ASHP ER1 SF</v>
      </c>
      <c r="G541" s="2151"/>
      <c r="H541" s="2152"/>
      <c r="I541" s="709"/>
      <c r="J541" s="697">
        <f>(1982*$K$431/1.5)*$J$473</f>
        <v>1982</v>
      </c>
      <c r="K541" s="685"/>
      <c r="L541" s="664"/>
      <c r="M541" s="1662"/>
      <c r="N541" s="251"/>
      <c r="O541" s="251"/>
      <c r="P541" s="251"/>
      <c r="Q541" s="251"/>
      <c r="R541" s="251"/>
      <c r="S541" s="251"/>
      <c r="T541" s="130"/>
      <c r="U541" s="130"/>
      <c r="V541" s="2107"/>
      <c r="W541" s="695">
        <v>2246.2666666666669</v>
      </c>
      <c r="X541" s="696">
        <f>(1982*$K$431/1.5)*$J$473</f>
        <v>1982</v>
      </c>
      <c r="Y541" s="684"/>
      <c r="Z541" s="684"/>
      <c r="AA541" s="684"/>
      <c r="AB541" s="684"/>
      <c r="AC541" s="684"/>
      <c r="AD541" s="684"/>
      <c r="AE541" s="684"/>
      <c r="AF541" s="684"/>
      <c r="AG541" s="684"/>
    </row>
    <row r="542" spans="1:33" s="56" customFormat="1" hidden="1" outlineLevel="1" x14ac:dyDescent="0.25">
      <c r="A542" s="597"/>
      <c r="B542" s="251"/>
      <c r="C542" s="616"/>
      <c r="D542" s="2101"/>
      <c r="E542" s="2101"/>
      <c r="F542" s="2150" t="str">
        <f t="shared" si="41"/>
        <v>Ductless ASHP ER1 SF</v>
      </c>
      <c r="G542" s="2151"/>
      <c r="H542" s="2152"/>
      <c r="I542" s="709"/>
      <c r="J542" s="697"/>
      <c r="K542" s="685"/>
      <c r="L542" s="664"/>
      <c r="M542" s="1662"/>
      <c r="N542" s="251"/>
      <c r="O542" s="251"/>
      <c r="P542" s="251"/>
      <c r="Q542" s="251"/>
      <c r="R542" s="251"/>
      <c r="S542" s="251"/>
      <c r="T542" s="130"/>
      <c r="U542" s="130"/>
      <c r="V542" s="2107"/>
      <c r="W542" s="698"/>
      <c r="X542" s="699"/>
      <c r="Y542" s="684"/>
      <c r="Z542" s="684"/>
      <c r="AA542" s="684"/>
      <c r="AB542" s="684"/>
      <c r="AC542" s="684"/>
      <c r="AD542" s="684"/>
      <c r="AE542" s="684"/>
      <c r="AF542" s="684"/>
      <c r="AG542" s="684"/>
    </row>
    <row r="543" spans="1:33" s="56" customFormat="1" hidden="1" outlineLevel="1" x14ac:dyDescent="0.25">
      <c r="A543" s="597"/>
      <c r="B543" s="251"/>
      <c r="C543" s="616"/>
      <c r="D543" s="2101"/>
      <c r="E543" s="2101"/>
      <c r="F543" s="2150" t="str">
        <f t="shared" si="41"/>
        <v>Ductless ASHP ER2 SF</v>
      </c>
      <c r="G543" s="2151"/>
      <c r="H543" s="2152"/>
      <c r="I543" s="709"/>
      <c r="J543" s="697"/>
      <c r="K543" s="685"/>
      <c r="L543" s="664"/>
      <c r="M543" s="1662"/>
      <c r="N543" s="251"/>
      <c r="O543" s="251"/>
      <c r="P543" s="251"/>
      <c r="Q543" s="251"/>
      <c r="R543" s="251"/>
      <c r="S543" s="251"/>
      <c r="T543" s="130"/>
      <c r="U543" s="130"/>
      <c r="V543" s="2107"/>
      <c r="W543" s="698"/>
      <c r="X543" s="699"/>
      <c r="Y543" s="684"/>
      <c r="Z543" s="684"/>
      <c r="AA543" s="684"/>
      <c r="AB543" s="684"/>
      <c r="AC543" s="684"/>
      <c r="AD543" s="684"/>
      <c r="AE543" s="684"/>
      <c r="AF543" s="684"/>
      <c r="AG543" s="684"/>
    </row>
    <row r="544" spans="1:33" s="56" customFormat="1" hidden="1" outlineLevel="1" x14ac:dyDescent="0.25">
      <c r="A544" s="597"/>
      <c r="B544" s="251"/>
      <c r="C544" s="616"/>
      <c r="D544" s="2101"/>
      <c r="E544" s="2101"/>
      <c r="F544" s="2150" t="str">
        <f t="shared" si="41"/>
        <v>Ductless ASHP ER2 SF</v>
      </c>
      <c r="G544" s="2151"/>
      <c r="H544" s="2152"/>
      <c r="I544" s="709"/>
      <c r="J544" s="697"/>
      <c r="K544" s="685"/>
      <c r="L544" s="664"/>
      <c r="M544" s="1662"/>
      <c r="N544" s="251"/>
      <c r="O544" s="251"/>
      <c r="P544" s="251"/>
      <c r="Q544" s="251"/>
      <c r="R544" s="251"/>
      <c r="S544" s="251"/>
      <c r="T544" s="130"/>
      <c r="U544" s="130"/>
      <c r="V544" s="2107"/>
      <c r="W544" s="698"/>
      <c r="X544" s="699"/>
      <c r="Y544" s="684"/>
      <c r="Z544" s="684"/>
      <c r="AA544" s="684"/>
      <c r="AB544" s="684"/>
      <c r="AC544" s="684"/>
      <c r="AD544" s="684"/>
      <c r="AE544" s="684"/>
      <c r="AF544" s="684"/>
      <c r="AG544" s="684"/>
    </row>
    <row r="545" spans="1:33" s="56" customFormat="1" hidden="1" outlineLevel="1" x14ac:dyDescent="0.25">
      <c r="A545" s="597"/>
      <c r="B545" s="251"/>
      <c r="C545" s="616"/>
      <c r="D545" s="2101"/>
      <c r="E545" s="2101"/>
      <c r="F545" s="2150" t="str">
        <f t="shared" si="41"/>
        <v>Ductless AC - ER1 MF</v>
      </c>
      <c r="G545" s="2151"/>
      <c r="H545" s="2152"/>
      <c r="I545" s="709"/>
      <c r="J545" s="697">
        <f>(1413/1.5*$K$425)*$J$477</f>
        <v>918.45</v>
      </c>
      <c r="K545" s="685"/>
      <c r="L545" s="664"/>
      <c r="M545" s="1662"/>
      <c r="N545" s="251"/>
      <c r="O545" s="251"/>
      <c r="P545" s="251"/>
      <c r="Q545" s="251"/>
      <c r="R545" s="251"/>
      <c r="S545" s="251"/>
      <c r="T545" s="130"/>
      <c r="U545" s="130"/>
      <c r="V545" s="2107"/>
      <c r="W545" s="698">
        <v>1601.3999999999999</v>
      </c>
      <c r="X545" s="699">
        <f>(1413/1.5*$K$425)*$J$477</f>
        <v>918.45</v>
      </c>
      <c r="Y545" s="684"/>
      <c r="Z545" s="684"/>
      <c r="AA545" s="684"/>
      <c r="AB545" s="684"/>
      <c r="AC545" s="684"/>
      <c r="AD545" s="684"/>
      <c r="AE545" s="684"/>
      <c r="AF545" s="684"/>
      <c r="AG545" s="684"/>
    </row>
    <row r="546" spans="1:33" s="56" customFormat="1" hidden="1" outlineLevel="1" x14ac:dyDescent="0.25">
      <c r="A546" s="597"/>
      <c r="B546" s="251"/>
      <c r="C546" s="616"/>
      <c r="D546" s="2101"/>
      <c r="E546" s="2101"/>
      <c r="F546" s="2150" t="str">
        <f t="shared" si="41"/>
        <v>Ductless AC - ER2 MF</v>
      </c>
      <c r="G546" s="2151"/>
      <c r="H546" s="2152"/>
      <c r="I546" s="709"/>
      <c r="J546" s="697"/>
      <c r="K546" s="685"/>
      <c r="L546" s="664"/>
      <c r="M546" s="1662"/>
      <c r="N546" s="251"/>
      <c r="O546" s="251"/>
      <c r="P546" s="251"/>
      <c r="Q546" s="251"/>
      <c r="R546" s="251"/>
      <c r="S546" s="251"/>
      <c r="T546" s="130"/>
      <c r="U546" s="130"/>
      <c r="V546" s="2107"/>
      <c r="W546" s="698"/>
      <c r="X546" s="699"/>
      <c r="Y546" s="684"/>
      <c r="Z546" s="684"/>
      <c r="AA546" s="684"/>
      <c r="AB546" s="684"/>
      <c r="AC546" s="684"/>
      <c r="AD546" s="684"/>
      <c r="AE546" s="684"/>
      <c r="AF546" s="684"/>
      <c r="AG546" s="684"/>
    </row>
    <row r="547" spans="1:33" s="56" customFormat="1" hidden="1" outlineLevel="1" x14ac:dyDescent="0.25">
      <c r="A547" s="597"/>
      <c r="B547" s="251"/>
      <c r="C547" s="616"/>
      <c r="D547" s="2101"/>
      <c r="E547" s="2101"/>
      <c r="F547" s="2150" t="str">
        <f t="shared" si="41"/>
        <v>Ductless AC - ROF MF</v>
      </c>
      <c r="G547" s="2151"/>
      <c r="H547" s="2152"/>
      <c r="I547" s="709"/>
      <c r="J547" s="697">
        <f>(978.5/1.5*$K$426)*$J$479</f>
        <v>636.02499999999998</v>
      </c>
      <c r="K547" s="685"/>
      <c r="L547" s="664"/>
      <c r="M547" s="1662"/>
      <c r="N547" s="251"/>
      <c r="O547" s="251"/>
      <c r="P547" s="251"/>
      <c r="Q547" s="251"/>
      <c r="R547" s="251"/>
      <c r="S547" s="251"/>
      <c r="T547" s="130"/>
      <c r="U547" s="130"/>
      <c r="V547" s="2107"/>
      <c r="W547" s="698">
        <v>1043.7333333333333</v>
      </c>
      <c r="X547" s="699">
        <f>(978.5/1.5*$K$426)*$J$479</f>
        <v>636.02499999999998</v>
      </c>
      <c r="Y547" s="684"/>
      <c r="Z547" s="684"/>
      <c r="AA547" s="684"/>
      <c r="AB547" s="684"/>
      <c r="AC547" s="684"/>
      <c r="AD547" s="684"/>
      <c r="AE547" s="684"/>
      <c r="AF547" s="684"/>
      <c r="AG547" s="684"/>
    </row>
    <row r="548" spans="1:33" s="56" customFormat="1" hidden="1" outlineLevel="1" x14ac:dyDescent="0.25">
      <c r="A548" s="597"/>
      <c r="B548" s="251"/>
      <c r="C548" s="616"/>
      <c r="D548" s="2101"/>
      <c r="E548" s="2101"/>
      <c r="F548" s="2150" t="str">
        <f t="shared" si="41"/>
        <v>Ductless ASHP - ROF MF NC</v>
      </c>
      <c r="G548" s="2151"/>
      <c r="H548" s="2152"/>
      <c r="I548" s="709"/>
      <c r="J548" s="697">
        <f>(705/1.5*$K$427)*$J$480</f>
        <v>458.25</v>
      </c>
      <c r="K548" s="685"/>
      <c r="L548" s="664"/>
      <c r="M548" s="1662"/>
      <c r="N548" s="251"/>
      <c r="O548" s="251"/>
      <c r="P548" s="251"/>
      <c r="Q548" s="251"/>
      <c r="R548" s="251"/>
      <c r="S548" s="251"/>
      <c r="T548" s="130"/>
      <c r="U548" s="130"/>
      <c r="V548" s="2107"/>
      <c r="W548" s="698">
        <v>658</v>
      </c>
      <c r="X548" s="699">
        <f>(705/1.5*$K$427)*$J$480</f>
        <v>458.25</v>
      </c>
      <c r="Y548" s="684"/>
      <c r="Z548" s="684"/>
      <c r="AA548" s="684"/>
      <c r="AB548" s="684"/>
      <c r="AC548" s="684"/>
      <c r="AD548" s="684"/>
      <c r="AE548" s="684"/>
      <c r="AF548" s="684"/>
      <c r="AG548" s="684"/>
    </row>
    <row r="549" spans="1:33" s="56" customFormat="1" hidden="1" outlineLevel="1" x14ac:dyDescent="0.25">
      <c r="A549" s="597"/>
      <c r="B549" s="251"/>
      <c r="C549" s="616"/>
      <c r="D549" s="2101"/>
      <c r="E549" s="2101"/>
      <c r="F549" s="2150" t="str">
        <f t="shared" si="41"/>
        <v>Ductless ASHP - ROF MF NC</v>
      </c>
      <c r="G549" s="2151"/>
      <c r="H549" s="2152"/>
      <c r="I549" s="709"/>
      <c r="J549" s="697"/>
      <c r="K549" s="685"/>
      <c r="L549" s="664"/>
      <c r="M549" s="1662"/>
      <c r="N549" s="251"/>
      <c r="O549" s="251"/>
      <c r="P549" s="251"/>
      <c r="Q549" s="251"/>
      <c r="R549" s="251"/>
      <c r="S549" s="251"/>
      <c r="T549" s="130"/>
      <c r="U549" s="130"/>
      <c r="V549" s="2107"/>
      <c r="W549" s="695"/>
      <c r="X549" s="696"/>
      <c r="Y549" s="684"/>
      <c r="Z549" s="684"/>
      <c r="AA549" s="684"/>
      <c r="AB549" s="684"/>
      <c r="AC549" s="684"/>
      <c r="AD549" s="684"/>
      <c r="AE549" s="684"/>
      <c r="AF549" s="684"/>
      <c r="AG549" s="684"/>
    </row>
    <row r="550" spans="1:33" s="56" customFormat="1" hidden="1" outlineLevel="1" x14ac:dyDescent="0.25">
      <c r="A550" s="597"/>
      <c r="B550" s="251"/>
      <c r="C550" s="616"/>
      <c r="D550" s="2101"/>
      <c r="E550" s="2101"/>
      <c r="F550" s="2150" t="str">
        <f t="shared" si="41"/>
        <v>Ductless ASHP - ROF MF</v>
      </c>
      <c r="G550" s="2151"/>
      <c r="H550" s="2152"/>
      <c r="I550" s="709"/>
      <c r="J550" s="697">
        <f>(705/1.5*$K$428)*$J$482</f>
        <v>458.25</v>
      </c>
      <c r="K550" s="685"/>
      <c r="L550" s="664"/>
      <c r="M550" s="1662"/>
      <c r="N550" s="251"/>
      <c r="O550" s="251"/>
      <c r="P550" s="251"/>
      <c r="Q550" s="251"/>
      <c r="R550" s="251"/>
      <c r="S550" s="251"/>
      <c r="T550" s="130"/>
      <c r="U550" s="130"/>
      <c r="V550" s="2107"/>
      <c r="W550" s="698">
        <v>658</v>
      </c>
      <c r="X550" s="699">
        <f>(705/1.5*$K$428)*$J$482</f>
        <v>458.25</v>
      </c>
      <c r="Y550" s="684"/>
      <c r="Z550" s="684"/>
      <c r="AA550" s="684"/>
      <c r="AB550" s="684"/>
      <c r="AC550" s="684"/>
      <c r="AD550" s="684"/>
      <c r="AE550" s="684"/>
      <c r="AF550" s="684"/>
      <c r="AG550" s="684"/>
    </row>
    <row r="551" spans="1:33" s="56" customFormat="1" hidden="1" outlineLevel="1" x14ac:dyDescent="0.25">
      <c r="A551" s="597"/>
      <c r="B551" s="251"/>
      <c r="C551" s="616"/>
      <c r="D551" s="2101"/>
      <c r="E551" s="2101"/>
      <c r="F551" s="2150" t="str">
        <f t="shared" si="41"/>
        <v>Ductless ASHP - ROF MF</v>
      </c>
      <c r="G551" s="2151"/>
      <c r="H551" s="2152"/>
      <c r="I551" s="709"/>
      <c r="J551" s="697"/>
      <c r="K551" s="685"/>
      <c r="L551" s="664"/>
      <c r="M551" s="1662"/>
      <c r="N551" s="251"/>
      <c r="O551" s="251"/>
      <c r="P551" s="251"/>
      <c r="Q551" s="251"/>
      <c r="R551" s="251"/>
      <c r="S551" s="251"/>
      <c r="T551" s="130"/>
      <c r="U551" s="130"/>
      <c r="V551" s="2107"/>
      <c r="W551" s="695"/>
      <c r="X551" s="696"/>
      <c r="Y551" s="684"/>
      <c r="Z551" s="684"/>
      <c r="AA551" s="684"/>
      <c r="AB551" s="684"/>
      <c r="AC551" s="684"/>
      <c r="AD551" s="684"/>
      <c r="AE551" s="684"/>
      <c r="AF551" s="684"/>
      <c r="AG551" s="684"/>
    </row>
    <row r="552" spans="1:33" s="56" customFormat="1" hidden="1" outlineLevel="1" x14ac:dyDescent="0.25">
      <c r="A552" s="597"/>
      <c r="B552" s="251"/>
      <c r="C552" s="616"/>
      <c r="D552" s="2101"/>
      <c r="E552" s="2101"/>
      <c r="F552" s="2150" t="str">
        <f t="shared" si="41"/>
        <v>Ductless ASHP Replace Electric Resistance ER1 MF</v>
      </c>
      <c r="G552" s="2151"/>
      <c r="H552" s="2152"/>
      <c r="I552" s="709"/>
      <c r="J552" s="697">
        <f>(1590/1.5*$K$429)*$J$484</f>
        <v>1033.5</v>
      </c>
      <c r="K552" s="685"/>
      <c r="L552" s="664"/>
      <c r="M552" s="1662"/>
      <c r="N552" s="251"/>
      <c r="O552" s="251"/>
      <c r="P552" s="251"/>
      <c r="Q552" s="251"/>
      <c r="R552" s="251"/>
      <c r="S552" s="251"/>
      <c r="T552" s="130"/>
      <c r="U552" s="130"/>
      <c r="V552" s="2107"/>
      <c r="W552" s="698">
        <v>1484</v>
      </c>
      <c r="X552" s="699">
        <f>(1590/1.5*$K$429)*$J$484</f>
        <v>1033.5</v>
      </c>
      <c r="Y552" s="684"/>
      <c r="Z552" s="684"/>
      <c r="AA552" s="684"/>
      <c r="AB552" s="684"/>
      <c r="AC552" s="684"/>
      <c r="AD552" s="684"/>
      <c r="AE552" s="684"/>
      <c r="AF552" s="684"/>
      <c r="AG552" s="684"/>
    </row>
    <row r="553" spans="1:33" s="56" customFormat="1" hidden="1" outlineLevel="1" x14ac:dyDescent="0.25">
      <c r="A553" s="597"/>
      <c r="B553" s="251"/>
      <c r="C553" s="616"/>
      <c r="D553" s="2101"/>
      <c r="E553" s="2101"/>
      <c r="F553" s="2150" t="str">
        <f t="shared" si="41"/>
        <v>Ductless ASHP Replace Electric Resistance ER1 MF</v>
      </c>
      <c r="G553" s="2151"/>
      <c r="H553" s="2152"/>
      <c r="I553" s="709"/>
      <c r="J553" s="697"/>
      <c r="K553" s="685"/>
      <c r="L553" s="664"/>
      <c r="M553" s="1662"/>
      <c r="N553" s="251"/>
      <c r="O553" s="251"/>
      <c r="P553" s="251"/>
      <c r="Q553" s="251"/>
      <c r="R553" s="251"/>
      <c r="S553" s="251"/>
      <c r="T553" s="130"/>
      <c r="U553" s="130"/>
      <c r="V553" s="2107"/>
      <c r="W553" s="698"/>
      <c r="X553" s="699"/>
      <c r="Y553" s="684"/>
      <c r="Z553" s="684"/>
      <c r="AA553" s="684"/>
      <c r="AB553" s="684"/>
      <c r="AC553" s="684"/>
      <c r="AD553" s="684"/>
      <c r="AE553" s="684"/>
      <c r="AF553" s="684"/>
      <c r="AG553" s="684"/>
    </row>
    <row r="554" spans="1:33" s="56" customFormat="1" hidden="1" outlineLevel="1" x14ac:dyDescent="0.25">
      <c r="A554" s="597"/>
      <c r="B554" s="251"/>
      <c r="C554" s="616"/>
      <c r="D554" s="2101"/>
      <c r="E554" s="2101"/>
      <c r="F554" s="2150" t="str">
        <f t="shared" si="41"/>
        <v>Ductless ASHP Replace Electric Resistance ER2 MF</v>
      </c>
      <c r="G554" s="2151"/>
      <c r="H554" s="2152"/>
      <c r="I554" s="709"/>
      <c r="J554" s="697"/>
      <c r="K554" s="685"/>
      <c r="L554" s="664"/>
      <c r="M554" s="1662"/>
      <c r="N554" s="251"/>
      <c r="O554" s="251"/>
      <c r="P554" s="251"/>
      <c r="Q554" s="251"/>
      <c r="R554" s="251"/>
      <c r="S554" s="251"/>
      <c r="T554" s="130"/>
      <c r="U554" s="130"/>
      <c r="V554" s="2107"/>
      <c r="W554" s="698"/>
      <c r="X554" s="699"/>
      <c r="Y554" s="684"/>
      <c r="Z554" s="684"/>
      <c r="AA554" s="684"/>
      <c r="AB554" s="684"/>
      <c r="AC554" s="684"/>
      <c r="AD554" s="684"/>
      <c r="AE554" s="684"/>
      <c r="AF554" s="684"/>
      <c r="AG554" s="684"/>
    </row>
    <row r="555" spans="1:33" s="56" customFormat="1" hidden="1" outlineLevel="1" x14ac:dyDescent="0.25">
      <c r="A555" s="597"/>
      <c r="B555" s="251"/>
      <c r="C555" s="616"/>
      <c r="D555" s="2101"/>
      <c r="E555" s="2101"/>
      <c r="F555" s="2150" t="str">
        <f t="shared" si="41"/>
        <v>Ductless ASHP Replace Electric Resistance ER2 MF</v>
      </c>
      <c r="G555" s="2151"/>
      <c r="H555" s="2152"/>
      <c r="I555" s="709"/>
      <c r="J555" s="697"/>
      <c r="K555" s="685"/>
      <c r="L555" s="664"/>
      <c r="M555" s="1662"/>
      <c r="N555" s="251"/>
      <c r="O555" s="251"/>
      <c r="P555" s="251"/>
      <c r="Q555" s="251"/>
      <c r="R555" s="251"/>
      <c r="S555" s="251"/>
      <c r="T555" s="130"/>
      <c r="U555" s="130"/>
      <c r="V555" s="2107"/>
      <c r="W555" s="698"/>
      <c r="X555" s="699"/>
      <c r="Y555" s="684"/>
      <c r="Z555" s="684"/>
      <c r="AA555" s="684"/>
      <c r="AB555" s="684"/>
      <c r="AC555" s="684"/>
      <c r="AD555" s="684"/>
      <c r="AE555" s="684"/>
      <c r="AF555" s="684"/>
      <c r="AG555" s="684"/>
    </row>
    <row r="556" spans="1:33" s="56" customFormat="1" hidden="1" outlineLevel="1" x14ac:dyDescent="0.25">
      <c r="A556" s="597"/>
      <c r="B556" s="251"/>
      <c r="C556" s="616"/>
      <c r="D556" s="2101"/>
      <c r="E556" s="2101"/>
      <c r="F556" s="2150" t="str">
        <f t="shared" si="41"/>
        <v>Ductless ASHP Replace Electric Resistance ROF MF</v>
      </c>
      <c r="G556" s="2151"/>
      <c r="H556" s="2152"/>
      <c r="I556" s="709"/>
      <c r="J556" s="697">
        <f>(705/1.5*$K$430)*$J$488</f>
        <v>458.25</v>
      </c>
      <c r="K556" s="685"/>
      <c r="L556" s="664"/>
      <c r="M556" s="1662"/>
      <c r="N556" s="251"/>
      <c r="O556" s="251"/>
      <c r="P556" s="251"/>
      <c r="Q556" s="251"/>
      <c r="R556" s="251"/>
      <c r="S556" s="251"/>
      <c r="T556" s="130"/>
      <c r="U556" s="130"/>
      <c r="V556" s="2107"/>
      <c r="W556" s="698">
        <v>752</v>
      </c>
      <c r="X556" s="699">
        <f>(705/1.5*$K$430)*$J$488</f>
        <v>458.25</v>
      </c>
      <c r="Y556" s="684"/>
      <c r="Z556" s="684"/>
      <c r="AA556" s="684"/>
      <c r="AB556" s="684"/>
      <c r="AC556" s="684"/>
      <c r="AD556" s="684"/>
      <c r="AE556" s="684"/>
      <c r="AF556" s="684"/>
      <c r="AG556" s="684"/>
    </row>
    <row r="557" spans="1:33" s="56" customFormat="1" hidden="1" outlineLevel="1" x14ac:dyDescent="0.25">
      <c r="A557" s="597"/>
      <c r="B557" s="251"/>
      <c r="C557" s="616"/>
      <c r="D557" s="2101"/>
      <c r="E557" s="2101"/>
      <c r="F557" s="2150" t="str">
        <f t="shared" si="41"/>
        <v>Ductless ASHP Replace Electric Resistance ROF MF</v>
      </c>
      <c r="G557" s="2151"/>
      <c r="H557" s="2152"/>
      <c r="I557" s="709"/>
      <c r="J557" s="697"/>
      <c r="K557" s="685"/>
      <c r="L557" s="664"/>
      <c r="M557" s="1662"/>
      <c r="N557" s="251"/>
      <c r="O557" s="251"/>
      <c r="P557" s="251"/>
      <c r="Q557" s="251"/>
      <c r="R557" s="251"/>
      <c r="S557" s="251"/>
      <c r="T557" s="130"/>
      <c r="U557" s="130"/>
      <c r="V557" s="2107"/>
      <c r="W557" s="698"/>
      <c r="X557" s="699"/>
      <c r="Y557" s="684"/>
      <c r="Z557" s="684"/>
      <c r="AA557" s="684"/>
      <c r="AB557" s="684"/>
      <c r="AC557" s="684"/>
      <c r="AD557" s="684"/>
      <c r="AE557" s="684"/>
      <c r="AF557" s="684"/>
      <c r="AG557" s="684"/>
    </row>
    <row r="558" spans="1:33" s="56" customFormat="1" hidden="1" outlineLevel="1" x14ac:dyDescent="0.25">
      <c r="A558" s="597"/>
      <c r="B558" s="251"/>
      <c r="C558" s="616"/>
      <c r="D558" s="2101"/>
      <c r="E558" s="2101"/>
      <c r="F558" s="2150" t="str">
        <f t="shared" si="41"/>
        <v>Ductless ASHP ER1 MF</v>
      </c>
      <c r="G558" s="2151"/>
      <c r="H558" s="2152"/>
      <c r="I558" s="709"/>
      <c r="J558" s="697">
        <f>(1440/1.5*$K$431)*$J$490</f>
        <v>936</v>
      </c>
      <c r="K558" s="685"/>
      <c r="L558" s="664"/>
      <c r="M558" s="1662"/>
      <c r="N558" s="251"/>
      <c r="O558" s="251"/>
      <c r="P558" s="251"/>
      <c r="Q558" s="251"/>
      <c r="R558" s="251"/>
      <c r="S558" s="251"/>
      <c r="T558" s="130"/>
      <c r="U558" s="130"/>
      <c r="V558" s="2107"/>
      <c r="W558" s="698">
        <v>1632</v>
      </c>
      <c r="X558" s="699">
        <f>(1440/1.5*$K$431)*$J$490</f>
        <v>936</v>
      </c>
      <c r="Y558" s="684"/>
      <c r="Z558" s="684"/>
      <c r="AA558" s="684"/>
      <c r="AB558" s="684"/>
      <c r="AC558" s="684"/>
      <c r="AD558" s="684"/>
      <c r="AE558" s="684"/>
      <c r="AF558" s="684"/>
      <c r="AG558" s="684"/>
    </row>
    <row r="559" spans="1:33" s="56" customFormat="1" hidden="1" outlineLevel="1" x14ac:dyDescent="0.25">
      <c r="A559" s="597"/>
      <c r="B559" s="251"/>
      <c r="C559" s="616"/>
      <c r="D559" s="2101"/>
      <c r="E559" s="2101"/>
      <c r="F559" s="2150" t="str">
        <f t="shared" ref="F559:F561" si="42">F525</f>
        <v>Ductless ASHP ER1 MF</v>
      </c>
      <c r="G559" s="2151"/>
      <c r="H559" s="2152"/>
      <c r="I559" s="709"/>
      <c r="J559" s="697"/>
      <c r="K559" s="685"/>
      <c r="L559" s="664"/>
      <c r="M559" s="1662"/>
      <c r="N559" s="251"/>
      <c r="O559" s="251"/>
      <c r="P559" s="251"/>
      <c r="Q559" s="251"/>
      <c r="R559" s="251"/>
      <c r="S559" s="251"/>
      <c r="T559" s="130"/>
      <c r="U559" s="130"/>
      <c r="V559" s="2107"/>
      <c r="W559" s="700"/>
      <c r="X559" s="700"/>
      <c r="Y559" s="684"/>
      <c r="Z559" s="684"/>
      <c r="AA559" s="684"/>
      <c r="AB559" s="684"/>
      <c r="AC559" s="684"/>
      <c r="AD559" s="684"/>
      <c r="AE559" s="684"/>
      <c r="AF559" s="684"/>
      <c r="AG559" s="684"/>
    </row>
    <row r="560" spans="1:33" s="56" customFormat="1" hidden="1" outlineLevel="1" x14ac:dyDescent="0.25">
      <c r="A560" s="597"/>
      <c r="B560" s="251"/>
      <c r="C560" s="616"/>
      <c r="D560" s="2101"/>
      <c r="E560" s="2101"/>
      <c r="F560" s="2150" t="str">
        <f t="shared" si="42"/>
        <v>Ductless ASHP ER2 MF</v>
      </c>
      <c r="G560" s="2151"/>
      <c r="H560" s="2152"/>
      <c r="I560" s="709"/>
      <c r="J560" s="697"/>
      <c r="K560" s="685"/>
      <c r="L560" s="664"/>
      <c r="M560" s="1662"/>
      <c r="N560" s="251"/>
      <c r="O560" s="251"/>
      <c r="P560" s="251"/>
      <c r="Q560" s="251"/>
      <c r="R560" s="251"/>
      <c r="S560" s="251"/>
      <c r="T560" s="130"/>
      <c r="U560" s="130"/>
      <c r="V560" s="2107"/>
      <c r="W560" s="700"/>
      <c r="X560" s="700"/>
      <c r="Y560" s="684"/>
      <c r="Z560" s="684"/>
      <c r="AA560" s="684"/>
      <c r="AB560" s="684"/>
      <c r="AC560" s="684"/>
      <c r="AD560" s="684"/>
      <c r="AE560" s="684"/>
      <c r="AF560" s="684"/>
      <c r="AG560" s="684"/>
    </row>
    <row r="561" spans="1:34" s="56" customFormat="1" ht="15.75" hidden="1" outlineLevel="1" thickBot="1" x14ac:dyDescent="0.3">
      <c r="A561" s="597"/>
      <c r="B561" s="251"/>
      <c r="C561" s="616"/>
      <c r="D561" s="2102"/>
      <c r="E561" s="2102"/>
      <c r="F561" s="2153" t="str">
        <f t="shared" si="42"/>
        <v>Ductless ASHP ER2 MF</v>
      </c>
      <c r="G561" s="2154"/>
      <c r="H561" s="2155"/>
      <c r="I561" s="712"/>
      <c r="J561" s="701"/>
      <c r="K561" s="687"/>
      <c r="L561" s="672"/>
      <c r="M561" s="1662"/>
      <c r="N561" s="251"/>
      <c r="O561" s="251"/>
      <c r="P561" s="251"/>
      <c r="Q561" s="251"/>
      <c r="R561" s="251"/>
      <c r="S561" s="251"/>
      <c r="T561" s="130"/>
      <c r="U561" s="130"/>
      <c r="V561" s="2108"/>
      <c r="W561" s="686"/>
      <c r="X561" s="686"/>
      <c r="Y561" s="686"/>
      <c r="Z561" s="686"/>
      <c r="AA561" s="686"/>
      <c r="AB561" s="686"/>
      <c r="AC561" s="686"/>
      <c r="AD561" s="686"/>
      <c r="AE561" s="686"/>
      <c r="AF561" s="686"/>
      <c r="AG561" s="686"/>
    </row>
    <row r="562" spans="1:34" collapsed="1" x14ac:dyDescent="0.25"/>
    <row r="564" spans="1:34" s="56" customFormat="1" x14ac:dyDescent="0.25">
      <c r="A564" s="597"/>
      <c r="B564" s="111" t="s">
        <v>1021</v>
      </c>
      <c r="C564" s="653"/>
      <c r="D564" s="112"/>
      <c r="E564" s="112"/>
      <c r="F564" s="112"/>
      <c r="G564" s="112"/>
      <c r="H564" s="112"/>
      <c r="I564" s="112"/>
      <c r="J564" s="112"/>
      <c r="K564" s="112"/>
      <c r="L564" s="112"/>
      <c r="M564" s="112"/>
      <c r="N564" s="112"/>
      <c r="O564" s="112"/>
      <c r="P564" s="112"/>
      <c r="Q564" s="527"/>
      <c r="R564" s="130"/>
      <c r="S564" s="130"/>
      <c r="T564" s="130"/>
      <c r="U564" s="130"/>
      <c r="V564" s="2022" t="str">
        <f>B564</f>
        <v>Dual Fuel Heat Pumps</v>
      </c>
      <c r="W564" s="2023"/>
      <c r="X564" s="2023"/>
      <c r="Y564" s="2023"/>
      <c r="Z564" s="2023"/>
      <c r="AA564" s="2023"/>
      <c r="AB564" s="2023"/>
      <c r="AC564" s="2024"/>
      <c r="AD564" s="2024"/>
      <c r="AE564" s="2024"/>
      <c r="AF564" s="2024"/>
      <c r="AG564" s="2024"/>
      <c r="AH564" s="2025"/>
    </row>
    <row r="565" spans="1:34" x14ac:dyDescent="0.25">
      <c r="H565" s="616"/>
      <c r="I565" s="616"/>
      <c r="J565" s="616"/>
      <c r="K565" s="616"/>
      <c r="L565" s="616"/>
      <c r="M565" s="616"/>
      <c r="Q565" s="658"/>
    </row>
    <row r="566" spans="1:34" x14ac:dyDescent="0.25">
      <c r="I566" s="616"/>
      <c r="J566" s="616"/>
      <c r="K566" s="616"/>
      <c r="L566" s="616"/>
      <c r="M566" s="616"/>
      <c r="Q566" s="658"/>
    </row>
    <row r="567" spans="1:34" s="56" customFormat="1" ht="45" x14ac:dyDescent="0.25">
      <c r="A567" s="597"/>
      <c r="B567" s="130"/>
      <c r="C567" s="184" t="s">
        <v>16</v>
      </c>
      <c r="D567" s="184" t="s">
        <v>509</v>
      </c>
      <c r="E567" s="184" t="s">
        <v>18</v>
      </c>
      <c r="F567" s="184" t="s">
        <v>19</v>
      </c>
      <c r="G567" s="184" t="s">
        <v>20</v>
      </c>
      <c r="H567" s="184" t="s">
        <v>21</v>
      </c>
      <c r="I567" s="184" t="s">
        <v>22</v>
      </c>
      <c r="J567" s="448" t="s">
        <v>23</v>
      </c>
      <c r="K567" s="184" t="s">
        <v>24</v>
      </c>
      <c r="L567" s="184" t="s">
        <v>919</v>
      </c>
      <c r="M567" s="130"/>
      <c r="N567" s="130"/>
      <c r="O567" s="130"/>
      <c r="P567" s="130"/>
      <c r="Q567" s="130"/>
      <c r="R567" s="130"/>
      <c r="S567" s="130"/>
      <c r="T567" s="130"/>
      <c r="U567" s="130"/>
      <c r="V567" s="48" t="s">
        <v>26</v>
      </c>
      <c r="W567" s="49">
        <v>43252</v>
      </c>
      <c r="X567" s="49">
        <f>$X$6</f>
        <v>43465</v>
      </c>
      <c r="Y567" s="49" t="str">
        <f>$Y$6</f>
        <v>-</v>
      </c>
      <c r="Z567" s="49" t="str">
        <f>$Z$6</f>
        <v>-</v>
      </c>
      <c r="AA567" s="49" t="str">
        <f>$AA$6</f>
        <v>-</v>
      </c>
      <c r="AB567" s="49" t="str">
        <f>$AB$6</f>
        <v>-</v>
      </c>
      <c r="AC567" s="49" t="str">
        <f>$AC$6</f>
        <v>-</v>
      </c>
      <c r="AD567" s="49" t="str">
        <f>$AD$6</f>
        <v>-</v>
      </c>
      <c r="AE567" s="49" t="str">
        <f>$AE$6</f>
        <v>-</v>
      </c>
      <c r="AF567" s="49" t="str">
        <f>$AF$6</f>
        <v>-</v>
      </c>
      <c r="AG567" s="49" t="str">
        <f>$AG$6</f>
        <v>-</v>
      </c>
    </row>
    <row r="568" spans="1:34" s="56" customFormat="1" x14ac:dyDescent="0.25">
      <c r="A568" s="597"/>
      <c r="B568" s="130"/>
      <c r="C568" s="414"/>
      <c r="D568" s="1660" t="s">
        <v>1772</v>
      </c>
      <c r="E568" s="1638" t="s">
        <v>1022</v>
      </c>
      <c r="F568" s="719">
        <f>((J622*J629*(1/J636-1/J643))/1000)*J650</f>
        <v>433.19323308270674</v>
      </c>
      <c r="G568" s="243" t="s">
        <v>1023</v>
      </c>
      <c r="H568" s="170">
        <f>VLOOKUP(G568,'CP FACTORS'!$A$3:$B$38, 2, FALSE)</f>
        <v>9.4741810000000004E-4</v>
      </c>
      <c r="I568" s="1397">
        <f t="shared" ref="I568:I573" si="43">F568*H568</f>
        <v>0.41041510982007517</v>
      </c>
      <c r="J568" s="122">
        <f t="shared" ref="J568:J573" si="44">J657</f>
        <v>18</v>
      </c>
      <c r="K568" s="471">
        <f t="shared" ref="K568:K573" si="45">J664</f>
        <v>2936.6</v>
      </c>
      <c r="L568" s="1665">
        <f>K622</f>
        <v>3.4</v>
      </c>
      <c r="M568" s="703"/>
      <c r="N568" s="130"/>
      <c r="O568" s="130"/>
      <c r="P568" s="130"/>
      <c r="Q568" s="130"/>
      <c r="R568" s="1413"/>
      <c r="S568" s="130"/>
      <c r="T568" s="130"/>
      <c r="U568" s="130"/>
      <c r="V568" s="176" t="s">
        <v>19</v>
      </c>
      <c r="W568" s="1185">
        <v>433.19323308270674</v>
      </c>
      <c r="X568" s="1185">
        <v>433.19323308270674</v>
      </c>
      <c r="Y568" s="55"/>
      <c r="Z568" s="55"/>
      <c r="AA568" s="55"/>
      <c r="AB568" s="55"/>
      <c r="AC568" s="55"/>
      <c r="AD568" s="55"/>
      <c r="AE568" s="55"/>
      <c r="AF568" s="55"/>
      <c r="AG568" s="55"/>
    </row>
    <row r="569" spans="1:34" s="56" customFormat="1" x14ac:dyDescent="0.25">
      <c r="A569" s="597"/>
      <c r="B569" s="130"/>
      <c r="C569" s="414"/>
      <c r="D569" s="1660" t="s">
        <v>1772</v>
      </c>
      <c r="E569" s="1641" t="s">
        <v>1024</v>
      </c>
      <c r="F569" s="719">
        <f xml:space="preserve"> ((J594*J601*(1/J608-1/J615))/1000)*J650</f>
        <v>651.42175609756123</v>
      </c>
      <c r="G569" s="243" t="s">
        <v>1025</v>
      </c>
      <c r="H569" s="170">
        <f>VLOOKUP(G569,'CP FACTORS'!$A$3:$B$38, 2, FALSE)</f>
        <v>0</v>
      </c>
      <c r="I569" s="1397">
        <f t="shared" si="43"/>
        <v>0</v>
      </c>
      <c r="J569" s="122">
        <f t="shared" si="44"/>
        <v>18</v>
      </c>
      <c r="K569" s="471">
        <f t="shared" si="45"/>
        <v>0</v>
      </c>
      <c r="L569" s="1665"/>
      <c r="M569" s="251"/>
      <c r="N569" s="130"/>
      <c r="O569" s="130"/>
      <c r="P569" s="130"/>
      <c r="Q569" s="130"/>
      <c r="R569" s="1413"/>
      <c r="S569" s="130"/>
      <c r="T569" s="130"/>
      <c r="U569" s="130"/>
      <c r="V569" s="176" t="s">
        <v>19</v>
      </c>
      <c r="W569" s="1185">
        <v>651.42175609756123</v>
      </c>
      <c r="X569" s="1185">
        <v>651.42175609756123</v>
      </c>
      <c r="Y569" s="55"/>
      <c r="Z569" s="55"/>
      <c r="AA569" s="55"/>
      <c r="AB569" s="55"/>
      <c r="AC569" s="55"/>
      <c r="AD569" s="55"/>
      <c r="AE569" s="55"/>
      <c r="AF569" s="55"/>
      <c r="AG569" s="55"/>
    </row>
    <row r="570" spans="1:34" s="56" customFormat="1" x14ac:dyDescent="0.25">
      <c r="A570" s="597"/>
      <c r="B570" s="130"/>
      <c r="C570" s="414"/>
      <c r="D570" s="1660" t="s">
        <v>1772</v>
      </c>
      <c r="E570" s="1638" t="s">
        <v>1026</v>
      </c>
      <c r="F570" s="719">
        <f>((J623*J630*(1/J637-1/J644))/1000)*J651</f>
        <v>639.08742857142852</v>
      </c>
      <c r="G570" s="243" t="s">
        <v>1023</v>
      </c>
      <c r="H570" s="170">
        <f>VLOOKUP(G570,'CP FACTORS'!$A$3:$B$38, 2, FALSE)</f>
        <v>9.4741810000000004E-4</v>
      </c>
      <c r="I570" s="1397">
        <f t="shared" si="43"/>
        <v>0.6054829973110285</v>
      </c>
      <c r="J570" s="122">
        <f t="shared" si="44"/>
        <v>18</v>
      </c>
      <c r="K570" s="471">
        <f t="shared" si="45"/>
        <v>3176.6</v>
      </c>
      <c r="L570" s="1665">
        <f>K623</f>
        <v>4.4000000000000004</v>
      </c>
      <c r="M570" s="251"/>
      <c r="N570" s="130"/>
      <c r="O570" s="130"/>
      <c r="P570" s="130"/>
      <c r="Q570" s="130"/>
      <c r="R570" s="1413"/>
      <c r="S570" s="130"/>
      <c r="T570" s="130"/>
      <c r="U570" s="130"/>
      <c r="V570" s="176" t="s">
        <v>19</v>
      </c>
      <c r="W570" s="1185">
        <v>639.08742857142852</v>
      </c>
      <c r="X570" s="1185">
        <v>639.08742857142852</v>
      </c>
      <c r="Y570" s="55"/>
      <c r="Z570" s="55"/>
      <c r="AA570" s="55"/>
      <c r="AB570" s="55"/>
      <c r="AC570" s="55"/>
      <c r="AD570" s="55"/>
      <c r="AE570" s="55"/>
      <c r="AF570" s="55"/>
      <c r="AG570" s="55"/>
    </row>
    <row r="571" spans="1:34" s="56" customFormat="1" x14ac:dyDescent="0.25">
      <c r="A571" s="597"/>
      <c r="B571" s="130"/>
      <c r="C571" s="414"/>
      <c r="D571" s="1660" t="s">
        <v>1772</v>
      </c>
      <c r="E571" s="1641" t="s">
        <v>1026</v>
      </c>
      <c r="F571" s="719">
        <f xml:space="preserve"> ((J595*J602*(1/J609-1/J616))/1000)*J651</f>
        <v>990.72439024390337</v>
      </c>
      <c r="G571" s="243" t="s">
        <v>1025</v>
      </c>
      <c r="H571" s="170">
        <f>VLOOKUP(G571,'CP FACTORS'!$A$3:$B$38, 2, FALSE)</f>
        <v>0</v>
      </c>
      <c r="I571" s="1397">
        <f t="shared" si="43"/>
        <v>0</v>
      </c>
      <c r="J571" s="122">
        <f t="shared" si="44"/>
        <v>18</v>
      </c>
      <c r="K571" s="471">
        <f t="shared" si="45"/>
        <v>0</v>
      </c>
      <c r="L571" s="1665"/>
      <c r="M571" s="251"/>
      <c r="N571" s="130"/>
      <c r="O571" s="130"/>
      <c r="P571" s="130"/>
      <c r="Q571" s="130"/>
      <c r="R571" s="1413"/>
      <c r="S571" s="130"/>
      <c r="T571" s="130"/>
      <c r="U571" s="130"/>
      <c r="V571" s="176" t="s">
        <v>19</v>
      </c>
      <c r="W571" s="1185">
        <v>990.72439024390337</v>
      </c>
      <c r="X571" s="1185">
        <v>990.72439024390337</v>
      </c>
      <c r="Y571" s="55"/>
      <c r="Z571" s="55"/>
      <c r="AA571" s="55"/>
      <c r="AB571" s="55"/>
      <c r="AC571" s="55"/>
      <c r="AD571" s="55"/>
      <c r="AE571" s="55"/>
      <c r="AF571" s="55"/>
      <c r="AG571" s="55"/>
    </row>
    <row r="572" spans="1:34" s="56" customFormat="1" x14ac:dyDescent="0.25">
      <c r="A572" s="597"/>
      <c r="B572" s="130"/>
      <c r="C572" s="414"/>
      <c r="D572" s="1660" t="s">
        <v>1772</v>
      </c>
      <c r="E572" s="1638" t="s">
        <v>1027</v>
      </c>
      <c r="F572" s="719">
        <f>((J624*J631*(1/J638-1/J645))/1000)*J652</f>
        <v>871.48285714285726</v>
      </c>
      <c r="G572" s="243" t="s">
        <v>1023</v>
      </c>
      <c r="H572" s="170">
        <f>VLOOKUP(G572,'CP FACTORS'!$A$3:$B$38, 2, FALSE)</f>
        <v>9.4741810000000004E-4</v>
      </c>
      <c r="I572" s="1397">
        <f t="shared" si="43"/>
        <v>0.82565863269685724</v>
      </c>
      <c r="J572" s="122">
        <f t="shared" si="44"/>
        <v>18</v>
      </c>
      <c r="K572" s="471">
        <f t="shared" si="45"/>
        <v>3626.6</v>
      </c>
      <c r="L572" s="1665">
        <f>K624</f>
        <v>5.4</v>
      </c>
      <c r="M572" s="251"/>
      <c r="N572" s="130"/>
      <c r="O572" s="130"/>
      <c r="P572" s="130"/>
      <c r="Q572" s="130"/>
      <c r="R572" s="1413"/>
      <c r="S572" s="130"/>
      <c r="T572" s="130"/>
      <c r="U572" s="130"/>
      <c r="V572" s="176" t="s">
        <v>19</v>
      </c>
      <c r="W572" s="1185">
        <v>871.48285714285726</v>
      </c>
      <c r="X572" s="1185">
        <v>871.48285714285726</v>
      </c>
      <c r="Y572" s="55"/>
      <c r="Z572" s="55"/>
      <c r="AA572" s="55"/>
      <c r="AB572" s="55"/>
      <c r="AC572" s="55"/>
      <c r="AD572" s="55"/>
      <c r="AE572" s="55"/>
      <c r="AF572" s="55"/>
      <c r="AG572" s="55"/>
    </row>
    <row r="573" spans="1:34" s="56" customFormat="1" x14ac:dyDescent="0.25">
      <c r="A573" s="597"/>
      <c r="B573" s="130"/>
      <c r="C573" s="414"/>
      <c r="D573" s="1660" t="s">
        <v>1772</v>
      </c>
      <c r="E573" s="1641" t="s">
        <v>1027</v>
      </c>
      <c r="F573" s="719">
        <f xml:space="preserve"> ((J596*J603*(1/J610-1/J617))/1000)*J652</f>
        <v>1383.739024390245</v>
      </c>
      <c r="G573" s="243" t="s">
        <v>1025</v>
      </c>
      <c r="H573" s="170">
        <f>VLOOKUP(G573,'CP FACTORS'!$A$3:$B$38, 2, FALSE)</f>
        <v>0</v>
      </c>
      <c r="I573" s="1397">
        <f t="shared" si="43"/>
        <v>0</v>
      </c>
      <c r="J573" s="122">
        <f t="shared" si="44"/>
        <v>18</v>
      </c>
      <c r="K573" s="471">
        <f t="shared" si="45"/>
        <v>0</v>
      </c>
      <c r="L573" s="1589"/>
      <c r="M573" s="251"/>
      <c r="N573" s="130"/>
      <c r="O573" s="130"/>
      <c r="P573" s="130"/>
      <c r="Q573" s="130"/>
      <c r="R573" s="1413"/>
      <c r="S573" s="130"/>
      <c r="T573" s="130"/>
      <c r="U573" s="130"/>
      <c r="V573" s="176" t="s">
        <v>19</v>
      </c>
      <c r="W573" s="1185">
        <v>1383.739024390245</v>
      </c>
      <c r="X573" s="1185">
        <v>1383.739024390245</v>
      </c>
      <c r="Y573" s="55"/>
      <c r="Z573" s="55"/>
      <c r="AA573" s="55"/>
      <c r="AB573" s="55"/>
      <c r="AC573" s="55"/>
      <c r="AD573" s="55"/>
      <c r="AE573" s="55"/>
      <c r="AF573" s="55"/>
      <c r="AG573" s="55"/>
    </row>
    <row r="574" spans="1:34" s="56" customFormat="1" hidden="1" outlineLevel="1" x14ac:dyDescent="0.25">
      <c r="A574" s="597"/>
      <c r="B574" s="130"/>
      <c r="C574" s="616"/>
      <c r="D574" s="658"/>
      <c r="E574" s="130"/>
      <c r="F574" s="1582"/>
      <c r="G574" s="1666"/>
      <c r="H574" s="616"/>
      <c r="I574" s="616"/>
      <c r="J574" s="616"/>
      <c r="K574" s="658" t="s">
        <v>1028</v>
      </c>
      <c r="L574" s="616"/>
      <c r="M574" s="616"/>
      <c r="N574" s="130"/>
      <c r="O574" s="130"/>
      <c r="P574" s="130"/>
      <c r="Q574" s="658"/>
      <c r="R574" s="130"/>
      <c r="S574" s="130"/>
      <c r="T574" s="130"/>
      <c r="U574" s="130"/>
    </row>
    <row r="575" spans="1:34" s="56" customFormat="1" hidden="1" outlineLevel="1" x14ac:dyDescent="0.25">
      <c r="A575" s="597"/>
      <c r="B575" s="130"/>
      <c r="C575" s="616"/>
      <c r="D575" s="658"/>
      <c r="E575" s="658"/>
      <c r="F575" s="1582"/>
      <c r="G575" s="1666"/>
      <c r="H575" s="616"/>
      <c r="I575" s="616"/>
      <c r="J575" s="616"/>
      <c r="K575" s="616"/>
      <c r="L575" s="616"/>
      <c r="M575" s="616"/>
      <c r="N575" s="130"/>
      <c r="O575" s="130"/>
      <c r="P575" s="130"/>
      <c r="Q575" s="658"/>
      <c r="R575" s="130"/>
      <c r="S575" s="130"/>
      <c r="T575" s="130"/>
      <c r="U575" s="130"/>
    </row>
    <row r="576" spans="1:34" s="56" customFormat="1" hidden="1" outlineLevel="1" x14ac:dyDescent="0.25">
      <c r="A576" s="597"/>
      <c r="B576" s="130"/>
      <c r="C576" s="616"/>
      <c r="D576" s="1418" t="s">
        <v>463</v>
      </c>
      <c r="E576" s="603"/>
      <c r="F576" s="130"/>
      <c r="G576" s="658"/>
      <c r="H576" s="130"/>
      <c r="I576" s="489"/>
      <c r="J576" s="130"/>
      <c r="K576" s="130"/>
      <c r="L576" s="130"/>
      <c r="M576" s="130"/>
      <c r="N576" s="130"/>
      <c r="O576" s="130"/>
      <c r="P576" s="130"/>
      <c r="Q576" s="130"/>
      <c r="R576" s="130"/>
      <c r="S576" s="130"/>
      <c r="T576" s="130"/>
      <c r="U576" s="130"/>
    </row>
    <row r="577" spans="1:21" s="56" customFormat="1" hidden="1" outlineLevel="1" x14ac:dyDescent="0.25">
      <c r="A577" s="597"/>
      <c r="B577" s="130"/>
      <c r="C577" s="616"/>
      <c r="D577" s="658"/>
      <c r="E577" s="658"/>
      <c r="F577" s="130"/>
      <c r="G577" s="1584"/>
      <c r="H577" s="616"/>
      <c r="I577" s="489"/>
      <c r="J577" s="130"/>
      <c r="K577" s="130"/>
      <c r="L577" s="130"/>
      <c r="M577" s="130"/>
      <c r="N577" s="130"/>
      <c r="O577" s="130"/>
      <c r="P577" s="130"/>
      <c r="Q577" s="130"/>
      <c r="R577" s="130"/>
      <c r="S577" s="130"/>
      <c r="T577" s="130"/>
      <c r="U577" s="130"/>
    </row>
    <row r="578" spans="1:21" s="56" customFormat="1" hidden="1" outlineLevel="1" x14ac:dyDescent="0.25">
      <c r="A578" s="597"/>
      <c r="B578" s="130"/>
      <c r="C578" s="616"/>
      <c r="D578" s="658"/>
      <c r="E578" s="603"/>
      <c r="F578" s="1594"/>
      <c r="G578" s="1584"/>
      <c r="H578" s="616"/>
      <c r="I578" s="489"/>
      <c r="J578" s="130"/>
      <c r="K578" s="130"/>
      <c r="L578" s="130"/>
      <c r="M578" s="130"/>
      <c r="N578" s="130"/>
      <c r="O578" s="130"/>
      <c r="P578" s="130"/>
      <c r="Q578" s="130"/>
      <c r="R578" s="130"/>
      <c r="S578" s="130"/>
      <c r="T578" s="130"/>
      <c r="U578" s="130"/>
    </row>
    <row r="579" spans="1:21" s="56" customFormat="1" hidden="1" outlineLevel="1" x14ac:dyDescent="0.25">
      <c r="A579" s="597"/>
      <c r="B579" s="130"/>
      <c r="C579" s="616"/>
      <c r="D579" s="658"/>
      <c r="E579" s="603"/>
      <c r="F579" s="1594"/>
      <c r="G579" s="1584"/>
      <c r="H579" s="616"/>
      <c r="I579" s="489"/>
      <c r="J579" s="130"/>
      <c r="K579" s="130"/>
      <c r="L579" s="130"/>
      <c r="M579" s="130"/>
      <c r="N579" s="130"/>
      <c r="O579" s="130"/>
      <c r="P579" s="130"/>
      <c r="Q579" s="130"/>
      <c r="R579" s="130"/>
      <c r="S579" s="130"/>
      <c r="T579" s="130"/>
      <c r="U579" s="130"/>
    </row>
    <row r="580" spans="1:21" s="56" customFormat="1" hidden="1" outlineLevel="1" x14ac:dyDescent="0.25">
      <c r="A580" s="597"/>
      <c r="B580" s="130"/>
      <c r="C580" s="616"/>
      <c r="D580" s="658"/>
      <c r="E580" s="603"/>
      <c r="F580" s="1594"/>
      <c r="G580" s="1584"/>
      <c r="H580" s="616"/>
      <c r="I580" s="489"/>
      <c r="J580" s="130"/>
      <c r="K580" s="130"/>
      <c r="L580" s="130"/>
      <c r="M580" s="130"/>
      <c r="N580" s="130"/>
      <c r="O580" s="130"/>
      <c r="P580" s="130"/>
      <c r="Q580" s="130"/>
      <c r="R580" s="130"/>
      <c r="S580" s="130"/>
      <c r="T580" s="130"/>
      <c r="U580" s="130"/>
    </row>
    <row r="581" spans="1:21" s="56" customFormat="1" hidden="1" outlineLevel="1" x14ac:dyDescent="0.25">
      <c r="A581" s="597"/>
      <c r="B581" s="130"/>
      <c r="C581" s="616"/>
      <c r="D581" s="658"/>
      <c r="E581" s="603"/>
      <c r="F581" s="1594"/>
      <c r="G581" s="1584"/>
      <c r="H581" s="616"/>
      <c r="I581" s="489"/>
      <c r="J581" s="130"/>
      <c r="K581" s="130"/>
      <c r="L581" s="130"/>
      <c r="M581" s="130"/>
      <c r="N581" s="130"/>
      <c r="O581" s="130"/>
      <c r="P581" s="130"/>
      <c r="Q581" s="130"/>
      <c r="R581" s="130"/>
      <c r="S581" s="130"/>
      <c r="T581" s="130"/>
      <c r="U581" s="130"/>
    </row>
    <row r="582" spans="1:21" s="56" customFormat="1" hidden="1" outlineLevel="1" x14ac:dyDescent="0.25">
      <c r="A582" s="597"/>
      <c r="B582" s="130"/>
      <c r="C582" s="616"/>
      <c r="D582" s="658" t="s">
        <v>945</v>
      </c>
      <c r="E582" s="603"/>
      <c r="F582" s="1594"/>
      <c r="G582" s="1584"/>
      <c r="H582" s="616"/>
      <c r="I582" s="489"/>
      <c r="J582" s="130"/>
      <c r="K582" s="130"/>
      <c r="L582" s="130"/>
      <c r="M582" s="130"/>
      <c r="N582" s="130"/>
      <c r="O582" s="130"/>
      <c r="P582" s="130"/>
      <c r="Q582" s="130"/>
      <c r="R582" s="130"/>
      <c r="S582" s="130"/>
      <c r="T582" s="130"/>
      <c r="U582" s="130"/>
    </row>
    <row r="583" spans="1:21" s="56" customFormat="1" hidden="1" outlineLevel="1" x14ac:dyDescent="0.25">
      <c r="A583" s="597"/>
      <c r="B583" s="130"/>
      <c r="C583" s="616"/>
      <c r="D583" s="658"/>
      <c r="E583" s="603"/>
      <c r="F583" s="1594"/>
      <c r="G583" s="1584"/>
      <c r="H583" s="616"/>
      <c r="I583" s="489"/>
      <c r="J583" s="130"/>
      <c r="K583" s="130"/>
      <c r="L583" s="130"/>
      <c r="M583" s="130"/>
      <c r="N583" s="130"/>
      <c r="O583" s="130"/>
      <c r="P583" s="130"/>
      <c r="Q583" s="130"/>
      <c r="R583" s="130"/>
      <c r="S583" s="130"/>
      <c r="T583" s="130"/>
      <c r="U583" s="130"/>
    </row>
    <row r="584" spans="1:21" s="56" customFormat="1" hidden="1" outlineLevel="1" x14ac:dyDescent="0.25">
      <c r="A584" s="597"/>
      <c r="B584" s="130"/>
      <c r="C584" s="616"/>
      <c r="D584" s="658"/>
      <c r="E584" s="603"/>
      <c r="F584" s="1594"/>
      <c r="G584" s="1584"/>
      <c r="H584" s="616"/>
      <c r="I584" s="489"/>
      <c r="J584" s="130"/>
      <c r="K584" s="130"/>
      <c r="L584" s="130"/>
      <c r="M584" s="130"/>
      <c r="N584" s="130"/>
      <c r="O584" s="130"/>
      <c r="P584" s="130"/>
      <c r="Q584" s="130"/>
      <c r="R584" s="130"/>
      <c r="S584" s="130"/>
      <c r="T584" s="130"/>
      <c r="U584" s="130"/>
    </row>
    <row r="585" spans="1:21" s="56" customFormat="1" hidden="1" outlineLevel="1" x14ac:dyDescent="0.25">
      <c r="A585" s="597"/>
      <c r="B585" s="130"/>
      <c r="C585" s="616"/>
      <c r="D585" s="658"/>
      <c r="E585" s="603"/>
      <c r="F585" s="1594"/>
      <c r="G585" s="1584"/>
      <c r="H585" s="616"/>
      <c r="I585" s="489"/>
      <c r="J585" s="130"/>
      <c r="K585" s="130"/>
      <c r="L585" s="130"/>
      <c r="M585" s="130"/>
      <c r="N585" s="130"/>
      <c r="O585" s="130"/>
      <c r="P585" s="130"/>
      <c r="Q585" s="130"/>
      <c r="R585" s="130"/>
      <c r="S585" s="130"/>
      <c r="T585" s="130"/>
      <c r="U585" s="130"/>
    </row>
    <row r="586" spans="1:21" s="56" customFormat="1" hidden="1" outlineLevel="1" x14ac:dyDescent="0.25">
      <c r="A586" s="597"/>
      <c r="B586" s="130"/>
      <c r="C586" s="616"/>
      <c r="D586" s="658"/>
      <c r="E586" s="603"/>
      <c r="F586" s="1594"/>
      <c r="G586" s="1584"/>
      <c r="H586" s="616"/>
      <c r="I586" s="489"/>
      <c r="J586" s="130"/>
      <c r="K586" s="130"/>
      <c r="L586" s="130"/>
      <c r="M586" s="130"/>
      <c r="N586" s="130"/>
      <c r="O586" s="130"/>
      <c r="P586" s="130"/>
      <c r="Q586" s="130"/>
      <c r="R586" s="130"/>
      <c r="S586" s="130"/>
      <c r="T586" s="130"/>
      <c r="U586" s="130"/>
    </row>
    <row r="587" spans="1:21" s="56" customFormat="1" hidden="1" outlineLevel="1" x14ac:dyDescent="0.25">
      <c r="A587" s="597"/>
      <c r="B587" s="130"/>
      <c r="C587" s="616"/>
      <c r="D587" s="658"/>
      <c r="E587" s="658"/>
      <c r="F587" s="1594"/>
      <c r="G587" s="1584"/>
      <c r="H587" s="616"/>
      <c r="I587" s="489"/>
      <c r="J587" s="130"/>
      <c r="K587" s="130"/>
      <c r="L587" s="130"/>
      <c r="M587" s="130"/>
      <c r="N587" s="130"/>
      <c r="O587" s="130"/>
      <c r="P587" s="130"/>
      <c r="Q587" s="130"/>
      <c r="R587" s="130"/>
      <c r="S587" s="130"/>
      <c r="T587" s="130"/>
      <c r="U587" s="130"/>
    </row>
    <row r="588" spans="1:21" s="56" customFormat="1" hidden="1" outlineLevel="1" x14ac:dyDescent="0.25">
      <c r="A588" s="597"/>
      <c r="B588" s="130"/>
      <c r="C588" s="616"/>
      <c r="D588" s="658" t="s">
        <v>1002</v>
      </c>
      <c r="E588" s="658"/>
      <c r="F588" s="1594"/>
      <c r="G588" s="1584"/>
      <c r="H588" s="616"/>
      <c r="I588" s="489"/>
      <c r="J588" s="130"/>
      <c r="K588" s="130"/>
      <c r="L588" s="130"/>
      <c r="M588" s="130"/>
      <c r="N588" s="130"/>
      <c r="O588" s="130"/>
      <c r="P588" s="130"/>
      <c r="Q588" s="130"/>
      <c r="R588" s="130"/>
      <c r="S588" s="130"/>
      <c r="T588" s="130"/>
      <c r="U588" s="130"/>
    </row>
    <row r="589" spans="1:21" s="56" customFormat="1" hidden="1" outlineLevel="1" x14ac:dyDescent="0.25">
      <c r="A589" s="597"/>
      <c r="B589" s="130"/>
      <c r="C589" s="616"/>
      <c r="D589" s="658"/>
      <c r="E589" s="658"/>
      <c r="F589" s="1594"/>
      <c r="G589" s="1584"/>
      <c r="H589" s="616"/>
      <c r="I589" s="489"/>
      <c r="J589" s="130"/>
      <c r="K589" s="130"/>
      <c r="L589" s="130"/>
      <c r="M589" s="130"/>
      <c r="N589" s="130"/>
      <c r="O589" s="130"/>
      <c r="P589" s="130"/>
      <c r="Q589" s="130"/>
      <c r="R589" s="130"/>
      <c r="S589" s="130"/>
      <c r="T589" s="130"/>
      <c r="U589" s="130"/>
    </row>
    <row r="590" spans="1:21" s="56" customFormat="1" hidden="1" outlineLevel="1" x14ac:dyDescent="0.25">
      <c r="A590" s="597"/>
      <c r="B590" s="130"/>
      <c r="C590" s="616"/>
      <c r="D590" s="658"/>
      <c r="E590" s="658"/>
      <c r="F590" s="1594"/>
      <c r="G590" s="1584"/>
      <c r="H590" s="616"/>
      <c r="I590" s="130"/>
      <c r="J590" s="130"/>
      <c r="K590" s="130"/>
      <c r="L590" s="130"/>
      <c r="M590" s="130"/>
      <c r="N590" s="130"/>
      <c r="O590" s="130"/>
      <c r="P590" s="130"/>
      <c r="Q590" s="130"/>
      <c r="R590" s="130"/>
      <c r="S590" s="130"/>
      <c r="T590" s="130"/>
      <c r="U590" s="130"/>
    </row>
    <row r="591" spans="1:21" s="56" customFormat="1" hidden="1" outlineLevel="1" x14ac:dyDescent="0.25">
      <c r="A591" s="597"/>
      <c r="B591" s="130"/>
      <c r="C591" s="616"/>
      <c r="D591" s="658"/>
      <c r="E591" s="658"/>
      <c r="F591" s="130"/>
      <c r="G591" s="658"/>
      <c r="H591" s="616"/>
      <c r="I591" s="130"/>
      <c r="J591" s="130"/>
      <c r="K591" s="130"/>
      <c r="L591" s="130"/>
      <c r="M591" s="130"/>
      <c r="N591" s="130"/>
      <c r="O591" s="130"/>
      <c r="P591" s="130"/>
      <c r="Q591" s="130"/>
      <c r="R591" s="130"/>
      <c r="S591" s="130"/>
      <c r="T591" s="130"/>
      <c r="U591" s="130"/>
    </row>
    <row r="592" spans="1:21" s="56" customFormat="1" hidden="1" outlineLevel="1" x14ac:dyDescent="0.25">
      <c r="A592" s="597"/>
      <c r="B592" s="130"/>
      <c r="C592" s="616"/>
      <c r="D592" s="658"/>
      <c r="E592" s="658"/>
      <c r="F592" s="130"/>
      <c r="G592" s="658"/>
      <c r="H592" s="616"/>
      <c r="I592" s="616"/>
      <c r="J592" s="616"/>
      <c r="K592" s="616"/>
      <c r="L592" s="616"/>
      <c r="M592" s="616"/>
      <c r="N592" s="130"/>
      <c r="O592" s="130"/>
      <c r="P592" s="130"/>
      <c r="Q592" s="130"/>
      <c r="R592" s="130"/>
      <c r="S592" s="130"/>
      <c r="T592" s="130"/>
      <c r="U592" s="130"/>
    </row>
    <row r="593" spans="1:33" s="56" customFormat="1" ht="60" hidden="1" customHeight="1" outlineLevel="1" thickBot="1" x14ac:dyDescent="0.3">
      <c r="A593" s="597"/>
      <c r="B593" s="130"/>
      <c r="C593" s="616"/>
      <c r="D593" s="358" t="s">
        <v>465</v>
      </c>
      <c r="E593" s="358" t="s">
        <v>466</v>
      </c>
      <c r="F593" s="2122" t="s">
        <v>514</v>
      </c>
      <c r="G593" s="2122"/>
      <c r="H593" s="2122"/>
      <c r="I593" s="534" t="s">
        <v>16</v>
      </c>
      <c r="J593" s="534" t="s">
        <v>467</v>
      </c>
      <c r="K593" s="534" t="s">
        <v>948</v>
      </c>
      <c r="L593" s="534" t="s">
        <v>655</v>
      </c>
      <c r="M593" s="130"/>
      <c r="N593" s="130"/>
      <c r="O593" s="130"/>
      <c r="P593" s="130"/>
      <c r="Q593" s="130"/>
      <c r="R593" s="130"/>
      <c r="S593" s="130"/>
      <c r="T593" s="130"/>
      <c r="U593" s="130"/>
      <c r="V593" s="48" t="s">
        <v>26</v>
      </c>
      <c r="W593" s="49">
        <v>43252</v>
      </c>
      <c r="X593" s="49">
        <f>$X$6</f>
        <v>43465</v>
      </c>
      <c r="Y593" s="49" t="str">
        <f>$Y$6</f>
        <v>-</v>
      </c>
      <c r="Z593" s="49" t="str">
        <f>$Z$6</f>
        <v>-</v>
      </c>
      <c r="AA593" s="49" t="str">
        <f>$AA$6</f>
        <v>-</v>
      </c>
      <c r="AB593" s="49" t="str">
        <f>$AB$6</f>
        <v>-</v>
      </c>
      <c r="AC593" s="49" t="str">
        <f>$AC$6</f>
        <v>-</v>
      </c>
      <c r="AD593" s="49" t="str">
        <f>$AD$6</f>
        <v>-</v>
      </c>
      <c r="AE593" s="49" t="str">
        <f>$AE$6</f>
        <v>-</v>
      </c>
      <c r="AF593" s="49" t="str">
        <f>$AF$6</f>
        <v>-</v>
      </c>
      <c r="AG593" s="49" t="str">
        <f>$AG$6</f>
        <v>-</v>
      </c>
    </row>
    <row r="594" spans="1:33" s="56" customFormat="1" hidden="1" outlineLevel="1" x14ac:dyDescent="0.25">
      <c r="A594" s="597"/>
      <c r="B594" s="130"/>
      <c r="C594" s="616"/>
      <c r="D594" s="2100" t="s">
        <v>1029</v>
      </c>
      <c r="E594" s="2103" t="s">
        <v>1030</v>
      </c>
      <c r="F594" s="2144" t="str">
        <f>E568</f>
        <v xml:space="preserve">DFHP - SEER 19 MF heat pump base </v>
      </c>
      <c r="G594" s="2144"/>
      <c r="H594" s="2144"/>
      <c r="I594" s="707">
        <f>C568</f>
        <v>0</v>
      </c>
      <c r="J594" s="727">
        <v>40800</v>
      </c>
      <c r="K594" s="607">
        <v>3.4</v>
      </c>
      <c r="L594" s="704" t="s">
        <v>977</v>
      </c>
      <c r="M594" s="130"/>
      <c r="N594" s="130"/>
      <c r="O594" s="130"/>
      <c r="P594" s="130"/>
      <c r="Q594" s="130"/>
      <c r="R594" s="130"/>
      <c r="S594" s="130"/>
      <c r="T594" s="130"/>
      <c r="U594" s="130"/>
      <c r="V594" s="2106" t="s">
        <v>1029</v>
      </c>
      <c r="W594" s="605">
        <f>$K594*12000</f>
        <v>40800</v>
      </c>
      <c r="X594" s="605">
        <v>40800</v>
      </c>
      <c r="Y594" s="605"/>
      <c r="Z594" s="605"/>
      <c r="AA594" s="605"/>
      <c r="AB594" s="605"/>
      <c r="AC594" s="605"/>
      <c r="AD594" s="605"/>
      <c r="AE594" s="605"/>
      <c r="AF594" s="605"/>
      <c r="AG594" s="605"/>
    </row>
    <row r="595" spans="1:33" s="56" customFormat="1" hidden="1" outlineLevel="1" x14ac:dyDescent="0.25">
      <c r="A595" s="597"/>
      <c r="B595" s="130"/>
      <c r="C595" s="616"/>
      <c r="D595" s="2101"/>
      <c r="E595" s="2104"/>
      <c r="F595" s="2148" t="str">
        <f>E570</f>
        <v>DFHP - SEER 20 MF heat pump base</v>
      </c>
      <c r="G595" s="2148"/>
      <c r="H595" s="2148"/>
      <c r="I595" s="709">
        <f>C570</f>
        <v>0</v>
      </c>
      <c r="J595" s="730">
        <v>52800.000000000007</v>
      </c>
      <c r="K595" s="613">
        <v>4.4000000000000004</v>
      </c>
      <c r="L595" s="705" t="s">
        <v>977</v>
      </c>
      <c r="M595" s="130"/>
      <c r="N595" s="130"/>
      <c r="O595" s="130"/>
      <c r="P595" s="130"/>
      <c r="Q595" s="130"/>
      <c r="R595" s="130"/>
      <c r="S595" s="130"/>
      <c r="T595" s="130"/>
      <c r="U595" s="130"/>
      <c r="V595" s="2107"/>
      <c r="W595" s="611">
        <f>$K595*12000</f>
        <v>52800.000000000007</v>
      </c>
      <c r="X595" s="611">
        <v>52800.000000000007</v>
      </c>
      <c r="Y595" s="611"/>
      <c r="Z595" s="611"/>
      <c r="AA595" s="611"/>
      <c r="AB595" s="611"/>
      <c r="AC595" s="611"/>
      <c r="AD595" s="611"/>
      <c r="AE595" s="611"/>
      <c r="AF595" s="611"/>
      <c r="AG595" s="611"/>
    </row>
    <row r="596" spans="1:33" s="56" customFormat="1" hidden="1" outlineLevel="1" x14ac:dyDescent="0.25">
      <c r="A596" s="597"/>
      <c r="B596" s="130"/>
      <c r="C596" s="616"/>
      <c r="D596" s="2101"/>
      <c r="E596" s="2104"/>
      <c r="F596" s="2148" t="str">
        <f>E572</f>
        <v>DFHP - SEER 21 MF heat pump base</v>
      </c>
      <c r="G596" s="2148"/>
      <c r="H596" s="2148"/>
      <c r="I596" s="709">
        <f>C572</f>
        <v>0</v>
      </c>
      <c r="J596" s="730">
        <v>64800.000000000007</v>
      </c>
      <c r="K596" s="613">
        <v>5.4</v>
      </c>
      <c r="L596" s="705" t="s">
        <v>977</v>
      </c>
      <c r="M596" s="130"/>
      <c r="N596" s="130"/>
      <c r="O596" s="130"/>
      <c r="P596" s="130"/>
      <c r="Q596" s="130"/>
      <c r="R596" s="130"/>
      <c r="S596" s="130"/>
      <c r="T596" s="130"/>
      <c r="U596" s="130"/>
      <c r="V596" s="2107"/>
      <c r="W596" s="611">
        <f>$K596*12000</f>
        <v>64800.000000000007</v>
      </c>
      <c r="X596" s="611">
        <v>64800.000000000007</v>
      </c>
      <c r="Y596" s="611"/>
      <c r="Z596" s="611"/>
      <c r="AA596" s="611"/>
      <c r="AB596" s="611"/>
      <c r="AC596" s="611"/>
      <c r="AD596" s="611"/>
      <c r="AE596" s="611"/>
      <c r="AF596" s="611"/>
      <c r="AG596" s="611"/>
    </row>
    <row r="597" spans="1:33" s="56" customFormat="1" hidden="1" outlineLevel="1" x14ac:dyDescent="0.25">
      <c r="A597" s="597"/>
      <c r="B597" s="130"/>
      <c r="C597" s="616"/>
      <c r="D597" s="2101"/>
      <c r="E597" s="2104"/>
      <c r="F597" s="2148"/>
      <c r="G597" s="2148"/>
      <c r="H597" s="2148"/>
      <c r="I597" s="709"/>
      <c r="J597" s="730"/>
      <c r="K597" s="613"/>
      <c r="L597" s="705"/>
      <c r="M597" s="130"/>
      <c r="N597" s="130"/>
      <c r="O597" s="130"/>
      <c r="P597" s="130"/>
      <c r="Q597" s="130"/>
      <c r="R597" s="130"/>
      <c r="S597" s="130"/>
      <c r="T597" s="130"/>
      <c r="U597" s="130"/>
      <c r="V597" s="2107"/>
      <c r="W597" s="611"/>
      <c r="X597" s="611"/>
      <c r="Y597" s="611"/>
      <c r="Z597" s="611"/>
      <c r="AA597" s="611"/>
      <c r="AB597" s="611"/>
      <c r="AC597" s="611"/>
      <c r="AD597" s="611"/>
      <c r="AE597" s="611"/>
      <c r="AF597" s="611"/>
      <c r="AG597" s="611"/>
    </row>
    <row r="598" spans="1:33" s="56" customFormat="1" hidden="1" outlineLevel="1" x14ac:dyDescent="0.25">
      <c r="A598" s="597"/>
      <c r="B598" s="130"/>
      <c r="C598" s="616"/>
      <c r="D598" s="2101"/>
      <c r="E598" s="2104"/>
      <c r="F598" s="2148"/>
      <c r="G598" s="2148"/>
      <c r="H598" s="2148"/>
      <c r="I598" s="709"/>
      <c r="J598" s="730"/>
      <c r="K598" s="613"/>
      <c r="L598" s="705"/>
      <c r="M598" s="130"/>
      <c r="N598" s="130"/>
      <c r="O598" s="130"/>
      <c r="P598" s="130"/>
      <c r="Q598" s="130"/>
      <c r="R598" s="130"/>
      <c r="S598" s="130"/>
      <c r="T598" s="130"/>
      <c r="U598" s="130"/>
      <c r="V598" s="2107"/>
      <c r="W598" s="611"/>
      <c r="X598" s="611"/>
      <c r="Y598" s="611"/>
      <c r="Z598" s="611"/>
      <c r="AA598" s="611"/>
      <c r="AB598" s="611"/>
      <c r="AC598" s="611"/>
      <c r="AD598" s="611"/>
      <c r="AE598" s="611"/>
      <c r="AF598" s="611"/>
      <c r="AG598" s="611"/>
    </row>
    <row r="599" spans="1:33" s="56" customFormat="1" hidden="1" outlineLevel="1" x14ac:dyDescent="0.25">
      <c r="A599" s="597"/>
      <c r="B599" s="130"/>
      <c r="C599" s="616"/>
      <c r="D599" s="2101"/>
      <c r="E599" s="2104"/>
      <c r="F599" s="2148"/>
      <c r="G599" s="2148"/>
      <c r="H599" s="2148"/>
      <c r="I599" s="709"/>
      <c r="J599" s="730"/>
      <c r="K599" s="613"/>
      <c r="L599" s="705"/>
      <c r="M599" s="130"/>
      <c r="N599" s="130"/>
      <c r="O599" s="130"/>
      <c r="P599" s="130"/>
      <c r="Q599" s="130"/>
      <c r="R599" s="130"/>
      <c r="S599" s="130"/>
      <c r="T599" s="130"/>
      <c r="U599" s="130"/>
      <c r="V599" s="2107"/>
      <c r="W599" s="611"/>
      <c r="X599" s="611"/>
      <c r="Y599" s="611"/>
      <c r="Z599" s="611"/>
      <c r="AA599" s="611"/>
      <c r="AB599" s="611"/>
      <c r="AC599" s="611"/>
      <c r="AD599" s="611"/>
      <c r="AE599" s="611"/>
      <c r="AF599" s="611"/>
      <c r="AG599" s="611"/>
    </row>
    <row r="600" spans="1:33" s="56" customFormat="1" ht="15.75" hidden="1" outlineLevel="1" thickBot="1" x14ac:dyDescent="0.3">
      <c r="A600" s="597"/>
      <c r="B600" s="130"/>
      <c r="C600" s="616"/>
      <c r="D600" s="2102"/>
      <c r="E600" s="2105"/>
      <c r="F600" s="2149"/>
      <c r="G600" s="2149"/>
      <c r="H600" s="2149"/>
      <c r="I600" s="712"/>
      <c r="J600" s="622"/>
      <c r="K600" s="623"/>
      <c r="L600" s="706"/>
      <c r="M600" s="130"/>
      <c r="N600" s="130"/>
      <c r="O600" s="130"/>
      <c r="P600" s="130"/>
      <c r="Q600" s="130"/>
      <c r="R600" s="130"/>
      <c r="S600" s="130"/>
      <c r="T600" s="130"/>
      <c r="U600" s="130"/>
      <c r="V600" s="2108"/>
      <c r="W600" s="622"/>
      <c r="X600" s="622"/>
      <c r="Y600" s="622"/>
      <c r="Z600" s="622"/>
      <c r="AA600" s="622"/>
      <c r="AB600" s="622"/>
      <c r="AC600" s="622"/>
      <c r="AD600" s="622"/>
      <c r="AE600" s="622"/>
      <c r="AF600" s="622"/>
      <c r="AG600" s="622"/>
    </row>
    <row r="601" spans="1:33" s="56" customFormat="1" hidden="1" outlineLevel="1" x14ac:dyDescent="0.25">
      <c r="A601" s="597"/>
      <c r="B601" s="130"/>
      <c r="C601" s="616"/>
      <c r="D601" s="2100" t="s">
        <v>1031</v>
      </c>
      <c r="E601" s="2103" t="s">
        <v>1032</v>
      </c>
      <c r="F601" s="2144" t="str">
        <f t="shared" ref="F601:F656" si="46">F594</f>
        <v xml:space="preserve">DFHP - SEER 19 MF heat pump base </v>
      </c>
      <c r="G601" s="2144"/>
      <c r="H601" s="2144"/>
      <c r="I601" s="707">
        <f t="shared" ref="I601:I664" si="47">I594</f>
        <v>0</v>
      </c>
      <c r="J601" s="727">
        <v>1119</v>
      </c>
      <c r="K601" s="607"/>
      <c r="L601" s="1667" t="s">
        <v>1800</v>
      </c>
      <c r="M601" s="130"/>
      <c r="N601" s="130"/>
      <c r="O601" s="130"/>
      <c r="P601" s="130"/>
      <c r="Q601" s="130"/>
      <c r="R601" s="130"/>
      <c r="S601" s="130"/>
      <c r="T601" s="130"/>
      <c r="U601" s="130"/>
      <c r="V601" s="2106" t="s">
        <v>1031</v>
      </c>
      <c r="W601" s="605">
        <v>1119</v>
      </c>
      <c r="X601" s="605">
        <v>1119</v>
      </c>
      <c r="Y601" s="605"/>
      <c r="Z601" s="605"/>
      <c r="AA601" s="605"/>
      <c r="AB601" s="605"/>
      <c r="AC601" s="605"/>
      <c r="AD601" s="605"/>
      <c r="AE601" s="605"/>
      <c r="AF601" s="605"/>
      <c r="AG601" s="605"/>
    </row>
    <row r="602" spans="1:33" s="56" customFormat="1" hidden="1" outlineLevel="1" x14ac:dyDescent="0.25">
      <c r="A602" s="597"/>
      <c r="B602" s="130"/>
      <c r="C602" s="616"/>
      <c r="D602" s="2101"/>
      <c r="E602" s="2104"/>
      <c r="F602" s="2148" t="str">
        <f t="shared" si="46"/>
        <v>DFHP - SEER 20 MF heat pump base</v>
      </c>
      <c r="G602" s="2148"/>
      <c r="H602" s="2148"/>
      <c r="I602" s="709">
        <f t="shared" si="47"/>
        <v>0</v>
      </c>
      <c r="J602" s="730">
        <v>1119</v>
      </c>
      <c r="K602" s="613"/>
      <c r="L602" s="1668"/>
      <c r="M602" s="130"/>
      <c r="N602" s="130"/>
      <c r="O602" s="130"/>
      <c r="P602" s="130"/>
      <c r="Q602" s="130"/>
      <c r="R602" s="130"/>
      <c r="S602" s="130"/>
      <c r="T602" s="130"/>
      <c r="U602" s="130"/>
      <c r="V602" s="2107"/>
      <c r="W602" s="611">
        <v>1119</v>
      </c>
      <c r="X602" s="611">
        <v>1119</v>
      </c>
      <c r="Y602" s="611"/>
      <c r="Z602" s="611"/>
      <c r="AA602" s="611"/>
      <c r="AB602" s="611"/>
      <c r="AC602" s="611"/>
      <c r="AD602" s="611"/>
      <c r="AE602" s="611"/>
      <c r="AF602" s="611"/>
      <c r="AG602" s="611"/>
    </row>
    <row r="603" spans="1:33" s="56" customFormat="1" hidden="1" outlineLevel="1" x14ac:dyDescent="0.25">
      <c r="A603" s="597"/>
      <c r="B603" s="130"/>
      <c r="C603" s="616"/>
      <c r="D603" s="2101"/>
      <c r="E603" s="2104"/>
      <c r="F603" s="2148" t="str">
        <f t="shared" si="46"/>
        <v>DFHP - SEER 21 MF heat pump base</v>
      </c>
      <c r="G603" s="2148"/>
      <c r="H603" s="2148"/>
      <c r="I603" s="709">
        <f t="shared" si="47"/>
        <v>0</v>
      </c>
      <c r="J603" s="730">
        <v>1119</v>
      </c>
      <c r="K603" s="613"/>
      <c r="L603" s="1668"/>
      <c r="M603" s="130"/>
      <c r="N603" s="130"/>
      <c r="O603" s="130"/>
      <c r="P603" s="130"/>
      <c r="Q603" s="130"/>
      <c r="R603" s="130"/>
      <c r="S603" s="130"/>
      <c r="T603" s="130"/>
      <c r="U603" s="130"/>
      <c r="V603" s="2107"/>
      <c r="W603" s="611">
        <v>1119</v>
      </c>
      <c r="X603" s="611">
        <v>1119</v>
      </c>
      <c r="Y603" s="611"/>
      <c r="Z603" s="611"/>
      <c r="AA603" s="611"/>
      <c r="AB603" s="611"/>
      <c r="AC603" s="611"/>
      <c r="AD603" s="611"/>
      <c r="AE603" s="611"/>
      <c r="AF603" s="611"/>
      <c r="AG603" s="611"/>
    </row>
    <row r="604" spans="1:33" s="56" customFormat="1" ht="15" hidden="1" customHeight="1" outlineLevel="1" x14ac:dyDescent="0.25">
      <c r="A604" s="597"/>
      <c r="B604" s="130"/>
      <c r="C604" s="616"/>
      <c r="D604" s="2101"/>
      <c r="E604" s="2104"/>
      <c r="F604" s="2148">
        <f t="shared" si="46"/>
        <v>0</v>
      </c>
      <c r="G604" s="2148"/>
      <c r="H604" s="2148"/>
      <c r="I604" s="709">
        <f t="shared" si="47"/>
        <v>0</v>
      </c>
      <c r="J604" s="730">
        <v>1119</v>
      </c>
      <c r="K604" s="613"/>
      <c r="L604" s="1668"/>
      <c r="M604" s="130"/>
      <c r="N604" s="130"/>
      <c r="O604" s="130"/>
      <c r="P604" s="130"/>
      <c r="Q604" s="130"/>
      <c r="R604" s="130"/>
      <c r="S604" s="130"/>
      <c r="T604" s="130"/>
      <c r="U604" s="130"/>
      <c r="V604" s="2107"/>
      <c r="W604" s="611">
        <v>1119</v>
      </c>
      <c r="X604" s="611">
        <v>1119</v>
      </c>
      <c r="Y604" s="611"/>
      <c r="Z604" s="611"/>
      <c r="AA604" s="611"/>
      <c r="AB604" s="611"/>
      <c r="AC604" s="611"/>
      <c r="AD604" s="611"/>
      <c r="AE604" s="611"/>
      <c r="AF604" s="611"/>
      <c r="AG604" s="611"/>
    </row>
    <row r="605" spans="1:33" s="56" customFormat="1" hidden="1" outlineLevel="1" x14ac:dyDescent="0.25">
      <c r="A605" s="597"/>
      <c r="B605" s="130"/>
      <c r="C605" s="616"/>
      <c r="D605" s="2101"/>
      <c r="E605" s="2104"/>
      <c r="F605" s="2148">
        <f t="shared" si="46"/>
        <v>0</v>
      </c>
      <c r="G605" s="2148"/>
      <c r="H605" s="2148"/>
      <c r="I605" s="709">
        <f t="shared" si="47"/>
        <v>0</v>
      </c>
      <c r="J605" s="730">
        <v>1119</v>
      </c>
      <c r="K605" s="613"/>
      <c r="L605" s="1668"/>
      <c r="M605" s="130"/>
      <c r="N605" s="130"/>
      <c r="O605" s="130"/>
      <c r="P605" s="130"/>
      <c r="Q605" s="130"/>
      <c r="R605" s="130"/>
      <c r="S605" s="130"/>
      <c r="T605" s="130"/>
      <c r="U605" s="130"/>
      <c r="V605" s="2107"/>
      <c r="W605" s="611">
        <v>1119</v>
      </c>
      <c r="X605" s="611">
        <v>1119</v>
      </c>
      <c r="Y605" s="611"/>
      <c r="Z605" s="611"/>
      <c r="AA605" s="611"/>
      <c r="AB605" s="611"/>
      <c r="AC605" s="611"/>
      <c r="AD605" s="611"/>
      <c r="AE605" s="611"/>
      <c r="AF605" s="611"/>
      <c r="AG605" s="611"/>
    </row>
    <row r="606" spans="1:33" s="56" customFormat="1" hidden="1" outlineLevel="1" x14ac:dyDescent="0.25">
      <c r="A606" s="597"/>
      <c r="B606" s="130"/>
      <c r="C606" s="616"/>
      <c r="D606" s="2101"/>
      <c r="E606" s="2104"/>
      <c r="F606" s="2148">
        <f t="shared" si="46"/>
        <v>0</v>
      </c>
      <c r="G606" s="2148"/>
      <c r="H606" s="2148"/>
      <c r="I606" s="709">
        <f t="shared" si="47"/>
        <v>0</v>
      </c>
      <c r="J606" s="730">
        <v>1119</v>
      </c>
      <c r="K606" s="613"/>
      <c r="L606" s="1668"/>
      <c r="M606" s="130"/>
      <c r="N606" s="130"/>
      <c r="O606" s="130"/>
      <c r="P606" s="130"/>
      <c r="Q606" s="130"/>
      <c r="R606" s="130"/>
      <c r="S606" s="130"/>
      <c r="T606" s="130"/>
      <c r="U606" s="130"/>
      <c r="V606" s="2107"/>
      <c r="W606" s="611">
        <v>1119</v>
      </c>
      <c r="X606" s="611">
        <v>1119</v>
      </c>
      <c r="Y606" s="611"/>
      <c r="Z606" s="611"/>
      <c r="AA606" s="611"/>
      <c r="AB606" s="611"/>
      <c r="AC606" s="611"/>
      <c r="AD606" s="611"/>
      <c r="AE606" s="611"/>
      <c r="AF606" s="611"/>
      <c r="AG606" s="611"/>
    </row>
    <row r="607" spans="1:33" s="56" customFormat="1" ht="15.75" hidden="1" outlineLevel="1" thickBot="1" x14ac:dyDescent="0.3">
      <c r="A607" s="597"/>
      <c r="B607" s="130"/>
      <c r="C607" s="616"/>
      <c r="D607" s="2102"/>
      <c r="E607" s="2105"/>
      <c r="F607" s="2149">
        <f t="shared" si="46"/>
        <v>0</v>
      </c>
      <c r="G607" s="2149"/>
      <c r="H607" s="2149"/>
      <c r="I607" s="712">
        <f t="shared" si="47"/>
        <v>0</v>
      </c>
      <c r="J607" s="622">
        <v>1119</v>
      </c>
      <c r="K607" s="623"/>
      <c r="L607" s="1669"/>
      <c r="M607" s="130"/>
      <c r="N607" s="130"/>
      <c r="O607" s="130"/>
      <c r="P607" s="130"/>
      <c r="Q607" s="130"/>
      <c r="R607" s="130"/>
      <c r="S607" s="130"/>
      <c r="T607" s="130"/>
      <c r="U607" s="130"/>
      <c r="V607" s="2108"/>
      <c r="W607" s="622">
        <v>1119</v>
      </c>
      <c r="X607" s="622">
        <v>1119</v>
      </c>
      <c r="Y607" s="622"/>
      <c r="Z607" s="622"/>
      <c r="AA607" s="622"/>
      <c r="AB607" s="622"/>
      <c r="AC607" s="622"/>
      <c r="AD607" s="622"/>
      <c r="AE607" s="622"/>
      <c r="AF607" s="622"/>
      <c r="AG607" s="622"/>
    </row>
    <row r="608" spans="1:33" s="56" customFormat="1" hidden="1" outlineLevel="1" x14ac:dyDescent="0.25">
      <c r="A608" s="597"/>
      <c r="B608" s="130"/>
      <c r="C608" s="616"/>
      <c r="D608" s="2100" t="s">
        <v>1033</v>
      </c>
      <c r="E608" s="2103" t="s">
        <v>1034</v>
      </c>
      <c r="F608" s="2144" t="str">
        <f t="shared" si="46"/>
        <v xml:space="preserve">DFHP - SEER 19 MF heat pump base </v>
      </c>
      <c r="G608" s="2144"/>
      <c r="H608" s="2144"/>
      <c r="I608" s="707">
        <f t="shared" si="47"/>
        <v>0</v>
      </c>
      <c r="J608" s="727">
        <v>8.1999999999999993</v>
      </c>
      <c r="K608" s="607"/>
      <c r="L608" s="704" t="s">
        <v>972</v>
      </c>
      <c r="M608" s="130"/>
      <c r="N608" s="130"/>
      <c r="O608" s="130"/>
      <c r="P608" s="130"/>
      <c r="Q608" s="130"/>
      <c r="R608" s="130"/>
      <c r="S608" s="130"/>
      <c r="T608" s="130"/>
      <c r="U608" s="130"/>
      <c r="V608" s="2106" t="s">
        <v>1033</v>
      </c>
      <c r="W608" s="605">
        <v>8.1999999999999993</v>
      </c>
      <c r="X608" s="605">
        <v>8.1999999999999993</v>
      </c>
      <c r="Y608" s="605"/>
      <c r="Z608" s="605"/>
      <c r="AA608" s="605"/>
      <c r="AB608" s="605"/>
      <c r="AC608" s="605"/>
      <c r="AD608" s="605"/>
      <c r="AE608" s="605"/>
      <c r="AF608" s="605"/>
      <c r="AG608" s="605"/>
    </row>
    <row r="609" spans="1:33" s="56" customFormat="1" ht="15" hidden="1" customHeight="1" outlineLevel="1" x14ac:dyDescent="0.25">
      <c r="A609" s="597"/>
      <c r="B609" s="130"/>
      <c r="C609" s="616"/>
      <c r="D609" s="2101"/>
      <c r="E609" s="2104"/>
      <c r="F609" s="2148" t="str">
        <f t="shared" si="46"/>
        <v>DFHP - SEER 20 MF heat pump base</v>
      </c>
      <c r="G609" s="2148"/>
      <c r="H609" s="2148"/>
      <c r="I609" s="709">
        <f t="shared" si="47"/>
        <v>0</v>
      </c>
      <c r="J609" s="730">
        <v>8.1999999999999993</v>
      </c>
      <c r="K609" s="613"/>
      <c r="L609" s="705" t="s">
        <v>972</v>
      </c>
      <c r="M609" s="130"/>
      <c r="N609" s="130"/>
      <c r="O609" s="130"/>
      <c r="P609" s="130"/>
      <c r="Q609" s="130"/>
      <c r="R609" s="130"/>
      <c r="S609" s="130"/>
      <c r="T609" s="130"/>
      <c r="U609" s="130"/>
      <c r="V609" s="2107"/>
      <c r="W609" s="611">
        <v>8.1999999999999993</v>
      </c>
      <c r="X609" s="611">
        <v>8.1999999999999993</v>
      </c>
      <c r="Y609" s="611"/>
      <c r="Z609" s="611"/>
      <c r="AA609" s="611"/>
      <c r="AB609" s="611"/>
      <c r="AC609" s="611"/>
      <c r="AD609" s="611"/>
      <c r="AE609" s="611"/>
      <c r="AF609" s="611"/>
      <c r="AG609" s="611"/>
    </row>
    <row r="610" spans="1:33" s="56" customFormat="1" hidden="1" outlineLevel="1" x14ac:dyDescent="0.25">
      <c r="A610" s="597"/>
      <c r="B610" s="130"/>
      <c r="C610" s="616"/>
      <c r="D610" s="2101"/>
      <c r="E610" s="2104"/>
      <c r="F610" s="2148" t="str">
        <f t="shared" si="46"/>
        <v>DFHP - SEER 21 MF heat pump base</v>
      </c>
      <c r="G610" s="2148"/>
      <c r="H610" s="2148"/>
      <c r="I610" s="709">
        <f t="shared" si="47"/>
        <v>0</v>
      </c>
      <c r="J610" s="730">
        <v>8.1999999999999993</v>
      </c>
      <c r="K610" s="613"/>
      <c r="L610" s="705" t="s">
        <v>972</v>
      </c>
      <c r="M610" s="130"/>
      <c r="N610" s="130"/>
      <c r="O610" s="130"/>
      <c r="P610" s="130"/>
      <c r="Q610" s="752"/>
      <c r="R610" s="760"/>
      <c r="S610" s="130"/>
      <c r="T610" s="130"/>
      <c r="U610" s="130"/>
      <c r="V610" s="2107"/>
      <c r="W610" s="611">
        <v>8.1999999999999993</v>
      </c>
      <c r="X610" s="611">
        <v>8.1999999999999993</v>
      </c>
      <c r="Y610" s="611"/>
      <c r="Z610" s="611"/>
      <c r="AA610" s="611"/>
      <c r="AB610" s="611"/>
      <c r="AC610" s="611"/>
      <c r="AD610" s="611"/>
      <c r="AE610" s="611"/>
      <c r="AF610" s="611"/>
      <c r="AG610" s="611"/>
    </row>
    <row r="611" spans="1:33" s="56" customFormat="1" hidden="1" outlineLevel="1" x14ac:dyDescent="0.25">
      <c r="A611" s="597"/>
      <c r="B611" s="130"/>
      <c r="C611" s="616"/>
      <c r="D611" s="2101"/>
      <c r="E611" s="2104"/>
      <c r="F611" s="2148">
        <f t="shared" si="46"/>
        <v>0</v>
      </c>
      <c r="G611" s="2148"/>
      <c r="H611" s="2148"/>
      <c r="I611" s="709">
        <f t="shared" si="47"/>
        <v>0</v>
      </c>
      <c r="J611" s="730">
        <v>8.1999999999999993</v>
      </c>
      <c r="K611" s="613"/>
      <c r="L611" s="705"/>
      <c r="M611" s="130"/>
      <c r="N611" s="130"/>
      <c r="O611" s="130"/>
      <c r="P611" s="130"/>
      <c r="Q611" s="752"/>
      <c r="R611" s="760"/>
      <c r="S611" s="130"/>
      <c r="T611" s="130"/>
      <c r="U611" s="130"/>
      <c r="V611" s="2107"/>
      <c r="W611" s="611">
        <v>8.1999999999999993</v>
      </c>
      <c r="X611" s="611">
        <v>8.1999999999999993</v>
      </c>
      <c r="Y611" s="611"/>
      <c r="Z611" s="611"/>
      <c r="AA611" s="611"/>
      <c r="AB611" s="611"/>
      <c r="AC611" s="611"/>
      <c r="AD611" s="611"/>
      <c r="AE611" s="611"/>
      <c r="AF611" s="611"/>
      <c r="AG611" s="611"/>
    </row>
    <row r="612" spans="1:33" s="56" customFormat="1" hidden="1" outlineLevel="1" x14ac:dyDescent="0.25">
      <c r="A612" s="597"/>
      <c r="B612" s="130"/>
      <c r="C612" s="616"/>
      <c r="D612" s="2101"/>
      <c r="E612" s="2104"/>
      <c r="F612" s="2148">
        <f t="shared" si="46"/>
        <v>0</v>
      </c>
      <c r="G612" s="2148"/>
      <c r="H612" s="2148"/>
      <c r="I612" s="709">
        <f t="shared" si="47"/>
        <v>0</v>
      </c>
      <c r="J612" s="730">
        <v>8.1999999999999993</v>
      </c>
      <c r="K612" s="613"/>
      <c r="L612" s="705"/>
      <c r="M612" s="130"/>
      <c r="N612" s="130"/>
      <c r="O612" s="130"/>
      <c r="P612" s="130"/>
      <c r="Q612" s="752"/>
      <c r="R612" s="760"/>
      <c r="S612" s="130"/>
      <c r="T612" s="130"/>
      <c r="U612" s="130"/>
      <c r="V612" s="2107"/>
      <c r="W612" s="611">
        <v>8.1999999999999993</v>
      </c>
      <c r="X612" s="611">
        <v>8.1999999999999993</v>
      </c>
      <c r="Y612" s="611"/>
      <c r="Z612" s="611"/>
      <c r="AA612" s="611"/>
      <c r="AB612" s="611"/>
      <c r="AC612" s="611"/>
      <c r="AD612" s="611"/>
      <c r="AE612" s="611"/>
      <c r="AF612" s="611"/>
      <c r="AG612" s="611"/>
    </row>
    <row r="613" spans="1:33" s="56" customFormat="1" hidden="1" outlineLevel="1" x14ac:dyDescent="0.25">
      <c r="A613" s="597"/>
      <c r="B613" s="130"/>
      <c r="C613" s="616"/>
      <c r="D613" s="2101"/>
      <c r="E613" s="2104"/>
      <c r="F613" s="2148">
        <f t="shared" si="46"/>
        <v>0</v>
      </c>
      <c r="G613" s="2148"/>
      <c r="H613" s="2148"/>
      <c r="I613" s="709">
        <f t="shared" si="47"/>
        <v>0</v>
      </c>
      <c r="J613" s="730">
        <v>8.1999999999999993</v>
      </c>
      <c r="K613" s="613"/>
      <c r="L613" s="705"/>
      <c r="M613" s="130"/>
      <c r="N613" s="130"/>
      <c r="O613" s="130"/>
      <c r="P613" s="130"/>
      <c r="Q613" s="752"/>
      <c r="R613" s="760"/>
      <c r="S613" s="130"/>
      <c r="T613" s="130"/>
      <c r="U613" s="130"/>
      <c r="V613" s="2107"/>
      <c r="W613" s="611">
        <v>8.1999999999999993</v>
      </c>
      <c r="X613" s="611">
        <v>8.1999999999999993</v>
      </c>
      <c r="Y613" s="611"/>
      <c r="Z613" s="611"/>
      <c r="AA613" s="611"/>
      <c r="AB613" s="611"/>
      <c r="AC613" s="611"/>
      <c r="AD613" s="611"/>
      <c r="AE613" s="611"/>
      <c r="AF613" s="611"/>
      <c r="AG613" s="611"/>
    </row>
    <row r="614" spans="1:33" s="56" customFormat="1" ht="15.75" hidden="1" outlineLevel="1" thickBot="1" x14ac:dyDescent="0.3">
      <c r="A614" s="597"/>
      <c r="B614" s="130"/>
      <c r="C614" s="616"/>
      <c r="D614" s="2102"/>
      <c r="E614" s="2105"/>
      <c r="F614" s="2149">
        <f t="shared" si="46"/>
        <v>0</v>
      </c>
      <c r="G614" s="2149"/>
      <c r="H614" s="2149"/>
      <c r="I614" s="712">
        <f t="shared" si="47"/>
        <v>0</v>
      </c>
      <c r="J614" s="622">
        <v>8.1999999999999993</v>
      </c>
      <c r="K614" s="623"/>
      <c r="L614" s="706"/>
      <c r="M614" s="130"/>
      <c r="N614" s="130"/>
      <c r="O614" s="130"/>
      <c r="P614" s="130"/>
      <c r="Q614" s="752"/>
      <c r="R614" s="760"/>
      <c r="S614" s="130"/>
      <c r="T614" s="130"/>
      <c r="U614" s="130"/>
      <c r="V614" s="2108"/>
      <c r="W614" s="622">
        <v>8.1999999999999993</v>
      </c>
      <c r="X614" s="622">
        <v>8.1999999999999993</v>
      </c>
      <c r="Y614" s="622"/>
      <c r="Z614" s="622"/>
      <c r="AA614" s="622"/>
      <c r="AB614" s="622"/>
      <c r="AC614" s="622"/>
      <c r="AD614" s="622"/>
      <c r="AE614" s="622"/>
      <c r="AF614" s="622"/>
      <c r="AG614" s="622"/>
    </row>
    <row r="615" spans="1:33" s="56" customFormat="1" hidden="1" outlineLevel="1" x14ac:dyDescent="0.25">
      <c r="A615" s="597"/>
      <c r="B615" s="130"/>
      <c r="C615" s="616"/>
      <c r="D615" s="2100" t="s">
        <v>1035</v>
      </c>
      <c r="E615" s="2103" t="s">
        <v>1036</v>
      </c>
      <c r="F615" s="2144" t="str">
        <f t="shared" si="46"/>
        <v xml:space="preserve">DFHP - SEER 19 MF heat pump base </v>
      </c>
      <c r="G615" s="2144"/>
      <c r="H615" s="2144"/>
      <c r="I615" s="707">
        <f t="shared" si="47"/>
        <v>0</v>
      </c>
      <c r="J615" s="727">
        <v>10</v>
      </c>
      <c r="K615" s="607"/>
      <c r="L615" s="661" t="s">
        <v>1037</v>
      </c>
      <c r="M615" s="130"/>
      <c r="N615" s="130"/>
      <c r="O615" s="130"/>
      <c r="P615" s="130"/>
      <c r="Q615" s="752"/>
      <c r="R615" s="760"/>
      <c r="S615" s="130"/>
      <c r="T615" s="130"/>
      <c r="U615" s="130"/>
      <c r="V615" s="2106" t="s">
        <v>1035</v>
      </c>
      <c r="W615" s="605">
        <v>10</v>
      </c>
      <c r="X615" s="605">
        <v>10</v>
      </c>
      <c r="Y615" s="605"/>
      <c r="Z615" s="605"/>
      <c r="AA615" s="605"/>
      <c r="AB615" s="605"/>
      <c r="AC615" s="605"/>
      <c r="AD615" s="605"/>
      <c r="AE615" s="605"/>
      <c r="AF615" s="605"/>
      <c r="AG615" s="605"/>
    </row>
    <row r="616" spans="1:33" s="56" customFormat="1" hidden="1" outlineLevel="1" x14ac:dyDescent="0.25">
      <c r="A616" s="597"/>
      <c r="B616" s="130"/>
      <c r="C616" s="616"/>
      <c r="D616" s="2101"/>
      <c r="E616" s="2104"/>
      <c r="F616" s="2148" t="str">
        <f t="shared" si="46"/>
        <v>DFHP - SEER 20 MF heat pump base</v>
      </c>
      <c r="G616" s="2148"/>
      <c r="H616" s="2148"/>
      <c r="I616" s="709">
        <f t="shared" si="47"/>
        <v>0</v>
      </c>
      <c r="J616" s="730">
        <v>10.4</v>
      </c>
      <c r="K616" s="613"/>
      <c r="L616" s="664" t="s">
        <v>1037</v>
      </c>
      <c r="M616" s="130"/>
      <c r="N616" s="130"/>
      <c r="O616" s="130"/>
      <c r="P616" s="130"/>
      <c r="Q616" s="752"/>
      <c r="R616" s="760"/>
      <c r="S616" s="130"/>
      <c r="T616" s="130"/>
      <c r="U616" s="130"/>
      <c r="V616" s="2107"/>
      <c r="W616" s="611">
        <v>10.4</v>
      </c>
      <c r="X616" s="611">
        <v>10.4</v>
      </c>
      <c r="Y616" s="611"/>
      <c r="Z616" s="611"/>
      <c r="AA616" s="611"/>
      <c r="AB616" s="611"/>
      <c r="AC616" s="611"/>
      <c r="AD616" s="611"/>
      <c r="AE616" s="611"/>
      <c r="AF616" s="611"/>
      <c r="AG616" s="611"/>
    </row>
    <row r="617" spans="1:33" s="56" customFormat="1" hidden="1" outlineLevel="1" x14ac:dyDescent="0.25">
      <c r="A617" s="597"/>
      <c r="B617" s="130"/>
      <c r="C617" s="616"/>
      <c r="D617" s="2101"/>
      <c r="E617" s="2104"/>
      <c r="F617" s="2148" t="str">
        <f t="shared" si="46"/>
        <v>DFHP - SEER 21 MF heat pump base</v>
      </c>
      <c r="G617" s="2148"/>
      <c r="H617" s="2148"/>
      <c r="I617" s="709">
        <f t="shared" si="47"/>
        <v>0</v>
      </c>
      <c r="J617" s="730">
        <v>10.8</v>
      </c>
      <c r="K617" s="613"/>
      <c r="L617" s="664" t="s">
        <v>1037</v>
      </c>
      <c r="M617" s="130"/>
      <c r="N617" s="130"/>
      <c r="O617" s="130"/>
      <c r="P617" s="130"/>
      <c r="Q617" s="752"/>
      <c r="R617" s="760"/>
      <c r="S617" s="130"/>
      <c r="T617" s="130"/>
      <c r="U617" s="130"/>
      <c r="V617" s="2107"/>
      <c r="W617" s="611">
        <v>10.8</v>
      </c>
      <c r="X617" s="611">
        <v>10.8</v>
      </c>
      <c r="Y617" s="611"/>
      <c r="Z617" s="611"/>
      <c r="AA617" s="611"/>
      <c r="AB617" s="611"/>
      <c r="AC617" s="611"/>
      <c r="AD617" s="611"/>
      <c r="AE617" s="611"/>
      <c r="AF617" s="611"/>
      <c r="AG617" s="611"/>
    </row>
    <row r="618" spans="1:33" s="56" customFormat="1" hidden="1" outlineLevel="1" x14ac:dyDescent="0.25">
      <c r="A618" s="597"/>
      <c r="B618" s="130"/>
      <c r="C618" s="616"/>
      <c r="D618" s="2101"/>
      <c r="E618" s="2104"/>
      <c r="F618" s="2148">
        <f t="shared" si="46"/>
        <v>0</v>
      </c>
      <c r="G618" s="2148"/>
      <c r="H618" s="2148"/>
      <c r="I618" s="709">
        <f t="shared" si="47"/>
        <v>0</v>
      </c>
      <c r="J618" s="730">
        <v>8.8000000000000007</v>
      </c>
      <c r="K618" s="613"/>
      <c r="L618" s="705"/>
      <c r="M618" s="130"/>
      <c r="N618" s="130"/>
      <c r="O618" s="130"/>
      <c r="P618" s="130"/>
      <c r="Q618" s="752"/>
      <c r="R618" s="760"/>
      <c r="S618" s="130"/>
      <c r="T618" s="130"/>
      <c r="U618" s="130"/>
      <c r="V618" s="2107"/>
      <c r="W618" s="611">
        <v>8.8000000000000007</v>
      </c>
      <c r="X618" s="611">
        <v>8.8000000000000007</v>
      </c>
      <c r="Y618" s="611"/>
      <c r="Z618" s="611"/>
      <c r="AA618" s="611"/>
      <c r="AB618" s="611"/>
      <c r="AC618" s="611"/>
      <c r="AD618" s="611"/>
      <c r="AE618" s="611"/>
      <c r="AF618" s="611"/>
      <c r="AG618" s="611"/>
    </row>
    <row r="619" spans="1:33" s="56" customFormat="1" hidden="1" outlineLevel="1" x14ac:dyDescent="0.25">
      <c r="A619" s="597"/>
      <c r="B619" s="130"/>
      <c r="C619" s="616"/>
      <c r="D619" s="2101"/>
      <c r="E619" s="2104"/>
      <c r="F619" s="2148">
        <f t="shared" si="46"/>
        <v>0</v>
      </c>
      <c r="G619" s="2148"/>
      <c r="H619" s="2148"/>
      <c r="I619" s="709">
        <f t="shared" si="47"/>
        <v>0</v>
      </c>
      <c r="J619" s="730">
        <v>9.1999999999999993</v>
      </c>
      <c r="K619" s="711"/>
      <c r="L619" s="705"/>
      <c r="M619" s="130"/>
      <c r="N619" s="130"/>
      <c r="O619" s="130"/>
      <c r="P619" s="130"/>
      <c r="Q619" s="752"/>
      <c r="R619" s="760"/>
      <c r="S619" s="130"/>
      <c r="T619" s="130"/>
      <c r="U619" s="130"/>
      <c r="V619" s="2107"/>
      <c r="W619" s="611">
        <v>9.1999999999999993</v>
      </c>
      <c r="X619" s="611">
        <v>9.1999999999999993</v>
      </c>
      <c r="Y619" s="611"/>
      <c r="Z619" s="611"/>
      <c r="AA619" s="611"/>
      <c r="AB619" s="611"/>
      <c r="AC619" s="611"/>
      <c r="AD619" s="611"/>
      <c r="AE619" s="611"/>
      <c r="AF619" s="611"/>
      <c r="AG619" s="611"/>
    </row>
    <row r="620" spans="1:33" s="56" customFormat="1" hidden="1" outlineLevel="1" x14ac:dyDescent="0.25">
      <c r="A620" s="597"/>
      <c r="B620" s="130"/>
      <c r="C620" s="616"/>
      <c r="D620" s="2101"/>
      <c r="E620" s="2104"/>
      <c r="F620" s="2148">
        <f t="shared" si="46"/>
        <v>0</v>
      </c>
      <c r="G620" s="2148"/>
      <c r="H620" s="2148"/>
      <c r="I620" s="709">
        <f t="shared" si="47"/>
        <v>0</v>
      </c>
      <c r="J620" s="730">
        <v>9.6</v>
      </c>
      <c r="K620" s="711"/>
      <c r="L620" s="705"/>
      <c r="M620" s="130"/>
      <c r="N620" s="130"/>
      <c r="O620" s="130"/>
      <c r="P620" s="130"/>
      <c r="Q620" s="752"/>
      <c r="R620" s="760"/>
      <c r="S620" s="130"/>
      <c r="T620" s="130"/>
      <c r="U620" s="130"/>
      <c r="V620" s="2107"/>
      <c r="W620" s="611">
        <v>9.6</v>
      </c>
      <c r="X620" s="611">
        <v>9.6</v>
      </c>
      <c r="Y620" s="611"/>
      <c r="Z620" s="611"/>
      <c r="AA620" s="611"/>
      <c r="AB620" s="611"/>
      <c r="AC620" s="611"/>
      <c r="AD620" s="611"/>
      <c r="AE620" s="611"/>
      <c r="AF620" s="611"/>
      <c r="AG620" s="611"/>
    </row>
    <row r="621" spans="1:33" s="56" customFormat="1" ht="15.75" hidden="1" outlineLevel="1" thickBot="1" x14ac:dyDescent="0.3">
      <c r="A621" s="597"/>
      <c r="B621" s="130"/>
      <c r="C621" s="616"/>
      <c r="D621" s="2102"/>
      <c r="E621" s="2105"/>
      <c r="F621" s="2149">
        <f t="shared" si="46"/>
        <v>0</v>
      </c>
      <c r="G621" s="2149"/>
      <c r="H621" s="2149"/>
      <c r="I621" s="712">
        <f t="shared" si="47"/>
        <v>0</v>
      </c>
      <c r="J621" s="622">
        <v>10.5</v>
      </c>
      <c r="K621" s="714"/>
      <c r="L621" s="706"/>
      <c r="M621" s="130"/>
      <c r="N621" s="130"/>
      <c r="O621" s="130"/>
      <c r="P621" s="130"/>
      <c r="Q621" s="752"/>
      <c r="R621" s="760"/>
      <c r="S621" s="130"/>
      <c r="T621" s="130"/>
      <c r="U621" s="130"/>
      <c r="V621" s="2108"/>
      <c r="W621" s="622">
        <v>10.5</v>
      </c>
      <c r="X621" s="622">
        <v>10.5</v>
      </c>
      <c r="Y621" s="622"/>
      <c r="Z621" s="622"/>
      <c r="AA621" s="622"/>
      <c r="AB621" s="622"/>
      <c r="AC621" s="622"/>
      <c r="AD621" s="622"/>
      <c r="AE621" s="622"/>
      <c r="AF621" s="622"/>
      <c r="AG621" s="622"/>
    </row>
    <row r="622" spans="1:33" s="56" customFormat="1" hidden="1" outlineLevel="1" x14ac:dyDescent="0.25">
      <c r="A622" s="597"/>
      <c r="B622" s="130"/>
      <c r="C622" s="616"/>
      <c r="D622" s="2100" t="s">
        <v>1038</v>
      </c>
      <c r="E622" s="2103" t="s">
        <v>1039</v>
      </c>
      <c r="F622" s="2144" t="str">
        <f t="shared" si="46"/>
        <v xml:space="preserve">DFHP - SEER 19 MF heat pump base </v>
      </c>
      <c r="G622" s="2144"/>
      <c r="H622" s="2144"/>
      <c r="I622" s="707">
        <f t="shared" si="47"/>
        <v>0</v>
      </c>
      <c r="J622" s="727">
        <v>40800</v>
      </c>
      <c r="K622" s="607">
        <v>3.4</v>
      </c>
      <c r="L622" s="704" t="s">
        <v>977</v>
      </c>
      <c r="M622" s="130"/>
      <c r="N622" s="130"/>
      <c r="O622" s="130"/>
      <c r="P622" s="130"/>
      <c r="Q622" s="752"/>
      <c r="R622" s="760"/>
      <c r="S622" s="130"/>
      <c r="T622" s="130"/>
      <c r="U622" s="130"/>
      <c r="V622" s="2106" t="s">
        <v>1038</v>
      </c>
      <c r="W622" s="605">
        <f>$K622*12000</f>
        <v>40800</v>
      </c>
      <c r="X622" s="605">
        <f>$K622*12000</f>
        <v>40800</v>
      </c>
      <c r="Y622" s="605"/>
      <c r="Z622" s="605"/>
      <c r="AA622" s="605"/>
      <c r="AB622" s="605"/>
      <c r="AC622" s="605"/>
      <c r="AD622" s="605"/>
      <c r="AE622" s="605"/>
      <c r="AF622" s="605"/>
      <c r="AG622" s="605"/>
    </row>
    <row r="623" spans="1:33" s="56" customFormat="1" hidden="1" outlineLevel="1" x14ac:dyDescent="0.25">
      <c r="A623" s="597"/>
      <c r="B623" s="130"/>
      <c r="C623" s="616"/>
      <c r="D623" s="2101"/>
      <c r="E623" s="2104"/>
      <c r="F623" s="2148" t="str">
        <f t="shared" si="46"/>
        <v>DFHP - SEER 20 MF heat pump base</v>
      </c>
      <c r="G623" s="2148"/>
      <c r="H623" s="2148"/>
      <c r="I623" s="709">
        <f t="shared" si="47"/>
        <v>0</v>
      </c>
      <c r="J623" s="730">
        <v>52800.000000000007</v>
      </c>
      <c r="K623" s="613">
        <v>4.4000000000000004</v>
      </c>
      <c r="L623" s="705" t="s">
        <v>977</v>
      </c>
      <c r="M623" s="130"/>
      <c r="N623" s="130"/>
      <c r="O623" s="130"/>
      <c r="P623" s="130"/>
      <c r="Q623" s="752"/>
      <c r="R623" s="760"/>
      <c r="S623" s="130"/>
      <c r="T623" s="130"/>
      <c r="U623" s="130"/>
      <c r="V623" s="2107"/>
      <c r="W623" s="611">
        <f t="shared" ref="W623:X628" si="48">$K623*12000</f>
        <v>52800.000000000007</v>
      </c>
      <c r="X623" s="611">
        <f t="shared" si="48"/>
        <v>52800.000000000007</v>
      </c>
      <c r="Y623" s="611"/>
      <c r="Z623" s="611"/>
      <c r="AA623" s="611"/>
      <c r="AB623" s="611"/>
      <c r="AC623" s="611"/>
      <c r="AD623" s="611"/>
      <c r="AE623" s="611"/>
      <c r="AF623" s="611"/>
      <c r="AG623" s="611"/>
    </row>
    <row r="624" spans="1:33" s="56" customFormat="1" hidden="1" outlineLevel="1" x14ac:dyDescent="0.25">
      <c r="A624" s="597"/>
      <c r="B624" s="130"/>
      <c r="C624" s="616"/>
      <c r="D624" s="2101"/>
      <c r="E624" s="2104"/>
      <c r="F624" s="2148" t="str">
        <f t="shared" si="46"/>
        <v>DFHP - SEER 21 MF heat pump base</v>
      </c>
      <c r="G624" s="2148"/>
      <c r="H624" s="2148"/>
      <c r="I624" s="709">
        <f t="shared" si="47"/>
        <v>0</v>
      </c>
      <c r="J624" s="730">
        <v>64800.000000000007</v>
      </c>
      <c r="K624" s="613">
        <v>5.4</v>
      </c>
      <c r="L624" s="705" t="s">
        <v>977</v>
      </c>
      <c r="M624" s="130"/>
      <c r="N624" s="130"/>
      <c r="O624" s="130"/>
      <c r="P624" s="130"/>
      <c r="Q624" s="752"/>
      <c r="R624" s="760"/>
      <c r="S624" s="130"/>
      <c r="T624" s="130"/>
      <c r="U624" s="130"/>
      <c r="V624" s="2107"/>
      <c r="W624" s="611">
        <f t="shared" si="48"/>
        <v>64800.000000000007</v>
      </c>
      <c r="X624" s="611">
        <f t="shared" si="48"/>
        <v>64800.000000000007</v>
      </c>
      <c r="Y624" s="611"/>
      <c r="Z624" s="611"/>
      <c r="AA624" s="611"/>
      <c r="AB624" s="611"/>
      <c r="AC624" s="611"/>
      <c r="AD624" s="611"/>
      <c r="AE624" s="611"/>
      <c r="AF624" s="611"/>
      <c r="AG624" s="611"/>
    </row>
    <row r="625" spans="1:33" s="56" customFormat="1" hidden="1" outlineLevel="1" x14ac:dyDescent="0.25">
      <c r="A625" s="597"/>
      <c r="B625" s="130"/>
      <c r="C625" s="616"/>
      <c r="D625" s="2101"/>
      <c r="E625" s="2104"/>
      <c r="F625" s="2148">
        <f t="shared" si="46"/>
        <v>0</v>
      </c>
      <c r="G625" s="2148"/>
      <c r="H625" s="2148"/>
      <c r="I625" s="709">
        <f t="shared" si="47"/>
        <v>0</v>
      </c>
      <c r="J625" s="730">
        <v>40800</v>
      </c>
      <c r="K625" s="613">
        <v>3.4</v>
      </c>
      <c r="L625" s="705" t="s">
        <v>977</v>
      </c>
      <c r="M625" s="130"/>
      <c r="N625" s="130"/>
      <c r="O625" s="130"/>
      <c r="P625" s="130"/>
      <c r="Q625" s="752"/>
      <c r="R625" s="760"/>
      <c r="S625" s="130"/>
      <c r="T625" s="130"/>
      <c r="U625" s="130"/>
      <c r="V625" s="2107"/>
      <c r="W625" s="611">
        <f t="shared" si="48"/>
        <v>40800</v>
      </c>
      <c r="X625" s="611">
        <f t="shared" si="48"/>
        <v>40800</v>
      </c>
      <c r="Y625" s="611"/>
      <c r="Z625" s="611"/>
      <c r="AA625" s="611"/>
      <c r="AB625" s="611"/>
      <c r="AC625" s="611"/>
      <c r="AD625" s="611"/>
      <c r="AE625" s="611"/>
      <c r="AF625" s="611"/>
      <c r="AG625" s="611"/>
    </row>
    <row r="626" spans="1:33" s="56" customFormat="1" hidden="1" outlineLevel="1" x14ac:dyDescent="0.25">
      <c r="A626" s="597"/>
      <c r="B626" s="130"/>
      <c r="C626" s="616"/>
      <c r="D626" s="2101"/>
      <c r="E626" s="2104"/>
      <c r="F626" s="2148">
        <f t="shared" si="46"/>
        <v>0</v>
      </c>
      <c r="G626" s="2148"/>
      <c r="H626" s="2148"/>
      <c r="I626" s="709">
        <f t="shared" si="47"/>
        <v>0</v>
      </c>
      <c r="J626" s="730">
        <v>39600</v>
      </c>
      <c r="K626" s="613">
        <v>3.3</v>
      </c>
      <c r="L626" s="705" t="s">
        <v>977</v>
      </c>
      <c r="M626" s="130"/>
      <c r="N626" s="130"/>
      <c r="O626" s="130"/>
      <c r="P626" s="130"/>
      <c r="Q626" s="752"/>
      <c r="R626" s="760"/>
      <c r="S626" s="130"/>
      <c r="T626" s="130"/>
      <c r="U626" s="130"/>
      <c r="V626" s="2107"/>
      <c r="W626" s="611">
        <f t="shared" si="48"/>
        <v>39600</v>
      </c>
      <c r="X626" s="611">
        <f t="shared" si="48"/>
        <v>39600</v>
      </c>
      <c r="Y626" s="611"/>
      <c r="Z626" s="611"/>
      <c r="AA626" s="611"/>
      <c r="AB626" s="611"/>
      <c r="AC626" s="611"/>
      <c r="AD626" s="611"/>
      <c r="AE626" s="611"/>
      <c r="AF626" s="611"/>
      <c r="AG626" s="611"/>
    </row>
    <row r="627" spans="1:33" s="56" customFormat="1" hidden="1" outlineLevel="1" x14ac:dyDescent="0.25">
      <c r="A627" s="597"/>
      <c r="B627" s="130"/>
      <c r="C627" s="616"/>
      <c r="D627" s="2101"/>
      <c r="E627" s="2104"/>
      <c r="F627" s="2148">
        <f t="shared" si="46"/>
        <v>0</v>
      </c>
      <c r="G627" s="2148"/>
      <c r="H627" s="2148"/>
      <c r="I627" s="709">
        <f t="shared" si="47"/>
        <v>0</v>
      </c>
      <c r="J627" s="730">
        <v>45600</v>
      </c>
      <c r="K627" s="613">
        <v>3.8</v>
      </c>
      <c r="L627" s="705" t="s">
        <v>977</v>
      </c>
      <c r="M627" s="130"/>
      <c r="N627" s="130"/>
      <c r="O627" s="130"/>
      <c r="P627" s="130"/>
      <c r="Q627" s="752"/>
      <c r="R627" s="760"/>
      <c r="S627" s="130"/>
      <c r="T627" s="130"/>
      <c r="U627" s="130"/>
      <c r="V627" s="2107"/>
      <c r="W627" s="611">
        <f t="shared" si="48"/>
        <v>45600</v>
      </c>
      <c r="X627" s="611">
        <f t="shared" si="48"/>
        <v>45600</v>
      </c>
      <c r="Y627" s="611"/>
      <c r="Z627" s="611"/>
      <c r="AA627" s="611"/>
      <c r="AB627" s="611"/>
      <c r="AC627" s="611"/>
      <c r="AD627" s="611"/>
      <c r="AE627" s="611"/>
      <c r="AF627" s="611"/>
      <c r="AG627" s="611"/>
    </row>
    <row r="628" spans="1:33" s="56" customFormat="1" ht="15.75" hidden="1" outlineLevel="1" thickBot="1" x14ac:dyDescent="0.3">
      <c r="A628" s="597"/>
      <c r="B628" s="130"/>
      <c r="C628" s="616"/>
      <c r="D628" s="2102"/>
      <c r="E628" s="2105"/>
      <c r="F628" s="2149">
        <f t="shared" si="46"/>
        <v>0</v>
      </c>
      <c r="G628" s="2149"/>
      <c r="H628" s="2149"/>
      <c r="I628" s="712">
        <f t="shared" si="47"/>
        <v>0</v>
      </c>
      <c r="J628" s="622">
        <v>40800</v>
      </c>
      <c r="K628" s="623">
        <v>3.4</v>
      </c>
      <c r="L628" s="706" t="s">
        <v>977</v>
      </c>
      <c r="M628" s="130"/>
      <c r="N628" s="130"/>
      <c r="O628" s="130"/>
      <c r="P628" s="130"/>
      <c r="Q628" s="752"/>
      <c r="R628" s="760"/>
      <c r="S628" s="130"/>
      <c r="T628" s="130"/>
      <c r="U628" s="130"/>
      <c r="V628" s="2108"/>
      <c r="W628" s="622">
        <f t="shared" si="48"/>
        <v>40800</v>
      </c>
      <c r="X628" s="622">
        <f t="shared" si="48"/>
        <v>40800</v>
      </c>
      <c r="Y628" s="622"/>
      <c r="Z628" s="622"/>
      <c r="AA628" s="622"/>
      <c r="AB628" s="622"/>
      <c r="AC628" s="622"/>
      <c r="AD628" s="622"/>
      <c r="AE628" s="622"/>
      <c r="AF628" s="622"/>
      <c r="AG628" s="622"/>
    </row>
    <row r="629" spans="1:33" s="56" customFormat="1" hidden="1" outlineLevel="1" x14ac:dyDescent="0.25">
      <c r="A629" s="597"/>
      <c r="B629" s="130"/>
      <c r="C629" s="616"/>
      <c r="D629" s="2100" t="s">
        <v>1040</v>
      </c>
      <c r="E629" s="2103" t="s">
        <v>1041</v>
      </c>
      <c r="F629" s="2144" t="str">
        <f t="shared" si="46"/>
        <v xml:space="preserve">DFHP - SEER 19 MF heat pump base </v>
      </c>
      <c r="G629" s="2144"/>
      <c r="H629" s="2144"/>
      <c r="I629" s="707">
        <f t="shared" si="47"/>
        <v>0</v>
      </c>
      <c r="J629" s="727">
        <v>869</v>
      </c>
      <c r="K629" s="607"/>
      <c r="L629" s="704" t="s">
        <v>972</v>
      </c>
      <c r="M629" s="130"/>
      <c r="N629" s="130"/>
      <c r="O629" s="130"/>
      <c r="P629" s="130"/>
      <c r="Q629" s="752"/>
      <c r="R629" s="760"/>
      <c r="S629" s="130"/>
      <c r="T629" s="130"/>
      <c r="U629" s="130"/>
      <c r="V629" s="2106" t="s">
        <v>1040</v>
      </c>
      <c r="W629" s="605">
        <v>869</v>
      </c>
      <c r="X629" s="605">
        <v>869</v>
      </c>
      <c r="Y629" s="605"/>
      <c r="Z629" s="605"/>
      <c r="AA629" s="605"/>
      <c r="AB629" s="605"/>
      <c r="AC629" s="605"/>
      <c r="AD629" s="605"/>
      <c r="AE629" s="605"/>
      <c r="AF629" s="605"/>
      <c r="AG629" s="605"/>
    </row>
    <row r="630" spans="1:33" s="56" customFormat="1" hidden="1" outlineLevel="1" x14ac:dyDescent="0.25">
      <c r="A630" s="597"/>
      <c r="B630" s="130"/>
      <c r="C630" s="616"/>
      <c r="D630" s="2101"/>
      <c r="E630" s="2104"/>
      <c r="F630" s="2148" t="str">
        <f t="shared" si="46"/>
        <v>DFHP - SEER 20 MF heat pump base</v>
      </c>
      <c r="G630" s="2148"/>
      <c r="H630" s="2148"/>
      <c r="I630" s="709">
        <f t="shared" si="47"/>
        <v>0</v>
      </c>
      <c r="J630" s="730">
        <v>869</v>
      </c>
      <c r="K630" s="613"/>
      <c r="L630" s="705" t="s">
        <v>972</v>
      </c>
      <c r="M630" s="130"/>
      <c r="N630" s="130"/>
      <c r="O630" s="130"/>
      <c r="P630" s="130"/>
      <c r="Q630" s="752"/>
      <c r="R630" s="760"/>
      <c r="S630" s="130"/>
      <c r="T630" s="130"/>
      <c r="U630" s="130"/>
      <c r="V630" s="2107"/>
      <c r="W630" s="611">
        <v>869</v>
      </c>
      <c r="X630" s="611">
        <v>869</v>
      </c>
      <c r="Y630" s="611"/>
      <c r="Z630" s="611"/>
      <c r="AA630" s="611"/>
      <c r="AB630" s="611"/>
      <c r="AC630" s="611"/>
      <c r="AD630" s="611"/>
      <c r="AE630" s="611"/>
      <c r="AF630" s="611"/>
      <c r="AG630" s="611"/>
    </row>
    <row r="631" spans="1:33" s="56" customFormat="1" hidden="1" outlineLevel="1" x14ac:dyDescent="0.25">
      <c r="A631" s="597"/>
      <c r="B631" s="130"/>
      <c r="C631" s="616"/>
      <c r="D631" s="2101"/>
      <c r="E631" s="2104"/>
      <c r="F631" s="2148" t="str">
        <f t="shared" si="46"/>
        <v>DFHP - SEER 21 MF heat pump base</v>
      </c>
      <c r="G631" s="2148"/>
      <c r="H631" s="2148"/>
      <c r="I631" s="709">
        <f t="shared" si="47"/>
        <v>0</v>
      </c>
      <c r="J631" s="730">
        <v>869</v>
      </c>
      <c r="K631" s="613"/>
      <c r="L631" s="705" t="s">
        <v>972</v>
      </c>
      <c r="M631" s="130"/>
      <c r="N631" s="130"/>
      <c r="O631" s="130"/>
      <c r="P631" s="130"/>
      <c r="Q631" s="752"/>
      <c r="R631" s="760"/>
      <c r="S631" s="130"/>
      <c r="T631" s="130"/>
      <c r="U631" s="130"/>
      <c r="V631" s="2107"/>
      <c r="W631" s="611">
        <v>869</v>
      </c>
      <c r="X631" s="611">
        <v>869</v>
      </c>
      <c r="Y631" s="611"/>
      <c r="Z631" s="611"/>
      <c r="AA631" s="611"/>
      <c r="AB631" s="611"/>
      <c r="AC631" s="611"/>
      <c r="AD631" s="611"/>
      <c r="AE631" s="611"/>
      <c r="AF631" s="611"/>
      <c r="AG631" s="611"/>
    </row>
    <row r="632" spans="1:33" s="56" customFormat="1" hidden="1" outlineLevel="1" x14ac:dyDescent="0.25">
      <c r="A632" s="597"/>
      <c r="B632" s="130"/>
      <c r="C632" s="616"/>
      <c r="D632" s="2101"/>
      <c r="E632" s="2104"/>
      <c r="F632" s="2148">
        <f t="shared" si="46"/>
        <v>0</v>
      </c>
      <c r="G632" s="2148"/>
      <c r="H632" s="2148"/>
      <c r="I632" s="709">
        <f t="shared" si="47"/>
        <v>0</v>
      </c>
      <c r="J632" s="730">
        <v>869</v>
      </c>
      <c r="K632" s="613"/>
      <c r="L632" s="705"/>
      <c r="M632" s="130"/>
      <c r="N632" s="130"/>
      <c r="O632" s="130"/>
      <c r="P632" s="130"/>
      <c r="Q632" s="752"/>
      <c r="R632" s="760"/>
      <c r="S632" s="130"/>
      <c r="T632" s="130"/>
      <c r="U632" s="130"/>
      <c r="V632" s="2107"/>
      <c r="W632" s="611">
        <v>869</v>
      </c>
      <c r="X632" s="611">
        <v>869</v>
      </c>
      <c r="Y632" s="611"/>
      <c r="Z632" s="611"/>
      <c r="AA632" s="611"/>
      <c r="AB632" s="611"/>
      <c r="AC632" s="611"/>
      <c r="AD632" s="611"/>
      <c r="AE632" s="611"/>
      <c r="AF632" s="611"/>
      <c r="AG632" s="611"/>
    </row>
    <row r="633" spans="1:33" s="56" customFormat="1" hidden="1" outlineLevel="1" x14ac:dyDescent="0.25">
      <c r="A633" s="597"/>
      <c r="B633" s="130"/>
      <c r="C633" s="616"/>
      <c r="D633" s="2101"/>
      <c r="E633" s="2104"/>
      <c r="F633" s="2148">
        <f t="shared" si="46"/>
        <v>0</v>
      </c>
      <c r="G633" s="2148"/>
      <c r="H633" s="2148"/>
      <c r="I633" s="709">
        <f t="shared" si="47"/>
        <v>0</v>
      </c>
      <c r="J633" s="730">
        <v>869</v>
      </c>
      <c r="K633" s="613"/>
      <c r="L633" s="705"/>
      <c r="M633" s="130"/>
      <c r="N633" s="130"/>
      <c r="O633" s="130"/>
      <c r="P633" s="130"/>
      <c r="Q633" s="752"/>
      <c r="R633" s="760"/>
      <c r="S633" s="130"/>
      <c r="T633" s="130"/>
      <c r="U633" s="130"/>
      <c r="V633" s="2107"/>
      <c r="W633" s="611">
        <v>869</v>
      </c>
      <c r="X633" s="611">
        <v>869</v>
      </c>
      <c r="Y633" s="611"/>
      <c r="Z633" s="611"/>
      <c r="AA633" s="611"/>
      <c r="AB633" s="611"/>
      <c r="AC633" s="611"/>
      <c r="AD633" s="611"/>
      <c r="AE633" s="611"/>
      <c r="AF633" s="611"/>
      <c r="AG633" s="611"/>
    </row>
    <row r="634" spans="1:33" s="56" customFormat="1" hidden="1" outlineLevel="1" x14ac:dyDescent="0.25">
      <c r="A634" s="597"/>
      <c r="B634" s="130"/>
      <c r="C634" s="616"/>
      <c r="D634" s="2101"/>
      <c r="E634" s="2104"/>
      <c r="F634" s="2148">
        <f t="shared" si="46"/>
        <v>0</v>
      </c>
      <c r="G634" s="2148"/>
      <c r="H634" s="2148"/>
      <c r="I634" s="709">
        <f t="shared" si="47"/>
        <v>0</v>
      </c>
      <c r="J634" s="730">
        <v>869</v>
      </c>
      <c r="K634" s="613"/>
      <c r="L634" s="705"/>
      <c r="M634" s="130"/>
      <c r="N634" s="130"/>
      <c r="O634" s="130"/>
      <c r="P634" s="130"/>
      <c r="Q634" s="752"/>
      <c r="R634" s="760"/>
      <c r="S634" s="130"/>
      <c r="T634" s="130"/>
      <c r="U634" s="130"/>
      <c r="V634" s="2107"/>
      <c r="W634" s="611">
        <v>869</v>
      </c>
      <c r="X634" s="611">
        <v>869</v>
      </c>
      <c r="Y634" s="611"/>
      <c r="Z634" s="611"/>
      <c r="AA634" s="611"/>
      <c r="AB634" s="611"/>
      <c r="AC634" s="611"/>
      <c r="AD634" s="611"/>
      <c r="AE634" s="611"/>
      <c r="AF634" s="611"/>
      <c r="AG634" s="611"/>
    </row>
    <row r="635" spans="1:33" s="56" customFormat="1" ht="15.75" hidden="1" outlineLevel="1" thickBot="1" x14ac:dyDescent="0.3">
      <c r="A635" s="597"/>
      <c r="B635" s="130"/>
      <c r="C635" s="616"/>
      <c r="D635" s="2102"/>
      <c r="E635" s="2105"/>
      <c r="F635" s="2149">
        <f t="shared" si="46"/>
        <v>0</v>
      </c>
      <c r="G635" s="2149"/>
      <c r="H635" s="2149"/>
      <c r="I635" s="712">
        <f t="shared" si="47"/>
        <v>0</v>
      </c>
      <c r="J635" s="622">
        <v>869</v>
      </c>
      <c r="K635" s="623"/>
      <c r="L635" s="706"/>
      <c r="M635" s="130"/>
      <c r="N635" s="130"/>
      <c r="O635" s="130"/>
      <c r="P635" s="130"/>
      <c r="Q635" s="752"/>
      <c r="R635" s="760"/>
      <c r="S635" s="130"/>
      <c r="T635" s="130"/>
      <c r="U635" s="130"/>
      <c r="V635" s="2108"/>
      <c r="W635" s="622">
        <v>869</v>
      </c>
      <c r="X635" s="622">
        <v>869</v>
      </c>
      <c r="Y635" s="622"/>
      <c r="Z635" s="622"/>
      <c r="AA635" s="622"/>
      <c r="AB635" s="622"/>
      <c r="AC635" s="622"/>
      <c r="AD635" s="622"/>
      <c r="AE635" s="622"/>
      <c r="AF635" s="622"/>
      <c r="AG635" s="622"/>
    </row>
    <row r="636" spans="1:33" s="56" customFormat="1" ht="15" hidden="1" customHeight="1" outlineLevel="1" x14ac:dyDescent="0.25">
      <c r="A636" s="597"/>
      <c r="B636" s="130"/>
      <c r="C636" s="616"/>
      <c r="D636" s="2100" t="s">
        <v>1042</v>
      </c>
      <c r="E636" s="2103" t="s">
        <v>1043</v>
      </c>
      <c r="F636" s="2144" t="str">
        <f t="shared" si="46"/>
        <v xml:space="preserve">DFHP - SEER 19 MF heat pump base </v>
      </c>
      <c r="G636" s="2144"/>
      <c r="H636" s="2144"/>
      <c r="I636" s="707">
        <f t="shared" si="47"/>
        <v>0</v>
      </c>
      <c r="J636" s="727">
        <v>14</v>
      </c>
      <c r="K636" s="607"/>
      <c r="L636" s="704" t="s">
        <v>972</v>
      </c>
      <c r="M636" s="130"/>
      <c r="N636" s="130"/>
      <c r="O636" s="130"/>
      <c r="P636" s="130"/>
      <c r="Q636" s="752"/>
      <c r="R636" s="760"/>
      <c r="S636" s="130"/>
      <c r="T636" s="130"/>
      <c r="U636" s="130"/>
      <c r="V636" s="2106" t="s">
        <v>1042</v>
      </c>
      <c r="W636" s="605">
        <v>14</v>
      </c>
      <c r="X636" s="605">
        <v>14</v>
      </c>
      <c r="Y636" s="605"/>
      <c r="Z636" s="605"/>
      <c r="AA636" s="605"/>
      <c r="AB636" s="605"/>
      <c r="AC636" s="605"/>
      <c r="AD636" s="605"/>
      <c r="AE636" s="605"/>
      <c r="AF636" s="605"/>
      <c r="AG636" s="605"/>
    </row>
    <row r="637" spans="1:33" s="56" customFormat="1" ht="15" hidden="1" customHeight="1" outlineLevel="1" x14ac:dyDescent="0.25">
      <c r="A637" s="597"/>
      <c r="B637" s="130"/>
      <c r="C637" s="616"/>
      <c r="D637" s="2101"/>
      <c r="E637" s="2104"/>
      <c r="F637" s="2148" t="str">
        <f t="shared" si="46"/>
        <v>DFHP - SEER 20 MF heat pump base</v>
      </c>
      <c r="G637" s="2148"/>
      <c r="H637" s="2148"/>
      <c r="I637" s="709">
        <f t="shared" si="47"/>
        <v>0</v>
      </c>
      <c r="J637" s="730">
        <v>14</v>
      </c>
      <c r="K637" s="613"/>
      <c r="L637" s="705" t="s">
        <v>972</v>
      </c>
      <c r="M637" s="130"/>
      <c r="N637" s="130"/>
      <c r="O637" s="130"/>
      <c r="P637" s="130"/>
      <c r="Q637" s="752"/>
      <c r="R637" s="760"/>
      <c r="S637" s="130"/>
      <c r="T637" s="130"/>
      <c r="U637" s="130"/>
      <c r="V637" s="2107"/>
      <c r="W637" s="611">
        <v>14</v>
      </c>
      <c r="X637" s="611">
        <v>14</v>
      </c>
      <c r="Y637" s="611"/>
      <c r="Z637" s="611"/>
      <c r="AA637" s="611"/>
      <c r="AB637" s="611"/>
      <c r="AC637" s="611"/>
      <c r="AD637" s="611"/>
      <c r="AE637" s="611"/>
      <c r="AF637" s="611"/>
      <c r="AG637" s="611"/>
    </row>
    <row r="638" spans="1:33" s="56" customFormat="1" hidden="1" outlineLevel="1" x14ac:dyDescent="0.25">
      <c r="A638" s="597"/>
      <c r="B638" s="130"/>
      <c r="C638" s="616"/>
      <c r="D638" s="2101"/>
      <c r="E638" s="2104"/>
      <c r="F638" s="2148" t="str">
        <f t="shared" si="46"/>
        <v>DFHP - SEER 21 MF heat pump base</v>
      </c>
      <c r="G638" s="2148"/>
      <c r="H638" s="2148"/>
      <c r="I638" s="709">
        <f t="shared" si="47"/>
        <v>0</v>
      </c>
      <c r="J638" s="730">
        <v>14</v>
      </c>
      <c r="K638" s="613"/>
      <c r="L638" s="705" t="s">
        <v>972</v>
      </c>
      <c r="M638" s="130"/>
      <c r="N638" s="130"/>
      <c r="O638" s="130"/>
      <c r="P638" s="130"/>
      <c r="Q638" s="752"/>
      <c r="R638" s="760"/>
      <c r="S638" s="130"/>
      <c r="T638" s="130"/>
      <c r="U638" s="130"/>
      <c r="V638" s="2107"/>
      <c r="W638" s="611">
        <v>14</v>
      </c>
      <c r="X638" s="611">
        <v>14</v>
      </c>
      <c r="Y638" s="611"/>
      <c r="Z638" s="611"/>
      <c r="AA638" s="611"/>
      <c r="AB638" s="611"/>
      <c r="AC638" s="611"/>
      <c r="AD638" s="611"/>
      <c r="AE638" s="611"/>
      <c r="AF638" s="611"/>
      <c r="AG638" s="611"/>
    </row>
    <row r="639" spans="1:33" s="56" customFormat="1" hidden="1" outlineLevel="1" x14ac:dyDescent="0.25">
      <c r="A639" s="597"/>
      <c r="B639" s="130"/>
      <c r="C639" s="616"/>
      <c r="D639" s="2101"/>
      <c r="E639" s="2104"/>
      <c r="F639" s="2148">
        <f t="shared" si="46"/>
        <v>0</v>
      </c>
      <c r="G639" s="2148"/>
      <c r="H639" s="2148"/>
      <c r="I639" s="709">
        <f t="shared" si="47"/>
        <v>0</v>
      </c>
      <c r="J639" s="730">
        <v>14</v>
      </c>
      <c r="K639" s="613"/>
      <c r="L639" s="705"/>
      <c r="M639" s="130"/>
      <c r="N639" s="130"/>
      <c r="O639" s="130"/>
      <c r="P639" s="130"/>
      <c r="Q639" s="752"/>
      <c r="R639" s="760"/>
      <c r="S639" s="130"/>
      <c r="T639" s="130"/>
      <c r="U639" s="130"/>
      <c r="V639" s="2107"/>
      <c r="W639" s="611">
        <v>14</v>
      </c>
      <c r="X639" s="611">
        <v>14</v>
      </c>
      <c r="Y639" s="611"/>
      <c r="Z639" s="611"/>
      <c r="AA639" s="611"/>
      <c r="AB639" s="611"/>
      <c r="AC639" s="611"/>
      <c r="AD639" s="611"/>
      <c r="AE639" s="611"/>
      <c r="AF639" s="611"/>
      <c r="AG639" s="611"/>
    </row>
    <row r="640" spans="1:33" s="56" customFormat="1" hidden="1" outlineLevel="1" x14ac:dyDescent="0.25">
      <c r="A640" s="597"/>
      <c r="B640" s="130"/>
      <c r="C640" s="616"/>
      <c r="D640" s="2101"/>
      <c r="E640" s="2104"/>
      <c r="F640" s="2148">
        <f t="shared" si="46"/>
        <v>0</v>
      </c>
      <c r="G640" s="2148"/>
      <c r="H640" s="2148"/>
      <c r="I640" s="709">
        <f t="shared" si="47"/>
        <v>0</v>
      </c>
      <c r="J640" s="730">
        <v>14</v>
      </c>
      <c r="K640" s="613"/>
      <c r="L640" s="705"/>
      <c r="M640" s="130"/>
      <c r="N640" s="130"/>
      <c r="O640" s="130"/>
      <c r="P640" s="130"/>
      <c r="Q640" s="752"/>
      <c r="R640" s="760"/>
      <c r="S640" s="130"/>
      <c r="T640" s="130"/>
      <c r="U640" s="130"/>
      <c r="V640" s="2107"/>
      <c r="W640" s="611">
        <v>14</v>
      </c>
      <c r="X640" s="611">
        <v>14</v>
      </c>
      <c r="Y640" s="611"/>
      <c r="Z640" s="611"/>
      <c r="AA640" s="611"/>
      <c r="AB640" s="611"/>
      <c r="AC640" s="611"/>
      <c r="AD640" s="611"/>
      <c r="AE640" s="611"/>
      <c r="AF640" s="611"/>
      <c r="AG640" s="611"/>
    </row>
    <row r="641" spans="1:33" s="56" customFormat="1" hidden="1" outlineLevel="1" x14ac:dyDescent="0.25">
      <c r="A641" s="597"/>
      <c r="B641" s="130"/>
      <c r="C641" s="616"/>
      <c r="D641" s="2101"/>
      <c r="E641" s="2104"/>
      <c r="F641" s="2148">
        <f t="shared" si="46"/>
        <v>0</v>
      </c>
      <c r="G641" s="2148"/>
      <c r="H641" s="2148"/>
      <c r="I641" s="709">
        <f t="shared" si="47"/>
        <v>0</v>
      </c>
      <c r="J641" s="730">
        <v>14</v>
      </c>
      <c r="K641" s="613"/>
      <c r="L641" s="705"/>
      <c r="M641" s="130"/>
      <c r="N641" s="130"/>
      <c r="O641" s="130"/>
      <c r="P641" s="130"/>
      <c r="Q641" s="752"/>
      <c r="R641" s="760"/>
      <c r="S641" s="130"/>
      <c r="T641" s="130"/>
      <c r="U641" s="130"/>
      <c r="V641" s="2107"/>
      <c r="W641" s="611">
        <v>14</v>
      </c>
      <c r="X641" s="611">
        <v>14</v>
      </c>
      <c r="Y641" s="611"/>
      <c r="Z641" s="611"/>
      <c r="AA641" s="611"/>
      <c r="AB641" s="611"/>
      <c r="AC641" s="611"/>
      <c r="AD641" s="611"/>
      <c r="AE641" s="611"/>
      <c r="AF641" s="611"/>
      <c r="AG641" s="611"/>
    </row>
    <row r="642" spans="1:33" s="56" customFormat="1" ht="15.75" hidden="1" outlineLevel="1" thickBot="1" x14ac:dyDescent="0.3">
      <c r="A642" s="597"/>
      <c r="B642" s="130"/>
      <c r="C642" s="616"/>
      <c r="D642" s="2102"/>
      <c r="E642" s="2105"/>
      <c r="F642" s="2149">
        <f t="shared" si="46"/>
        <v>0</v>
      </c>
      <c r="G642" s="2149"/>
      <c r="H642" s="2149"/>
      <c r="I642" s="712">
        <f t="shared" si="47"/>
        <v>0</v>
      </c>
      <c r="J642" s="622">
        <v>14</v>
      </c>
      <c r="K642" s="623"/>
      <c r="L642" s="706"/>
      <c r="M642" s="130"/>
      <c r="N642" s="130"/>
      <c r="O642" s="130"/>
      <c r="P642" s="130"/>
      <c r="Q642" s="752"/>
      <c r="R642" s="760"/>
      <c r="S642" s="130"/>
      <c r="T642" s="130"/>
      <c r="U642" s="130"/>
      <c r="V642" s="2108"/>
      <c r="W642" s="622">
        <v>14</v>
      </c>
      <c r="X642" s="622">
        <v>14</v>
      </c>
      <c r="Y642" s="622"/>
      <c r="Z642" s="622"/>
      <c r="AA642" s="622"/>
      <c r="AB642" s="622"/>
      <c r="AC642" s="622"/>
      <c r="AD642" s="622"/>
      <c r="AE642" s="622"/>
      <c r="AF642" s="622"/>
      <c r="AG642" s="622"/>
    </row>
    <row r="643" spans="1:33" s="56" customFormat="1" hidden="1" outlineLevel="1" x14ac:dyDescent="0.25">
      <c r="A643" s="597"/>
      <c r="B643" s="130"/>
      <c r="C643" s="616"/>
      <c r="D643" s="2100" t="s">
        <v>1044</v>
      </c>
      <c r="E643" s="2103" t="s">
        <v>1045</v>
      </c>
      <c r="F643" s="2144" t="str">
        <f t="shared" si="46"/>
        <v xml:space="preserve">DFHP - SEER 19 MF heat pump base </v>
      </c>
      <c r="G643" s="2144"/>
      <c r="H643" s="2144"/>
      <c r="I643" s="707">
        <f t="shared" si="47"/>
        <v>0</v>
      </c>
      <c r="J643" s="727">
        <v>19</v>
      </c>
      <c r="K643" s="607"/>
      <c r="L643" s="661" t="s">
        <v>1046</v>
      </c>
      <c r="M643" s="130"/>
      <c r="N643" s="130"/>
      <c r="O643" s="130"/>
      <c r="P643" s="130"/>
      <c r="Q643" s="752"/>
      <c r="R643" s="760"/>
      <c r="S643" s="130"/>
      <c r="T643" s="130"/>
      <c r="U643" s="130"/>
      <c r="V643" s="2106" t="s">
        <v>1044</v>
      </c>
      <c r="W643" s="605">
        <v>19</v>
      </c>
      <c r="X643" s="605">
        <v>19</v>
      </c>
      <c r="Y643" s="605"/>
      <c r="Z643" s="605"/>
      <c r="AA643" s="605"/>
      <c r="AB643" s="605"/>
      <c r="AC643" s="605"/>
      <c r="AD643" s="605"/>
      <c r="AE643" s="605"/>
      <c r="AF643" s="605"/>
      <c r="AG643" s="605"/>
    </row>
    <row r="644" spans="1:33" s="56" customFormat="1" hidden="1" outlineLevel="1" x14ac:dyDescent="0.25">
      <c r="A644" s="597"/>
      <c r="B644" s="130"/>
      <c r="C644" s="616"/>
      <c r="D644" s="2101"/>
      <c r="E644" s="2104"/>
      <c r="F644" s="2148" t="str">
        <f t="shared" si="46"/>
        <v>DFHP - SEER 20 MF heat pump base</v>
      </c>
      <c r="G644" s="2148"/>
      <c r="H644" s="2148"/>
      <c r="I644" s="709">
        <f t="shared" si="47"/>
        <v>0</v>
      </c>
      <c r="J644" s="730">
        <v>20</v>
      </c>
      <c r="K644" s="613"/>
      <c r="L644" s="664" t="s">
        <v>1046</v>
      </c>
      <c r="M644" s="130"/>
      <c r="N644" s="130"/>
      <c r="O644" s="130"/>
      <c r="P644" s="130"/>
      <c r="Q644" s="752"/>
      <c r="R644" s="760"/>
      <c r="S644" s="130"/>
      <c r="T644" s="130"/>
      <c r="U644" s="130"/>
      <c r="V644" s="2107"/>
      <c r="W644" s="611">
        <v>20</v>
      </c>
      <c r="X644" s="611">
        <v>20</v>
      </c>
      <c r="Y644" s="611"/>
      <c r="Z644" s="611"/>
      <c r="AA644" s="611"/>
      <c r="AB644" s="611"/>
      <c r="AC644" s="611"/>
      <c r="AD644" s="611"/>
      <c r="AE644" s="611"/>
      <c r="AF644" s="611"/>
      <c r="AG644" s="611"/>
    </row>
    <row r="645" spans="1:33" s="56" customFormat="1" hidden="1" outlineLevel="1" x14ac:dyDescent="0.25">
      <c r="A645" s="597"/>
      <c r="B645" s="130"/>
      <c r="C645" s="616"/>
      <c r="D645" s="2101"/>
      <c r="E645" s="2104"/>
      <c r="F645" s="2148" t="str">
        <f t="shared" si="46"/>
        <v>DFHP - SEER 21 MF heat pump base</v>
      </c>
      <c r="G645" s="2148"/>
      <c r="H645" s="2148"/>
      <c r="I645" s="709">
        <f t="shared" si="47"/>
        <v>0</v>
      </c>
      <c r="J645" s="730">
        <v>21</v>
      </c>
      <c r="K645" s="613"/>
      <c r="L645" s="664" t="s">
        <v>1046</v>
      </c>
      <c r="M645" s="130"/>
      <c r="N645" s="130"/>
      <c r="O645" s="130"/>
      <c r="P645" s="130"/>
      <c r="Q645" s="752"/>
      <c r="R645" s="760"/>
      <c r="S645" s="130"/>
      <c r="T645" s="130"/>
      <c r="U645" s="130"/>
      <c r="V645" s="2107"/>
      <c r="W645" s="611">
        <v>21</v>
      </c>
      <c r="X645" s="611">
        <v>21</v>
      </c>
      <c r="Y645" s="611"/>
      <c r="Z645" s="611"/>
      <c r="AA645" s="611"/>
      <c r="AB645" s="611"/>
      <c r="AC645" s="611"/>
      <c r="AD645" s="611"/>
      <c r="AE645" s="611"/>
      <c r="AF645" s="611"/>
      <c r="AG645" s="611"/>
    </row>
    <row r="646" spans="1:33" s="56" customFormat="1" hidden="1" outlineLevel="1" x14ac:dyDescent="0.25">
      <c r="A646" s="597"/>
      <c r="B646" s="130"/>
      <c r="C646" s="616"/>
      <c r="D646" s="2101"/>
      <c r="E646" s="2104"/>
      <c r="F646" s="2148">
        <f t="shared" si="46"/>
        <v>0</v>
      </c>
      <c r="G646" s="2148"/>
      <c r="H646" s="2148"/>
      <c r="I646" s="709">
        <f t="shared" si="47"/>
        <v>0</v>
      </c>
      <c r="J646" s="730">
        <v>15.2</v>
      </c>
      <c r="K646" s="613"/>
      <c r="L646" s="705"/>
      <c r="M646" s="130"/>
      <c r="N646" s="130"/>
      <c r="O646" s="130"/>
      <c r="P646" s="130"/>
      <c r="Q646" s="752"/>
      <c r="R646" s="760"/>
      <c r="S646" s="130"/>
      <c r="T646" s="130"/>
      <c r="U646" s="130"/>
      <c r="V646" s="2107"/>
      <c r="W646" s="611">
        <v>15.2</v>
      </c>
      <c r="X646" s="611">
        <v>15.2</v>
      </c>
      <c r="Y646" s="611"/>
      <c r="Z646" s="611"/>
      <c r="AA646" s="611"/>
      <c r="AB646" s="611"/>
      <c r="AC646" s="611"/>
      <c r="AD646" s="611"/>
      <c r="AE646" s="611"/>
      <c r="AF646" s="611"/>
      <c r="AG646" s="611"/>
    </row>
    <row r="647" spans="1:33" s="56" customFormat="1" hidden="1" outlineLevel="1" x14ac:dyDescent="0.25">
      <c r="A647" s="597"/>
      <c r="B647" s="130"/>
      <c r="C647" s="616"/>
      <c r="D647" s="2101"/>
      <c r="E647" s="2104"/>
      <c r="F647" s="2148">
        <f t="shared" si="46"/>
        <v>0</v>
      </c>
      <c r="G647" s="2148"/>
      <c r="H647" s="2148"/>
      <c r="I647" s="709">
        <f t="shared" si="47"/>
        <v>0</v>
      </c>
      <c r="J647" s="730">
        <v>16.2</v>
      </c>
      <c r="K647" s="711"/>
      <c r="L647" s="705"/>
      <c r="M647" s="130"/>
      <c r="N647" s="130"/>
      <c r="O647" s="130"/>
      <c r="P647" s="130"/>
      <c r="Q647" s="752"/>
      <c r="R647" s="760"/>
      <c r="S647" s="130"/>
      <c r="T647" s="130"/>
      <c r="U647" s="130"/>
      <c r="V647" s="2107"/>
      <c r="W647" s="611">
        <v>16.2</v>
      </c>
      <c r="X647" s="611">
        <v>16.2</v>
      </c>
      <c r="Y647" s="611"/>
      <c r="Z647" s="611"/>
      <c r="AA647" s="611"/>
      <c r="AB647" s="611"/>
      <c r="AC647" s="611"/>
      <c r="AD647" s="611"/>
      <c r="AE647" s="611"/>
      <c r="AF647" s="611"/>
      <c r="AG647" s="611"/>
    </row>
    <row r="648" spans="1:33" s="56" customFormat="1" hidden="1" outlineLevel="1" x14ac:dyDescent="0.25">
      <c r="A648" s="597"/>
      <c r="B648" s="130"/>
      <c r="C648" s="616"/>
      <c r="D648" s="2101"/>
      <c r="E648" s="2104"/>
      <c r="F648" s="2148">
        <f t="shared" si="46"/>
        <v>0</v>
      </c>
      <c r="G648" s="2148"/>
      <c r="H648" s="2148"/>
      <c r="I648" s="709">
        <f t="shared" si="47"/>
        <v>0</v>
      </c>
      <c r="J648" s="730">
        <v>18</v>
      </c>
      <c r="K648" s="711"/>
      <c r="L648" s="705"/>
      <c r="M648" s="130"/>
      <c r="N648" s="130"/>
      <c r="O648" s="130"/>
      <c r="P648" s="130"/>
      <c r="Q648" s="752"/>
      <c r="R648" s="760"/>
      <c r="S648" s="130"/>
      <c r="T648" s="130"/>
      <c r="U648" s="130"/>
      <c r="V648" s="2107"/>
      <c r="W648" s="611">
        <v>18</v>
      </c>
      <c r="X648" s="611">
        <v>18</v>
      </c>
      <c r="Y648" s="611"/>
      <c r="Z648" s="611"/>
      <c r="AA648" s="611"/>
      <c r="AB648" s="611"/>
      <c r="AC648" s="611"/>
      <c r="AD648" s="611"/>
      <c r="AE648" s="611"/>
      <c r="AF648" s="611"/>
      <c r="AG648" s="611"/>
    </row>
    <row r="649" spans="1:33" s="56" customFormat="1" ht="15.75" hidden="1" outlineLevel="1" thickBot="1" x14ac:dyDescent="0.3">
      <c r="A649" s="597"/>
      <c r="B649" s="130"/>
      <c r="C649" s="616"/>
      <c r="D649" s="2102"/>
      <c r="E649" s="2105"/>
      <c r="F649" s="2149">
        <f t="shared" si="46"/>
        <v>0</v>
      </c>
      <c r="G649" s="2149"/>
      <c r="H649" s="2149"/>
      <c r="I649" s="712">
        <f t="shared" si="47"/>
        <v>0</v>
      </c>
      <c r="J649" s="622">
        <v>18.3</v>
      </c>
      <c r="K649" s="714"/>
      <c r="L649" s="706"/>
      <c r="M649" s="130"/>
      <c r="N649" s="130"/>
      <c r="O649" s="130"/>
      <c r="P649" s="130"/>
      <c r="Q649" s="752"/>
      <c r="R649" s="760"/>
      <c r="S649" s="130"/>
      <c r="T649" s="130"/>
      <c r="U649" s="130"/>
      <c r="V649" s="2108"/>
      <c r="W649" s="622">
        <v>18.3</v>
      </c>
      <c r="X649" s="622">
        <v>18.3</v>
      </c>
      <c r="Y649" s="622"/>
      <c r="Z649" s="622"/>
      <c r="AA649" s="622"/>
      <c r="AB649" s="622"/>
      <c r="AC649" s="622"/>
      <c r="AD649" s="622"/>
      <c r="AE649" s="622"/>
      <c r="AF649" s="622"/>
      <c r="AG649" s="622"/>
    </row>
    <row r="650" spans="1:33" s="56" customFormat="1" hidden="1" outlineLevel="1" x14ac:dyDescent="0.25">
      <c r="A650" s="597"/>
      <c r="B650" s="130"/>
      <c r="C650" s="616"/>
      <c r="D650" s="2100" t="s">
        <v>598</v>
      </c>
      <c r="E650" s="2103" t="s">
        <v>1047</v>
      </c>
      <c r="F650" s="2144" t="str">
        <f t="shared" si="46"/>
        <v xml:space="preserve">DFHP - SEER 19 MF heat pump base </v>
      </c>
      <c r="G650" s="2144"/>
      <c r="H650" s="2144"/>
      <c r="I650" s="707">
        <f t="shared" si="47"/>
        <v>0</v>
      </c>
      <c r="J650" s="708">
        <v>0.65</v>
      </c>
      <c r="K650" s="607"/>
      <c r="L650" s="705" t="s">
        <v>972</v>
      </c>
      <c r="M650" s="130"/>
      <c r="N650" s="130"/>
      <c r="O650" s="130"/>
      <c r="P650" s="130"/>
      <c r="Q650" s="752"/>
      <c r="R650" s="760"/>
      <c r="S650" s="130"/>
      <c r="T650" s="130"/>
      <c r="U650" s="130"/>
      <c r="V650" s="2106" t="s">
        <v>598</v>
      </c>
      <c r="W650" s="708">
        <v>0.65</v>
      </c>
      <c r="X650" s="708">
        <v>0.65</v>
      </c>
      <c r="Y650" s="708"/>
      <c r="Z650" s="708"/>
      <c r="AA650" s="708"/>
      <c r="AB650" s="708"/>
      <c r="AC650" s="708"/>
      <c r="AD650" s="708"/>
      <c r="AE650" s="708"/>
      <c r="AF650" s="708"/>
      <c r="AG650" s="708"/>
    </row>
    <row r="651" spans="1:33" s="56" customFormat="1" hidden="1" outlineLevel="1" x14ac:dyDescent="0.25">
      <c r="A651" s="597"/>
      <c r="B651" s="130"/>
      <c r="C651" s="616"/>
      <c r="D651" s="2101"/>
      <c r="E651" s="2104"/>
      <c r="F651" s="2148" t="str">
        <f t="shared" si="46"/>
        <v>DFHP - SEER 20 MF heat pump base</v>
      </c>
      <c r="G651" s="2148"/>
      <c r="H651" s="2148"/>
      <c r="I651" s="709">
        <f t="shared" si="47"/>
        <v>0</v>
      </c>
      <c r="J651" s="710">
        <v>0.65</v>
      </c>
      <c r="K651" s="613"/>
      <c r="L651" s="705" t="s">
        <v>972</v>
      </c>
      <c r="M651" s="130"/>
      <c r="N651" s="130"/>
      <c r="O651" s="130"/>
      <c r="P651" s="130"/>
      <c r="Q651" s="752"/>
      <c r="R651" s="760"/>
      <c r="S651" s="130"/>
      <c r="T651" s="130"/>
      <c r="U651" s="130"/>
      <c r="V651" s="2107"/>
      <c r="W651" s="710">
        <v>0.65</v>
      </c>
      <c r="X651" s="710">
        <v>0.65</v>
      </c>
      <c r="Y651" s="710"/>
      <c r="Z651" s="710"/>
      <c r="AA651" s="710"/>
      <c r="AB651" s="710"/>
      <c r="AC651" s="710"/>
      <c r="AD651" s="710"/>
      <c r="AE651" s="710"/>
      <c r="AF651" s="710"/>
      <c r="AG651" s="710"/>
    </row>
    <row r="652" spans="1:33" s="56" customFormat="1" hidden="1" outlineLevel="1" x14ac:dyDescent="0.25">
      <c r="A652" s="597"/>
      <c r="B652" s="130"/>
      <c r="C652" s="616"/>
      <c r="D652" s="2101"/>
      <c r="E652" s="2104"/>
      <c r="F652" s="2148" t="str">
        <f t="shared" si="46"/>
        <v>DFHP - SEER 21 MF heat pump base</v>
      </c>
      <c r="G652" s="2148"/>
      <c r="H652" s="2148"/>
      <c r="I652" s="709">
        <f t="shared" si="47"/>
        <v>0</v>
      </c>
      <c r="J652" s="710">
        <v>0.65</v>
      </c>
      <c r="K652" s="613"/>
      <c r="L652" s="705" t="s">
        <v>972</v>
      </c>
      <c r="M652" s="130"/>
      <c r="N652" s="130"/>
      <c r="O652" s="130"/>
      <c r="P652" s="130"/>
      <c r="Q652" s="752"/>
      <c r="R652" s="760"/>
      <c r="S652" s="130"/>
      <c r="T652" s="130"/>
      <c r="U652" s="130"/>
      <c r="V652" s="2107"/>
      <c r="W652" s="710">
        <v>0.65</v>
      </c>
      <c r="X652" s="710">
        <v>0.65</v>
      </c>
      <c r="Y652" s="710"/>
      <c r="Z652" s="710"/>
      <c r="AA652" s="710"/>
      <c r="AB652" s="710"/>
      <c r="AC652" s="710"/>
      <c r="AD652" s="710"/>
      <c r="AE652" s="710"/>
      <c r="AF652" s="710"/>
      <c r="AG652" s="710"/>
    </row>
    <row r="653" spans="1:33" s="56" customFormat="1" hidden="1" outlineLevel="1" x14ac:dyDescent="0.25">
      <c r="A653" s="597"/>
      <c r="B653" s="130"/>
      <c r="C653" s="616"/>
      <c r="D653" s="2101"/>
      <c r="E653" s="2104"/>
      <c r="F653" s="2148">
        <f t="shared" si="46"/>
        <v>0</v>
      </c>
      <c r="G653" s="2148"/>
      <c r="H653" s="2148"/>
      <c r="I653" s="709">
        <f t="shared" si="47"/>
        <v>0</v>
      </c>
      <c r="J653" s="710">
        <v>1</v>
      </c>
      <c r="K653" s="613"/>
      <c r="L653" s="705"/>
      <c r="M653" s="130"/>
      <c r="N653" s="130"/>
      <c r="O653" s="130"/>
      <c r="P653" s="130"/>
      <c r="Q653" s="752"/>
      <c r="R653" s="760"/>
      <c r="S653" s="130"/>
      <c r="T653" s="130"/>
      <c r="U653" s="130"/>
      <c r="V653" s="2107"/>
      <c r="W653" s="710">
        <v>1</v>
      </c>
      <c r="X653" s="710">
        <v>1</v>
      </c>
      <c r="Y653" s="710"/>
      <c r="Z653" s="710"/>
      <c r="AA653" s="710"/>
      <c r="AB653" s="710"/>
      <c r="AC653" s="710"/>
      <c r="AD653" s="710"/>
      <c r="AE653" s="710"/>
      <c r="AF653" s="710"/>
      <c r="AG653" s="710"/>
    </row>
    <row r="654" spans="1:33" s="56" customFormat="1" hidden="1" outlineLevel="1" x14ac:dyDescent="0.25">
      <c r="A654" s="597"/>
      <c r="B654" s="130"/>
      <c r="C654" s="616"/>
      <c r="D654" s="2101"/>
      <c r="E654" s="2104"/>
      <c r="F654" s="2148">
        <f t="shared" si="46"/>
        <v>0</v>
      </c>
      <c r="G654" s="2148"/>
      <c r="H654" s="2148"/>
      <c r="I654" s="709">
        <f t="shared" si="47"/>
        <v>0</v>
      </c>
      <c r="J654" s="710">
        <v>1</v>
      </c>
      <c r="K654" s="711"/>
      <c r="L654" s="705"/>
      <c r="M654" s="130"/>
      <c r="N654" s="130"/>
      <c r="O654" s="130"/>
      <c r="P654" s="130"/>
      <c r="Q654" s="752"/>
      <c r="R654" s="760"/>
      <c r="S654" s="130"/>
      <c r="T654" s="130"/>
      <c r="U654" s="130"/>
      <c r="V654" s="2107"/>
      <c r="W654" s="710">
        <v>1</v>
      </c>
      <c r="X654" s="710">
        <v>1</v>
      </c>
      <c r="Y654" s="710"/>
      <c r="Z654" s="710"/>
      <c r="AA654" s="710"/>
      <c r="AB654" s="710"/>
      <c r="AC654" s="710"/>
      <c r="AD654" s="710"/>
      <c r="AE654" s="710"/>
      <c r="AF654" s="710"/>
      <c r="AG654" s="710"/>
    </row>
    <row r="655" spans="1:33" s="56" customFormat="1" hidden="1" outlineLevel="1" x14ac:dyDescent="0.25">
      <c r="A655" s="597"/>
      <c r="B655" s="130"/>
      <c r="C655" s="616"/>
      <c r="D655" s="2101"/>
      <c r="E655" s="2104"/>
      <c r="F655" s="2148">
        <f t="shared" si="46"/>
        <v>0</v>
      </c>
      <c r="G655" s="2148"/>
      <c r="H655" s="2148"/>
      <c r="I655" s="709">
        <f t="shared" si="47"/>
        <v>0</v>
      </c>
      <c r="J655" s="710">
        <v>1</v>
      </c>
      <c r="K655" s="711"/>
      <c r="L655" s="705"/>
      <c r="M655" s="130"/>
      <c r="N655" s="130"/>
      <c r="O655" s="130"/>
      <c r="P655" s="130"/>
      <c r="Q655" s="752"/>
      <c r="R655" s="760"/>
      <c r="S655" s="130"/>
      <c r="T655" s="130"/>
      <c r="U655" s="130"/>
      <c r="V655" s="2107"/>
      <c r="W655" s="710">
        <v>1</v>
      </c>
      <c r="X655" s="710">
        <v>1</v>
      </c>
      <c r="Y655" s="710"/>
      <c r="Z655" s="710"/>
      <c r="AA655" s="710"/>
      <c r="AB655" s="710"/>
      <c r="AC655" s="710"/>
      <c r="AD655" s="710"/>
      <c r="AE655" s="710"/>
      <c r="AF655" s="710"/>
      <c r="AG655" s="710"/>
    </row>
    <row r="656" spans="1:33" s="56" customFormat="1" ht="15.75" hidden="1" outlineLevel="1" thickBot="1" x14ac:dyDescent="0.3">
      <c r="A656" s="597"/>
      <c r="B656" s="130"/>
      <c r="C656" s="616"/>
      <c r="D656" s="2102"/>
      <c r="E656" s="2105"/>
      <c r="F656" s="2149">
        <f t="shared" si="46"/>
        <v>0</v>
      </c>
      <c r="G656" s="2149"/>
      <c r="H656" s="2149"/>
      <c r="I656" s="712">
        <f t="shared" si="47"/>
        <v>0</v>
      </c>
      <c r="J656" s="713">
        <v>1</v>
      </c>
      <c r="K656" s="714"/>
      <c r="L656" s="706"/>
      <c r="M656" s="130"/>
      <c r="N656" s="130"/>
      <c r="O656" s="130"/>
      <c r="P656" s="130"/>
      <c r="Q656" s="752"/>
      <c r="R656" s="760"/>
      <c r="S656" s="130"/>
      <c r="T656" s="130"/>
      <c r="U656" s="130"/>
      <c r="V656" s="2108"/>
      <c r="W656" s="713">
        <v>1</v>
      </c>
      <c r="X656" s="713">
        <v>1</v>
      </c>
      <c r="Y656" s="713"/>
      <c r="Z656" s="713"/>
      <c r="AA656" s="713"/>
      <c r="AB656" s="713"/>
      <c r="AC656" s="713"/>
      <c r="AD656" s="713"/>
      <c r="AE656" s="713"/>
      <c r="AF656" s="713"/>
      <c r="AG656" s="713"/>
    </row>
    <row r="657" spans="1:33" s="56" customFormat="1" ht="15" hidden="1" customHeight="1" outlineLevel="1" x14ac:dyDescent="0.25">
      <c r="A657" s="597"/>
      <c r="B657" s="130"/>
      <c r="C657" s="616"/>
      <c r="D657" s="2100" t="str">
        <f>D494</f>
        <v>EUL</v>
      </c>
      <c r="E657" s="2100" t="str">
        <f>E494</f>
        <v>End Useful Life</v>
      </c>
      <c r="F657" s="2144" t="str">
        <f t="shared" ref="F657:F663" si="49">E568</f>
        <v xml:space="preserve">DFHP - SEER 19 MF heat pump base </v>
      </c>
      <c r="G657" s="2144"/>
      <c r="H657" s="2144"/>
      <c r="I657" s="707">
        <f t="shared" si="47"/>
        <v>0</v>
      </c>
      <c r="J657" s="715">
        <v>18</v>
      </c>
      <c r="K657" s="607"/>
      <c r="L657" s="705"/>
      <c r="M657" s="130"/>
      <c r="N657" s="130"/>
      <c r="O657" s="130"/>
      <c r="P657" s="130"/>
      <c r="Q657" s="752"/>
      <c r="R657" s="760"/>
      <c r="S657" s="130"/>
      <c r="T657" s="130"/>
      <c r="U657" s="130"/>
      <c r="V657" s="2106" t="str">
        <f>D657</f>
        <v>EUL</v>
      </c>
      <c r="W657" s="715">
        <v>18</v>
      </c>
      <c r="X657" s="715">
        <v>18</v>
      </c>
      <c r="Y657" s="715"/>
      <c r="Z657" s="715"/>
      <c r="AA657" s="715"/>
      <c r="AB657" s="715"/>
      <c r="AC657" s="715"/>
      <c r="AD657" s="715"/>
      <c r="AE657" s="715"/>
      <c r="AF657" s="715"/>
      <c r="AG657" s="715"/>
    </row>
    <row r="658" spans="1:33" s="56" customFormat="1" ht="15" hidden="1" customHeight="1" outlineLevel="1" x14ac:dyDescent="0.25">
      <c r="A658" s="597"/>
      <c r="B658" s="130"/>
      <c r="C658" s="616"/>
      <c r="D658" s="2101"/>
      <c r="E658" s="2101"/>
      <c r="F658" s="2145" t="str">
        <f t="shared" si="49"/>
        <v>DFHP - SEER 19 MF heat pump base</v>
      </c>
      <c r="G658" s="2146"/>
      <c r="H658" s="2147"/>
      <c r="I658" s="709">
        <f t="shared" si="47"/>
        <v>0</v>
      </c>
      <c r="J658" s="691">
        <v>18</v>
      </c>
      <c r="K658" s="613"/>
      <c r="L658" s="705"/>
      <c r="M658" s="130"/>
      <c r="N658" s="130"/>
      <c r="O658" s="130"/>
      <c r="P658" s="130"/>
      <c r="Q658" s="752"/>
      <c r="R658" s="760"/>
      <c r="S658" s="130"/>
      <c r="T658" s="130"/>
      <c r="U658" s="130"/>
      <c r="V658" s="2107"/>
      <c r="W658" s="691">
        <v>18</v>
      </c>
      <c r="X658" s="691">
        <v>18</v>
      </c>
      <c r="Y658" s="691"/>
      <c r="Z658" s="691"/>
      <c r="AA658" s="691"/>
      <c r="AB658" s="691"/>
      <c r="AC658" s="691"/>
      <c r="AD658" s="691"/>
      <c r="AE658" s="691"/>
      <c r="AF658" s="691"/>
      <c r="AG658" s="691"/>
    </row>
    <row r="659" spans="1:33" s="56" customFormat="1" ht="15" hidden="1" customHeight="1" outlineLevel="1" x14ac:dyDescent="0.25">
      <c r="A659" s="597"/>
      <c r="B659" s="130"/>
      <c r="C659" s="616"/>
      <c r="D659" s="2101"/>
      <c r="E659" s="2101"/>
      <c r="F659" s="2148" t="str">
        <f t="shared" si="49"/>
        <v>DFHP - SEER 20 MF heat pump base</v>
      </c>
      <c r="G659" s="2148"/>
      <c r="H659" s="2148"/>
      <c r="I659" s="709">
        <f>I652</f>
        <v>0</v>
      </c>
      <c r="J659" s="691">
        <v>18</v>
      </c>
      <c r="K659" s="613"/>
      <c r="L659" s="705"/>
      <c r="M659" s="130"/>
      <c r="N659" s="130"/>
      <c r="O659" s="130"/>
      <c r="P659" s="130"/>
      <c r="Q659" s="752"/>
      <c r="R659" s="760"/>
      <c r="S659" s="130"/>
      <c r="T659" s="130"/>
      <c r="U659" s="130"/>
      <c r="V659" s="2107"/>
      <c r="W659" s="691">
        <v>18</v>
      </c>
      <c r="X659" s="691">
        <v>18</v>
      </c>
      <c r="Y659" s="691"/>
      <c r="Z659" s="691"/>
      <c r="AA659" s="691"/>
      <c r="AB659" s="691"/>
      <c r="AC659" s="691"/>
      <c r="AD659" s="691"/>
      <c r="AE659" s="691"/>
      <c r="AF659" s="691"/>
      <c r="AG659" s="691"/>
    </row>
    <row r="660" spans="1:33" s="56" customFormat="1" ht="15.75" hidden="1" customHeight="1" outlineLevel="1" x14ac:dyDescent="0.25">
      <c r="A660" s="597"/>
      <c r="B660" s="130"/>
      <c r="C660" s="616"/>
      <c r="D660" s="2101"/>
      <c r="E660" s="2101"/>
      <c r="F660" s="2145" t="str">
        <f t="shared" si="49"/>
        <v>DFHP - SEER 20 MF heat pump base</v>
      </c>
      <c r="G660" s="2146"/>
      <c r="H660" s="2147"/>
      <c r="I660" s="709">
        <f t="shared" si="47"/>
        <v>0</v>
      </c>
      <c r="J660" s="691">
        <v>18</v>
      </c>
      <c r="K660" s="613"/>
      <c r="L660" s="705"/>
      <c r="M660" s="130"/>
      <c r="N660" s="130"/>
      <c r="O660" s="130"/>
      <c r="P660" s="130"/>
      <c r="Q660" s="752"/>
      <c r="R660" s="760"/>
      <c r="S660" s="130"/>
      <c r="T660" s="130"/>
      <c r="U660" s="130"/>
      <c r="V660" s="2107"/>
      <c r="W660" s="691">
        <v>18</v>
      </c>
      <c r="X660" s="691">
        <v>18</v>
      </c>
      <c r="Y660" s="691"/>
      <c r="Z660" s="691"/>
      <c r="AA660" s="691"/>
      <c r="AB660" s="691"/>
      <c r="AC660" s="691"/>
      <c r="AD660" s="691"/>
      <c r="AE660" s="691"/>
      <c r="AF660" s="691"/>
      <c r="AG660" s="691"/>
    </row>
    <row r="661" spans="1:33" s="56" customFormat="1" ht="15.75" hidden="1" customHeight="1" outlineLevel="1" x14ac:dyDescent="0.25">
      <c r="A661" s="597"/>
      <c r="B661" s="130"/>
      <c r="C661" s="616"/>
      <c r="D661" s="2101"/>
      <c r="E661" s="2101"/>
      <c r="F661" s="2148" t="str">
        <f t="shared" si="49"/>
        <v>DFHP - SEER 21 MF heat pump base</v>
      </c>
      <c r="G661" s="2148"/>
      <c r="H661" s="2148"/>
      <c r="I661" s="709">
        <f>I654</f>
        <v>0</v>
      </c>
      <c r="J661" s="691">
        <v>18</v>
      </c>
      <c r="K661" s="711"/>
      <c r="L661" s="705"/>
      <c r="M661" s="130"/>
      <c r="N661" s="130"/>
      <c r="O661" s="130"/>
      <c r="P661" s="130"/>
      <c r="Q661" s="752"/>
      <c r="R661" s="760"/>
      <c r="S661" s="130"/>
      <c r="T661" s="130"/>
      <c r="U661" s="130"/>
      <c r="V661" s="2107"/>
      <c r="W661" s="691">
        <v>18</v>
      </c>
      <c r="X661" s="691">
        <v>18</v>
      </c>
      <c r="Y661" s="691"/>
      <c r="Z661" s="691"/>
      <c r="AA661" s="691"/>
      <c r="AB661" s="691"/>
      <c r="AC661" s="691"/>
      <c r="AD661" s="691"/>
      <c r="AE661" s="691"/>
      <c r="AF661" s="691"/>
      <c r="AG661" s="691"/>
    </row>
    <row r="662" spans="1:33" s="56" customFormat="1" ht="15.75" hidden="1" customHeight="1" outlineLevel="1" x14ac:dyDescent="0.25">
      <c r="A662" s="597"/>
      <c r="B662" s="130"/>
      <c r="C662" s="616"/>
      <c r="D662" s="2101"/>
      <c r="E662" s="2101"/>
      <c r="F662" s="2145" t="str">
        <f t="shared" si="49"/>
        <v>DFHP - SEER 21 MF heat pump base</v>
      </c>
      <c r="G662" s="2146"/>
      <c r="H662" s="2147"/>
      <c r="I662" s="709">
        <f t="shared" si="47"/>
        <v>0</v>
      </c>
      <c r="J662" s="691">
        <v>18</v>
      </c>
      <c r="K662" s="711"/>
      <c r="L662" s="705"/>
      <c r="M662" s="130"/>
      <c r="N662" s="130"/>
      <c r="O662" s="130"/>
      <c r="P662" s="130"/>
      <c r="Q662" s="752"/>
      <c r="R662" s="760"/>
      <c r="S662" s="130"/>
      <c r="T662" s="130"/>
      <c r="U662" s="130"/>
      <c r="V662" s="2107"/>
      <c r="W662" s="691">
        <v>18</v>
      </c>
      <c r="X662" s="691">
        <v>18</v>
      </c>
      <c r="Y662" s="691"/>
      <c r="Z662" s="691"/>
      <c r="AA662" s="691"/>
      <c r="AB662" s="691"/>
      <c r="AC662" s="691"/>
      <c r="AD662" s="691"/>
      <c r="AE662" s="691"/>
      <c r="AF662" s="691"/>
      <c r="AG662" s="691"/>
    </row>
    <row r="663" spans="1:33" s="56" customFormat="1" ht="15.75" hidden="1" outlineLevel="1" thickBot="1" x14ac:dyDescent="0.3">
      <c r="A663" s="597"/>
      <c r="B663" s="130"/>
      <c r="C663" s="616"/>
      <c r="D663" s="2102"/>
      <c r="E663" s="2102"/>
      <c r="F663" s="2149">
        <f t="shared" si="49"/>
        <v>0</v>
      </c>
      <c r="G663" s="2149"/>
      <c r="H663" s="2149"/>
      <c r="I663" s="712">
        <f t="shared" si="47"/>
        <v>0</v>
      </c>
      <c r="J663" s="713"/>
      <c r="K663" s="714"/>
      <c r="L663" s="706"/>
      <c r="M663" s="130"/>
      <c r="N663" s="130"/>
      <c r="O663" s="130"/>
      <c r="P663" s="130"/>
      <c r="Q663" s="752"/>
      <c r="R663" s="760"/>
      <c r="S663" s="130"/>
      <c r="T663" s="130"/>
      <c r="U663" s="130"/>
      <c r="V663" s="2108"/>
      <c r="W663" s="713"/>
      <c r="X663" s="713"/>
      <c r="Y663" s="713"/>
      <c r="Z663" s="713"/>
      <c r="AA663" s="713"/>
      <c r="AB663" s="713"/>
      <c r="AC663" s="713"/>
      <c r="AD663" s="713"/>
      <c r="AE663" s="713"/>
      <c r="AF663" s="713"/>
      <c r="AG663" s="713"/>
    </row>
    <row r="664" spans="1:33" s="56" customFormat="1" ht="15" hidden="1" customHeight="1" outlineLevel="1" x14ac:dyDescent="0.25">
      <c r="A664" s="597"/>
      <c r="B664" s="130"/>
      <c r="C664" s="616"/>
      <c r="D664" s="2100" t="str">
        <f>D528</f>
        <v>Inc. Cost</v>
      </c>
      <c r="E664" s="2100" t="str">
        <f>E528</f>
        <v>Incremental Cost ($)</v>
      </c>
      <c r="F664" s="2144" t="str">
        <f t="shared" ref="F664:F670" si="50">F657</f>
        <v xml:space="preserve">DFHP - SEER 19 MF heat pump base </v>
      </c>
      <c r="G664" s="2144"/>
      <c r="H664" s="2144"/>
      <c r="I664" s="707">
        <f t="shared" si="47"/>
        <v>0</v>
      </c>
      <c r="J664" s="694">
        <v>2936.6</v>
      </c>
      <c r="K664" s="607"/>
      <c r="L664" s="705"/>
      <c r="M664" s="130"/>
      <c r="N664" s="130"/>
      <c r="O664" s="130"/>
      <c r="P664" s="130"/>
      <c r="Q664" s="752"/>
      <c r="R664" s="760"/>
      <c r="S664" s="130"/>
      <c r="T664" s="130"/>
      <c r="U664" s="130"/>
      <c r="V664" s="2106" t="str">
        <f>D664</f>
        <v>Inc. Cost</v>
      </c>
      <c r="W664" s="694">
        <v>2936.6</v>
      </c>
      <c r="X664" s="694">
        <v>2936.6</v>
      </c>
      <c r="Y664" s="694"/>
      <c r="Z664" s="694"/>
      <c r="AA664" s="694"/>
      <c r="AB664" s="694"/>
      <c r="AC664" s="694"/>
      <c r="AD664" s="694"/>
      <c r="AE664" s="694"/>
      <c r="AF664" s="694"/>
      <c r="AG664" s="694"/>
    </row>
    <row r="665" spans="1:33" s="56" customFormat="1" hidden="1" outlineLevel="1" x14ac:dyDescent="0.25">
      <c r="A665" s="597"/>
      <c r="B665" s="130"/>
      <c r="C665" s="616"/>
      <c r="D665" s="2101"/>
      <c r="E665" s="2101"/>
      <c r="F665" s="2145" t="str">
        <f t="shared" si="50"/>
        <v>DFHP - SEER 19 MF heat pump base</v>
      </c>
      <c r="G665" s="2146"/>
      <c r="H665" s="2147"/>
      <c r="I665" s="709">
        <f t="shared" ref="I665:I670" si="51">I658</f>
        <v>0</v>
      </c>
      <c r="J665" s="697"/>
      <c r="K665" s="613"/>
      <c r="L665" s="705"/>
      <c r="M665" s="130"/>
      <c r="N665" s="130"/>
      <c r="O665" s="130"/>
      <c r="P665" s="130"/>
      <c r="Q665" s="752"/>
      <c r="R665" s="760"/>
      <c r="S665" s="130"/>
      <c r="T665" s="130"/>
      <c r="U665" s="130"/>
      <c r="V665" s="2107"/>
      <c r="W665" s="697"/>
      <c r="X665" s="697"/>
      <c r="Y665" s="697"/>
      <c r="Z665" s="697"/>
      <c r="AA665" s="697"/>
      <c r="AB665" s="697"/>
      <c r="AC665" s="697"/>
      <c r="AD665" s="697"/>
      <c r="AE665" s="697"/>
      <c r="AF665" s="697"/>
      <c r="AG665" s="697"/>
    </row>
    <row r="666" spans="1:33" s="56" customFormat="1" hidden="1" outlineLevel="1" x14ac:dyDescent="0.25">
      <c r="A666" s="597"/>
      <c r="B666" s="130"/>
      <c r="C666" s="616"/>
      <c r="D666" s="2101"/>
      <c r="E666" s="2101"/>
      <c r="F666" s="2148" t="str">
        <f t="shared" si="50"/>
        <v>DFHP - SEER 20 MF heat pump base</v>
      </c>
      <c r="G666" s="2148"/>
      <c r="H666" s="2148"/>
      <c r="I666" s="709">
        <f t="shared" si="51"/>
        <v>0</v>
      </c>
      <c r="J666" s="697">
        <v>3176.6</v>
      </c>
      <c r="K666" s="613"/>
      <c r="L666" s="705"/>
      <c r="M666" s="130"/>
      <c r="N666" s="130"/>
      <c r="O666" s="130"/>
      <c r="P666" s="130"/>
      <c r="Q666" s="752"/>
      <c r="R666" s="760"/>
      <c r="S666" s="130"/>
      <c r="T666" s="130"/>
      <c r="U666" s="130"/>
      <c r="V666" s="2107"/>
      <c r="W666" s="697">
        <v>3176.6</v>
      </c>
      <c r="X666" s="697">
        <v>3176.6</v>
      </c>
      <c r="Y666" s="697"/>
      <c r="Z666" s="697"/>
      <c r="AA666" s="697"/>
      <c r="AB666" s="697"/>
      <c r="AC666" s="697"/>
      <c r="AD666" s="697"/>
      <c r="AE666" s="697"/>
      <c r="AF666" s="697"/>
      <c r="AG666" s="697"/>
    </row>
    <row r="667" spans="1:33" s="56" customFormat="1" hidden="1" outlineLevel="1" x14ac:dyDescent="0.25">
      <c r="A667" s="597"/>
      <c r="B667" s="130"/>
      <c r="C667" s="616"/>
      <c r="D667" s="2101"/>
      <c r="E667" s="2101"/>
      <c r="F667" s="2145" t="str">
        <f t="shared" si="50"/>
        <v>DFHP - SEER 20 MF heat pump base</v>
      </c>
      <c r="G667" s="2146"/>
      <c r="H667" s="2147"/>
      <c r="I667" s="709">
        <f t="shared" si="51"/>
        <v>0</v>
      </c>
      <c r="J667" s="697"/>
      <c r="K667" s="613"/>
      <c r="L667" s="705"/>
      <c r="M667" s="130"/>
      <c r="N667" s="130"/>
      <c r="O667" s="130"/>
      <c r="P667" s="130"/>
      <c r="Q667" s="752"/>
      <c r="R667" s="760"/>
      <c r="S667" s="130"/>
      <c r="T667" s="130"/>
      <c r="U667" s="130"/>
      <c r="V667" s="2107"/>
      <c r="W667" s="697"/>
      <c r="X667" s="697"/>
      <c r="Y667" s="697"/>
      <c r="Z667" s="697"/>
      <c r="AA667" s="697"/>
      <c r="AB667" s="697"/>
      <c r="AC667" s="697"/>
      <c r="AD667" s="697"/>
      <c r="AE667" s="697"/>
      <c r="AF667" s="697"/>
      <c r="AG667" s="697"/>
    </row>
    <row r="668" spans="1:33" s="56" customFormat="1" hidden="1" outlineLevel="1" x14ac:dyDescent="0.25">
      <c r="A668" s="597"/>
      <c r="B668" s="130"/>
      <c r="C668" s="616"/>
      <c r="D668" s="2101"/>
      <c r="E668" s="2101"/>
      <c r="F668" s="2148" t="str">
        <f t="shared" si="50"/>
        <v>DFHP - SEER 21 MF heat pump base</v>
      </c>
      <c r="G668" s="2148"/>
      <c r="H668" s="2148"/>
      <c r="I668" s="709">
        <f t="shared" si="51"/>
        <v>0</v>
      </c>
      <c r="J668" s="697">
        <v>3626.6</v>
      </c>
      <c r="K668" s="711"/>
      <c r="L668" s="705"/>
      <c r="M668" s="130"/>
      <c r="N668" s="130"/>
      <c r="O668" s="130"/>
      <c r="P668" s="130"/>
      <c r="Q668" s="752"/>
      <c r="R668" s="760"/>
      <c r="S668" s="130"/>
      <c r="T668" s="130"/>
      <c r="U668" s="130"/>
      <c r="V668" s="2107"/>
      <c r="W668" s="697">
        <v>3626.6</v>
      </c>
      <c r="X668" s="697">
        <v>3626.6</v>
      </c>
      <c r="Y668" s="697"/>
      <c r="Z668" s="697"/>
      <c r="AA668" s="697"/>
      <c r="AB668" s="697"/>
      <c r="AC668" s="697"/>
      <c r="AD668" s="697"/>
      <c r="AE668" s="697"/>
      <c r="AF668" s="697"/>
      <c r="AG668" s="697"/>
    </row>
    <row r="669" spans="1:33" s="56" customFormat="1" hidden="1" outlineLevel="1" x14ac:dyDescent="0.25">
      <c r="A669" s="597"/>
      <c r="B669" s="130"/>
      <c r="C669" s="616"/>
      <c r="D669" s="2101"/>
      <c r="E669" s="2101"/>
      <c r="F669" s="2145" t="str">
        <f t="shared" si="50"/>
        <v>DFHP - SEER 21 MF heat pump base</v>
      </c>
      <c r="G669" s="2146"/>
      <c r="H669" s="2147"/>
      <c r="I669" s="709">
        <f t="shared" si="51"/>
        <v>0</v>
      </c>
      <c r="J669" s="697"/>
      <c r="K669" s="711"/>
      <c r="L669" s="705"/>
      <c r="M669" s="130"/>
      <c r="N669" s="130"/>
      <c r="O669" s="130"/>
      <c r="P669" s="130"/>
      <c r="Q669" s="752"/>
      <c r="R669" s="760"/>
      <c r="S669" s="130"/>
      <c r="T669" s="130"/>
      <c r="U669" s="130"/>
      <c r="V669" s="2107"/>
      <c r="W669" s="697"/>
      <c r="X669" s="697"/>
      <c r="Y669" s="697"/>
      <c r="Z669" s="697"/>
      <c r="AA669" s="697"/>
      <c r="AB669" s="697"/>
      <c r="AC669" s="697"/>
      <c r="AD669" s="697"/>
      <c r="AE669" s="697"/>
      <c r="AF669" s="697"/>
      <c r="AG669" s="697"/>
    </row>
    <row r="670" spans="1:33" s="56" customFormat="1" ht="15.75" hidden="1" outlineLevel="1" thickBot="1" x14ac:dyDescent="0.3">
      <c r="A670" s="597"/>
      <c r="B670" s="130"/>
      <c r="C670" s="616"/>
      <c r="D670" s="2102"/>
      <c r="E670" s="2102"/>
      <c r="F670" s="2149">
        <f t="shared" si="50"/>
        <v>0</v>
      </c>
      <c r="G670" s="2149"/>
      <c r="H670" s="2149"/>
      <c r="I670" s="712">
        <f t="shared" si="51"/>
        <v>0</v>
      </c>
      <c r="J670" s="701"/>
      <c r="K670" s="714"/>
      <c r="L670" s="706"/>
      <c r="M670" s="130"/>
      <c r="N670" s="130"/>
      <c r="O670" s="130"/>
      <c r="P670" s="130"/>
      <c r="Q670" s="752"/>
      <c r="R670" s="760"/>
      <c r="S670" s="130"/>
      <c r="T670" s="130"/>
      <c r="U670" s="130"/>
      <c r="V670" s="2108"/>
      <c r="W670" s="701"/>
      <c r="X670" s="701"/>
      <c r="Y670" s="701"/>
      <c r="Z670" s="701"/>
      <c r="AA670" s="701"/>
      <c r="AB670" s="701"/>
      <c r="AC670" s="701"/>
      <c r="AD670" s="701"/>
      <c r="AE670" s="701"/>
      <c r="AF670" s="701"/>
      <c r="AG670" s="701"/>
    </row>
    <row r="671" spans="1:33" collapsed="1" x14ac:dyDescent="0.25">
      <c r="D671" s="1670"/>
      <c r="E671" s="1670"/>
      <c r="F671" s="717"/>
      <c r="G671" s="717"/>
      <c r="H671" s="717"/>
      <c r="I671" s="717"/>
      <c r="J671" s="716"/>
      <c r="K671" s="1671"/>
      <c r="L671" s="717"/>
      <c r="Q671" s="752"/>
      <c r="R671" s="760"/>
      <c r="V671" s="56"/>
      <c r="W671" s="56"/>
      <c r="X671" s="56"/>
      <c r="Y671" s="56"/>
      <c r="Z671" s="56"/>
      <c r="AA671" s="56"/>
      <c r="AB671" s="56"/>
      <c r="AC671" s="56"/>
      <c r="AD671" s="56"/>
      <c r="AE671" s="56"/>
      <c r="AF671" s="56"/>
      <c r="AG671" s="56"/>
    </row>
    <row r="673" spans="1:34" s="56" customFormat="1" x14ac:dyDescent="0.25">
      <c r="A673" s="597"/>
      <c r="B673" s="111" t="s">
        <v>1048</v>
      </c>
      <c r="C673" s="653"/>
      <c r="D673" s="112"/>
      <c r="E673" s="112"/>
      <c r="F673" s="112"/>
      <c r="G673" s="112"/>
      <c r="H673" s="112"/>
      <c r="I673" s="112"/>
      <c r="J673" s="112"/>
      <c r="K673" s="112"/>
      <c r="L673" s="112"/>
      <c r="M673" s="112"/>
      <c r="N673" s="112"/>
      <c r="O673" s="112"/>
      <c r="P673" s="112"/>
      <c r="Q673" s="527"/>
      <c r="R673" s="130"/>
      <c r="S673" s="130"/>
      <c r="T673" s="130"/>
      <c r="U673" s="130"/>
      <c r="V673" s="2022" t="str">
        <f>B673</f>
        <v>Ground Source Heat Pumps</v>
      </c>
      <c r="W673" s="2023"/>
      <c r="X673" s="2023"/>
      <c r="Y673" s="2023"/>
      <c r="Z673" s="2023"/>
      <c r="AA673" s="2023"/>
      <c r="AB673" s="2023"/>
      <c r="AC673" s="2024"/>
      <c r="AD673" s="2024"/>
      <c r="AE673" s="2024"/>
      <c r="AF673" s="2024"/>
      <c r="AG673" s="2024"/>
      <c r="AH673" s="2025"/>
    </row>
    <row r="674" spans="1:34" s="56" customFormat="1" x14ac:dyDescent="0.25">
      <c r="A674" s="597"/>
      <c r="B674" s="130"/>
      <c r="C674" s="616"/>
      <c r="D674" s="658"/>
      <c r="E674" s="658"/>
      <c r="F674" s="130"/>
      <c r="G674" s="658"/>
      <c r="H674" s="616"/>
      <c r="I674" s="616"/>
      <c r="J674" s="616"/>
      <c r="K674" s="616"/>
      <c r="L674" s="616"/>
      <c r="M674" s="616"/>
      <c r="N674" s="130"/>
      <c r="O674" s="130"/>
      <c r="P674" s="130"/>
      <c r="Q674" s="658"/>
      <c r="R674" s="130"/>
      <c r="S674" s="130"/>
      <c r="T674" s="130"/>
      <c r="U674" s="130"/>
    </row>
    <row r="675" spans="1:34" s="56" customFormat="1" x14ac:dyDescent="0.25">
      <c r="A675" s="597"/>
      <c r="B675" s="130"/>
      <c r="C675" s="616"/>
      <c r="D675" s="658"/>
      <c r="E675" s="658"/>
      <c r="F675" s="130"/>
      <c r="G675" s="658"/>
      <c r="H675" s="130"/>
      <c r="I675" s="616"/>
      <c r="J675" s="616"/>
      <c r="K675" s="616"/>
      <c r="L675" s="616"/>
      <c r="M675" s="616"/>
      <c r="N675" s="130"/>
      <c r="O675" s="130"/>
      <c r="P675" s="130"/>
      <c r="Q675" s="658"/>
      <c r="R675" s="130"/>
      <c r="S675" s="130"/>
      <c r="T675" s="130"/>
      <c r="U675" s="130"/>
    </row>
    <row r="676" spans="1:34" s="56" customFormat="1" ht="45" x14ac:dyDescent="0.25">
      <c r="A676" s="597"/>
      <c r="B676" s="130"/>
      <c r="C676" s="184" t="s">
        <v>16</v>
      </c>
      <c r="D676" s="184" t="s">
        <v>509</v>
      </c>
      <c r="E676" s="184" t="s">
        <v>18</v>
      </c>
      <c r="F676" s="184" t="s">
        <v>19</v>
      </c>
      <c r="G676" s="184" t="s">
        <v>20</v>
      </c>
      <c r="H676" s="184" t="s">
        <v>21</v>
      </c>
      <c r="I676" s="184" t="s">
        <v>22</v>
      </c>
      <c r="J676" s="448" t="s">
        <v>23</v>
      </c>
      <c r="K676" s="184" t="s">
        <v>24</v>
      </c>
      <c r="L676" s="184" t="s">
        <v>919</v>
      </c>
      <c r="M676" s="130"/>
      <c r="N676" s="130"/>
      <c r="O676" s="130"/>
      <c r="P676" s="130"/>
      <c r="Q676" s="130"/>
      <c r="R676" s="130"/>
      <c r="S676" s="130"/>
      <c r="T676" s="130"/>
      <c r="U676" s="130"/>
      <c r="V676" s="48" t="s">
        <v>26</v>
      </c>
      <c r="W676" s="49">
        <v>43252</v>
      </c>
      <c r="X676" s="49">
        <f>$X$6</f>
        <v>43465</v>
      </c>
      <c r="Y676" s="49" t="str">
        <f>$Y$6</f>
        <v>-</v>
      </c>
      <c r="Z676" s="49" t="str">
        <f>$Z$6</f>
        <v>-</v>
      </c>
      <c r="AA676" s="49" t="str">
        <f>$AA$6</f>
        <v>-</v>
      </c>
      <c r="AB676" s="49" t="str">
        <f>$AB$6</f>
        <v>-</v>
      </c>
      <c r="AC676" s="49" t="str">
        <f>$AC$6</f>
        <v>-</v>
      </c>
      <c r="AD676" s="49" t="str">
        <f>$AD$6</f>
        <v>-</v>
      </c>
      <c r="AE676" s="49" t="str">
        <f>$AE$6</f>
        <v>-</v>
      </c>
      <c r="AF676" s="49" t="str">
        <f>$AF$6</f>
        <v>-</v>
      </c>
      <c r="AG676" s="49" t="str">
        <f>$AG$6</f>
        <v>-</v>
      </c>
    </row>
    <row r="677" spans="1:34" s="56" customFormat="1" x14ac:dyDescent="0.25">
      <c r="A677" s="597"/>
      <c r="B677" s="130"/>
      <c r="C677" s="626"/>
      <c r="D677" s="1138" t="s">
        <v>612</v>
      </c>
      <c r="E677" s="1638" t="s">
        <v>1049</v>
      </c>
      <c r="F677" s="719">
        <f>(($J$730*$J$735*(1/$J$740-1/$J$745))/1000)</f>
        <v>1413.8603840319427</v>
      </c>
      <c r="G677" s="243" t="s">
        <v>1023</v>
      </c>
      <c r="H677" s="170">
        <f>VLOOKUP(G677,'CP FACTORS'!$A$3:$B$38, 2, FALSE)</f>
        <v>9.4741810000000004E-4</v>
      </c>
      <c r="I677" s="1672">
        <f t="shared" ref="I677:I688" si="52">F677*H677</f>
        <v>1.3395169187048135</v>
      </c>
      <c r="J677" s="160">
        <v>18</v>
      </c>
      <c r="K677" s="1673">
        <v>4717</v>
      </c>
      <c r="L677" s="115">
        <f>K730</f>
        <v>3.99</v>
      </c>
      <c r="M677" s="130"/>
      <c r="N677" s="130"/>
      <c r="O677" s="130"/>
      <c r="P677" s="130"/>
      <c r="Q677" s="130"/>
      <c r="R677" s="1413"/>
      <c r="S677" s="130"/>
      <c r="T677" s="130"/>
      <c r="U677" s="130"/>
      <c r="V677" s="176" t="s">
        <v>19</v>
      </c>
      <c r="W677" s="719">
        <v>1811.005012964564</v>
      </c>
      <c r="X677" s="719">
        <v>1642.2522731201384</v>
      </c>
      <c r="Y677" s="720"/>
      <c r="Z677" s="55"/>
      <c r="AA677" s="55"/>
      <c r="AB677" s="55"/>
      <c r="AC677" s="55"/>
      <c r="AD677" s="55"/>
      <c r="AE677" s="55"/>
      <c r="AF677" s="55"/>
      <c r="AG677" s="55"/>
    </row>
    <row r="678" spans="1:34" s="56" customFormat="1" x14ac:dyDescent="0.25">
      <c r="A678" s="597"/>
      <c r="B678" s="130"/>
      <c r="C678" s="626"/>
      <c r="D678" s="1138" t="s">
        <v>612</v>
      </c>
      <c r="E678" s="1641" t="s">
        <v>1050</v>
      </c>
      <c r="F678" s="719">
        <f xml:space="preserve"> (($J$711*$J$716*(1/$J$721-1/$J$727))/1000)</f>
        <v>21786.888829533</v>
      </c>
      <c r="G678" s="243" t="s">
        <v>579</v>
      </c>
      <c r="H678" s="170">
        <f>VLOOKUP(G678,'CP FACTORS'!$A$3:$B$38, 2, FALSE)</f>
        <v>0</v>
      </c>
      <c r="I678" s="1672">
        <f t="shared" si="52"/>
        <v>0</v>
      </c>
      <c r="J678" s="160">
        <v>18</v>
      </c>
      <c r="K678" s="1674"/>
      <c r="L678" s="115"/>
      <c r="M678" s="529"/>
      <c r="N678" s="130"/>
      <c r="O678" s="130"/>
      <c r="P678" s="130"/>
      <c r="Q678" s="130"/>
      <c r="R678" s="1413"/>
      <c r="S678" s="130"/>
      <c r="T678" s="130"/>
      <c r="U678" s="130"/>
      <c r="V678" s="176" t="s">
        <v>19</v>
      </c>
      <c r="W678" s="719">
        <v>6530.865353107697</v>
      </c>
      <c r="X678" s="721">
        <v>21800.025242213887</v>
      </c>
      <c r="Y678" s="720"/>
      <c r="Z678" s="55"/>
      <c r="AA678" s="55"/>
      <c r="AB678" s="55"/>
      <c r="AC678" s="55"/>
      <c r="AD678" s="55"/>
      <c r="AE678" s="55"/>
      <c r="AF678" s="55"/>
      <c r="AG678" s="55"/>
    </row>
    <row r="679" spans="1:34" s="56" customFormat="1" x14ac:dyDescent="0.25">
      <c r="A679" s="597"/>
      <c r="B679" s="130"/>
      <c r="C679" s="626"/>
      <c r="D679" s="1138" t="s">
        <v>612</v>
      </c>
      <c r="E679" s="1638" t="s">
        <v>1051</v>
      </c>
      <c r="F679" s="719">
        <f>(($J$731*$J$736*(1/$J$741-1/$J$746))/1000)</f>
        <v>4824.9949536200738</v>
      </c>
      <c r="G679" s="243" t="s">
        <v>1023</v>
      </c>
      <c r="H679" s="170">
        <f>VLOOKUP(G679,'CP FACTORS'!$A$3:$B$38, 2, FALSE)</f>
        <v>9.4741810000000004E-4</v>
      </c>
      <c r="I679" s="1672">
        <f t="shared" si="52"/>
        <v>4.5712875514683189</v>
      </c>
      <c r="J679" s="160">
        <v>6</v>
      </c>
      <c r="K679" s="1673">
        <v>5250</v>
      </c>
      <c r="L679" s="115">
        <f>K731</f>
        <v>3.99</v>
      </c>
      <c r="M679" s="130"/>
      <c r="N679" s="130"/>
      <c r="O679" s="130"/>
      <c r="P679" s="130"/>
      <c r="Q679" s="130"/>
      <c r="R679" s="1413"/>
      <c r="S679" s="130"/>
      <c r="T679" s="130"/>
      <c r="U679" s="130"/>
      <c r="V679" s="176" t="s">
        <v>19</v>
      </c>
      <c r="W679" s="719">
        <v>4715.6029411764694</v>
      </c>
      <c r="X679" s="719">
        <v>4589.0867647058822</v>
      </c>
      <c r="Y679" s="720"/>
      <c r="Z679" s="55"/>
      <c r="AA679" s="55"/>
      <c r="AB679" s="55"/>
      <c r="AC679" s="55"/>
      <c r="AD679" s="55"/>
      <c r="AE679" s="55"/>
      <c r="AF679" s="55"/>
      <c r="AG679" s="55"/>
    </row>
    <row r="680" spans="1:34" s="56" customFormat="1" x14ac:dyDescent="0.25">
      <c r="A680" s="597"/>
      <c r="B680" s="130"/>
      <c r="C680" s="626"/>
      <c r="D680" s="1138" t="s">
        <v>612</v>
      </c>
      <c r="E680" s="1641" t="s">
        <v>1052</v>
      </c>
      <c r="F680" s="719">
        <f xml:space="preserve"> (($J$709*$J$714*(1/$J$719-1/$J$725))/1000)</f>
        <v>21786.888829533</v>
      </c>
      <c r="G680" s="243" t="s">
        <v>579</v>
      </c>
      <c r="H680" s="170">
        <f>VLOOKUP(G680,'CP FACTORS'!$A$3:$B$38, 2, FALSE)</f>
        <v>0</v>
      </c>
      <c r="I680" s="1672">
        <f t="shared" si="52"/>
        <v>0</v>
      </c>
      <c r="J680" s="160">
        <v>6</v>
      </c>
      <c r="K680" s="1674"/>
      <c r="L680" s="115"/>
      <c r="M680" s="130"/>
      <c r="N680" s="130"/>
      <c r="O680" s="130"/>
      <c r="P680" s="130"/>
      <c r="Q680" s="130"/>
      <c r="R680" s="1413"/>
      <c r="S680" s="130"/>
      <c r="T680" s="130"/>
      <c r="U680" s="130"/>
      <c r="V680" s="176" t="s">
        <v>19</v>
      </c>
      <c r="W680" s="719">
        <v>6530.865353107697</v>
      </c>
      <c r="X680" s="721">
        <v>21800.025242213887</v>
      </c>
      <c r="Y680" s="720"/>
      <c r="Z680" s="55"/>
      <c r="AA680" s="55"/>
      <c r="AB680" s="55"/>
      <c r="AC680" s="55"/>
      <c r="AD680" s="55"/>
      <c r="AE680" s="55"/>
      <c r="AF680" s="55"/>
      <c r="AG680" s="55"/>
    </row>
    <row r="681" spans="1:34" s="56" customFormat="1" x14ac:dyDescent="0.25">
      <c r="A681" s="597"/>
      <c r="B681" s="130"/>
      <c r="C681" s="626"/>
      <c r="D681" s="1138" t="s">
        <v>612</v>
      </c>
      <c r="E681" s="1638" t="s">
        <v>1053</v>
      </c>
      <c r="F681" s="719">
        <f>(($J$732*$J$737*(1/$J$742-1/$J$747))/1000)</f>
        <v>1413.8603840319427</v>
      </c>
      <c r="G681" s="1675" t="s">
        <v>1054</v>
      </c>
      <c r="H681" s="170">
        <f>VLOOKUP(G681,'CP FACTORS'!$A$3:$B$38, 2, FALSE)</f>
        <v>9.4741810000000004E-4</v>
      </c>
      <c r="I681" s="1672">
        <f t="shared" si="52"/>
        <v>1.3395169187048135</v>
      </c>
      <c r="J681" s="160">
        <v>12</v>
      </c>
      <c r="K681" s="1674"/>
      <c r="L681" s="115"/>
      <c r="M681" s="130"/>
      <c r="N681" s="130"/>
      <c r="O681" s="130"/>
      <c r="P681" s="130"/>
      <c r="Q681" s="130"/>
      <c r="R681" s="1413"/>
      <c r="S681" s="130"/>
      <c r="T681" s="130"/>
      <c r="U681" s="130"/>
      <c r="V681" s="176" t="s">
        <v>19</v>
      </c>
      <c r="W681" s="719">
        <v>1716.9631221719455</v>
      </c>
      <c r="X681" s="719">
        <v>1670.8982579185522</v>
      </c>
      <c r="Y681" s="720"/>
      <c r="Z681" s="55"/>
      <c r="AA681" s="55"/>
      <c r="AB681" s="55"/>
      <c r="AC681" s="55"/>
      <c r="AD681" s="55"/>
      <c r="AE681" s="55"/>
      <c r="AF681" s="55"/>
      <c r="AG681" s="55"/>
    </row>
    <row r="682" spans="1:34" s="56" customFormat="1" x14ac:dyDescent="0.25">
      <c r="A682" s="597"/>
      <c r="B682" s="130"/>
      <c r="C682" s="626"/>
      <c r="D682" s="1138" t="s">
        <v>612</v>
      </c>
      <c r="E682" s="1641" t="s">
        <v>1055</v>
      </c>
      <c r="F682" s="719">
        <f xml:space="preserve"> (($J$710*$J$715*(1/$J$720-1/$J$726))/1000)</f>
        <v>21786.888829533</v>
      </c>
      <c r="G682" s="1675" t="s">
        <v>987</v>
      </c>
      <c r="H682" s="170">
        <f>VLOOKUP(G682,'CP FACTORS'!$A$3:$B$38, 2, FALSE)</f>
        <v>0</v>
      </c>
      <c r="I682" s="1672">
        <f t="shared" si="52"/>
        <v>0</v>
      </c>
      <c r="J682" s="160">
        <v>12</v>
      </c>
      <c r="K682" s="1674"/>
      <c r="L682" s="115"/>
      <c r="M682" s="130"/>
      <c r="N682" s="130"/>
      <c r="O682" s="130"/>
      <c r="P682" s="130"/>
      <c r="Q682" s="130"/>
      <c r="R682" s="1413"/>
      <c r="S682" s="130"/>
      <c r="T682" s="130"/>
      <c r="U682" s="130"/>
      <c r="V682" s="176" t="s">
        <v>19</v>
      </c>
      <c r="W682" s="719">
        <v>6530.865353107697</v>
      </c>
      <c r="X682" s="721">
        <v>21800.025242213887</v>
      </c>
      <c r="Y682" s="720"/>
      <c r="Z682" s="55"/>
      <c r="AA682" s="55"/>
      <c r="AB682" s="55"/>
      <c r="AC682" s="55"/>
      <c r="AD682" s="55"/>
      <c r="AE682" s="55"/>
      <c r="AF682" s="55"/>
      <c r="AG682" s="55"/>
    </row>
    <row r="683" spans="1:34" s="56" customFormat="1" x14ac:dyDescent="0.25">
      <c r="A683" s="597"/>
      <c r="B683" s="130"/>
      <c r="C683" s="626"/>
      <c r="D683" s="1138" t="s">
        <v>612</v>
      </c>
      <c r="E683" s="1638" t="s">
        <v>1056</v>
      </c>
      <c r="F683" s="719">
        <f>((J733*J738*(1/J743-1/J748))/1000)</f>
        <v>1930.2682563723677</v>
      </c>
      <c r="G683" s="243" t="s">
        <v>1023</v>
      </c>
      <c r="H683" s="170">
        <f>VLOOKUP(G683,'CP FACTORS'!$A$3:$B$38, 2, FALSE)</f>
        <v>9.4741810000000004E-4</v>
      </c>
      <c r="I683" s="1672">
        <f t="shared" si="52"/>
        <v>1.8287710839426214</v>
      </c>
      <c r="J683" s="160">
        <v>6</v>
      </c>
      <c r="K683" s="1673">
        <v>4859</v>
      </c>
      <c r="L683" s="115">
        <f>K733</f>
        <v>3.99</v>
      </c>
      <c r="M683" s="130"/>
      <c r="N683" s="130"/>
      <c r="O683" s="130"/>
      <c r="P683" s="130"/>
      <c r="Q683" s="130"/>
      <c r="R683" s="1413"/>
      <c r="S683" s="130"/>
      <c r="T683" s="130"/>
      <c r="U683" s="130"/>
      <c r="V683" s="176" t="s">
        <v>19</v>
      </c>
      <c r="W683" s="719">
        <v>4715.6029411764694</v>
      </c>
      <c r="X683" s="719">
        <v>4589.0867647058822</v>
      </c>
      <c r="Y683" s="720"/>
      <c r="Z683" s="55"/>
      <c r="AA683" s="55"/>
      <c r="AB683" s="55"/>
      <c r="AC683" s="55"/>
      <c r="AD683" s="55"/>
      <c r="AE683" s="55"/>
      <c r="AF683" s="55"/>
      <c r="AG683" s="55"/>
    </row>
    <row r="684" spans="1:34" s="56" customFormat="1" x14ac:dyDescent="0.25">
      <c r="A684" s="597"/>
      <c r="B684" s="130"/>
      <c r="C684" s="626"/>
      <c r="D684" s="1138" t="s">
        <v>612</v>
      </c>
      <c r="E684" s="1661" t="s">
        <v>1057</v>
      </c>
      <c r="F684" s="719">
        <f xml:space="preserve"> ((J712*J717*(1/J722-1/J728))/1000)</f>
        <v>3650.7555350956377</v>
      </c>
      <c r="G684" s="243" t="s">
        <v>579</v>
      </c>
      <c r="H684" s="170">
        <f>VLOOKUP(G684,'CP FACTORS'!$A$3:$B$38, 2, FALSE)</f>
        <v>0</v>
      </c>
      <c r="I684" s="1672">
        <f t="shared" si="52"/>
        <v>0</v>
      </c>
      <c r="J684" s="160">
        <v>6</v>
      </c>
      <c r="K684" s="1674"/>
      <c r="L684" s="115"/>
      <c r="M684" s="130"/>
      <c r="N684" s="130"/>
      <c r="O684" s="130"/>
      <c r="P684" s="130"/>
      <c r="Q684" s="130"/>
      <c r="R684" s="1413"/>
      <c r="S684" s="130"/>
      <c r="T684" s="130"/>
      <c r="U684" s="130"/>
      <c r="V684" s="176" t="s">
        <v>19</v>
      </c>
      <c r="W684" s="719">
        <v>6530.865353107697</v>
      </c>
      <c r="X684" s="721">
        <v>1762.7875959708601</v>
      </c>
      <c r="Y684" s="720"/>
      <c r="Z684" s="55"/>
      <c r="AA684" s="55"/>
      <c r="AB684" s="55"/>
      <c r="AC684" s="55"/>
      <c r="AD684" s="55"/>
      <c r="AE684" s="55"/>
      <c r="AF684" s="55"/>
      <c r="AG684" s="55"/>
    </row>
    <row r="685" spans="1:34" s="56" customFormat="1" x14ac:dyDescent="0.25">
      <c r="A685" s="597"/>
      <c r="B685" s="130"/>
      <c r="C685" s="626"/>
      <c r="D685" s="1138" t="s">
        <v>612</v>
      </c>
      <c r="E685" s="1661" t="s">
        <v>1058</v>
      </c>
      <c r="F685" s="722">
        <f>((J733*J738*(1/J744-1/J748))/1000)</f>
        <v>1413.8603840319427</v>
      </c>
      <c r="G685" s="1675" t="s">
        <v>1054</v>
      </c>
      <c r="H685" s="170">
        <f>VLOOKUP(G685,'CP FACTORS'!$A$3:$B$38, 2, FALSE)</f>
        <v>9.4741810000000004E-4</v>
      </c>
      <c r="I685" s="1672">
        <f t="shared" si="52"/>
        <v>1.3395169187048135</v>
      </c>
      <c r="J685" s="160">
        <v>12</v>
      </c>
      <c r="K685" s="1674"/>
      <c r="L685" s="115"/>
      <c r="M685" s="130"/>
      <c r="N685" s="130"/>
      <c r="O685" s="130"/>
      <c r="P685" s="130"/>
      <c r="Q685" s="130"/>
      <c r="R685" s="1413"/>
      <c r="S685" s="130"/>
      <c r="T685" s="130"/>
      <c r="U685" s="130"/>
      <c r="V685" s="176" t="s">
        <v>19</v>
      </c>
      <c r="W685" s="722">
        <v>1460.3876720901126</v>
      </c>
      <c r="X685" s="722">
        <v>1421.2065394242804</v>
      </c>
      <c r="Y685" s="720"/>
      <c r="Z685" s="55"/>
      <c r="AA685" s="55"/>
      <c r="AB685" s="55"/>
      <c r="AC685" s="55"/>
      <c r="AD685" s="55"/>
      <c r="AE685" s="55"/>
      <c r="AF685" s="55"/>
      <c r="AG685" s="55"/>
    </row>
    <row r="686" spans="1:34" s="56" customFormat="1" x14ac:dyDescent="0.25">
      <c r="A686" s="597"/>
      <c r="B686" s="130"/>
      <c r="C686" s="626"/>
      <c r="D686" s="1138" t="s">
        <v>612</v>
      </c>
      <c r="E686" s="1641" t="s">
        <v>1059</v>
      </c>
      <c r="F686" s="722">
        <f xml:space="preserve"> ((J712*J717*(1/J723-1/J728))/1000)</f>
        <v>2670.177267298056</v>
      </c>
      <c r="G686" s="1675" t="s">
        <v>987</v>
      </c>
      <c r="H686" s="170">
        <f>VLOOKUP(G686,'CP FACTORS'!$A$3:$B$38, 2, FALSE)</f>
        <v>0</v>
      </c>
      <c r="I686" s="1672">
        <f t="shared" si="52"/>
        <v>0</v>
      </c>
      <c r="J686" s="160">
        <v>12</v>
      </c>
      <c r="K686" s="1674"/>
      <c r="L686" s="115"/>
      <c r="M686" s="130"/>
      <c r="N686" s="130"/>
      <c r="O686" s="130"/>
      <c r="P686" s="130"/>
      <c r="Q686" s="130"/>
      <c r="R686" s="1413"/>
      <c r="S686" s="130"/>
      <c r="T686" s="130"/>
      <c r="U686" s="130"/>
      <c r="V686" s="176" t="s">
        <v>19</v>
      </c>
      <c r="W686" s="722">
        <v>6530.865353107697</v>
      </c>
      <c r="X686" s="723">
        <v>1762.7875959708601</v>
      </c>
      <c r="Y686" s="720"/>
      <c r="Z686" s="55"/>
      <c r="AA686" s="55"/>
      <c r="AB686" s="55"/>
      <c r="AC686" s="55"/>
      <c r="AD686" s="55"/>
      <c r="AE686" s="55"/>
      <c r="AF686" s="55"/>
      <c r="AG686" s="55"/>
    </row>
    <row r="687" spans="1:34" s="56" customFormat="1" x14ac:dyDescent="0.25">
      <c r="A687" s="597"/>
      <c r="B687" s="130"/>
      <c r="C687" s="626"/>
      <c r="D687" s="1138" t="s">
        <v>612</v>
      </c>
      <c r="E687" s="1638" t="s">
        <v>1060</v>
      </c>
      <c r="F687" s="719">
        <f>((J734*J739*(1/J744-1/J749))/1000)</f>
        <v>1413.8603840319427</v>
      </c>
      <c r="G687" s="243" t="s">
        <v>1023</v>
      </c>
      <c r="H687" s="170">
        <f>VLOOKUP(G687,'CP FACTORS'!$A$3:$B$38, 2, FALSE)</f>
        <v>9.4741810000000004E-4</v>
      </c>
      <c r="I687" s="1672">
        <f t="shared" si="52"/>
        <v>1.3395169187048135</v>
      </c>
      <c r="J687" s="160">
        <v>18</v>
      </c>
      <c r="K687" s="1673">
        <v>3200</v>
      </c>
      <c r="L687" s="81">
        <f>K734</f>
        <v>3.99</v>
      </c>
      <c r="M687" s="130"/>
      <c r="N687" s="130"/>
      <c r="O687" s="130"/>
      <c r="P687" s="130"/>
      <c r="Q687" s="130"/>
      <c r="R687" s="1413"/>
      <c r="S687" s="130"/>
      <c r="T687" s="130"/>
      <c r="U687" s="130"/>
      <c r="V687" s="176" t="s">
        <v>19</v>
      </c>
      <c r="W687" s="719">
        <v>1535.655749462109</v>
      </c>
      <c r="X687" s="719">
        <v>1392.5605546258666</v>
      </c>
      <c r="Y687" s="720"/>
      <c r="Z687" s="55"/>
      <c r="AA687" s="55"/>
      <c r="AB687" s="55"/>
      <c r="AC687" s="55"/>
      <c r="AD687" s="55"/>
      <c r="AE687" s="55"/>
      <c r="AF687" s="55"/>
      <c r="AG687" s="55"/>
    </row>
    <row r="688" spans="1:34" s="56" customFormat="1" x14ac:dyDescent="0.25">
      <c r="A688" s="597"/>
      <c r="B688" s="130"/>
      <c r="C688" s="626"/>
      <c r="D688" s="1138" t="s">
        <v>612</v>
      </c>
      <c r="E688" s="1641" t="s">
        <v>1060</v>
      </c>
      <c r="F688" s="719">
        <f xml:space="preserve"> ((J713*J718*(1/J724-1/J729))/1000)</f>
        <v>2670.177267298056</v>
      </c>
      <c r="G688" s="243" t="s">
        <v>579</v>
      </c>
      <c r="H688" s="170">
        <f>VLOOKUP(G688,'CP FACTORS'!$A$3:$B$38, 2, FALSE)</f>
        <v>0</v>
      </c>
      <c r="I688" s="1672">
        <f t="shared" si="52"/>
        <v>0</v>
      </c>
      <c r="J688" s="160">
        <v>18</v>
      </c>
      <c r="K688" s="626"/>
      <c r="L688" s="115"/>
      <c r="M688" s="130"/>
      <c r="N688" s="130"/>
      <c r="O688" s="130"/>
      <c r="P688" s="130"/>
      <c r="Q688" s="130"/>
      <c r="R688" s="1413"/>
      <c r="S688" s="130"/>
      <c r="T688" s="130"/>
      <c r="U688" s="130"/>
      <c r="V688" s="176" t="s">
        <v>19</v>
      </c>
      <c r="W688" s="719">
        <v>7008.7335496765554</v>
      </c>
      <c r="X688" s="721">
        <v>1762.7875959708601</v>
      </c>
      <c r="Y688" s="720"/>
      <c r="Z688" s="55"/>
      <c r="AA688" s="55"/>
      <c r="AB688" s="55"/>
      <c r="AC688" s="55"/>
      <c r="AD688" s="55"/>
      <c r="AE688" s="55"/>
      <c r="AF688" s="55"/>
      <c r="AG688" s="55"/>
    </row>
    <row r="689" spans="1:21" s="56" customFormat="1" outlineLevel="1" x14ac:dyDescent="0.25">
      <c r="A689" s="597"/>
      <c r="B689" s="130"/>
      <c r="C689" s="616"/>
      <c r="D689" s="658"/>
      <c r="E689" s="658" t="s">
        <v>1001</v>
      </c>
      <c r="F689" s="1582"/>
      <c r="G689" s="1666"/>
      <c r="H689" s="616"/>
      <c r="I689" s="616"/>
      <c r="J689" s="616"/>
      <c r="K689" s="616"/>
      <c r="L689" s="616"/>
      <c r="M689" s="616"/>
      <c r="N689" s="130"/>
      <c r="O689" s="130"/>
      <c r="P689" s="130"/>
      <c r="Q689" s="130"/>
      <c r="R689" s="130"/>
      <c r="S689" s="130"/>
      <c r="T689" s="130"/>
      <c r="U689" s="130"/>
    </row>
    <row r="690" spans="1:21" s="56" customFormat="1" outlineLevel="1" x14ac:dyDescent="0.25">
      <c r="A690" s="597"/>
      <c r="B690" s="130"/>
      <c r="C690" s="616"/>
      <c r="D690" s="658"/>
      <c r="E690" s="658"/>
      <c r="F690" s="1582"/>
      <c r="G690" s="1666"/>
      <c r="H690" s="616"/>
      <c r="I690" s="616"/>
      <c r="J690" s="616"/>
      <c r="K690" s="616"/>
      <c r="L690" s="616"/>
      <c r="M690" s="616"/>
      <c r="N690" s="130"/>
      <c r="O690" s="130"/>
      <c r="P690" s="130"/>
      <c r="Q690" s="130"/>
      <c r="R690" s="130"/>
      <c r="S690" s="130"/>
      <c r="T690" s="130"/>
      <c r="U690" s="130"/>
    </row>
    <row r="691" spans="1:21" s="56" customFormat="1" ht="15" customHeight="1" outlineLevel="1" x14ac:dyDescent="0.25">
      <c r="A691" s="597"/>
      <c r="B691" s="130"/>
      <c r="C691" s="616"/>
      <c r="D691" s="1418" t="s">
        <v>463</v>
      </c>
      <c r="E691" s="603"/>
      <c r="F691" s="130"/>
      <c r="G691" s="658"/>
      <c r="H691" s="130"/>
      <c r="I691" s="489"/>
      <c r="J691" s="130"/>
      <c r="K691" s="130"/>
      <c r="L691" s="130"/>
      <c r="M691" s="130"/>
      <c r="N691" s="130"/>
      <c r="O691" s="130"/>
      <c r="P691" s="130"/>
      <c r="Q691" s="130"/>
      <c r="R691" s="130"/>
      <c r="S691" s="130"/>
      <c r="T691" s="130"/>
      <c r="U691" s="130"/>
    </row>
    <row r="692" spans="1:21" s="56" customFormat="1" outlineLevel="1" x14ac:dyDescent="0.25">
      <c r="A692" s="597"/>
      <c r="B692" s="130"/>
      <c r="C692" s="616"/>
      <c r="D692" s="658"/>
      <c r="E692" s="658"/>
      <c r="F692" s="130"/>
      <c r="G692" s="1584"/>
      <c r="H692" s="616"/>
      <c r="I692" s="489"/>
      <c r="J692" s="130"/>
      <c r="K692" s="130"/>
      <c r="L692" s="130"/>
      <c r="M692" s="130"/>
      <c r="N692" s="130"/>
      <c r="O692" s="130"/>
      <c r="P692" s="130"/>
      <c r="Q692" s="130"/>
      <c r="R692" s="130"/>
      <c r="S692" s="130"/>
      <c r="T692" s="130"/>
      <c r="U692" s="130"/>
    </row>
    <row r="693" spans="1:21" s="56" customFormat="1" outlineLevel="1" x14ac:dyDescent="0.25">
      <c r="A693" s="597"/>
      <c r="B693" s="130"/>
      <c r="C693" s="616"/>
      <c r="D693" s="658"/>
      <c r="E693" s="603"/>
      <c r="F693" s="1594"/>
      <c r="G693" s="1584"/>
      <c r="H693" s="616"/>
      <c r="I693" s="489"/>
      <c r="J693" s="130"/>
      <c r="K693" s="130"/>
      <c r="L693" s="130"/>
      <c r="M693" s="130"/>
      <c r="N693" s="130"/>
      <c r="O693" s="130"/>
      <c r="P693" s="130"/>
      <c r="Q693" s="130"/>
      <c r="R693" s="130"/>
      <c r="S693" s="130"/>
      <c r="T693" s="130"/>
      <c r="U693" s="130"/>
    </row>
    <row r="694" spans="1:21" s="56" customFormat="1" ht="15" customHeight="1" outlineLevel="1" x14ac:dyDescent="0.25">
      <c r="A694" s="597"/>
      <c r="B694" s="130"/>
      <c r="C694" s="616"/>
      <c r="D694" s="658"/>
      <c r="E694" s="603"/>
      <c r="F694" s="1594"/>
      <c r="G694" s="1584"/>
      <c r="H694" s="616"/>
      <c r="I694" s="489"/>
      <c r="J694" s="130"/>
      <c r="K694" s="130"/>
      <c r="L694" s="130"/>
      <c r="M694" s="130"/>
      <c r="N694" s="130"/>
      <c r="O694" s="130"/>
      <c r="P694" s="130"/>
      <c r="Q694" s="130"/>
      <c r="R694" s="130"/>
      <c r="S694" s="130"/>
      <c r="T694" s="130"/>
      <c r="U694" s="130"/>
    </row>
    <row r="695" spans="1:21" s="56" customFormat="1" outlineLevel="1" x14ac:dyDescent="0.25">
      <c r="A695" s="597"/>
      <c r="B695" s="130"/>
      <c r="C695" s="616"/>
      <c r="D695" s="658"/>
      <c r="E695" s="603"/>
      <c r="F695" s="1594"/>
      <c r="G695" s="1584"/>
      <c r="H695" s="616"/>
      <c r="I695" s="489"/>
      <c r="J695" s="130"/>
      <c r="K695" s="130"/>
      <c r="L695" s="130"/>
      <c r="M695" s="130"/>
      <c r="N695" s="130"/>
      <c r="O695" s="130"/>
      <c r="P695" s="130"/>
      <c r="Q695" s="130"/>
      <c r="R695" s="130"/>
      <c r="S695" s="130"/>
      <c r="T695" s="130"/>
      <c r="U695" s="130"/>
    </row>
    <row r="696" spans="1:21" s="56" customFormat="1" outlineLevel="1" x14ac:dyDescent="0.25">
      <c r="A696" s="597"/>
      <c r="B696" s="130"/>
      <c r="C696" s="616"/>
      <c r="D696" s="658"/>
      <c r="E696" s="603"/>
      <c r="F696" s="1594"/>
      <c r="G696" s="1584"/>
      <c r="H696" s="616"/>
      <c r="I696" s="489"/>
      <c r="J696" s="130"/>
      <c r="K696" s="130"/>
      <c r="L696" s="130"/>
      <c r="M696" s="130"/>
      <c r="N696" s="130"/>
      <c r="O696" s="130"/>
      <c r="P696" s="130"/>
      <c r="Q696" s="130"/>
      <c r="R696" s="130"/>
      <c r="S696" s="130"/>
      <c r="T696" s="130"/>
      <c r="U696" s="130"/>
    </row>
    <row r="697" spans="1:21" s="56" customFormat="1" outlineLevel="1" x14ac:dyDescent="0.25">
      <c r="A697" s="597"/>
      <c r="B697" s="130"/>
      <c r="C697" s="616"/>
      <c r="D697" s="658" t="s">
        <v>945</v>
      </c>
      <c r="E697" s="603"/>
      <c r="F697" s="1594"/>
      <c r="G697" s="1584"/>
      <c r="H697" s="616"/>
      <c r="I697" s="489"/>
      <c r="J697" s="130"/>
      <c r="K697" s="130"/>
      <c r="L697" s="130"/>
      <c r="M697" s="130"/>
      <c r="N697" s="130"/>
      <c r="O697" s="130"/>
      <c r="P697" s="130"/>
      <c r="Q697" s="130"/>
      <c r="R697" s="130"/>
      <c r="S697" s="130"/>
      <c r="T697" s="130"/>
      <c r="U697" s="130"/>
    </row>
    <row r="698" spans="1:21" s="56" customFormat="1" ht="15" customHeight="1" outlineLevel="1" x14ac:dyDescent="0.25">
      <c r="A698" s="597"/>
      <c r="B698" s="130"/>
      <c r="C698" s="616"/>
      <c r="D698" s="658"/>
      <c r="E698" s="603"/>
      <c r="F698" s="1594"/>
      <c r="G698" s="1584"/>
      <c r="H698" s="616"/>
      <c r="I698" s="489"/>
      <c r="J698" s="130"/>
      <c r="K698" s="130"/>
      <c r="L698" s="130"/>
      <c r="M698" s="130"/>
      <c r="N698" s="130"/>
      <c r="O698" s="130"/>
      <c r="P698" s="130"/>
      <c r="Q698" s="130"/>
      <c r="R698" s="130"/>
      <c r="S698" s="130"/>
      <c r="T698" s="130"/>
      <c r="U698" s="130"/>
    </row>
    <row r="699" spans="1:21" s="56" customFormat="1" outlineLevel="1" x14ac:dyDescent="0.25">
      <c r="A699" s="597"/>
      <c r="B699" s="130"/>
      <c r="C699" s="616"/>
      <c r="D699" s="658"/>
      <c r="E699" s="603"/>
      <c r="F699" s="1594"/>
      <c r="G699" s="1584"/>
      <c r="H699" s="616"/>
      <c r="I699" s="489"/>
      <c r="J699" s="130"/>
      <c r="K699" s="130"/>
      <c r="L699" s="130"/>
      <c r="M699" s="130"/>
      <c r="N699" s="130"/>
      <c r="O699" s="130"/>
      <c r="P699" s="130"/>
      <c r="Q699" s="130"/>
      <c r="R699" s="130"/>
      <c r="S699" s="130"/>
      <c r="T699" s="130"/>
      <c r="U699" s="130"/>
    </row>
    <row r="700" spans="1:21" s="56" customFormat="1" outlineLevel="1" x14ac:dyDescent="0.25">
      <c r="A700" s="597"/>
      <c r="B700" s="130"/>
      <c r="C700" s="616"/>
      <c r="D700" s="658"/>
      <c r="E700" s="603"/>
      <c r="F700" s="1594"/>
      <c r="G700" s="1584"/>
      <c r="H700" s="616"/>
      <c r="I700" s="489"/>
      <c r="J700" s="130"/>
      <c r="K700" s="130"/>
      <c r="L700" s="130"/>
      <c r="M700" s="130"/>
      <c r="N700" s="130"/>
      <c r="O700" s="130"/>
      <c r="P700" s="130"/>
      <c r="Q700" s="130"/>
      <c r="R700" s="130"/>
      <c r="S700" s="130"/>
      <c r="T700" s="130"/>
      <c r="U700" s="130"/>
    </row>
    <row r="701" spans="1:21" s="56" customFormat="1" outlineLevel="1" x14ac:dyDescent="0.25">
      <c r="A701" s="597"/>
      <c r="B701" s="130"/>
      <c r="C701" s="616"/>
      <c r="D701" s="658"/>
      <c r="E701" s="603"/>
      <c r="F701" s="1594"/>
      <c r="G701" s="1584"/>
      <c r="H701" s="616"/>
      <c r="I701" s="489"/>
      <c r="J701" s="130"/>
      <c r="K701" s="130"/>
      <c r="L701" s="130"/>
      <c r="M701" s="130"/>
      <c r="N701" s="130"/>
      <c r="O701" s="130"/>
      <c r="P701" s="130"/>
      <c r="Q701" s="130"/>
      <c r="R701" s="130"/>
      <c r="S701" s="130"/>
      <c r="T701" s="130"/>
      <c r="U701" s="130"/>
    </row>
    <row r="702" spans="1:21" s="56" customFormat="1" outlineLevel="1" x14ac:dyDescent="0.25">
      <c r="A702" s="597"/>
      <c r="B702" s="130"/>
      <c r="C702" s="616"/>
      <c r="D702" s="658"/>
      <c r="E702" s="658"/>
      <c r="F702" s="1594"/>
      <c r="G702" s="1584"/>
      <c r="H702" s="616"/>
      <c r="I702" s="489"/>
      <c r="J702" s="130"/>
      <c r="K702" s="130"/>
      <c r="L702" s="130"/>
      <c r="M702" s="130"/>
      <c r="N702" s="130"/>
      <c r="O702" s="130"/>
      <c r="P702" s="130"/>
      <c r="Q702" s="130"/>
      <c r="R702" s="130"/>
      <c r="S702" s="130"/>
      <c r="T702" s="130"/>
      <c r="U702" s="130"/>
    </row>
    <row r="703" spans="1:21" s="56" customFormat="1" outlineLevel="1" x14ac:dyDescent="0.25">
      <c r="A703" s="597"/>
      <c r="B703" s="130"/>
      <c r="C703" s="616"/>
      <c r="D703" s="658" t="s">
        <v>1002</v>
      </c>
      <c r="E703" s="658"/>
      <c r="F703" s="1594"/>
      <c r="G703" s="1584"/>
      <c r="H703" s="616"/>
      <c r="I703" s="489"/>
      <c r="J703" s="130"/>
      <c r="K703" s="130"/>
      <c r="L703" s="130"/>
      <c r="M703" s="130"/>
      <c r="N703" s="130"/>
      <c r="O703" s="130"/>
      <c r="P703" s="130"/>
      <c r="Q703" s="130"/>
      <c r="R703" s="130"/>
      <c r="S703" s="130"/>
      <c r="T703" s="130"/>
      <c r="U703" s="130"/>
    </row>
    <row r="704" spans="1:21" s="56" customFormat="1" outlineLevel="1" x14ac:dyDescent="0.25">
      <c r="A704" s="597"/>
      <c r="B704" s="130"/>
      <c r="C704" s="616"/>
      <c r="D704" s="658"/>
      <c r="E704" s="658"/>
      <c r="F704" s="1594"/>
      <c r="G704" s="1584"/>
      <c r="H704" s="616"/>
      <c r="I704" s="489"/>
      <c r="J704" s="130"/>
      <c r="K704" s="130"/>
      <c r="L704" s="130"/>
      <c r="M704" s="130"/>
      <c r="N704" s="130"/>
      <c r="O704" s="130"/>
      <c r="P704" s="130"/>
      <c r="Q704" s="130"/>
      <c r="R704" s="130"/>
      <c r="S704" s="130"/>
      <c r="T704" s="130"/>
      <c r="U704" s="130"/>
    </row>
    <row r="705" spans="1:33" s="56" customFormat="1" outlineLevel="1" x14ac:dyDescent="0.25">
      <c r="A705" s="597"/>
      <c r="B705" s="130"/>
      <c r="C705" s="616"/>
      <c r="D705" s="658"/>
      <c r="E705" s="658"/>
      <c r="F705" s="1594"/>
      <c r="G705" s="1584"/>
      <c r="H705" s="616"/>
      <c r="I705" s="130"/>
      <c r="J705" s="130"/>
      <c r="K705" s="130"/>
      <c r="L705" s="130"/>
      <c r="M705" s="130"/>
      <c r="N705" s="130"/>
      <c r="O705" s="130"/>
      <c r="P705" s="130"/>
      <c r="Q705" s="130"/>
      <c r="R705" s="130"/>
      <c r="S705" s="130"/>
      <c r="T705" s="130"/>
      <c r="U705" s="130"/>
    </row>
    <row r="706" spans="1:33" s="56" customFormat="1" outlineLevel="1" x14ac:dyDescent="0.25">
      <c r="A706" s="597"/>
      <c r="B706" s="130"/>
      <c r="C706" s="616"/>
      <c r="D706" s="658"/>
      <c r="E706" s="658"/>
      <c r="F706" s="130"/>
      <c r="G706" s="658"/>
      <c r="H706" s="616"/>
      <c r="I706" s="130"/>
      <c r="J706" s="130"/>
      <c r="K706" s="130"/>
      <c r="L706" s="130"/>
      <c r="M706" s="130"/>
      <c r="N706" s="130"/>
      <c r="O706" s="130"/>
      <c r="P706" s="1676"/>
      <c r="Q706" s="130"/>
      <c r="R706" s="130"/>
      <c r="S706" s="130"/>
      <c r="T706" s="130"/>
      <c r="U706" s="130"/>
    </row>
    <row r="707" spans="1:33" s="56" customFormat="1" outlineLevel="1" x14ac:dyDescent="0.25">
      <c r="A707" s="597"/>
      <c r="B707" s="130"/>
      <c r="C707" s="616"/>
      <c r="D707" s="658"/>
      <c r="E707" s="658"/>
      <c r="F707" s="130"/>
      <c r="G707" s="658"/>
      <c r="H707" s="616"/>
      <c r="I707" s="616"/>
      <c r="J707" s="616"/>
      <c r="K707" s="616"/>
      <c r="L707" s="616"/>
      <c r="M707" s="616"/>
      <c r="N707" s="130"/>
      <c r="O707" s="130"/>
      <c r="P707" s="489"/>
      <c r="Q707" s="130"/>
      <c r="R707" s="130"/>
      <c r="S707" s="130"/>
      <c r="T707" s="130"/>
      <c r="U707" s="130"/>
    </row>
    <row r="708" spans="1:33" s="56" customFormat="1" ht="45.75" outlineLevel="1" thickBot="1" x14ac:dyDescent="0.3">
      <c r="A708" s="597"/>
      <c r="B708" s="130"/>
      <c r="C708" s="616"/>
      <c r="D708" s="358" t="s">
        <v>465</v>
      </c>
      <c r="E708" s="358" t="s">
        <v>466</v>
      </c>
      <c r="F708" s="2122" t="s">
        <v>514</v>
      </c>
      <c r="G708" s="2122"/>
      <c r="H708" s="2122"/>
      <c r="I708" s="534" t="s">
        <v>16</v>
      </c>
      <c r="J708" s="534" t="s">
        <v>467</v>
      </c>
      <c r="K708" s="534" t="s">
        <v>948</v>
      </c>
      <c r="L708" s="534" t="s">
        <v>655</v>
      </c>
      <c r="M708" s="130"/>
      <c r="N708" s="130"/>
      <c r="O708" s="130"/>
      <c r="P708" s="130"/>
      <c r="Q708" s="130"/>
      <c r="R708" s="130"/>
      <c r="S708" s="130"/>
      <c r="T708" s="130"/>
      <c r="U708" s="130"/>
      <c r="V708" s="48" t="s">
        <v>26</v>
      </c>
      <c r="W708" s="49">
        <v>43252</v>
      </c>
      <c r="X708" s="49">
        <f>$X$6</f>
        <v>43465</v>
      </c>
      <c r="Y708" s="49" t="str">
        <f>$Y$6</f>
        <v>-</v>
      </c>
      <c r="Z708" s="49" t="str">
        <f>$Z$6</f>
        <v>-</v>
      </c>
      <c r="AA708" s="49" t="str">
        <f>$AA$6</f>
        <v>-</v>
      </c>
      <c r="AB708" s="49" t="str">
        <f>$AB$6</f>
        <v>-</v>
      </c>
      <c r="AC708" s="49" t="str">
        <f>$AC$6</f>
        <v>-</v>
      </c>
      <c r="AD708" s="49" t="str">
        <f>$AD$6</f>
        <v>-</v>
      </c>
      <c r="AE708" s="49" t="str">
        <f>$AE$6</f>
        <v>-</v>
      </c>
      <c r="AF708" s="49" t="str">
        <f>$AF$6</f>
        <v>-</v>
      </c>
      <c r="AG708" s="49" t="str">
        <f>$AG$6</f>
        <v>-</v>
      </c>
    </row>
    <row r="709" spans="1:33" s="56" customFormat="1" ht="15" customHeight="1" outlineLevel="1" x14ac:dyDescent="0.25">
      <c r="A709" s="597"/>
      <c r="B709" s="130"/>
      <c r="C709" s="616"/>
      <c r="D709" s="2100" t="s">
        <v>1029</v>
      </c>
      <c r="E709" s="2103" t="s">
        <v>1061</v>
      </c>
      <c r="F709" s="2136" t="str">
        <f>$E$680</f>
        <v>GSHP - EER 23 - replace electric furnace / CAC ER1 - Heating</v>
      </c>
      <c r="G709" s="2136"/>
      <c r="H709" s="2136"/>
      <c r="I709" s="727">
        <f>$C$680</f>
        <v>0</v>
      </c>
      <c r="J709" s="727">
        <v>47880</v>
      </c>
      <c r="K709" s="728">
        <f>J709/12000</f>
        <v>3.99</v>
      </c>
      <c r="L709" s="607" t="s">
        <v>1794</v>
      </c>
      <c r="M709" s="130"/>
      <c r="N709" s="130"/>
      <c r="O709" s="130"/>
      <c r="P709" s="130"/>
      <c r="Q709" s="130"/>
      <c r="R709" s="130"/>
      <c r="S709" s="130"/>
      <c r="T709" s="130"/>
      <c r="U709" s="130"/>
      <c r="V709" s="2106" t="s">
        <v>1029</v>
      </c>
      <c r="W709" s="605">
        <v>49199.999999999993</v>
      </c>
      <c r="X709" s="624">
        <v>47880</v>
      </c>
      <c r="Y709" s="605"/>
      <c r="Z709" s="605"/>
      <c r="AA709" s="605"/>
      <c r="AB709" s="605"/>
      <c r="AC709" s="605"/>
      <c r="AD709" s="605"/>
      <c r="AE709" s="605"/>
      <c r="AF709" s="605"/>
      <c r="AG709" s="605"/>
    </row>
    <row r="710" spans="1:33" s="56" customFormat="1" ht="15" customHeight="1" outlineLevel="1" x14ac:dyDescent="0.25">
      <c r="A710" s="597"/>
      <c r="B710" s="130"/>
      <c r="C710" s="616"/>
      <c r="D710" s="2101"/>
      <c r="E710" s="2104"/>
      <c r="F710" s="2126" t="str">
        <f>$E$682</f>
        <v>GSHP - EER 23 - replace electric furnace / CAC ER2 - Heating</v>
      </c>
      <c r="G710" s="2126"/>
      <c r="H710" s="2126"/>
      <c r="I710" s="730">
        <f>$C$682</f>
        <v>0</v>
      </c>
      <c r="J710" s="730">
        <v>47880</v>
      </c>
      <c r="K710" s="731">
        <f>J710/12000</f>
        <v>3.99</v>
      </c>
      <c r="L710" s="613"/>
      <c r="M710" s="130"/>
      <c r="N710" s="130"/>
      <c r="O710" s="130"/>
      <c r="P710" s="130"/>
      <c r="Q710" s="130"/>
      <c r="R710" s="130"/>
      <c r="S710" s="130"/>
      <c r="T710" s="130"/>
      <c r="U710" s="130"/>
      <c r="V710" s="2107"/>
      <c r="W710" s="611">
        <v>49199.999999999993</v>
      </c>
      <c r="X710" s="614">
        <v>47880</v>
      </c>
      <c r="Y710" s="611"/>
      <c r="Z710" s="611"/>
      <c r="AA710" s="611"/>
      <c r="AB710" s="611"/>
      <c r="AC710" s="611"/>
      <c r="AD710" s="611"/>
      <c r="AE710" s="611"/>
      <c r="AF710" s="611"/>
      <c r="AG710" s="611"/>
    </row>
    <row r="711" spans="1:33" s="56" customFormat="1" ht="15" customHeight="1" outlineLevel="1" x14ac:dyDescent="0.25">
      <c r="A711" s="597"/>
      <c r="B711" s="130"/>
      <c r="C711" s="616"/>
      <c r="D711" s="2101"/>
      <c r="E711" s="2104"/>
      <c r="F711" s="2126" t="str">
        <f>$E$678</f>
        <v>GSHP - EER 23 - replace electric furnace / CAC - Heating</v>
      </c>
      <c r="G711" s="2126"/>
      <c r="H711" s="2126"/>
      <c r="I711" s="730">
        <f>$C$678</f>
        <v>0</v>
      </c>
      <c r="J711" s="730">
        <v>47880</v>
      </c>
      <c r="K711" s="731">
        <f>J711/12000</f>
        <v>3.99</v>
      </c>
      <c r="L711" s="613"/>
      <c r="M711" s="130"/>
      <c r="N711" s="130"/>
      <c r="O711" s="130"/>
      <c r="P711" s="130"/>
      <c r="Q711" s="130"/>
      <c r="R711" s="130"/>
      <c r="S711" s="130"/>
      <c r="T711" s="130"/>
      <c r="U711" s="130"/>
      <c r="V711" s="2107"/>
      <c r="W711" s="611">
        <v>49199.999999999993</v>
      </c>
      <c r="X711" s="614">
        <v>47880</v>
      </c>
      <c r="Y711" s="611"/>
      <c r="Z711" s="611"/>
      <c r="AA711" s="611"/>
      <c r="AB711" s="611"/>
      <c r="AC711" s="611"/>
      <c r="AD711" s="611"/>
      <c r="AE711" s="611"/>
      <c r="AF711" s="611"/>
      <c r="AG711" s="611"/>
    </row>
    <row r="712" spans="1:33" s="56" customFormat="1" ht="15" customHeight="1" outlineLevel="1" x14ac:dyDescent="0.25">
      <c r="A712" s="597"/>
      <c r="B712" s="130"/>
      <c r="C712" s="616"/>
      <c r="D712" s="2101"/>
      <c r="E712" s="2104"/>
      <c r="F712" s="2126" t="str">
        <f>$E$686</f>
        <v>GSHP EER 23 ER2 - Heating</v>
      </c>
      <c r="G712" s="2126"/>
      <c r="H712" s="2126"/>
      <c r="I712" s="730">
        <f>$C$684</f>
        <v>0</v>
      </c>
      <c r="J712" s="730">
        <v>47880</v>
      </c>
      <c r="K712" s="731">
        <f>J712/12000</f>
        <v>3.99</v>
      </c>
      <c r="L712" s="613"/>
      <c r="M712" s="130"/>
      <c r="N712" s="130"/>
      <c r="O712" s="130"/>
      <c r="P712" s="130"/>
      <c r="Q712" s="130"/>
      <c r="R712" s="130"/>
      <c r="S712" s="130"/>
      <c r="T712" s="130"/>
      <c r="U712" s="130"/>
      <c r="V712" s="2107"/>
      <c r="W712" s="611">
        <v>49199.999999999993</v>
      </c>
      <c r="X712" s="614">
        <v>47880</v>
      </c>
      <c r="Y712" s="611"/>
      <c r="Z712" s="611"/>
      <c r="AA712" s="611"/>
      <c r="AB712" s="611"/>
      <c r="AC712" s="611"/>
      <c r="AD712" s="611"/>
      <c r="AE712" s="611"/>
      <c r="AF712" s="611"/>
      <c r="AG712" s="611"/>
    </row>
    <row r="713" spans="1:33" s="56" customFormat="1" ht="15" customHeight="1" outlineLevel="1" thickBot="1" x14ac:dyDescent="0.3">
      <c r="A713" s="597"/>
      <c r="B713" s="130"/>
      <c r="C713" s="616"/>
      <c r="D713" s="2102"/>
      <c r="E713" s="2105"/>
      <c r="F713" s="2143" t="str">
        <f>$E$688</f>
        <v>GSHP EER 23 Replace at Fail GSHP</v>
      </c>
      <c r="G713" s="2143"/>
      <c r="H713" s="2143"/>
      <c r="I713" s="622">
        <f>$C$688</f>
        <v>0</v>
      </c>
      <c r="J713" s="622">
        <v>47880</v>
      </c>
      <c r="K713" s="733">
        <f>J713/12000</f>
        <v>3.99</v>
      </c>
      <c r="L713" s="623"/>
      <c r="M713" s="130"/>
      <c r="N713" s="130"/>
      <c r="O713" s="130"/>
      <c r="P713" s="130"/>
      <c r="Q713" s="130"/>
      <c r="R713" s="130"/>
      <c r="S713" s="130"/>
      <c r="T713" s="130"/>
      <c r="U713" s="130"/>
      <c r="V713" s="2108"/>
      <c r="W713" s="622">
        <v>52800.000000000007</v>
      </c>
      <c r="X713" s="679">
        <v>47880</v>
      </c>
      <c r="Y713" s="622"/>
      <c r="Z713" s="622"/>
      <c r="AA713" s="622"/>
      <c r="AB713" s="622"/>
      <c r="AC713" s="622"/>
      <c r="AD713" s="622"/>
      <c r="AE713" s="622"/>
      <c r="AF713" s="622"/>
      <c r="AG713" s="622"/>
    </row>
    <row r="714" spans="1:33" s="56" customFormat="1" outlineLevel="1" x14ac:dyDescent="0.25">
      <c r="A714" s="597"/>
      <c r="B714" s="130"/>
      <c r="C714" s="616"/>
      <c r="D714" s="2140" t="s">
        <v>1031</v>
      </c>
      <c r="E714" s="2100" t="s">
        <v>1032</v>
      </c>
      <c r="F714" s="2127" t="str">
        <f>$E$680</f>
        <v>GSHP - EER 23 - replace electric furnace / CAC ER1 - Heating</v>
      </c>
      <c r="G714" s="2128"/>
      <c r="H714" s="2129"/>
      <c r="I714" s="734">
        <f>$C$680</f>
        <v>0</v>
      </c>
      <c r="J714" s="734">
        <v>2009</v>
      </c>
      <c r="K714" s="728"/>
      <c r="L714" s="607" t="s">
        <v>1800</v>
      </c>
      <c r="M714" s="130"/>
      <c r="N714" s="130"/>
      <c r="O714" s="130"/>
      <c r="P714" s="130"/>
      <c r="Q714" s="130"/>
      <c r="R714" s="130"/>
      <c r="S714" s="130"/>
      <c r="T714" s="130"/>
      <c r="U714" s="130"/>
      <c r="V714" s="2106" t="s">
        <v>1031</v>
      </c>
      <c r="W714" s="605">
        <v>2009</v>
      </c>
      <c r="X714" s="605">
        <v>2009</v>
      </c>
      <c r="Y714" s="605"/>
      <c r="Z714" s="605"/>
      <c r="AA714" s="605"/>
      <c r="AB714" s="605"/>
      <c r="AC714" s="605"/>
      <c r="AD714" s="605"/>
      <c r="AE714" s="605"/>
      <c r="AF714" s="605"/>
      <c r="AG714" s="605"/>
    </row>
    <row r="715" spans="1:33" s="56" customFormat="1" outlineLevel="1" x14ac:dyDescent="0.25">
      <c r="A715" s="597"/>
      <c r="B715" s="760"/>
      <c r="C715" s="616"/>
      <c r="D715" s="2141"/>
      <c r="E715" s="2101"/>
      <c r="F715" s="2123" t="str">
        <f>$E$682</f>
        <v>GSHP - EER 23 - replace electric furnace / CAC ER2 - Heating</v>
      </c>
      <c r="G715" s="2124"/>
      <c r="H715" s="2125"/>
      <c r="I715" s="735">
        <f>$C$682</f>
        <v>0</v>
      </c>
      <c r="J715" s="735">
        <v>2009</v>
      </c>
      <c r="K715" s="731"/>
      <c r="L715" s="613"/>
      <c r="M715" s="760"/>
      <c r="N715" s="130"/>
      <c r="O715" s="130"/>
      <c r="P715" s="130"/>
      <c r="Q715" s="130"/>
      <c r="R715" s="130"/>
      <c r="S715" s="130"/>
      <c r="T715" s="130"/>
      <c r="U715" s="130"/>
      <c r="V715" s="2107"/>
      <c r="W715" s="611">
        <v>2009</v>
      </c>
      <c r="X715" s="611">
        <v>2009</v>
      </c>
      <c r="Y715" s="611"/>
      <c r="Z715" s="611"/>
      <c r="AA715" s="611"/>
      <c r="AB715" s="611"/>
      <c r="AC715" s="611"/>
      <c r="AD715" s="611"/>
      <c r="AE715" s="611"/>
      <c r="AF715" s="611"/>
      <c r="AG715" s="611"/>
    </row>
    <row r="716" spans="1:33" s="56" customFormat="1" ht="15" customHeight="1" outlineLevel="1" x14ac:dyDescent="0.25">
      <c r="A716" s="597"/>
      <c r="B716" s="760"/>
      <c r="C716" s="616"/>
      <c r="D716" s="2141"/>
      <c r="E716" s="2101"/>
      <c r="F716" s="2123" t="str">
        <f>E678</f>
        <v>GSHP - EER 23 - replace electric furnace / CAC - Heating</v>
      </c>
      <c r="G716" s="2124"/>
      <c r="H716" s="2125"/>
      <c r="I716" s="735">
        <f>$C$684</f>
        <v>0</v>
      </c>
      <c r="J716" s="735">
        <v>2009</v>
      </c>
      <c r="K716" s="731"/>
      <c r="L716" s="613"/>
      <c r="M716" s="760"/>
      <c r="N716" s="130"/>
      <c r="O716" s="130"/>
      <c r="P716" s="130"/>
      <c r="Q716" s="130"/>
      <c r="R716" s="130"/>
      <c r="S716" s="130"/>
      <c r="T716" s="130"/>
      <c r="U716" s="130"/>
      <c r="V716" s="2107"/>
      <c r="W716" s="611">
        <v>2009</v>
      </c>
      <c r="X716" s="611">
        <v>2009</v>
      </c>
      <c r="Y716" s="611"/>
      <c r="Z716" s="611"/>
      <c r="AA716" s="611"/>
      <c r="AB716" s="611"/>
      <c r="AC716" s="611"/>
      <c r="AD716" s="611"/>
      <c r="AE716" s="611"/>
      <c r="AF716" s="611"/>
      <c r="AG716" s="611"/>
    </row>
    <row r="717" spans="1:33" s="56" customFormat="1" ht="15" customHeight="1" outlineLevel="1" x14ac:dyDescent="0.25">
      <c r="A717" s="597"/>
      <c r="B717" s="760"/>
      <c r="C717" s="616"/>
      <c r="D717" s="2141"/>
      <c r="E717" s="2101"/>
      <c r="F717" s="2123" t="str">
        <f>$E$686</f>
        <v>GSHP EER 23 ER2 - Heating</v>
      </c>
      <c r="G717" s="2124"/>
      <c r="H717" s="2125"/>
      <c r="I717" s="735">
        <f>$C$684</f>
        <v>0</v>
      </c>
      <c r="J717" s="735">
        <v>2009</v>
      </c>
      <c r="K717" s="731"/>
      <c r="L717" s="613"/>
      <c r="M717" s="760"/>
      <c r="N717" s="130"/>
      <c r="O717" s="130"/>
      <c r="P717" s="130"/>
      <c r="Q717" s="130"/>
      <c r="R717" s="130"/>
      <c r="S717" s="130"/>
      <c r="T717" s="130"/>
      <c r="U717" s="130"/>
      <c r="V717" s="2107"/>
      <c r="W717" s="611">
        <v>2009</v>
      </c>
      <c r="X717" s="611">
        <v>2009</v>
      </c>
      <c r="Y717" s="611"/>
      <c r="Z717" s="611"/>
      <c r="AA717" s="611"/>
      <c r="AB717" s="611"/>
      <c r="AC717" s="611"/>
      <c r="AD717" s="611"/>
      <c r="AE717" s="611"/>
      <c r="AF717" s="611"/>
      <c r="AG717" s="611"/>
    </row>
    <row r="718" spans="1:33" s="56" customFormat="1" ht="15" customHeight="1" outlineLevel="1" thickBot="1" x14ac:dyDescent="0.3">
      <c r="A718" s="597"/>
      <c r="B718" s="130"/>
      <c r="C718" s="616"/>
      <c r="D718" s="2142"/>
      <c r="E718" s="2102"/>
      <c r="F718" s="2130" t="str">
        <f>$E$688</f>
        <v>GSHP EER 23 Replace at Fail GSHP</v>
      </c>
      <c r="G718" s="2131"/>
      <c r="H718" s="2132"/>
      <c r="I718" s="738">
        <f>$C$688</f>
        <v>0</v>
      </c>
      <c r="J718" s="738">
        <v>2009</v>
      </c>
      <c r="K718" s="1677"/>
      <c r="L718" s="623"/>
      <c r="M718" s="760"/>
      <c r="N718" s="130"/>
      <c r="O718" s="130"/>
      <c r="P718" s="130"/>
      <c r="Q718" s="130"/>
      <c r="R718" s="130"/>
      <c r="S718" s="130"/>
      <c r="T718" s="130"/>
      <c r="U718" s="130"/>
      <c r="V718" s="2108"/>
      <c r="W718" s="622">
        <v>2009</v>
      </c>
      <c r="X718" s="622">
        <v>2009</v>
      </c>
      <c r="Y718" s="622"/>
      <c r="Z718" s="622"/>
      <c r="AA718" s="622"/>
      <c r="AB718" s="622"/>
      <c r="AC718" s="622"/>
      <c r="AD718" s="622"/>
      <c r="AE718" s="622"/>
      <c r="AF718" s="622"/>
      <c r="AG718" s="622"/>
    </row>
    <row r="719" spans="1:33" s="56" customFormat="1" ht="30" customHeight="1" outlineLevel="1" x14ac:dyDescent="0.25">
      <c r="A719" s="597"/>
      <c r="B719" s="760"/>
      <c r="C719" s="616"/>
      <c r="D719" s="2140" t="s">
        <v>1033</v>
      </c>
      <c r="E719" s="2100" t="s">
        <v>1034</v>
      </c>
      <c r="F719" s="2127" t="str">
        <f>$E$680</f>
        <v>GSHP - EER 23 - replace electric furnace / CAC ER1 - Heating</v>
      </c>
      <c r="G719" s="2128"/>
      <c r="H719" s="2129"/>
      <c r="I719" s="734">
        <f>$C$680</f>
        <v>0</v>
      </c>
      <c r="J719" s="727">
        <v>3.41</v>
      </c>
      <c r="K719" s="728"/>
      <c r="L719" s="607" t="s">
        <v>1794</v>
      </c>
      <c r="M719" s="760"/>
      <c r="N719" s="760"/>
      <c r="O719" s="130"/>
      <c r="P719" s="130"/>
      <c r="Q719" s="130"/>
      <c r="R719" s="130"/>
      <c r="S719" s="130"/>
      <c r="T719" s="130"/>
      <c r="U719" s="130"/>
      <c r="V719" s="2106" t="s">
        <v>1033</v>
      </c>
      <c r="W719" s="605">
        <v>3.41</v>
      </c>
      <c r="X719" s="605">
        <v>3.41</v>
      </c>
      <c r="Y719" s="605"/>
      <c r="Z719" s="605"/>
      <c r="AA719" s="605"/>
      <c r="AB719" s="605"/>
      <c r="AC719" s="605"/>
      <c r="AD719" s="605"/>
      <c r="AE719" s="605"/>
      <c r="AF719" s="605"/>
      <c r="AG719" s="605"/>
    </row>
    <row r="720" spans="1:33" s="56" customFormat="1" ht="30" customHeight="1" outlineLevel="1" x14ac:dyDescent="0.25">
      <c r="A720" s="724"/>
      <c r="B720" s="760"/>
      <c r="C720" s="1678"/>
      <c r="D720" s="2141"/>
      <c r="E720" s="2101"/>
      <c r="F720" s="2123" t="str">
        <f>$E$682</f>
        <v>GSHP - EER 23 - replace electric furnace / CAC ER2 - Heating</v>
      </c>
      <c r="G720" s="2124"/>
      <c r="H720" s="2125"/>
      <c r="I720" s="735">
        <f>$C$682</f>
        <v>0</v>
      </c>
      <c r="J720" s="730">
        <v>3.41</v>
      </c>
      <c r="K720" s="731"/>
      <c r="L720" s="613" t="s">
        <v>1794</v>
      </c>
      <c r="M720" s="760"/>
      <c r="N720" s="760"/>
      <c r="O720" s="130"/>
      <c r="P720" s="130"/>
      <c r="Q720" s="130"/>
      <c r="R720" s="130"/>
      <c r="S720" s="130"/>
      <c r="T720" s="130"/>
      <c r="U720" s="130"/>
      <c r="V720" s="2107"/>
      <c r="W720" s="611">
        <v>3.41</v>
      </c>
      <c r="X720" s="611">
        <v>3.41</v>
      </c>
      <c r="Y720" s="611"/>
      <c r="Z720" s="611"/>
      <c r="AA720" s="611"/>
      <c r="AB720" s="611"/>
      <c r="AC720" s="611"/>
      <c r="AD720" s="611"/>
      <c r="AE720" s="611"/>
      <c r="AF720" s="611"/>
      <c r="AG720" s="611"/>
    </row>
    <row r="721" spans="1:33" s="56" customFormat="1" ht="15" customHeight="1" outlineLevel="1" x14ac:dyDescent="0.25">
      <c r="A721" s="597"/>
      <c r="B721" s="760"/>
      <c r="C721" s="616"/>
      <c r="D721" s="2141"/>
      <c r="E721" s="2101"/>
      <c r="F721" s="2123" t="str">
        <f>E678</f>
        <v>GSHP - EER 23 - replace electric furnace / CAC - Heating</v>
      </c>
      <c r="G721" s="2124"/>
      <c r="H721" s="2125"/>
      <c r="I721" s="735">
        <f>$C$684</f>
        <v>0</v>
      </c>
      <c r="J721" s="730">
        <v>3.41</v>
      </c>
      <c r="K721" s="731"/>
      <c r="L721" s="613" t="s">
        <v>1794</v>
      </c>
      <c r="M721" s="760" t="s">
        <v>1797</v>
      </c>
      <c r="N721" s="760" t="s">
        <v>1798</v>
      </c>
      <c r="O721" s="130"/>
      <c r="P721" s="130"/>
      <c r="Q721" s="130"/>
      <c r="R721" s="130"/>
      <c r="S721" s="130"/>
      <c r="T721" s="130"/>
      <c r="U721" s="130"/>
      <c r="V721" s="2107"/>
      <c r="W721" s="611">
        <v>3.41</v>
      </c>
      <c r="X721" s="611">
        <v>3.41</v>
      </c>
      <c r="Y721" s="611"/>
      <c r="Z721" s="611"/>
      <c r="AA721" s="611"/>
      <c r="AB721" s="611"/>
      <c r="AC721" s="611"/>
      <c r="AD721" s="611"/>
      <c r="AE721" s="611"/>
      <c r="AF721" s="611"/>
      <c r="AG721" s="611"/>
    </row>
    <row r="722" spans="1:33" s="56" customFormat="1" ht="15" customHeight="1" outlineLevel="1" x14ac:dyDescent="0.25">
      <c r="A722" s="597"/>
      <c r="B722" s="760"/>
      <c r="C722" s="616"/>
      <c r="D722" s="2141"/>
      <c r="E722" s="2101"/>
      <c r="F722" s="735" t="str">
        <f>E684</f>
        <v>GSHP EER 23 ER1 - Heatiing</v>
      </c>
      <c r="G722" s="736"/>
      <c r="H722" s="737"/>
      <c r="I722" s="735"/>
      <c r="J722" s="730">
        <v>9.5500000000000007</v>
      </c>
      <c r="K722" s="731"/>
      <c r="L722" s="613" t="s">
        <v>1855</v>
      </c>
      <c r="M722" s="760"/>
      <c r="N722" s="760"/>
      <c r="O722" s="130"/>
      <c r="P722" s="130"/>
      <c r="Q722" s="130"/>
      <c r="R722" s="130"/>
      <c r="S722" s="130"/>
      <c r="T722" s="130"/>
      <c r="U722" s="130"/>
      <c r="V722" s="2107"/>
      <c r="W722" s="730" t="s">
        <v>616</v>
      </c>
      <c r="X722" s="614">
        <v>9.5500000000000007</v>
      </c>
      <c r="Y722" s="730"/>
      <c r="Z722" s="730"/>
      <c r="AA722" s="730"/>
      <c r="AB722" s="730"/>
      <c r="AC722" s="730"/>
      <c r="AD722" s="730"/>
      <c r="AE722" s="730"/>
      <c r="AF722" s="730"/>
      <c r="AG722" s="730"/>
    </row>
    <row r="723" spans="1:33" s="56" customFormat="1" ht="15" customHeight="1" outlineLevel="1" x14ac:dyDescent="0.25">
      <c r="A723" s="597"/>
      <c r="B723" s="760"/>
      <c r="C723" s="616"/>
      <c r="D723" s="2141"/>
      <c r="E723" s="2101"/>
      <c r="F723" s="2123" t="str">
        <f>$E$686</f>
        <v>GSHP EER 23 ER2 - Heating</v>
      </c>
      <c r="G723" s="2124"/>
      <c r="H723" s="2125"/>
      <c r="I723" s="735">
        <f>$C$684</f>
        <v>0</v>
      </c>
      <c r="J723" s="1182">
        <v>10.58</v>
      </c>
      <c r="K723" s="731"/>
      <c r="L723" s="613" t="s">
        <v>1800</v>
      </c>
      <c r="M723" s="760">
        <v>3.45</v>
      </c>
      <c r="N723" s="760">
        <v>2.33</v>
      </c>
      <c r="O723" s="760">
        <v>4.4000000000000004</v>
      </c>
      <c r="P723" s="130" t="s">
        <v>1355</v>
      </c>
      <c r="Q723" s="130"/>
      <c r="R723" s="760">
        <v>4.3899999999999997</v>
      </c>
      <c r="S723" s="130"/>
      <c r="T723" s="130"/>
      <c r="U723" s="130"/>
      <c r="V723" s="2107"/>
      <c r="W723" s="611">
        <v>3.41</v>
      </c>
      <c r="X723" s="614">
        <v>10.58</v>
      </c>
      <c r="Y723" s="611"/>
      <c r="Z723" s="611"/>
      <c r="AA723" s="611"/>
      <c r="AB723" s="611"/>
      <c r="AC723" s="611"/>
      <c r="AD723" s="611"/>
      <c r="AE723" s="611"/>
      <c r="AF723" s="611"/>
      <c r="AG723" s="611"/>
    </row>
    <row r="724" spans="1:33" s="56" customFormat="1" ht="15" customHeight="1" outlineLevel="1" thickBot="1" x14ac:dyDescent="0.3">
      <c r="A724" s="597"/>
      <c r="B724" s="760"/>
      <c r="C724" s="616"/>
      <c r="D724" s="2142"/>
      <c r="E724" s="2102"/>
      <c r="F724" s="2130" t="str">
        <f>$E$688</f>
        <v>GSHP EER 23 Replace at Fail GSHP</v>
      </c>
      <c r="G724" s="2131"/>
      <c r="H724" s="2132"/>
      <c r="I724" s="738">
        <f>$C$688</f>
        <v>0</v>
      </c>
      <c r="J724" s="1679">
        <v>10.58</v>
      </c>
      <c r="K724" s="1677"/>
      <c r="L724" s="623" t="s">
        <v>1800</v>
      </c>
      <c r="M724" s="760">
        <f>M723*3.41214</f>
        <v>11.771883000000001</v>
      </c>
      <c r="N724" s="760">
        <f>N723*3.41214</f>
        <v>7.9502861999999999</v>
      </c>
      <c r="O724" s="760">
        <f>O723*3.41214</f>
        <v>15.013416000000001</v>
      </c>
      <c r="P724" s="130" t="s">
        <v>1796</v>
      </c>
      <c r="Q724" s="130" t="s">
        <v>1799</v>
      </c>
      <c r="R724" s="760">
        <f>R723*3.41214</f>
        <v>14.979294599999999</v>
      </c>
      <c r="S724" s="130"/>
      <c r="T724" s="130"/>
      <c r="U724" s="130"/>
      <c r="V724" s="2108"/>
      <c r="W724" s="622">
        <v>3.41</v>
      </c>
      <c r="X724" s="679">
        <v>10.58</v>
      </c>
      <c r="Y724" s="622"/>
      <c r="Z724" s="622"/>
      <c r="AA724" s="622"/>
      <c r="AB724" s="622"/>
      <c r="AC724" s="622"/>
      <c r="AD724" s="622"/>
      <c r="AE724" s="622"/>
      <c r="AF724" s="622"/>
      <c r="AG724" s="622"/>
    </row>
    <row r="725" spans="1:33" s="56" customFormat="1" ht="30" customHeight="1" outlineLevel="1" x14ac:dyDescent="0.25">
      <c r="A725" s="597"/>
      <c r="B725" s="760"/>
      <c r="C725" s="616"/>
      <c r="D725" s="2100" t="s">
        <v>1035</v>
      </c>
      <c r="E725" s="2104" t="s">
        <v>1062</v>
      </c>
      <c r="F725" s="2137" t="str">
        <f>$E$680</f>
        <v>GSHP - EER 23 - replace electric furnace / CAC ER1 - Heating</v>
      </c>
      <c r="G725" s="2138"/>
      <c r="H725" s="2139"/>
      <c r="I725" s="1680">
        <f>$C$680</f>
        <v>0</v>
      </c>
      <c r="J725" s="1181">
        <f>R724</f>
        <v>14.979294599999999</v>
      </c>
      <c r="K725" s="1681"/>
      <c r="L725" s="727" t="s">
        <v>1794</v>
      </c>
      <c r="M725" s="760">
        <f>(1.12-(1.2544-0.08*M724)^0.5)/0.04</f>
        <v>14.021235748464749</v>
      </c>
      <c r="N725" s="760">
        <f>(1.12-(1.2544-0.08*N724)^0.5)/0.04</f>
        <v>8.3407606963036365</v>
      </c>
      <c r="O725" s="760">
        <f>(1.12-(1.2544-0.08*O724)^0.5)/0.04</f>
        <v>22.226855276368013</v>
      </c>
      <c r="P725" s="130" t="s">
        <v>617</v>
      </c>
      <c r="Q725" s="130"/>
      <c r="R725" s="760">
        <f>(1.12-(1.2544-0.08*R724)^0.5)/0.04</f>
        <v>22.080940108429388</v>
      </c>
      <c r="S725" s="130"/>
      <c r="T725" s="130"/>
      <c r="U725" s="130"/>
      <c r="V725" s="2106" t="s">
        <v>1035</v>
      </c>
      <c r="W725" s="725">
        <f t="shared" ref="W725:W729" si="53">15.01/3.41</f>
        <v>4.4017595307917885</v>
      </c>
      <c r="X725" s="1180">
        <v>14.979294599999999</v>
      </c>
      <c r="Y725" s="725"/>
      <c r="Z725" s="725"/>
      <c r="AA725" s="725"/>
      <c r="AB725" s="725"/>
      <c r="AC725" s="725"/>
      <c r="AD725" s="725"/>
      <c r="AE725" s="725"/>
      <c r="AF725" s="725"/>
      <c r="AG725" s="725"/>
    </row>
    <row r="726" spans="1:33" s="56" customFormat="1" ht="30" customHeight="1" outlineLevel="1" x14ac:dyDescent="0.25">
      <c r="A726" s="597"/>
      <c r="B726" s="760"/>
      <c r="C726" s="616"/>
      <c r="D726" s="2101"/>
      <c r="E726" s="2104"/>
      <c r="F726" s="2123" t="str">
        <f>$E$682</f>
        <v>GSHP - EER 23 - replace electric furnace / CAC ER2 - Heating</v>
      </c>
      <c r="G726" s="2124"/>
      <c r="H726" s="2125"/>
      <c r="I726" s="735">
        <f>$C$682</f>
        <v>0</v>
      </c>
      <c r="J726" s="1181">
        <f>J725</f>
        <v>14.979294599999999</v>
      </c>
      <c r="K726" s="731"/>
      <c r="L726" s="772"/>
      <c r="M726" s="760"/>
      <c r="N726" s="760"/>
      <c r="O726" s="130"/>
      <c r="P726" s="130"/>
      <c r="Q726" s="130"/>
      <c r="R726" s="130"/>
      <c r="S726" s="130"/>
      <c r="T726" s="130"/>
      <c r="U726" s="130"/>
      <c r="V726" s="2107"/>
      <c r="W726" s="611">
        <f t="shared" si="53"/>
        <v>4.4017595307917885</v>
      </c>
      <c r="X726" s="1144">
        <v>14.979294599999999</v>
      </c>
      <c r="Y726" s="611"/>
      <c r="Z726" s="611"/>
      <c r="AA726" s="611"/>
      <c r="AB726" s="611"/>
      <c r="AC726" s="611"/>
      <c r="AD726" s="611"/>
      <c r="AE726" s="611"/>
      <c r="AF726" s="611"/>
      <c r="AG726" s="611"/>
    </row>
    <row r="727" spans="1:33" s="56" customFormat="1" ht="15" customHeight="1" outlineLevel="1" x14ac:dyDescent="0.25">
      <c r="A727" s="597"/>
      <c r="B727" s="760"/>
      <c r="C727" s="616"/>
      <c r="D727" s="2101"/>
      <c r="E727" s="2104"/>
      <c r="F727" s="2123" t="str">
        <f>E678</f>
        <v>GSHP - EER 23 - replace electric furnace / CAC - Heating</v>
      </c>
      <c r="G727" s="2124"/>
      <c r="H727" s="2125"/>
      <c r="I727" s="735">
        <f>$C$684</f>
        <v>0</v>
      </c>
      <c r="J727" s="1181">
        <f t="shared" ref="J727:J729" si="54">J726</f>
        <v>14.979294599999999</v>
      </c>
      <c r="K727" s="733"/>
      <c r="L727" s="772"/>
      <c r="M727" s="760"/>
      <c r="N727" s="760"/>
      <c r="O727" s="130"/>
      <c r="P727" s="130"/>
      <c r="Q727" s="130"/>
      <c r="R727" s="130"/>
      <c r="S727" s="130"/>
      <c r="T727" s="130"/>
      <c r="U727" s="130"/>
      <c r="V727" s="2107"/>
      <c r="W727" s="611">
        <f t="shared" si="53"/>
        <v>4.4017595307917885</v>
      </c>
      <c r="X727" s="1144">
        <v>14.979294599999999</v>
      </c>
      <c r="Y727" s="611"/>
      <c r="Z727" s="611"/>
      <c r="AA727" s="611"/>
      <c r="AB727" s="611"/>
      <c r="AC727" s="611"/>
      <c r="AD727" s="611"/>
      <c r="AE727" s="611"/>
      <c r="AF727" s="611"/>
      <c r="AG727" s="611"/>
    </row>
    <row r="728" spans="1:33" s="56" customFormat="1" ht="15" customHeight="1" outlineLevel="1" x14ac:dyDescent="0.25">
      <c r="A728" s="597"/>
      <c r="B728" s="760"/>
      <c r="C728" s="616"/>
      <c r="D728" s="2101"/>
      <c r="E728" s="2104"/>
      <c r="F728" s="2123" t="str">
        <f>$E$686</f>
        <v>GSHP EER 23 ER2 - Heating</v>
      </c>
      <c r="G728" s="2124"/>
      <c r="H728" s="2125"/>
      <c r="I728" s="735">
        <f>$C$684</f>
        <v>0</v>
      </c>
      <c r="J728" s="1181">
        <f t="shared" si="54"/>
        <v>14.979294599999999</v>
      </c>
      <c r="K728" s="733"/>
      <c r="L728" s="772"/>
      <c r="M728" s="760"/>
      <c r="N728" s="760"/>
      <c r="O728" s="130"/>
      <c r="P728" s="130"/>
      <c r="Q728" s="130"/>
      <c r="R728" s="130"/>
      <c r="S728" s="130"/>
      <c r="T728" s="130"/>
      <c r="U728" s="130"/>
      <c r="V728" s="2107"/>
      <c r="W728" s="611">
        <f t="shared" si="53"/>
        <v>4.4017595307917885</v>
      </c>
      <c r="X728" s="1144">
        <v>14.979294599999999</v>
      </c>
      <c r="Y728" s="611"/>
      <c r="Z728" s="611"/>
      <c r="AA728" s="611"/>
      <c r="AB728" s="611"/>
      <c r="AC728" s="611"/>
      <c r="AD728" s="611"/>
      <c r="AE728" s="611"/>
      <c r="AF728" s="611"/>
      <c r="AG728" s="611"/>
    </row>
    <row r="729" spans="1:33" s="56" customFormat="1" ht="15" customHeight="1" outlineLevel="1" thickBot="1" x14ac:dyDescent="0.3">
      <c r="A729" s="597"/>
      <c r="B729" s="760"/>
      <c r="C729" s="616"/>
      <c r="D729" s="2102"/>
      <c r="E729" s="2105"/>
      <c r="F729" s="2130" t="str">
        <f>$E$688</f>
        <v>GSHP EER 23 Replace at Fail GSHP</v>
      </c>
      <c r="G729" s="2131"/>
      <c r="H729" s="2132"/>
      <c r="I729" s="738">
        <f>$C$688</f>
        <v>0</v>
      </c>
      <c r="J729" s="1181">
        <f t="shared" si="54"/>
        <v>14.979294599999999</v>
      </c>
      <c r="K729" s="733"/>
      <c r="L729" s="772"/>
      <c r="M729" s="760"/>
      <c r="N729" s="760"/>
      <c r="O729" s="130"/>
      <c r="P729" s="130"/>
      <c r="Q729" s="130"/>
      <c r="R729" s="130"/>
      <c r="S729" s="130"/>
      <c r="T729" s="130"/>
      <c r="U729" s="130"/>
      <c r="V729" s="2108"/>
      <c r="W729" s="611">
        <f t="shared" si="53"/>
        <v>4.4017595307917885</v>
      </c>
      <c r="X729" s="1144">
        <v>14.979294599999999</v>
      </c>
      <c r="Y729" s="611"/>
      <c r="Z729" s="611"/>
      <c r="AA729" s="611"/>
      <c r="AB729" s="611"/>
      <c r="AC729" s="611"/>
      <c r="AD729" s="611"/>
      <c r="AE729" s="611"/>
      <c r="AF729" s="611"/>
      <c r="AG729" s="611"/>
    </row>
    <row r="730" spans="1:33" s="56" customFormat="1" ht="15" customHeight="1" outlineLevel="1" x14ac:dyDescent="0.25">
      <c r="A730" s="597"/>
      <c r="B730" s="760"/>
      <c r="C730" s="616"/>
      <c r="D730" s="2100" t="s">
        <v>1038</v>
      </c>
      <c r="E730" s="2103" t="s">
        <v>1063</v>
      </c>
      <c r="F730" s="2136" t="str">
        <f>$E$677</f>
        <v>GSHP - EER 23 - replace electric furnace / CAC - Cooling</v>
      </c>
      <c r="G730" s="2136"/>
      <c r="H730" s="2136"/>
      <c r="I730" s="727">
        <f>$C$677</f>
        <v>0</v>
      </c>
      <c r="J730" s="727">
        <v>47880</v>
      </c>
      <c r="K730" s="728">
        <f>J730/12000</f>
        <v>3.99</v>
      </c>
      <c r="L730" s="607" t="s">
        <v>1794</v>
      </c>
      <c r="M730" s="760"/>
      <c r="N730" s="760"/>
      <c r="O730" s="130"/>
      <c r="P730" s="130"/>
      <c r="Q730" s="130"/>
      <c r="R730" s="130"/>
      <c r="S730" s="130"/>
      <c r="T730" s="130"/>
      <c r="U730" s="130"/>
      <c r="V730" s="2106" t="s">
        <v>1038</v>
      </c>
      <c r="W730" s="605">
        <v>52800.000000000007</v>
      </c>
      <c r="X730" s="624">
        <v>47880</v>
      </c>
      <c r="Y730" s="605"/>
      <c r="Z730" s="605"/>
      <c r="AA730" s="605"/>
      <c r="AB730" s="605"/>
      <c r="AC730" s="605"/>
      <c r="AD730" s="605"/>
      <c r="AE730" s="605"/>
      <c r="AF730" s="605"/>
      <c r="AG730" s="605"/>
    </row>
    <row r="731" spans="1:33" s="56" customFormat="1" ht="15" customHeight="1" outlineLevel="1" x14ac:dyDescent="0.25">
      <c r="A731" s="597"/>
      <c r="B731" s="760"/>
      <c r="C731" s="616"/>
      <c r="D731" s="2101"/>
      <c r="E731" s="2104"/>
      <c r="F731" s="2126" t="str">
        <f>$E$679</f>
        <v>GSHP - EER 23 - replace electric furnace / CAC ER1- Cooling</v>
      </c>
      <c r="G731" s="2126"/>
      <c r="H731" s="2126"/>
      <c r="I731" s="730">
        <f>$C$679</f>
        <v>0</v>
      </c>
      <c r="J731" s="730">
        <v>47880</v>
      </c>
      <c r="K731" s="731">
        <f>J731/12000</f>
        <v>3.99</v>
      </c>
      <c r="L731" s="613"/>
      <c r="M731" s="760"/>
      <c r="N731" s="760"/>
      <c r="O731" s="130"/>
      <c r="P731" s="130"/>
      <c r="Q731" s="130"/>
      <c r="R731" s="130"/>
      <c r="S731" s="130"/>
      <c r="T731" s="130"/>
      <c r="U731" s="130"/>
      <c r="V731" s="2107"/>
      <c r="W731" s="611">
        <v>49199.999999999993</v>
      </c>
      <c r="X731" s="614">
        <v>47880</v>
      </c>
      <c r="Y731" s="611"/>
      <c r="Z731" s="611"/>
      <c r="AA731" s="611"/>
      <c r="AB731" s="611"/>
      <c r="AC731" s="611"/>
      <c r="AD731" s="611"/>
      <c r="AE731" s="611"/>
      <c r="AF731" s="611"/>
      <c r="AG731" s="611"/>
    </row>
    <row r="732" spans="1:33" s="56" customFormat="1" ht="15" customHeight="1" outlineLevel="1" x14ac:dyDescent="0.25">
      <c r="A732" s="597"/>
      <c r="B732" s="760"/>
      <c r="C732" s="616"/>
      <c r="D732" s="2101"/>
      <c r="E732" s="2104"/>
      <c r="F732" s="2126" t="str">
        <f>$E$681</f>
        <v>GSHP - EER 23 - replace electric furnace / CAC ER2- Cooling</v>
      </c>
      <c r="G732" s="2126"/>
      <c r="H732" s="2126"/>
      <c r="I732" s="730">
        <f>$C$681</f>
        <v>0</v>
      </c>
      <c r="J732" s="730">
        <v>47880</v>
      </c>
      <c r="K732" s="731">
        <f>J732/12000</f>
        <v>3.99</v>
      </c>
      <c r="L732" s="613"/>
      <c r="M732" s="760"/>
      <c r="N732" s="760"/>
      <c r="O732" s="130"/>
      <c r="P732" s="130"/>
      <c r="Q732" s="130"/>
      <c r="R732" s="130"/>
      <c r="S732" s="130"/>
      <c r="T732" s="130"/>
      <c r="U732" s="130"/>
      <c r="V732" s="2107"/>
      <c r="W732" s="611">
        <v>49199.999999999993</v>
      </c>
      <c r="X732" s="614">
        <v>47880</v>
      </c>
      <c r="Y732" s="611"/>
      <c r="Z732" s="611"/>
      <c r="AA732" s="611"/>
      <c r="AB732" s="611"/>
      <c r="AC732" s="611"/>
      <c r="AD732" s="611"/>
      <c r="AE732" s="611"/>
      <c r="AF732" s="611"/>
      <c r="AG732" s="611"/>
    </row>
    <row r="733" spans="1:33" s="56" customFormat="1" ht="15" customHeight="1" outlineLevel="1" x14ac:dyDescent="0.25">
      <c r="A733" s="597"/>
      <c r="B733" s="760"/>
      <c r="C733" s="616"/>
      <c r="D733" s="2101"/>
      <c r="E733" s="2104"/>
      <c r="F733" s="2126" t="str">
        <f>$E$683</f>
        <v>GSHP EER 23 ER1 - Cooling</v>
      </c>
      <c r="G733" s="2126"/>
      <c r="H733" s="2126"/>
      <c r="I733" s="730">
        <f>$C$683</f>
        <v>0</v>
      </c>
      <c r="J733" s="730">
        <v>47880</v>
      </c>
      <c r="K733" s="731">
        <f>J733/12000</f>
        <v>3.99</v>
      </c>
      <c r="L733" s="613"/>
      <c r="M733" s="760"/>
      <c r="N733" s="760"/>
      <c r="O733" s="130"/>
      <c r="P733" s="130"/>
      <c r="Q733" s="130"/>
      <c r="R733" s="130"/>
      <c r="S733" s="130"/>
      <c r="T733" s="130"/>
      <c r="U733" s="130"/>
      <c r="V733" s="2107"/>
      <c r="W733" s="611">
        <v>49199.999999999993</v>
      </c>
      <c r="X733" s="614">
        <v>47880</v>
      </c>
      <c r="Y733" s="611"/>
      <c r="Z733" s="611"/>
      <c r="AA733" s="611"/>
      <c r="AB733" s="611"/>
      <c r="AC733" s="611"/>
      <c r="AD733" s="611"/>
      <c r="AE733" s="611"/>
      <c r="AF733" s="611"/>
      <c r="AG733" s="611"/>
    </row>
    <row r="734" spans="1:33" s="56" customFormat="1" ht="15" customHeight="1" outlineLevel="1" thickBot="1" x14ac:dyDescent="0.3">
      <c r="A734" s="597"/>
      <c r="B734" s="760"/>
      <c r="C734" s="616"/>
      <c r="D734" s="2102"/>
      <c r="E734" s="2105"/>
      <c r="F734" s="2126" t="str">
        <f>$E$687</f>
        <v>GSHP EER 23 Replace at Fail GSHP</v>
      </c>
      <c r="G734" s="2126"/>
      <c r="H734" s="2126"/>
      <c r="I734" s="730">
        <f>$C$687</f>
        <v>0</v>
      </c>
      <c r="J734" s="622">
        <v>47880</v>
      </c>
      <c r="K734" s="733">
        <f>J734/12000</f>
        <v>3.99</v>
      </c>
      <c r="L734" s="623"/>
      <c r="M734" s="760"/>
      <c r="N734" s="760"/>
      <c r="O734" s="130"/>
      <c r="P734" s="130"/>
      <c r="Q734" s="130"/>
      <c r="R734" s="130"/>
      <c r="S734" s="130"/>
      <c r="T734" s="130"/>
      <c r="U734" s="130"/>
      <c r="V734" s="2108"/>
      <c r="W734" s="622">
        <v>52800.000000000007</v>
      </c>
      <c r="X734" s="679">
        <v>47880</v>
      </c>
      <c r="Y734" s="622"/>
      <c r="Z734" s="622"/>
      <c r="AA734" s="622"/>
      <c r="AB734" s="622"/>
      <c r="AC734" s="622"/>
      <c r="AD734" s="622"/>
      <c r="AE734" s="622"/>
      <c r="AF734" s="622"/>
      <c r="AG734" s="622"/>
    </row>
    <row r="735" spans="1:33" s="56" customFormat="1" ht="15" customHeight="1" outlineLevel="1" x14ac:dyDescent="0.25">
      <c r="A735" s="597"/>
      <c r="B735" s="760"/>
      <c r="C735" s="616"/>
      <c r="D735" s="2100" t="s">
        <v>1064</v>
      </c>
      <c r="E735" s="2116" t="s">
        <v>1041</v>
      </c>
      <c r="F735" s="2136" t="str">
        <f>$E$677</f>
        <v>GSHP - EER 23 - replace electric furnace / CAC - Cooling</v>
      </c>
      <c r="G735" s="2136"/>
      <c r="H735" s="2136"/>
      <c r="I735" s="727">
        <f>$C$677</f>
        <v>0</v>
      </c>
      <c r="J735" s="727">
        <v>869</v>
      </c>
      <c r="K735" s="728"/>
      <c r="L735" s="607" t="s">
        <v>972</v>
      </c>
      <c r="M735" s="760"/>
      <c r="N735" s="760"/>
      <c r="O735" s="130"/>
      <c r="P735" s="130"/>
      <c r="Q735" s="130"/>
      <c r="R735" s="130"/>
      <c r="S735" s="130"/>
      <c r="T735" s="130"/>
      <c r="U735" s="130"/>
      <c r="V735" s="2106" t="s">
        <v>1064</v>
      </c>
      <c r="W735" s="605">
        <v>869</v>
      </c>
      <c r="X735" s="605">
        <v>869</v>
      </c>
      <c r="Y735" s="605"/>
      <c r="Z735" s="605"/>
      <c r="AA735" s="605"/>
      <c r="AB735" s="605"/>
      <c r="AC735" s="605"/>
      <c r="AD735" s="605"/>
      <c r="AE735" s="605"/>
      <c r="AF735" s="605"/>
      <c r="AG735" s="605"/>
    </row>
    <row r="736" spans="1:33" s="56" customFormat="1" ht="30" customHeight="1" outlineLevel="1" x14ac:dyDescent="0.25">
      <c r="A736" s="597"/>
      <c r="B736" s="760"/>
      <c r="C736" s="616"/>
      <c r="D736" s="2101"/>
      <c r="E736" s="2134"/>
      <c r="F736" s="2126" t="str">
        <f>$E$679</f>
        <v>GSHP - EER 23 - replace electric furnace / CAC ER1- Cooling</v>
      </c>
      <c r="G736" s="2126"/>
      <c r="H736" s="2126"/>
      <c r="I736" s="730">
        <f>$C$679</f>
        <v>0</v>
      </c>
      <c r="J736" s="730">
        <v>869</v>
      </c>
      <c r="K736" s="731"/>
      <c r="L736" s="613" t="s">
        <v>972</v>
      </c>
      <c r="M736" s="760"/>
      <c r="N736" s="760"/>
      <c r="O736" s="130"/>
      <c r="P736" s="130"/>
      <c r="Q736" s="130"/>
      <c r="R736" s="130"/>
      <c r="S736" s="130"/>
      <c r="T736" s="130"/>
      <c r="U736" s="130"/>
      <c r="V736" s="2107"/>
      <c r="W736" s="611">
        <v>869</v>
      </c>
      <c r="X736" s="611">
        <v>869</v>
      </c>
      <c r="Y736" s="611"/>
      <c r="Z736" s="611"/>
      <c r="AA736" s="611"/>
      <c r="AB736" s="611"/>
      <c r="AC736" s="611"/>
      <c r="AD736" s="611"/>
      <c r="AE736" s="611"/>
      <c r="AF736" s="611"/>
      <c r="AG736" s="611"/>
    </row>
    <row r="737" spans="1:33" s="56" customFormat="1" ht="30" customHeight="1" outlineLevel="1" x14ac:dyDescent="0.25">
      <c r="A737" s="597"/>
      <c r="B737" s="760"/>
      <c r="C737" s="616"/>
      <c r="D737" s="2101"/>
      <c r="E737" s="2134"/>
      <c r="F737" s="2126" t="str">
        <f>$E$681</f>
        <v>GSHP - EER 23 - replace electric furnace / CAC ER2- Cooling</v>
      </c>
      <c r="G737" s="2126"/>
      <c r="H737" s="2126"/>
      <c r="I737" s="730">
        <f>$C$681</f>
        <v>0</v>
      </c>
      <c r="J737" s="730">
        <v>869</v>
      </c>
      <c r="K737" s="731"/>
      <c r="L737" s="613" t="s">
        <v>972</v>
      </c>
      <c r="M737" s="760"/>
      <c r="N737" s="760"/>
      <c r="O737" s="130"/>
      <c r="P737" s="130"/>
      <c r="Q737" s="130"/>
      <c r="R737" s="130"/>
      <c r="S737" s="130"/>
      <c r="T737" s="130"/>
      <c r="U737" s="130"/>
      <c r="V737" s="2107"/>
      <c r="W737" s="611">
        <v>869</v>
      </c>
      <c r="X737" s="611">
        <v>869</v>
      </c>
      <c r="Y737" s="611"/>
      <c r="Z737" s="611"/>
      <c r="AA737" s="611"/>
      <c r="AB737" s="611"/>
      <c r="AC737" s="611"/>
      <c r="AD737" s="611"/>
      <c r="AE737" s="611"/>
      <c r="AF737" s="611"/>
      <c r="AG737" s="611"/>
    </row>
    <row r="738" spans="1:33" s="56" customFormat="1" ht="15" customHeight="1" outlineLevel="1" x14ac:dyDescent="0.25">
      <c r="A738" s="597"/>
      <c r="B738" s="760"/>
      <c r="C738" s="616"/>
      <c r="D738" s="2101"/>
      <c r="E738" s="2134"/>
      <c r="F738" s="2126" t="str">
        <f>$E$683</f>
        <v>GSHP EER 23 ER1 - Cooling</v>
      </c>
      <c r="G738" s="2126"/>
      <c r="H738" s="2126"/>
      <c r="I738" s="730">
        <f>$C$683</f>
        <v>0</v>
      </c>
      <c r="J738" s="730">
        <v>869</v>
      </c>
      <c r="K738" s="731"/>
      <c r="L738" s="613" t="s">
        <v>972</v>
      </c>
      <c r="M738" s="760"/>
      <c r="N738" s="760"/>
      <c r="O738" s="130"/>
      <c r="P738" s="130"/>
      <c r="Q738" s="130"/>
      <c r="R738" s="130"/>
      <c r="S738" s="130"/>
      <c r="T738" s="130"/>
      <c r="U738" s="130"/>
      <c r="V738" s="2107"/>
      <c r="W738" s="611">
        <v>869</v>
      </c>
      <c r="X738" s="611">
        <v>869</v>
      </c>
      <c r="Y738" s="611"/>
      <c r="Z738" s="611"/>
      <c r="AA738" s="611"/>
      <c r="AB738" s="611"/>
      <c r="AC738" s="611"/>
      <c r="AD738" s="611"/>
      <c r="AE738" s="611"/>
      <c r="AF738" s="611"/>
      <c r="AG738" s="611"/>
    </row>
    <row r="739" spans="1:33" s="56" customFormat="1" ht="15" customHeight="1" outlineLevel="1" thickBot="1" x14ac:dyDescent="0.3">
      <c r="A739" s="597"/>
      <c r="B739" s="760"/>
      <c r="C739" s="616"/>
      <c r="D739" s="2101"/>
      <c r="E739" s="2134"/>
      <c r="F739" s="2126" t="str">
        <f>$E$687</f>
        <v>GSHP EER 23 Replace at Fail GSHP</v>
      </c>
      <c r="G739" s="2126"/>
      <c r="H739" s="2126"/>
      <c r="I739" s="730">
        <f>$C$687</f>
        <v>0</v>
      </c>
      <c r="J739" s="730">
        <v>869</v>
      </c>
      <c r="K739" s="731"/>
      <c r="L739" s="632" t="s">
        <v>972</v>
      </c>
      <c r="M739" s="760"/>
      <c r="N739" s="760"/>
      <c r="O739" s="130"/>
      <c r="P739" s="130"/>
      <c r="Q739" s="130"/>
      <c r="R739" s="130"/>
      <c r="S739" s="130"/>
      <c r="T739" s="130"/>
      <c r="U739" s="130"/>
      <c r="V739" s="2107"/>
      <c r="W739" s="611">
        <v>869</v>
      </c>
      <c r="X739" s="611">
        <v>869</v>
      </c>
      <c r="Y739" s="611"/>
      <c r="Z739" s="611"/>
      <c r="AA739" s="611"/>
      <c r="AB739" s="611"/>
      <c r="AC739" s="611"/>
      <c r="AD739" s="611"/>
      <c r="AE739" s="611"/>
      <c r="AF739" s="611"/>
      <c r="AG739" s="611"/>
    </row>
    <row r="740" spans="1:33" s="56" customFormat="1" ht="15" customHeight="1" outlineLevel="1" x14ac:dyDescent="0.25">
      <c r="A740" s="597"/>
      <c r="B740" s="760"/>
      <c r="C740" s="616"/>
      <c r="D740" s="2100" t="s">
        <v>1856</v>
      </c>
      <c r="E740" s="2116" t="s">
        <v>1043</v>
      </c>
      <c r="F740" s="2136" t="str">
        <f>$E$677</f>
        <v>GSHP - EER 23 - replace electric furnace / CAC - Cooling</v>
      </c>
      <c r="G740" s="2136"/>
      <c r="H740" s="2136"/>
      <c r="I740" s="727">
        <f>$C$677</f>
        <v>0</v>
      </c>
      <c r="J740" s="727">
        <v>14.1</v>
      </c>
      <c r="K740" s="728"/>
      <c r="L740" s="727" t="s">
        <v>1794</v>
      </c>
      <c r="M740" s="760"/>
      <c r="N740" s="760"/>
      <c r="O740" s="130"/>
      <c r="P740" s="130"/>
      <c r="Q740" s="130"/>
      <c r="R740" s="130"/>
      <c r="S740" s="130"/>
      <c r="T740" s="130"/>
      <c r="U740" s="130"/>
      <c r="V740" s="2106" t="s">
        <v>1065</v>
      </c>
      <c r="W740" s="605">
        <v>13</v>
      </c>
      <c r="X740" s="624">
        <v>14.1</v>
      </c>
      <c r="Y740" s="605"/>
      <c r="Z740" s="605"/>
      <c r="AA740" s="605"/>
      <c r="AB740" s="605"/>
      <c r="AC740" s="605"/>
      <c r="AD740" s="605"/>
      <c r="AE740" s="605"/>
      <c r="AF740" s="605"/>
      <c r="AG740" s="605"/>
    </row>
    <row r="741" spans="1:33" s="56" customFormat="1" ht="30" customHeight="1" outlineLevel="1" x14ac:dyDescent="0.25">
      <c r="A741" s="597"/>
      <c r="B741" s="760"/>
      <c r="C741" s="616"/>
      <c r="D741" s="2101"/>
      <c r="E741" s="2117"/>
      <c r="F741" s="2126" t="str">
        <f>$E$679</f>
        <v>GSHP - EER 23 - replace electric furnace / CAC ER1- Cooling</v>
      </c>
      <c r="G741" s="2126"/>
      <c r="H741" s="2126"/>
      <c r="I741" s="730">
        <f>$C$679</f>
        <v>0</v>
      </c>
      <c r="J741" s="730">
        <v>6.54</v>
      </c>
      <c r="K741" s="731"/>
      <c r="L741" s="730" t="s">
        <v>1794</v>
      </c>
      <c r="M741" s="760"/>
      <c r="N741" s="760"/>
      <c r="O741" s="130"/>
      <c r="P741" s="130"/>
      <c r="Q741" s="130"/>
      <c r="R741" s="130"/>
      <c r="S741" s="130"/>
      <c r="T741" s="130"/>
      <c r="U741" s="130"/>
      <c r="V741" s="2107"/>
      <c r="W741" s="611">
        <v>6.8</v>
      </c>
      <c r="X741" s="614">
        <v>6.54</v>
      </c>
      <c r="Y741" s="611"/>
      <c r="Z741" s="611"/>
      <c r="AA741" s="611"/>
      <c r="AB741" s="611"/>
      <c r="AC741" s="611"/>
      <c r="AD741" s="611"/>
      <c r="AE741" s="611"/>
      <c r="AF741" s="611"/>
      <c r="AG741" s="611"/>
    </row>
    <row r="742" spans="1:33" s="56" customFormat="1" ht="30" customHeight="1" outlineLevel="1" x14ac:dyDescent="0.25">
      <c r="A742" s="597"/>
      <c r="B742" s="760"/>
      <c r="C742" s="616"/>
      <c r="D742" s="2101"/>
      <c r="E742" s="2117"/>
      <c r="F742" s="2126" t="str">
        <f>$E$681</f>
        <v>GSHP - EER 23 - replace electric furnace / CAC ER2- Cooling</v>
      </c>
      <c r="G742" s="2126"/>
      <c r="H742" s="2126"/>
      <c r="I742" s="730">
        <f>$C$681</f>
        <v>0</v>
      </c>
      <c r="J742" s="730">
        <v>14.1</v>
      </c>
      <c r="K742" s="731"/>
      <c r="L742" s="730" t="s">
        <v>1794</v>
      </c>
      <c r="M742" s="760"/>
      <c r="N742" s="760"/>
      <c r="O742" s="130"/>
      <c r="P742" s="130"/>
      <c r="Q742" s="130"/>
      <c r="R742" s="130"/>
      <c r="S742" s="130"/>
      <c r="T742" s="130"/>
      <c r="U742" s="130"/>
      <c r="V742" s="2107"/>
      <c r="W742" s="611">
        <v>13</v>
      </c>
      <c r="X742" s="614">
        <v>14.1</v>
      </c>
      <c r="Y742" s="611"/>
      <c r="Z742" s="611"/>
      <c r="AA742" s="611"/>
      <c r="AB742" s="611"/>
      <c r="AC742" s="611"/>
      <c r="AD742" s="611"/>
      <c r="AE742" s="611"/>
      <c r="AF742" s="611"/>
      <c r="AG742" s="611"/>
    </row>
    <row r="743" spans="1:33" s="56" customFormat="1" ht="15" customHeight="1" outlineLevel="1" x14ac:dyDescent="0.25">
      <c r="A743" s="597"/>
      <c r="B743" s="760"/>
      <c r="C743" s="616"/>
      <c r="D743" s="2101"/>
      <c r="E743" s="2117"/>
      <c r="F743" s="2126" t="str">
        <f>$E$683</f>
        <v>GSHP EER 23 ER1 - Cooling</v>
      </c>
      <c r="G743" s="2126"/>
      <c r="H743" s="2126"/>
      <c r="I743" s="730">
        <f>$C$683</f>
        <v>0</v>
      </c>
      <c r="J743" s="730">
        <v>12</v>
      </c>
      <c r="K743" s="731"/>
      <c r="L743" s="730" t="s">
        <v>1794</v>
      </c>
      <c r="M743" s="130"/>
      <c r="N743" s="130"/>
      <c r="O743" s="130"/>
      <c r="P743" s="130"/>
      <c r="Q743" s="130"/>
      <c r="R743" s="130"/>
      <c r="S743" s="130"/>
      <c r="T743" s="130"/>
      <c r="U743" s="130"/>
      <c r="V743" s="2107"/>
      <c r="W743" s="611">
        <v>6.8</v>
      </c>
      <c r="X743" s="614">
        <v>12</v>
      </c>
      <c r="Y743" s="611"/>
      <c r="Z743" s="611"/>
      <c r="AA743" s="611"/>
      <c r="AB743" s="611"/>
      <c r="AC743" s="611"/>
      <c r="AD743" s="611"/>
      <c r="AE743" s="611"/>
      <c r="AF743" s="611"/>
      <c r="AG743" s="611"/>
    </row>
    <row r="744" spans="1:33" s="56" customFormat="1" ht="15" customHeight="1" outlineLevel="1" thickBot="1" x14ac:dyDescent="0.3">
      <c r="A744" s="597"/>
      <c r="B744" s="760"/>
      <c r="C744" s="616"/>
      <c r="D744" s="2101"/>
      <c r="E744" s="2117"/>
      <c r="F744" s="2126" t="str">
        <f>$E$687</f>
        <v>GSHP EER 23 Replace at Fail GSHP</v>
      </c>
      <c r="G744" s="2126"/>
      <c r="H744" s="2126"/>
      <c r="I744" s="730">
        <f>$C$687</f>
        <v>0</v>
      </c>
      <c r="J744" s="730">
        <v>14.1</v>
      </c>
      <c r="K744" s="731"/>
      <c r="L744" s="622" t="s">
        <v>1794</v>
      </c>
      <c r="M744" s="130"/>
      <c r="N744" s="130"/>
      <c r="O744" s="130"/>
      <c r="P744" s="130"/>
      <c r="Q744" s="130"/>
      <c r="R744" s="130"/>
      <c r="S744" s="130"/>
      <c r="T744" s="130"/>
      <c r="U744" s="130"/>
      <c r="V744" s="2107"/>
      <c r="W744" s="611">
        <v>14.1</v>
      </c>
      <c r="X744" s="614">
        <v>14.1</v>
      </c>
      <c r="Y744" s="611"/>
      <c r="Z744" s="611"/>
      <c r="AA744" s="611"/>
      <c r="AB744" s="611"/>
      <c r="AC744" s="611"/>
      <c r="AD744" s="611"/>
      <c r="AE744" s="611"/>
      <c r="AF744" s="611"/>
      <c r="AG744" s="611"/>
    </row>
    <row r="745" spans="1:33" s="56" customFormat="1" ht="15" customHeight="1" outlineLevel="1" x14ac:dyDescent="0.25">
      <c r="A745" s="597"/>
      <c r="B745" s="760"/>
      <c r="C745" s="616"/>
      <c r="D745" s="2100" t="s">
        <v>244</v>
      </c>
      <c r="E745" s="2116" t="s">
        <v>1066</v>
      </c>
      <c r="F745" s="2136" t="str">
        <f>$E$677</f>
        <v>GSHP - EER 23 - replace electric furnace / CAC - Cooling</v>
      </c>
      <c r="G745" s="2136"/>
      <c r="H745" s="2136"/>
      <c r="I745" s="727">
        <f>$C$677</f>
        <v>0</v>
      </c>
      <c r="J745" s="727">
        <v>27.07</v>
      </c>
      <c r="K745" s="728"/>
      <c r="L745" s="727" t="s">
        <v>1857</v>
      </c>
      <c r="M745" s="130"/>
      <c r="N745" s="130"/>
      <c r="O745" s="130"/>
      <c r="P745" s="130"/>
      <c r="Q745" s="130"/>
      <c r="R745" s="130"/>
      <c r="S745" s="130"/>
      <c r="T745" s="130"/>
      <c r="U745" s="130"/>
      <c r="V745" s="2106" t="s">
        <v>246</v>
      </c>
      <c r="W745" s="605">
        <v>26.7</v>
      </c>
      <c r="X745" s="624">
        <v>27.07</v>
      </c>
      <c r="Y745" s="605"/>
      <c r="Z745" s="605"/>
      <c r="AA745" s="605"/>
      <c r="AB745" s="605"/>
      <c r="AC745" s="605"/>
      <c r="AD745" s="605"/>
      <c r="AE745" s="605"/>
      <c r="AF745" s="605"/>
      <c r="AG745" s="605"/>
    </row>
    <row r="746" spans="1:33" s="56" customFormat="1" ht="15" customHeight="1" outlineLevel="1" x14ac:dyDescent="0.25">
      <c r="A746" s="597"/>
      <c r="B746" s="760"/>
      <c r="C746" s="616"/>
      <c r="D746" s="2101"/>
      <c r="E746" s="2134"/>
      <c r="F746" s="2126" t="str">
        <f>$E$679</f>
        <v>GSHP - EER 23 - replace electric furnace / CAC ER1- Cooling</v>
      </c>
      <c r="G746" s="2126"/>
      <c r="H746" s="2126"/>
      <c r="I746" s="730">
        <f>$C$679</f>
        <v>0</v>
      </c>
      <c r="J746" s="730">
        <v>27.07</v>
      </c>
      <c r="K746" s="731"/>
      <c r="L746" s="730" t="s">
        <v>1794</v>
      </c>
      <c r="M746" s="130"/>
      <c r="N746" s="130"/>
      <c r="O746" s="130"/>
      <c r="P746" s="130"/>
      <c r="Q746" s="130"/>
      <c r="R746" s="130"/>
      <c r="S746" s="130"/>
      <c r="T746" s="130"/>
      <c r="U746" s="130"/>
      <c r="V746" s="2107"/>
      <c r="W746" s="611">
        <v>27.2</v>
      </c>
      <c r="X746" s="614">
        <v>27.07</v>
      </c>
      <c r="Y746" s="611"/>
      <c r="Z746" s="611"/>
      <c r="AA746" s="611"/>
      <c r="AB746" s="611"/>
      <c r="AC746" s="611"/>
      <c r="AD746" s="611"/>
      <c r="AE746" s="611"/>
      <c r="AF746" s="611"/>
      <c r="AG746" s="611"/>
    </row>
    <row r="747" spans="1:33" s="56" customFormat="1" ht="15" customHeight="1" outlineLevel="1" x14ac:dyDescent="0.25">
      <c r="A747" s="597"/>
      <c r="B747" s="760"/>
      <c r="C747" s="616"/>
      <c r="D747" s="2101"/>
      <c r="E747" s="2134"/>
      <c r="F747" s="2126" t="str">
        <f>$E$681</f>
        <v>GSHP - EER 23 - replace electric furnace / CAC ER2- Cooling</v>
      </c>
      <c r="G747" s="2126"/>
      <c r="H747" s="2126"/>
      <c r="I747" s="730">
        <f>$C$681</f>
        <v>0</v>
      </c>
      <c r="J747" s="730">
        <v>27.07</v>
      </c>
      <c r="K747" s="733"/>
      <c r="L747" s="730"/>
      <c r="M747" s="760"/>
      <c r="N747" s="760"/>
      <c r="O747" s="130"/>
      <c r="P747" s="130"/>
      <c r="Q747" s="130"/>
      <c r="R747" s="130"/>
      <c r="S747" s="130"/>
      <c r="T747" s="130"/>
      <c r="U747" s="130"/>
      <c r="V747" s="2107"/>
      <c r="W747" s="611">
        <v>27.2</v>
      </c>
      <c r="X747" s="614">
        <v>27.07</v>
      </c>
      <c r="Y747" s="611"/>
      <c r="Z747" s="611"/>
      <c r="AA747" s="611"/>
      <c r="AB747" s="611"/>
      <c r="AC747" s="611"/>
      <c r="AD747" s="611"/>
      <c r="AE747" s="611"/>
      <c r="AF747" s="611"/>
      <c r="AG747" s="611"/>
    </row>
    <row r="748" spans="1:33" s="56" customFormat="1" ht="15" customHeight="1" outlineLevel="1" x14ac:dyDescent="0.25">
      <c r="A748" s="597"/>
      <c r="B748" s="760"/>
      <c r="C748" s="616"/>
      <c r="D748" s="2101"/>
      <c r="E748" s="2134"/>
      <c r="F748" s="2126" t="str">
        <f>$E$683</f>
        <v>GSHP EER 23 ER1 - Cooling</v>
      </c>
      <c r="G748" s="2126"/>
      <c r="H748" s="2126"/>
      <c r="I748" s="730">
        <f>$C$683</f>
        <v>0</v>
      </c>
      <c r="J748" s="730">
        <v>27.07</v>
      </c>
      <c r="K748" s="733"/>
      <c r="L748" s="730"/>
      <c r="M748" s="760"/>
      <c r="N748" s="760"/>
      <c r="O748" s="130"/>
      <c r="P748" s="130"/>
      <c r="Q748" s="130"/>
      <c r="R748" s="130"/>
      <c r="S748" s="130"/>
      <c r="T748" s="130"/>
      <c r="U748" s="130"/>
      <c r="V748" s="2107"/>
      <c r="W748" s="611">
        <v>27.2</v>
      </c>
      <c r="X748" s="614">
        <v>27.07</v>
      </c>
      <c r="Y748" s="611"/>
      <c r="Z748" s="611"/>
      <c r="AA748" s="611"/>
      <c r="AB748" s="611"/>
      <c r="AC748" s="611"/>
      <c r="AD748" s="611"/>
      <c r="AE748" s="611"/>
      <c r="AF748" s="611"/>
      <c r="AG748" s="611"/>
    </row>
    <row r="749" spans="1:33" s="56" customFormat="1" ht="15" customHeight="1" outlineLevel="1" thickBot="1" x14ac:dyDescent="0.3">
      <c r="A749" s="597"/>
      <c r="B749" s="760"/>
      <c r="C749" s="616"/>
      <c r="D749" s="2133"/>
      <c r="E749" s="2134"/>
      <c r="F749" s="2126" t="str">
        <f>$E$687</f>
        <v>GSHP EER 23 Replace at Fail GSHP</v>
      </c>
      <c r="G749" s="2126"/>
      <c r="H749" s="2126"/>
      <c r="I749" s="730">
        <f>$C$687</f>
        <v>0</v>
      </c>
      <c r="J749" s="730">
        <v>27.07</v>
      </c>
      <c r="K749" s="733"/>
      <c r="L749" s="730"/>
      <c r="M749" s="760"/>
      <c r="N749" s="760"/>
      <c r="O749" s="130"/>
      <c r="P749" s="130"/>
      <c r="Q749" s="130"/>
      <c r="R749" s="130"/>
      <c r="S749" s="130"/>
      <c r="T749" s="130"/>
      <c r="U749" s="130"/>
      <c r="V749" s="2135"/>
      <c r="W749" s="611">
        <v>26.7</v>
      </c>
      <c r="X749" s="614">
        <v>27.07</v>
      </c>
      <c r="Y749" s="611"/>
      <c r="Z749" s="611"/>
      <c r="AA749" s="611"/>
      <c r="AB749" s="611"/>
      <c r="AC749" s="611"/>
      <c r="AD749" s="611"/>
      <c r="AE749" s="611"/>
      <c r="AF749" s="611"/>
      <c r="AG749" s="611"/>
    </row>
    <row r="750" spans="1:33" s="56" customFormat="1" ht="15" customHeight="1" outlineLevel="1" x14ac:dyDescent="0.25">
      <c r="A750" s="597"/>
      <c r="B750" s="760"/>
      <c r="C750" s="616"/>
      <c r="D750" s="2100" t="str">
        <f>J676</f>
        <v>EUL</v>
      </c>
      <c r="E750" s="2116" t="str">
        <f>E657</f>
        <v>End Useful Life</v>
      </c>
      <c r="F750" s="2127" t="str">
        <f t="shared" ref="F750:F761" si="55">E677</f>
        <v>GSHP - EER 23 - replace electric furnace / CAC - Cooling</v>
      </c>
      <c r="G750" s="2128"/>
      <c r="H750" s="2129"/>
      <c r="I750" s="727">
        <f>$C$677</f>
        <v>0</v>
      </c>
      <c r="J750" s="727">
        <v>18</v>
      </c>
      <c r="K750" s="728"/>
      <c r="L750" s="729"/>
      <c r="M750" s="760"/>
      <c r="N750" s="760"/>
      <c r="O750" s="130"/>
      <c r="P750" s="130"/>
      <c r="Q750" s="130"/>
      <c r="R750" s="130"/>
      <c r="S750" s="130"/>
      <c r="T750" s="130"/>
      <c r="U750" s="130"/>
      <c r="V750" s="2106" t="str">
        <f>D750</f>
        <v>EUL</v>
      </c>
      <c r="W750" s="605">
        <v>18</v>
      </c>
      <c r="X750" s="605">
        <v>18</v>
      </c>
      <c r="Y750" s="605"/>
      <c r="Z750" s="605"/>
      <c r="AA750" s="605"/>
      <c r="AB750" s="605"/>
      <c r="AC750" s="605"/>
      <c r="AD750" s="605"/>
      <c r="AE750" s="605"/>
      <c r="AF750" s="605"/>
      <c r="AG750" s="605"/>
    </row>
    <row r="751" spans="1:33" s="56" customFormat="1" ht="15" customHeight="1" outlineLevel="1" x14ac:dyDescent="0.25">
      <c r="A751" s="597"/>
      <c r="B751" s="760"/>
      <c r="C751" s="616"/>
      <c r="D751" s="2101"/>
      <c r="E751" s="2134"/>
      <c r="F751" s="2123" t="str">
        <f t="shared" si="55"/>
        <v>GSHP - EER 23 - replace electric furnace / CAC - Heating</v>
      </c>
      <c r="G751" s="2124"/>
      <c r="H751" s="2125"/>
      <c r="I751" s="730">
        <f>$C$679</f>
        <v>0</v>
      </c>
      <c r="J751" s="730">
        <v>18</v>
      </c>
      <c r="K751" s="731"/>
      <c r="L751" s="732"/>
      <c r="M751" s="760"/>
      <c r="N751" s="760"/>
      <c r="O751" s="130"/>
      <c r="P751" s="130"/>
      <c r="Q751" s="130"/>
      <c r="R751" s="130"/>
      <c r="S751" s="130"/>
      <c r="T751" s="130"/>
      <c r="U751" s="130"/>
      <c r="V751" s="2107"/>
      <c r="W751" s="611">
        <v>18</v>
      </c>
      <c r="X751" s="611">
        <v>18</v>
      </c>
      <c r="Y751" s="611"/>
      <c r="Z751" s="611"/>
      <c r="AA751" s="611"/>
      <c r="AB751" s="611"/>
      <c r="AC751" s="611"/>
      <c r="AD751" s="611"/>
      <c r="AE751" s="611"/>
      <c r="AF751" s="611"/>
      <c r="AG751" s="611"/>
    </row>
    <row r="752" spans="1:33" s="56" customFormat="1" ht="15" customHeight="1" outlineLevel="1" x14ac:dyDescent="0.25">
      <c r="A752" s="597"/>
      <c r="B752" s="760"/>
      <c r="C752" s="616"/>
      <c r="D752" s="2101"/>
      <c r="E752" s="2134"/>
      <c r="F752" s="2126" t="str">
        <f t="shared" si="55"/>
        <v>GSHP - EER 23 - replace electric furnace / CAC ER1- Cooling</v>
      </c>
      <c r="G752" s="2126"/>
      <c r="H752" s="2126"/>
      <c r="I752" s="730">
        <f>$C$681</f>
        <v>0</v>
      </c>
      <c r="J752" s="730">
        <v>6</v>
      </c>
      <c r="K752" s="733"/>
      <c r="L752" s="732"/>
      <c r="M752" s="760"/>
      <c r="N752" s="760"/>
      <c r="O752" s="130"/>
      <c r="P752" s="130"/>
      <c r="Q752" s="130"/>
      <c r="R752" s="130"/>
      <c r="S752" s="130"/>
      <c r="T752" s="130"/>
      <c r="U752" s="130"/>
      <c r="V752" s="2107"/>
      <c r="W752" s="611">
        <v>6</v>
      </c>
      <c r="X752" s="611">
        <v>6</v>
      </c>
      <c r="Y752" s="611"/>
      <c r="Z752" s="611"/>
      <c r="AA752" s="611"/>
      <c r="AB752" s="611"/>
      <c r="AC752" s="611"/>
      <c r="AD752" s="611"/>
      <c r="AE752" s="611"/>
      <c r="AF752" s="611"/>
      <c r="AG752" s="611"/>
    </row>
    <row r="753" spans="1:33" s="56" customFormat="1" ht="15" customHeight="1" outlineLevel="1" x14ac:dyDescent="0.25">
      <c r="A753" s="597"/>
      <c r="B753" s="760"/>
      <c r="C753" s="616"/>
      <c r="D753" s="2101"/>
      <c r="E753" s="2134"/>
      <c r="F753" s="2126" t="str">
        <f t="shared" si="55"/>
        <v>GSHP - EER 23 - replace electric furnace / CAC ER1 - Heating</v>
      </c>
      <c r="G753" s="2126"/>
      <c r="H753" s="2126"/>
      <c r="I753" s="730">
        <f>$C$683</f>
        <v>0</v>
      </c>
      <c r="J753" s="730">
        <v>6</v>
      </c>
      <c r="K753" s="733"/>
      <c r="L753" s="732"/>
      <c r="M753" s="760"/>
      <c r="N753" s="760"/>
      <c r="O753" s="130"/>
      <c r="P753" s="130"/>
      <c r="Q753" s="130"/>
      <c r="R753" s="130"/>
      <c r="S753" s="130"/>
      <c r="T753" s="130"/>
      <c r="U753" s="130"/>
      <c r="V753" s="2107"/>
      <c r="W753" s="611">
        <v>6</v>
      </c>
      <c r="X753" s="611">
        <v>6</v>
      </c>
      <c r="Y753" s="611"/>
      <c r="Z753" s="611"/>
      <c r="AA753" s="611"/>
      <c r="AB753" s="611"/>
      <c r="AC753" s="611"/>
      <c r="AD753" s="611"/>
      <c r="AE753" s="611"/>
      <c r="AF753" s="611"/>
      <c r="AG753" s="611"/>
    </row>
    <row r="754" spans="1:33" s="56" customFormat="1" ht="15" customHeight="1" outlineLevel="1" x14ac:dyDescent="0.25">
      <c r="A754" s="597"/>
      <c r="B754" s="760"/>
      <c r="C754" s="616"/>
      <c r="D754" s="2101"/>
      <c r="E754" s="2134"/>
      <c r="F754" s="2126" t="str">
        <f t="shared" si="55"/>
        <v>GSHP - EER 23 - replace electric furnace / CAC ER2- Cooling</v>
      </c>
      <c r="G754" s="2126"/>
      <c r="H754" s="2126"/>
      <c r="I754" s="730">
        <f>$C$679</f>
        <v>0</v>
      </c>
      <c r="J754" s="730">
        <v>12</v>
      </c>
      <c r="K754" s="731"/>
      <c r="L754" s="732"/>
      <c r="M754" s="760"/>
      <c r="N754" s="760"/>
      <c r="O754" s="130"/>
      <c r="P754" s="130"/>
      <c r="Q754" s="130"/>
      <c r="R754" s="130"/>
      <c r="S754" s="130"/>
      <c r="T754" s="130"/>
      <c r="U754" s="130"/>
      <c r="V754" s="2107"/>
      <c r="W754" s="611">
        <v>12</v>
      </c>
      <c r="X754" s="611">
        <v>12</v>
      </c>
      <c r="Y754" s="611"/>
      <c r="Z754" s="611"/>
      <c r="AA754" s="611"/>
      <c r="AB754" s="611"/>
      <c r="AC754" s="611"/>
      <c r="AD754" s="611"/>
      <c r="AE754" s="611"/>
      <c r="AF754" s="611"/>
      <c r="AG754" s="611"/>
    </row>
    <row r="755" spans="1:33" s="56" customFormat="1" ht="15" customHeight="1" outlineLevel="1" x14ac:dyDescent="0.25">
      <c r="A755" s="597"/>
      <c r="B755" s="760"/>
      <c r="C755" s="616"/>
      <c r="D755" s="2101"/>
      <c r="E755" s="2134"/>
      <c r="F755" s="2126" t="str">
        <f t="shared" si="55"/>
        <v>GSHP - EER 23 - replace electric furnace / CAC ER2 - Heating</v>
      </c>
      <c r="G755" s="2126"/>
      <c r="H755" s="2126"/>
      <c r="I755" s="730">
        <f>$C$679</f>
        <v>0</v>
      </c>
      <c r="J755" s="730">
        <v>12</v>
      </c>
      <c r="K755" s="731"/>
      <c r="L755" s="732"/>
      <c r="M755" s="760"/>
      <c r="N755" s="760"/>
      <c r="O755" s="130"/>
      <c r="P755" s="130"/>
      <c r="Q755" s="130"/>
      <c r="R755" s="130"/>
      <c r="S755" s="130"/>
      <c r="T755" s="130"/>
      <c r="U755" s="130"/>
      <c r="V755" s="2107"/>
      <c r="W755" s="611">
        <v>12</v>
      </c>
      <c r="X755" s="611">
        <v>12</v>
      </c>
      <c r="Y755" s="611"/>
      <c r="Z755" s="611"/>
      <c r="AA755" s="611"/>
      <c r="AB755" s="611"/>
      <c r="AC755" s="611"/>
      <c r="AD755" s="611"/>
      <c r="AE755" s="611"/>
      <c r="AF755" s="611"/>
      <c r="AG755" s="611"/>
    </row>
    <row r="756" spans="1:33" s="56" customFormat="1" ht="15" customHeight="1" outlineLevel="1" x14ac:dyDescent="0.25">
      <c r="A756" s="597"/>
      <c r="B756" s="760"/>
      <c r="C756" s="616"/>
      <c r="D756" s="2101"/>
      <c r="E756" s="2134"/>
      <c r="F756" s="2126" t="str">
        <f t="shared" si="55"/>
        <v>GSHP EER 23 ER1 - Cooling</v>
      </c>
      <c r="G756" s="2126"/>
      <c r="H756" s="2126"/>
      <c r="I756" s="730">
        <f>$C$681</f>
        <v>0</v>
      </c>
      <c r="J756" s="730">
        <v>6</v>
      </c>
      <c r="K756" s="733"/>
      <c r="L756" s="732"/>
      <c r="M756" s="760"/>
      <c r="N756" s="760"/>
      <c r="O756" s="130"/>
      <c r="P756" s="130"/>
      <c r="Q756" s="130"/>
      <c r="R756" s="130"/>
      <c r="S756" s="130"/>
      <c r="T756" s="130"/>
      <c r="U756" s="130"/>
      <c r="V756" s="2107"/>
      <c r="W756" s="611">
        <v>6</v>
      </c>
      <c r="X756" s="611">
        <v>6</v>
      </c>
      <c r="Y756" s="611"/>
      <c r="Z756" s="611"/>
      <c r="AA756" s="611"/>
      <c r="AB756" s="611"/>
      <c r="AC756" s="611"/>
      <c r="AD756" s="611"/>
      <c r="AE756" s="611"/>
      <c r="AF756" s="611"/>
      <c r="AG756" s="611"/>
    </row>
    <row r="757" spans="1:33" s="56" customFormat="1" ht="15" customHeight="1" outlineLevel="1" x14ac:dyDescent="0.25">
      <c r="A757" s="597"/>
      <c r="B757" s="760"/>
      <c r="C757" s="616"/>
      <c r="D757" s="2101"/>
      <c r="E757" s="2134"/>
      <c r="F757" s="2126" t="str">
        <f t="shared" si="55"/>
        <v>GSHP EER 23 ER1 - Heatiing</v>
      </c>
      <c r="G757" s="2126"/>
      <c r="H757" s="2126"/>
      <c r="I757" s="730">
        <f>$C$683</f>
        <v>0</v>
      </c>
      <c r="J757" s="730">
        <v>6</v>
      </c>
      <c r="K757" s="733"/>
      <c r="L757" s="732"/>
      <c r="M757" s="760"/>
      <c r="N757" s="760"/>
      <c r="O757" s="130"/>
      <c r="P757" s="130"/>
      <c r="Q757" s="130"/>
      <c r="R757" s="130"/>
      <c r="S757" s="130"/>
      <c r="T757" s="130"/>
      <c r="U757" s="130"/>
      <c r="V757" s="2107"/>
      <c r="W757" s="611">
        <v>6</v>
      </c>
      <c r="X757" s="611">
        <v>6</v>
      </c>
      <c r="Y757" s="611"/>
      <c r="Z757" s="611"/>
      <c r="AA757" s="611"/>
      <c r="AB757" s="611"/>
      <c r="AC757" s="611"/>
      <c r="AD757" s="611"/>
      <c r="AE757" s="611"/>
      <c r="AF757" s="611"/>
      <c r="AG757" s="611"/>
    </row>
    <row r="758" spans="1:33" s="56" customFormat="1" ht="15" customHeight="1" outlineLevel="1" x14ac:dyDescent="0.25">
      <c r="A758" s="597"/>
      <c r="B758" s="760"/>
      <c r="C758" s="616"/>
      <c r="D758" s="2101"/>
      <c r="E758" s="2134"/>
      <c r="F758" s="2126" t="str">
        <f t="shared" si="55"/>
        <v>GSHP EER 23 ER2 - Cooling</v>
      </c>
      <c r="G758" s="2126"/>
      <c r="H758" s="2126"/>
      <c r="I758" s="730">
        <f>$C$679</f>
        <v>0</v>
      </c>
      <c r="J758" s="730">
        <v>12</v>
      </c>
      <c r="K758" s="731"/>
      <c r="L758" s="732"/>
      <c r="M758" s="760"/>
      <c r="N758" s="760"/>
      <c r="O758" s="130"/>
      <c r="P758" s="130"/>
      <c r="Q758" s="130"/>
      <c r="R758" s="130"/>
      <c r="S758" s="130"/>
      <c r="T758" s="130"/>
      <c r="U758" s="130"/>
      <c r="V758" s="2107"/>
      <c r="W758" s="611">
        <v>12</v>
      </c>
      <c r="X758" s="611">
        <v>12</v>
      </c>
      <c r="Y758" s="611"/>
      <c r="Z758" s="611"/>
      <c r="AA758" s="611"/>
      <c r="AB758" s="611"/>
      <c r="AC758" s="611"/>
      <c r="AD758" s="611"/>
      <c r="AE758" s="611"/>
      <c r="AF758" s="611"/>
      <c r="AG758" s="611"/>
    </row>
    <row r="759" spans="1:33" s="56" customFormat="1" ht="15" customHeight="1" outlineLevel="1" x14ac:dyDescent="0.25">
      <c r="A759" s="597"/>
      <c r="B759" s="760"/>
      <c r="C759" s="616"/>
      <c r="D759" s="2101"/>
      <c r="E759" s="2134"/>
      <c r="F759" s="2123" t="str">
        <f t="shared" si="55"/>
        <v>GSHP EER 23 ER2 - Heating</v>
      </c>
      <c r="G759" s="2124"/>
      <c r="H759" s="2125"/>
      <c r="I759" s="730">
        <f>$C$681</f>
        <v>0</v>
      </c>
      <c r="J759" s="730">
        <v>12</v>
      </c>
      <c r="K759" s="733"/>
      <c r="L759" s="732"/>
      <c r="M759" s="760"/>
      <c r="N759" s="760"/>
      <c r="O759" s="130"/>
      <c r="P759" s="130"/>
      <c r="Q759" s="130"/>
      <c r="R759" s="130"/>
      <c r="S759" s="130"/>
      <c r="T759" s="130"/>
      <c r="U759" s="130"/>
      <c r="V759" s="2107"/>
      <c r="W759" s="611">
        <v>12</v>
      </c>
      <c r="X759" s="611">
        <v>12</v>
      </c>
      <c r="Y759" s="611"/>
      <c r="Z759" s="611"/>
      <c r="AA759" s="611"/>
      <c r="AB759" s="611"/>
      <c r="AC759" s="611"/>
      <c r="AD759" s="611"/>
      <c r="AE759" s="611"/>
      <c r="AF759" s="611"/>
      <c r="AG759" s="611"/>
    </row>
    <row r="760" spans="1:33" s="56" customFormat="1" ht="15" customHeight="1" outlineLevel="1" x14ac:dyDescent="0.25">
      <c r="A760" s="597"/>
      <c r="B760" s="760"/>
      <c r="C760" s="616"/>
      <c r="D760" s="2101"/>
      <c r="E760" s="2134"/>
      <c r="F760" s="2123" t="str">
        <f t="shared" si="55"/>
        <v>GSHP EER 23 Replace at Fail GSHP</v>
      </c>
      <c r="G760" s="2124"/>
      <c r="H760" s="2125"/>
      <c r="I760" s="730">
        <f>$C$683</f>
        <v>0</v>
      </c>
      <c r="J760" s="730">
        <v>18</v>
      </c>
      <c r="K760" s="733"/>
      <c r="L760" s="732"/>
      <c r="M760" s="760"/>
      <c r="N760" s="760"/>
      <c r="O760" s="130"/>
      <c r="P760" s="130"/>
      <c r="Q760" s="130"/>
      <c r="R760" s="130"/>
      <c r="S760" s="130"/>
      <c r="T760" s="130"/>
      <c r="U760" s="130"/>
      <c r="V760" s="2107"/>
      <c r="W760" s="611">
        <v>18</v>
      </c>
      <c r="X760" s="611">
        <v>18</v>
      </c>
      <c r="Y760" s="611"/>
      <c r="Z760" s="611"/>
      <c r="AA760" s="611"/>
      <c r="AB760" s="611"/>
      <c r="AC760" s="611"/>
      <c r="AD760" s="611"/>
      <c r="AE760" s="611"/>
      <c r="AF760" s="611"/>
      <c r="AG760" s="611"/>
    </row>
    <row r="761" spans="1:33" s="56" customFormat="1" ht="15" customHeight="1" outlineLevel="1" thickBot="1" x14ac:dyDescent="0.3">
      <c r="A761" s="597"/>
      <c r="B761" s="760"/>
      <c r="C761" s="616"/>
      <c r="D761" s="2133"/>
      <c r="E761" s="2134"/>
      <c r="F761" s="2123" t="str">
        <f t="shared" si="55"/>
        <v>GSHP EER 23 Replace at Fail GSHP</v>
      </c>
      <c r="G761" s="2124"/>
      <c r="H761" s="2125"/>
      <c r="I761" s="730">
        <f>$C$687</f>
        <v>0</v>
      </c>
      <c r="J761" s="730">
        <v>18</v>
      </c>
      <c r="K761" s="733"/>
      <c r="L761" s="732"/>
      <c r="M761" s="760"/>
      <c r="N761" s="760"/>
      <c r="O761" s="130"/>
      <c r="P761" s="130"/>
      <c r="Q761" s="130"/>
      <c r="R761" s="130"/>
      <c r="S761" s="130"/>
      <c r="T761" s="130"/>
      <c r="U761" s="130"/>
      <c r="V761" s="2135"/>
      <c r="W761" s="611">
        <v>18</v>
      </c>
      <c r="X761" s="611">
        <v>18</v>
      </c>
      <c r="Y761" s="611"/>
      <c r="Z761" s="611"/>
      <c r="AA761" s="611"/>
      <c r="AB761" s="611"/>
      <c r="AC761" s="611"/>
      <c r="AD761" s="611"/>
      <c r="AE761" s="611"/>
      <c r="AF761" s="611"/>
      <c r="AG761" s="611"/>
    </row>
    <row r="762" spans="1:33" s="56" customFormat="1" ht="15" customHeight="1" outlineLevel="1" x14ac:dyDescent="0.25">
      <c r="A762" s="597"/>
      <c r="B762" s="760"/>
      <c r="C762" s="616"/>
      <c r="D762" s="2100" t="str">
        <f>K676</f>
        <v>Inc. Cost</v>
      </c>
      <c r="E762" s="2103" t="str">
        <f>E664</f>
        <v>Incremental Cost ($)</v>
      </c>
      <c r="F762" s="2127" t="str">
        <f t="shared" ref="F762:F773" si="56">E677</f>
        <v>GSHP - EER 23 - replace electric furnace / CAC - Cooling</v>
      </c>
      <c r="G762" s="2128"/>
      <c r="H762" s="2129"/>
      <c r="I762" s="727">
        <f>$C$677</f>
        <v>0</v>
      </c>
      <c r="J762" s="694">
        <v>4717</v>
      </c>
      <c r="K762" s="728"/>
      <c r="L762" s="729"/>
      <c r="M762" s="760"/>
      <c r="N762" s="760"/>
      <c r="O762" s="130"/>
      <c r="P762" s="130"/>
      <c r="Q762" s="130"/>
      <c r="R762" s="130"/>
      <c r="S762" s="130"/>
      <c r="T762" s="130"/>
      <c r="U762" s="130"/>
      <c r="V762" s="2106" t="str">
        <f>D762</f>
        <v>Inc. Cost</v>
      </c>
      <c r="W762" s="694">
        <v>4717</v>
      </c>
      <c r="X762" s="694">
        <v>4717</v>
      </c>
      <c r="Y762" s="694"/>
      <c r="Z762" s="694"/>
      <c r="AA762" s="694"/>
      <c r="AB762" s="694"/>
      <c r="AC762" s="694"/>
      <c r="AD762" s="694"/>
      <c r="AE762" s="694"/>
      <c r="AF762" s="694"/>
      <c r="AG762" s="694"/>
    </row>
    <row r="763" spans="1:33" s="56" customFormat="1" ht="15" customHeight="1" outlineLevel="1" x14ac:dyDescent="0.25">
      <c r="A763" s="597"/>
      <c r="B763" s="760"/>
      <c r="C763" s="616"/>
      <c r="D763" s="2101"/>
      <c r="E763" s="2104"/>
      <c r="F763" s="2123" t="str">
        <f t="shared" si="56"/>
        <v>GSHP - EER 23 - replace electric furnace / CAC - Heating</v>
      </c>
      <c r="G763" s="2124"/>
      <c r="H763" s="2125"/>
      <c r="I763" s="730">
        <f>$C$679</f>
        <v>0</v>
      </c>
      <c r="J763" s="697"/>
      <c r="K763" s="731"/>
      <c r="L763" s="732"/>
      <c r="M763" s="760"/>
      <c r="N763" s="760"/>
      <c r="O763" s="130"/>
      <c r="P763" s="130"/>
      <c r="Q763" s="130"/>
      <c r="R763" s="130"/>
      <c r="S763" s="130"/>
      <c r="T763" s="130"/>
      <c r="U763" s="130"/>
      <c r="V763" s="2107"/>
      <c r="W763" s="697"/>
      <c r="X763" s="697"/>
      <c r="Y763" s="697"/>
      <c r="Z763" s="697"/>
      <c r="AA763" s="697"/>
      <c r="AB763" s="697"/>
      <c r="AC763" s="697"/>
      <c r="AD763" s="697"/>
      <c r="AE763" s="697"/>
      <c r="AF763" s="697"/>
      <c r="AG763" s="697"/>
    </row>
    <row r="764" spans="1:33" s="56" customFormat="1" ht="15" customHeight="1" outlineLevel="1" x14ac:dyDescent="0.25">
      <c r="A764" s="597"/>
      <c r="B764" s="760"/>
      <c r="C764" s="616"/>
      <c r="D764" s="2101"/>
      <c r="E764" s="2104"/>
      <c r="F764" s="2126" t="str">
        <f t="shared" si="56"/>
        <v>GSHP - EER 23 - replace electric furnace / CAC ER1- Cooling</v>
      </c>
      <c r="G764" s="2126"/>
      <c r="H764" s="2126"/>
      <c r="I764" s="730">
        <f>$C$681</f>
        <v>0</v>
      </c>
      <c r="J764" s="697">
        <v>5250</v>
      </c>
      <c r="K764" s="733"/>
      <c r="L764" s="732"/>
      <c r="M764" s="760"/>
      <c r="N764" s="760"/>
      <c r="O764" s="130"/>
      <c r="P764" s="130"/>
      <c r="Q764" s="130"/>
      <c r="R764" s="130"/>
      <c r="S764" s="130"/>
      <c r="T764" s="130"/>
      <c r="U764" s="130"/>
      <c r="V764" s="2107"/>
      <c r="W764" s="697">
        <v>5250</v>
      </c>
      <c r="X764" s="697">
        <v>5250</v>
      </c>
      <c r="Y764" s="697"/>
      <c r="Z764" s="697"/>
      <c r="AA764" s="697"/>
      <c r="AB764" s="697"/>
      <c r="AC764" s="697"/>
      <c r="AD764" s="697"/>
      <c r="AE764" s="697"/>
      <c r="AF764" s="697"/>
      <c r="AG764" s="697"/>
    </row>
    <row r="765" spans="1:33" s="56" customFormat="1" ht="15" customHeight="1" outlineLevel="1" x14ac:dyDescent="0.25">
      <c r="A765" s="597"/>
      <c r="B765" s="760"/>
      <c r="C765" s="616"/>
      <c r="D765" s="2101"/>
      <c r="E765" s="2104"/>
      <c r="F765" s="2126" t="str">
        <f t="shared" si="56"/>
        <v>GSHP - EER 23 - replace electric furnace / CAC ER1 - Heating</v>
      </c>
      <c r="G765" s="2126"/>
      <c r="H765" s="2126"/>
      <c r="I765" s="730">
        <f>$C$683</f>
        <v>0</v>
      </c>
      <c r="J765" s="697"/>
      <c r="K765" s="733"/>
      <c r="L765" s="732"/>
      <c r="M765" s="760"/>
      <c r="N765" s="760"/>
      <c r="O765" s="130"/>
      <c r="P765" s="130"/>
      <c r="Q765" s="130"/>
      <c r="R765" s="130"/>
      <c r="S765" s="130"/>
      <c r="T765" s="130"/>
      <c r="U765" s="130"/>
      <c r="V765" s="2107"/>
      <c r="W765" s="697"/>
      <c r="X765" s="697"/>
      <c r="Y765" s="697"/>
      <c r="Z765" s="697"/>
      <c r="AA765" s="697"/>
      <c r="AB765" s="697"/>
      <c r="AC765" s="697"/>
      <c r="AD765" s="697"/>
      <c r="AE765" s="697"/>
      <c r="AF765" s="697"/>
      <c r="AG765" s="697"/>
    </row>
    <row r="766" spans="1:33" s="56" customFormat="1" ht="15" customHeight="1" outlineLevel="1" x14ac:dyDescent="0.25">
      <c r="A766" s="597"/>
      <c r="B766" s="760"/>
      <c r="C766" s="616"/>
      <c r="D766" s="2101"/>
      <c r="E766" s="2104"/>
      <c r="F766" s="2126" t="str">
        <f t="shared" si="56"/>
        <v>GSHP - EER 23 - replace electric furnace / CAC ER2- Cooling</v>
      </c>
      <c r="G766" s="2126"/>
      <c r="H766" s="2126"/>
      <c r="I766" s="730">
        <f>$C$679</f>
        <v>0</v>
      </c>
      <c r="J766" s="697"/>
      <c r="K766" s="731"/>
      <c r="L766" s="732"/>
      <c r="M766" s="760"/>
      <c r="N766" s="760"/>
      <c r="O766" s="130"/>
      <c r="P766" s="130"/>
      <c r="Q766" s="130"/>
      <c r="R766" s="130"/>
      <c r="S766" s="130"/>
      <c r="T766" s="130"/>
      <c r="U766" s="130"/>
      <c r="V766" s="2107"/>
      <c r="W766" s="697"/>
      <c r="X766" s="697"/>
      <c r="Y766" s="697"/>
      <c r="Z766" s="697"/>
      <c r="AA766" s="697"/>
      <c r="AB766" s="697"/>
      <c r="AC766" s="697"/>
      <c r="AD766" s="697"/>
      <c r="AE766" s="697"/>
      <c r="AF766" s="697"/>
      <c r="AG766" s="697"/>
    </row>
    <row r="767" spans="1:33" s="56" customFormat="1" ht="15" customHeight="1" outlineLevel="1" x14ac:dyDescent="0.25">
      <c r="A767" s="597"/>
      <c r="B767" s="760"/>
      <c r="C767" s="616"/>
      <c r="D767" s="2101"/>
      <c r="E767" s="2104"/>
      <c r="F767" s="2126" t="str">
        <f t="shared" si="56"/>
        <v>GSHP - EER 23 - replace electric furnace / CAC ER2 - Heating</v>
      </c>
      <c r="G767" s="2126"/>
      <c r="H767" s="2126"/>
      <c r="I767" s="730">
        <f>$C$679</f>
        <v>0</v>
      </c>
      <c r="J767" s="697"/>
      <c r="K767" s="731"/>
      <c r="L767" s="732"/>
      <c r="M767" s="760"/>
      <c r="N767" s="760"/>
      <c r="O767" s="130"/>
      <c r="P767" s="130"/>
      <c r="Q767" s="130"/>
      <c r="R767" s="130"/>
      <c r="S767" s="130"/>
      <c r="T767" s="130"/>
      <c r="U767" s="130"/>
      <c r="V767" s="2107"/>
      <c r="W767" s="697"/>
      <c r="X767" s="697"/>
      <c r="Y767" s="697"/>
      <c r="Z767" s="697"/>
      <c r="AA767" s="697"/>
      <c r="AB767" s="697"/>
      <c r="AC767" s="697"/>
      <c r="AD767" s="697"/>
      <c r="AE767" s="697"/>
      <c r="AF767" s="697"/>
      <c r="AG767" s="697"/>
    </row>
    <row r="768" spans="1:33" s="56" customFormat="1" ht="15" customHeight="1" outlineLevel="1" x14ac:dyDescent="0.25">
      <c r="A768" s="597"/>
      <c r="B768" s="760"/>
      <c r="C768" s="616"/>
      <c r="D768" s="2101"/>
      <c r="E768" s="2104"/>
      <c r="F768" s="2126" t="str">
        <f t="shared" si="56"/>
        <v>GSHP EER 23 ER1 - Cooling</v>
      </c>
      <c r="G768" s="2126"/>
      <c r="H768" s="2126"/>
      <c r="I768" s="730">
        <f>$C$681</f>
        <v>0</v>
      </c>
      <c r="J768" s="697">
        <v>4859</v>
      </c>
      <c r="K768" s="733"/>
      <c r="L768" s="732"/>
      <c r="M768" s="760"/>
      <c r="N768" s="760"/>
      <c r="O768" s="130"/>
      <c r="P768" s="130"/>
      <c r="Q768" s="130"/>
      <c r="R768" s="130"/>
      <c r="S768" s="130"/>
      <c r="T768" s="130"/>
      <c r="U768" s="130"/>
      <c r="V768" s="2107"/>
      <c r="W768" s="697">
        <v>4859</v>
      </c>
      <c r="X768" s="697">
        <v>4859</v>
      </c>
      <c r="Y768" s="697"/>
      <c r="Z768" s="697"/>
      <c r="AA768" s="697"/>
      <c r="AB768" s="697"/>
      <c r="AC768" s="697"/>
      <c r="AD768" s="697"/>
      <c r="AE768" s="697"/>
      <c r="AF768" s="697"/>
      <c r="AG768" s="697"/>
    </row>
    <row r="769" spans="1:34" s="56" customFormat="1" ht="15" customHeight="1" outlineLevel="1" x14ac:dyDescent="0.25">
      <c r="A769" s="597"/>
      <c r="B769" s="760"/>
      <c r="C769" s="616"/>
      <c r="D769" s="2101"/>
      <c r="E769" s="2104"/>
      <c r="F769" s="2126" t="str">
        <f t="shared" si="56"/>
        <v>GSHP EER 23 ER1 - Heatiing</v>
      </c>
      <c r="G769" s="2126"/>
      <c r="H769" s="2126"/>
      <c r="I769" s="730">
        <f>$C$683</f>
        <v>0</v>
      </c>
      <c r="J769" s="697"/>
      <c r="K769" s="733"/>
      <c r="L769" s="732"/>
      <c r="M769" s="760"/>
      <c r="N769" s="760"/>
      <c r="O769" s="130"/>
      <c r="P769" s="130"/>
      <c r="Q769" s="130"/>
      <c r="R769" s="130"/>
      <c r="S769" s="130"/>
      <c r="T769" s="130"/>
      <c r="U769" s="130"/>
      <c r="V769" s="2107"/>
      <c r="W769" s="697"/>
      <c r="X769" s="697"/>
      <c r="Y769" s="697"/>
      <c r="Z769" s="697"/>
      <c r="AA769" s="697"/>
      <c r="AB769" s="697"/>
      <c r="AC769" s="697"/>
      <c r="AD769" s="697"/>
      <c r="AE769" s="697"/>
      <c r="AF769" s="697"/>
      <c r="AG769" s="697"/>
    </row>
    <row r="770" spans="1:34" s="56" customFormat="1" ht="15" customHeight="1" outlineLevel="1" x14ac:dyDescent="0.25">
      <c r="A770" s="597"/>
      <c r="B770" s="760"/>
      <c r="C770" s="616"/>
      <c r="D770" s="2101"/>
      <c r="E770" s="2104"/>
      <c r="F770" s="2126" t="str">
        <f t="shared" si="56"/>
        <v>GSHP EER 23 ER2 - Cooling</v>
      </c>
      <c r="G770" s="2126"/>
      <c r="H770" s="2126"/>
      <c r="I770" s="730">
        <f>$C$679</f>
        <v>0</v>
      </c>
      <c r="J770" s="697"/>
      <c r="K770" s="731"/>
      <c r="L770" s="732"/>
      <c r="M770" s="760"/>
      <c r="N770" s="760"/>
      <c r="O770" s="130"/>
      <c r="P770" s="130"/>
      <c r="Q770" s="130"/>
      <c r="R770" s="130"/>
      <c r="S770" s="130"/>
      <c r="T770" s="130"/>
      <c r="U770" s="130"/>
      <c r="V770" s="2107"/>
      <c r="W770" s="697"/>
      <c r="X770" s="697"/>
      <c r="Y770" s="697"/>
      <c r="Z770" s="697"/>
      <c r="AA770" s="697"/>
      <c r="AB770" s="697"/>
      <c r="AC770" s="697"/>
      <c r="AD770" s="697"/>
      <c r="AE770" s="697"/>
      <c r="AF770" s="697"/>
      <c r="AG770" s="697"/>
    </row>
    <row r="771" spans="1:34" s="56" customFormat="1" ht="15" customHeight="1" outlineLevel="1" x14ac:dyDescent="0.25">
      <c r="A771" s="597"/>
      <c r="B771" s="760"/>
      <c r="C771" s="616"/>
      <c r="D771" s="2101"/>
      <c r="E771" s="2104"/>
      <c r="F771" s="2123" t="str">
        <f t="shared" si="56"/>
        <v>GSHP EER 23 ER2 - Heating</v>
      </c>
      <c r="G771" s="2124"/>
      <c r="H771" s="2125"/>
      <c r="I771" s="730">
        <f>$C$681</f>
        <v>0</v>
      </c>
      <c r="J771" s="697"/>
      <c r="K771" s="733"/>
      <c r="L771" s="732"/>
      <c r="M771" s="760"/>
      <c r="N771" s="760"/>
      <c r="O771" s="130"/>
      <c r="P771" s="130"/>
      <c r="Q771" s="130"/>
      <c r="R771" s="130"/>
      <c r="S771" s="130"/>
      <c r="T771" s="130"/>
      <c r="U771" s="130"/>
      <c r="V771" s="2107"/>
      <c r="W771" s="697"/>
      <c r="X771" s="697"/>
      <c r="Y771" s="697"/>
      <c r="Z771" s="697"/>
      <c r="AA771" s="697"/>
      <c r="AB771" s="697"/>
      <c r="AC771" s="697"/>
      <c r="AD771" s="697"/>
      <c r="AE771" s="697"/>
      <c r="AF771" s="697"/>
      <c r="AG771" s="697"/>
    </row>
    <row r="772" spans="1:34" s="56" customFormat="1" ht="15" customHeight="1" outlineLevel="1" x14ac:dyDescent="0.25">
      <c r="A772" s="597"/>
      <c r="B772" s="760"/>
      <c r="C772" s="616"/>
      <c r="D772" s="2101"/>
      <c r="E772" s="2104"/>
      <c r="F772" s="2123" t="str">
        <f t="shared" si="56"/>
        <v>GSHP EER 23 Replace at Fail GSHP</v>
      </c>
      <c r="G772" s="2124"/>
      <c r="H772" s="2125"/>
      <c r="I772" s="730">
        <f>$C$683</f>
        <v>0</v>
      </c>
      <c r="J772" s="697">
        <v>3200</v>
      </c>
      <c r="K772" s="733"/>
      <c r="L772" s="732"/>
      <c r="M772" s="760"/>
      <c r="N772" s="760"/>
      <c r="O772" s="130"/>
      <c r="P772" s="130"/>
      <c r="Q772" s="130"/>
      <c r="R772" s="130"/>
      <c r="S772" s="130"/>
      <c r="T772" s="130"/>
      <c r="U772" s="130"/>
      <c r="V772" s="2107"/>
      <c r="W772" s="697">
        <v>3200</v>
      </c>
      <c r="X772" s="697">
        <v>3200</v>
      </c>
      <c r="Y772" s="697"/>
      <c r="Z772" s="697"/>
      <c r="AA772" s="697"/>
      <c r="AB772" s="697"/>
      <c r="AC772" s="697"/>
      <c r="AD772" s="697"/>
      <c r="AE772" s="697"/>
      <c r="AF772" s="697"/>
      <c r="AG772" s="697"/>
    </row>
    <row r="773" spans="1:34" s="56" customFormat="1" ht="15" customHeight="1" outlineLevel="1" thickBot="1" x14ac:dyDescent="0.3">
      <c r="A773" s="597"/>
      <c r="B773" s="760"/>
      <c r="C773" s="616"/>
      <c r="D773" s="2102"/>
      <c r="E773" s="2105"/>
      <c r="F773" s="2130" t="str">
        <f t="shared" si="56"/>
        <v>GSHP EER 23 Replace at Fail GSHP</v>
      </c>
      <c r="G773" s="2131"/>
      <c r="H773" s="2132"/>
      <c r="I773" s="622">
        <f>$C$687</f>
        <v>0</v>
      </c>
      <c r="J773" s="701"/>
      <c r="K773" s="739"/>
      <c r="L773" s="740"/>
      <c r="M773" s="760"/>
      <c r="N773" s="760"/>
      <c r="O773" s="130"/>
      <c r="P773" s="130"/>
      <c r="Q773" s="130"/>
      <c r="R773" s="130"/>
      <c r="S773" s="130"/>
      <c r="T773" s="130"/>
      <c r="U773" s="130"/>
      <c r="V773" s="2108"/>
      <c r="W773" s="701"/>
      <c r="X773" s="701"/>
      <c r="Y773" s="701"/>
      <c r="Z773" s="701"/>
      <c r="AA773" s="701"/>
      <c r="AB773" s="701"/>
      <c r="AC773" s="701"/>
      <c r="AD773" s="701"/>
      <c r="AE773" s="701"/>
      <c r="AF773" s="701"/>
      <c r="AG773" s="701"/>
    </row>
    <row r="774" spans="1:34" x14ac:dyDescent="0.25">
      <c r="B774" s="489"/>
      <c r="C774" s="1682"/>
      <c r="D774" s="1080"/>
      <c r="E774" s="1080"/>
      <c r="F774" s="1683"/>
      <c r="G774" s="1080"/>
      <c r="H774" s="1683"/>
      <c r="I774" s="760"/>
      <c r="J774" s="1683"/>
      <c r="K774" s="1683"/>
      <c r="L774" s="1683"/>
      <c r="M774" s="1594"/>
      <c r="P774" s="1594"/>
      <c r="Q774" s="658"/>
      <c r="V774" s="56"/>
      <c r="W774" s="56"/>
      <c r="X774" s="56"/>
    </row>
    <row r="775" spans="1:34" x14ac:dyDescent="0.25">
      <c r="E775" s="1080"/>
      <c r="F775" s="1683"/>
      <c r="G775" s="1080"/>
      <c r="H775" s="1683"/>
      <c r="I775" s="1683"/>
      <c r="J775" s="1683"/>
      <c r="K775" s="1683"/>
      <c r="L775" s="1683"/>
      <c r="M775" s="1683"/>
      <c r="N775" s="1683"/>
      <c r="O775" s="717"/>
      <c r="P775" s="717"/>
      <c r="Q775" s="658"/>
      <c r="V775" s="56"/>
      <c r="W775" s="56"/>
      <c r="X775" s="56"/>
    </row>
    <row r="776" spans="1:34" s="56" customFormat="1" x14ac:dyDescent="0.25">
      <c r="A776" s="597"/>
      <c r="B776" s="111" t="s">
        <v>1067</v>
      </c>
      <c r="C776" s="653"/>
      <c r="D776" s="112"/>
      <c r="E776" s="112"/>
      <c r="F776" s="112"/>
      <c r="G776" s="112"/>
      <c r="H776" s="112"/>
      <c r="I776" s="112"/>
      <c r="J776" s="112"/>
      <c r="K776" s="112"/>
      <c r="L776" s="112"/>
      <c r="M776" s="112"/>
      <c r="N776" s="112"/>
      <c r="O776" s="112"/>
      <c r="P776" s="112"/>
      <c r="Q776" s="527"/>
      <c r="R776" s="130"/>
      <c r="S776" s="130"/>
      <c r="T776" s="130"/>
      <c r="U776" s="130"/>
      <c r="V776" s="2022" t="str">
        <f>B776</f>
        <v>Air Source Heat Pumps</v>
      </c>
      <c r="W776" s="2023"/>
      <c r="X776" s="2023"/>
      <c r="Y776" s="2023"/>
      <c r="Z776" s="2023"/>
      <c r="AA776" s="2023"/>
      <c r="AB776" s="2023"/>
      <c r="AC776" s="2024"/>
      <c r="AD776" s="2024"/>
      <c r="AE776" s="2024"/>
      <c r="AF776" s="2024"/>
      <c r="AG776" s="2024"/>
      <c r="AH776" s="2025"/>
    </row>
    <row r="777" spans="1:34" s="56" customFormat="1" x14ac:dyDescent="0.25">
      <c r="A777" s="597"/>
      <c r="B777" s="130"/>
      <c r="C777" s="616"/>
      <c r="D777" s="658"/>
      <c r="E777" s="658"/>
      <c r="F777" s="130"/>
      <c r="G777" s="658"/>
      <c r="H777" s="616"/>
      <c r="I777" s="616"/>
      <c r="J777" s="616"/>
      <c r="K777" s="616"/>
      <c r="L777" s="616"/>
      <c r="M777" s="616"/>
      <c r="N777" s="130"/>
      <c r="O777" s="130"/>
      <c r="P777" s="130"/>
      <c r="Q777" s="658"/>
      <c r="R777" s="130"/>
      <c r="S777" s="130"/>
      <c r="T777" s="130"/>
      <c r="U777" s="130"/>
    </row>
    <row r="778" spans="1:34" s="56" customFormat="1" x14ac:dyDescent="0.25">
      <c r="A778" s="597"/>
      <c r="B778" s="130"/>
      <c r="C778" s="616"/>
      <c r="D778" s="658"/>
      <c r="E778" s="658"/>
      <c r="F778" s="130"/>
      <c r="G778" s="658"/>
      <c r="H778" s="130"/>
      <c r="I778" s="616"/>
      <c r="J778" s="616"/>
      <c r="K778" s="616"/>
      <c r="L778" s="616"/>
      <c r="M778" s="616"/>
      <c r="N778" s="130"/>
      <c r="O778" s="130"/>
      <c r="P778" s="130"/>
      <c r="Q778" s="658"/>
      <c r="R778" s="130"/>
      <c r="S778" s="130"/>
      <c r="T778" s="130"/>
      <c r="U778" s="130"/>
    </row>
    <row r="779" spans="1:34" s="56" customFormat="1" ht="45" x14ac:dyDescent="0.25">
      <c r="A779" s="597"/>
      <c r="B779" s="130"/>
      <c r="C779" s="184" t="s">
        <v>16</v>
      </c>
      <c r="D779" s="184" t="s">
        <v>509</v>
      </c>
      <c r="E779" s="184" t="s">
        <v>18</v>
      </c>
      <c r="F779" s="184" t="s">
        <v>19</v>
      </c>
      <c r="G779" s="184" t="s">
        <v>20</v>
      </c>
      <c r="H779" s="184" t="s">
        <v>21</v>
      </c>
      <c r="I779" s="184" t="s">
        <v>22</v>
      </c>
      <c r="J779" s="448" t="s">
        <v>23</v>
      </c>
      <c r="K779" s="184" t="s">
        <v>24</v>
      </c>
      <c r="L779" s="184" t="s">
        <v>919</v>
      </c>
      <c r="M779" s="130"/>
      <c r="N779" s="130"/>
      <c r="O779" s="130"/>
      <c r="P779" s="130"/>
      <c r="Q779" s="130"/>
      <c r="R779" s="130"/>
      <c r="S779" s="130"/>
      <c r="T779" s="130"/>
      <c r="U779" s="130"/>
      <c r="V779" s="48" t="s">
        <v>26</v>
      </c>
      <c r="W779" s="49">
        <v>43252</v>
      </c>
      <c r="X779" s="49">
        <f>$X$6</f>
        <v>43465</v>
      </c>
      <c r="Y779" s="49" t="str">
        <f>$Y$6</f>
        <v>-</v>
      </c>
      <c r="Z779" s="49" t="str">
        <f>$Z$6</f>
        <v>-</v>
      </c>
      <c r="AA779" s="49" t="str">
        <f>$AA$6</f>
        <v>-</v>
      </c>
      <c r="AB779" s="49" t="str">
        <f>$AB$6</f>
        <v>-</v>
      </c>
      <c r="AC779" s="49" t="str">
        <f>$AC$6</f>
        <v>-</v>
      </c>
      <c r="AD779" s="49" t="str">
        <f>$AD$6</f>
        <v>-</v>
      </c>
      <c r="AE779" s="49" t="str">
        <f>$AE$6</f>
        <v>-</v>
      </c>
      <c r="AF779" s="49" t="str">
        <f>$AF$6</f>
        <v>-</v>
      </c>
      <c r="AG779" s="49" t="str">
        <f>$AG$6</f>
        <v>-</v>
      </c>
    </row>
    <row r="780" spans="1:34" s="56" customFormat="1" x14ac:dyDescent="0.25">
      <c r="A780" s="597"/>
      <c r="B780" s="130"/>
      <c r="C780" s="115"/>
      <c r="D780" s="1660" t="s">
        <v>1773</v>
      </c>
      <c r="E780" s="1684" t="s">
        <v>1068</v>
      </c>
      <c r="F780" s="745">
        <f>((K1316*K1402*(1/K1488-1/K1574)*K1660)/1000)</f>
        <v>1720.2653061224485</v>
      </c>
      <c r="G780" s="243" t="s">
        <v>1023</v>
      </c>
      <c r="H780" s="170">
        <f>VLOOKUP(G780,'CP FACTORS'!$A$3:$B$38, 2, FALSE)</f>
        <v>9.4741810000000004E-4</v>
      </c>
      <c r="I780" s="1397">
        <f t="shared" ref="I780:I843" si="57">F780*H780</f>
        <v>1.6298104878224486</v>
      </c>
      <c r="J780" s="122">
        <f>K1746</f>
        <v>6</v>
      </c>
      <c r="K780" s="742">
        <f>K1918</f>
        <v>1788.6187345526278</v>
      </c>
      <c r="L780" s="743">
        <f>L972</f>
        <v>3.06</v>
      </c>
      <c r="M780" s="1685"/>
      <c r="N780" s="130"/>
      <c r="O780" s="1516"/>
      <c r="P780" s="130"/>
      <c r="Q780" s="130"/>
      <c r="R780" s="1413"/>
      <c r="S780" s="1413"/>
      <c r="T780" s="130"/>
      <c r="U780" s="1686"/>
      <c r="V780" s="176" t="s">
        <v>19</v>
      </c>
      <c r="W780" s="746">
        <v>2360.2134787689906</v>
      </c>
      <c r="X780" s="741">
        <v>1720.2653061224485</v>
      </c>
      <c r="Y780" s="744"/>
      <c r="Z780" s="702"/>
      <c r="AA780" s="702"/>
      <c r="AB780" s="702"/>
      <c r="AC780" s="702"/>
      <c r="AD780" s="702"/>
      <c r="AE780" s="702"/>
      <c r="AF780" s="702"/>
      <c r="AG780" s="702"/>
    </row>
    <row r="781" spans="1:34" s="56" customFormat="1" x14ac:dyDescent="0.25">
      <c r="A781" s="597"/>
      <c r="B781" s="130"/>
      <c r="C781" s="115"/>
      <c r="D781" s="1660" t="s">
        <v>1773</v>
      </c>
      <c r="E781" s="1060" t="s">
        <v>1068</v>
      </c>
      <c r="F781" s="745">
        <f xml:space="preserve"> ((K972*K1058*(1/K1144-1/K1230)*K1660)/1000)</f>
        <v>9788.00163331972</v>
      </c>
      <c r="G781" s="243" t="s">
        <v>1025</v>
      </c>
      <c r="H781" s="170">
        <f>VLOOKUP(G781,'CP FACTORS'!$A$3:$B$38, 2, FALSE)</f>
        <v>0</v>
      </c>
      <c r="I781" s="1397">
        <f t="shared" si="57"/>
        <v>0</v>
      </c>
      <c r="J781" s="122">
        <f t="shared" ref="J781:J844" si="58">K1747</f>
        <v>6</v>
      </c>
      <c r="K781" s="742">
        <f t="shared" ref="K781:K844" si="59">K1919</f>
        <v>0</v>
      </c>
      <c r="L781" s="743"/>
      <c r="M781" s="1685"/>
      <c r="N781" s="130"/>
      <c r="O781" s="1516"/>
      <c r="P781" s="130"/>
      <c r="Q781" s="130"/>
      <c r="R781" s="1413"/>
      <c r="S781" s="1413"/>
      <c r="T781" s="130"/>
      <c r="U781" s="1686"/>
      <c r="V781" s="176" t="s">
        <v>19</v>
      </c>
      <c r="W781" s="746">
        <v>12036.528668217206</v>
      </c>
      <c r="X781" s="741">
        <v>9788.00163331972</v>
      </c>
      <c r="Y781" s="744"/>
      <c r="Z781" s="702"/>
      <c r="AA781" s="702"/>
      <c r="AB781" s="702"/>
      <c r="AC781" s="702"/>
      <c r="AD781" s="702"/>
      <c r="AE781" s="702"/>
      <c r="AF781" s="702"/>
      <c r="AG781" s="702"/>
    </row>
    <row r="782" spans="1:34" s="56" customFormat="1" x14ac:dyDescent="0.25">
      <c r="A782" s="597"/>
      <c r="B782" s="130"/>
      <c r="C782" s="115"/>
      <c r="D782" s="1660" t="s">
        <v>1773</v>
      </c>
      <c r="E782" s="1060" t="s">
        <v>1069</v>
      </c>
      <c r="F782" s="745">
        <f>((K1317*K1403*(1/K1489-1/K1575)*K1661)/1000)</f>
        <v>344.16219780219757</v>
      </c>
      <c r="G782" s="1675" t="s">
        <v>1054</v>
      </c>
      <c r="H782" s="170">
        <f>VLOOKUP(G782,'CP FACTORS'!$A$3:$B$38, 2, FALSE)</f>
        <v>9.4741810000000004E-4</v>
      </c>
      <c r="I782" s="1397">
        <f t="shared" si="57"/>
        <v>0.32606549553358222</v>
      </c>
      <c r="J782" s="122">
        <f t="shared" si="58"/>
        <v>12</v>
      </c>
      <c r="K782" s="742">
        <f t="shared" si="59"/>
        <v>0</v>
      </c>
      <c r="L782" s="743"/>
      <c r="M782" s="1685"/>
      <c r="N782" s="130"/>
      <c r="O782" s="1516"/>
      <c r="P782" s="130"/>
      <c r="Q782" s="130"/>
      <c r="R782" s="1413"/>
      <c r="S782" s="1413"/>
      <c r="T782" s="130"/>
      <c r="U782" s="1686"/>
      <c r="V782" s="176" t="s">
        <v>19</v>
      </c>
      <c r="W782" s="746">
        <v>312.36189505858374</v>
      </c>
      <c r="X782" s="741">
        <v>344.16219780219757</v>
      </c>
      <c r="Y782" s="744"/>
      <c r="Z782" s="702"/>
      <c r="AA782" s="702"/>
      <c r="AB782" s="702"/>
      <c r="AC782" s="702"/>
      <c r="AD782" s="702"/>
      <c r="AE782" s="702"/>
      <c r="AF782" s="702"/>
      <c r="AG782" s="702"/>
    </row>
    <row r="783" spans="1:34" s="56" customFormat="1" x14ac:dyDescent="0.25">
      <c r="A783" s="597"/>
      <c r="B783" s="130"/>
      <c r="C783" s="115"/>
      <c r="D783" s="1660" t="s">
        <v>1773</v>
      </c>
      <c r="E783" s="1061" t="s">
        <v>1069</v>
      </c>
      <c r="F783" s="745">
        <f xml:space="preserve"> ((K973*K1059*(1/K1145-1/K1231)*K1661)/1000)</f>
        <v>9788.00163331972</v>
      </c>
      <c r="G783" s="1675" t="s">
        <v>1070</v>
      </c>
      <c r="H783" s="170">
        <f>VLOOKUP(G783,'CP FACTORS'!$A$3:$B$38, 2, FALSE)</f>
        <v>0</v>
      </c>
      <c r="I783" s="1397">
        <f t="shared" si="57"/>
        <v>0</v>
      </c>
      <c r="J783" s="122">
        <f t="shared" si="58"/>
        <v>12</v>
      </c>
      <c r="K783" s="742">
        <f t="shared" si="59"/>
        <v>0</v>
      </c>
      <c r="L783" s="743"/>
      <c r="M783" s="1685"/>
      <c r="N783" s="130"/>
      <c r="O783" s="1516"/>
      <c r="P783" s="130"/>
      <c r="Q783" s="130"/>
      <c r="R783" s="1413"/>
      <c r="S783" s="1413"/>
      <c r="T783" s="130"/>
      <c r="U783" s="1686"/>
      <c r="V783" s="176" t="s">
        <v>19</v>
      </c>
      <c r="W783" s="746">
        <v>12036.528668217206</v>
      </c>
      <c r="X783" s="741">
        <v>9788.00163331972</v>
      </c>
      <c r="Y783" s="744"/>
      <c r="Z783" s="702"/>
      <c r="AA783" s="702"/>
      <c r="AB783" s="702"/>
      <c r="AC783" s="702"/>
      <c r="AD783" s="702"/>
      <c r="AE783" s="702"/>
      <c r="AF783" s="702"/>
      <c r="AG783" s="702"/>
    </row>
    <row r="784" spans="1:34" s="56" customFormat="1" x14ac:dyDescent="0.25">
      <c r="A784" s="597"/>
      <c r="B784" s="130"/>
      <c r="C784" s="115"/>
      <c r="D784" s="1660" t="s">
        <v>1773</v>
      </c>
      <c r="E784" s="1684" t="s">
        <v>1071</v>
      </c>
      <c r="F784" s="745">
        <f>((K1318*K1404*(1/K1490-1/K1576)*K1662)/1000)</f>
        <v>1720.2653061224485</v>
      </c>
      <c r="G784" s="243" t="s">
        <v>1023</v>
      </c>
      <c r="H784" s="170">
        <f>VLOOKUP(G784,'CP FACTORS'!$A$3:$B$38, 2, FALSE)</f>
        <v>9.4741810000000004E-4</v>
      </c>
      <c r="I784" s="1397">
        <f t="shared" si="57"/>
        <v>1.6298104878224486</v>
      </c>
      <c r="J784" s="122">
        <f t="shared" si="58"/>
        <v>6</v>
      </c>
      <c r="K784" s="742">
        <f t="shared" si="59"/>
        <v>1788.6187345526278</v>
      </c>
      <c r="L784" s="743">
        <f>L974</f>
        <v>3.06</v>
      </c>
      <c r="M784" s="1685"/>
      <c r="N784" s="130"/>
      <c r="O784" s="1516"/>
      <c r="P784" s="130"/>
      <c r="Q784" s="130"/>
      <c r="R784" s="1413"/>
      <c r="S784" s="1413"/>
      <c r="T784" s="130"/>
      <c r="U784" s="1686"/>
      <c r="V784" s="176" t="s">
        <v>19</v>
      </c>
      <c r="W784" s="746">
        <v>2348.9856512141278</v>
      </c>
      <c r="X784" s="741">
        <v>1720.2653061224485</v>
      </c>
      <c r="Y784" s="744"/>
      <c r="Z784" s="702"/>
      <c r="AA784" s="702"/>
      <c r="AB784" s="702"/>
      <c r="AC784" s="702"/>
      <c r="AD784" s="702"/>
      <c r="AE784" s="702"/>
      <c r="AF784" s="702"/>
      <c r="AG784" s="702"/>
    </row>
    <row r="785" spans="1:33" s="56" customFormat="1" x14ac:dyDescent="0.25">
      <c r="A785" s="597"/>
      <c r="B785" s="130"/>
      <c r="C785" s="115"/>
      <c r="D785" s="1660" t="s">
        <v>1773</v>
      </c>
      <c r="E785" s="1060" t="s">
        <v>1071</v>
      </c>
      <c r="F785" s="745">
        <f xml:space="preserve"> ((K974*K1060*(1/K1146-1/K1232)*K1662)/1000)</f>
        <v>2027.0807587241729</v>
      </c>
      <c r="G785" s="243" t="s">
        <v>1025</v>
      </c>
      <c r="H785" s="170">
        <f>VLOOKUP(G785,'CP FACTORS'!$A$3:$B$38, 2, FALSE)</f>
        <v>0</v>
      </c>
      <c r="I785" s="1397">
        <f t="shared" si="57"/>
        <v>0</v>
      </c>
      <c r="J785" s="122">
        <f t="shared" si="58"/>
        <v>6</v>
      </c>
      <c r="K785" s="742">
        <f t="shared" si="59"/>
        <v>0</v>
      </c>
      <c r="L785" s="743"/>
      <c r="M785" s="1685"/>
      <c r="N785" s="130"/>
      <c r="O785" s="1516"/>
      <c r="P785" s="130"/>
      <c r="Q785" s="130"/>
      <c r="R785" s="1413"/>
      <c r="S785" s="1413"/>
      <c r="T785" s="130"/>
      <c r="U785" s="1686"/>
      <c r="V785" s="176" t="s">
        <v>19</v>
      </c>
      <c r="W785" s="746">
        <v>5147.8078093306267</v>
      </c>
      <c r="X785" s="741">
        <v>2027.0807587241729</v>
      </c>
      <c r="Y785" s="744"/>
      <c r="Z785" s="702"/>
      <c r="AA785" s="702"/>
      <c r="AB785" s="702"/>
      <c r="AC785" s="702"/>
      <c r="AD785" s="702"/>
      <c r="AE785" s="702"/>
      <c r="AF785" s="702"/>
      <c r="AG785" s="702"/>
    </row>
    <row r="786" spans="1:33" s="56" customFormat="1" x14ac:dyDescent="0.25">
      <c r="A786" s="597"/>
      <c r="B786" s="130"/>
      <c r="C786" s="115"/>
      <c r="D786" s="1660" t="s">
        <v>1773</v>
      </c>
      <c r="E786" s="1060" t="s">
        <v>1072</v>
      </c>
      <c r="F786" s="745">
        <f>((K1319*K1405*(1/K1491-1/K1577)*K1663)/1000)</f>
        <v>168.83428571428527</v>
      </c>
      <c r="G786" s="1675" t="s">
        <v>1054</v>
      </c>
      <c r="H786" s="170">
        <f>VLOOKUP(G786,'CP FACTORS'!$A$3:$B$38, 2, FALSE)</f>
        <v>9.4741810000000004E-4</v>
      </c>
      <c r="I786" s="1397">
        <f t="shared" si="57"/>
        <v>0.15995665818628529</v>
      </c>
      <c r="J786" s="122">
        <f t="shared" si="58"/>
        <v>12</v>
      </c>
      <c r="K786" s="742">
        <f t="shared" si="59"/>
        <v>0</v>
      </c>
      <c r="L786" s="743"/>
      <c r="M786" s="1685"/>
      <c r="N786" s="130"/>
      <c r="O786" s="1516"/>
      <c r="P786" s="130"/>
      <c r="Q786" s="130"/>
      <c r="R786" s="1413"/>
      <c r="S786" s="1413"/>
      <c r="T786" s="130"/>
      <c r="U786" s="1686"/>
      <c r="V786" s="176" t="s">
        <v>19</v>
      </c>
      <c r="W786" s="746">
        <v>168.20946073793726</v>
      </c>
      <c r="X786" s="741">
        <v>168.83428571428527</v>
      </c>
      <c r="Y786" s="744"/>
      <c r="Z786" s="702"/>
      <c r="AA786" s="702"/>
      <c r="AB786" s="702"/>
      <c r="AC786" s="702"/>
      <c r="AD786" s="702"/>
      <c r="AE786" s="702"/>
      <c r="AF786" s="702"/>
      <c r="AG786" s="702"/>
    </row>
    <row r="787" spans="1:33" s="56" customFormat="1" x14ac:dyDescent="0.25">
      <c r="A787" s="597"/>
      <c r="B787" s="130"/>
      <c r="C787" s="115"/>
      <c r="D787" s="1660" t="s">
        <v>1773</v>
      </c>
      <c r="E787" s="1061" t="s">
        <v>1072</v>
      </c>
      <c r="F787" s="745">
        <f xml:space="preserve"> ((K975*K1061*(1/K1147-1/K1233)*K1663)/1000)</f>
        <v>377.74325409076874</v>
      </c>
      <c r="G787" s="1675" t="s">
        <v>1070</v>
      </c>
      <c r="H787" s="170">
        <f>VLOOKUP(G787,'CP FACTORS'!$A$3:$B$38, 2, FALSE)</f>
        <v>0</v>
      </c>
      <c r="I787" s="1397">
        <f t="shared" si="57"/>
        <v>0</v>
      </c>
      <c r="J787" s="122">
        <f t="shared" si="58"/>
        <v>12</v>
      </c>
      <c r="K787" s="742">
        <f t="shared" si="59"/>
        <v>0</v>
      </c>
      <c r="L787" s="743"/>
      <c r="M787" s="1685"/>
      <c r="N787" s="130"/>
      <c r="O787" s="1516"/>
      <c r="P787" s="130"/>
      <c r="Q787" s="130"/>
      <c r="R787" s="1413"/>
      <c r="S787" s="1413"/>
      <c r="T787" s="130"/>
      <c r="U787" s="1686"/>
      <c r="V787" s="176" t="s">
        <v>19</v>
      </c>
      <c r="W787" s="746">
        <v>523.79310344827582</v>
      </c>
      <c r="X787" s="741">
        <v>377.74325409076874</v>
      </c>
      <c r="Y787" s="744"/>
      <c r="Z787" s="702"/>
      <c r="AA787" s="702"/>
      <c r="AB787" s="702"/>
      <c r="AC787" s="702"/>
      <c r="AD787" s="702"/>
      <c r="AE787" s="702"/>
      <c r="AF787" s="702"/>
      <c r="AG787" s="702"/>
    </row>
    <row r="788" spans="1:33" s="56" customFormat="1" x14ac:dyDescent="0.25">
      <c r="A788" s="597"/>
      <c r="B788" s="130"/>
      <c r="C788" s="115"/>
      <c r="D788" s="1660" t="s">
        <v>1773</v>
      </c>
      <c r="E788" s="1687" t="s">
        <v>1073</v>
      </c>
      <c r="F788" s="745">
        <f>((K1320*K1406*(1/K1492-1/K1578)*K1664)/1000)</f>
        <v>344.16219780219757</v>
      </c>
      <c r="G788" s="243" t="s">
        <v>1023</v>
      </c>
      <c r="H788" s="170">
        <f>VLOOKUP(G788,'CP FACTORS'!$A$3:$B$38, 2, FALSE)</f>
        <v>9.4741810000000004E-4</v>
      </c>
      <c r="I788" s="1397">
        <f t="shared" si="57"/>
        <v>0.32606549553358222</v>
      </c>
      <c r="J788" s="122">
        <f t="shared" si="58"/>
        <v>18</v>
      </c>
      <c r="K788" s="742">
        <f t="shared" si="59"/>
        <v>927.18000000000006</v>
      </c>
      <c r="L788" s="743">
        <f>L111</f>
        <v>3.3</v>
      </c>
      <c r="M788" s="1685"/>
      <c r="N788" s="130"/>
      <c r="O788" s="1516"/>
      <c r="P788" s="130"/>
      <c r="Q788" s="130"/>
      <c r="R788" s="1413"/>
      <c r="S788" s="1413"/>
      <c r="T788" s="130"/>
      <c r="U788" s="1686"/>
      <c r="V788" s="176" t="s">
        <v>19</v>
      </c>
      <c r="W788" s="746">
        <v>301.86315789473701</v>
      </c>
      <c r="X788" s="741">
        <v>344.16219780219757</v>
      </c>
      <c r="Y788" s="744"/>
      <c r="Z788" s="702"/>
      <c r="AA788" s="702"/>
      <c r="AB788" s="702"/>
      <c r="AC788" s="702"/>
      <c r="AD788" s="702"/>
      <c r="AE788" s="702"/>
      <c r="AF788" s="702"/>
      <c r="AG788" s="702"/>
    </row>
    <row r="789" spans="1:33" s="56" customFormat="1" x14ac:dyDescent="0.25">
      <c r="A789" s="597"/>
      <c r="B789" s="130"/>
      <c r="C789" s="115"/>
      <c r="D789" s="1660" t="s">
        <v>1773</v>
      </c>
      <c r="E789" s="1688" t="s">
        <v>1073</v>
      </c>
      <c r="F789" s="745">
        <f xml:space="preserve"> ((K976*K1062*(1/K1148-1/K1234)*K1664)/1000)</f>
        <v>9788.00163331972</v>
      </c>
      <c r="G789" s="243" t="s">
        <v>1025</v>
      </c>
      <c r="H789" s="170">
        <f>VLOOKUP(G789,'CP FACTORS'!$A$3:$B$38, 2, FALSE)</f>
        <v>0</v>
      </c>
      <c r="I789" s="1397">
        <f t="shared" si="57"/>
        <v>0</v>
      </c>
      <c r="J789" s="122">
        <f t="shared" si="58"/>
        <v>18</v>
      </c>
      <c r="K789" s="742">
        <f t="shared" si="59"/>
        <v>0</v>
      </c>
      <c r="L789" s="743"/>
      <c r="M789" s="1685"/>
      <c r="N789" s="130"/>
      <c r="O789" s="1516"/>
      <c r="P789" s="130"/>
      <c r="Q789" s="130"/>
      <c r="R789" s="1413"/>
      <c r="S789" s="1413"/>
      <c r="T789" s="130"/>
      <c r="U789" s="1686"/>
      <c r="V789" s="176" t="s">
        <v>19</v>
      </c>
      <c r="W789" s="746">
        <v>11093.001159380752</v>
      </c>
      <c r="X789" s="741">
        <v>9788.00163331972</v>
      </c>
      <c r="Y789" s="744"/>
      <c r="Z789" s="702"/>
      <c r="AA789" s="702"/>
      <c r="AB789" s="702"/>
      <c r="AC789" s="702"/>
      <c r="AD789" s="702"/>
      <c r="AE789" s="702"/>
      <c r="AF789" s="702"/>
      <c r="AG789" s="702"/>
    </row>
    <row r="790" spans="1:33" s="56" customFormat="1" x14ac:dyDescent="0.25">
      <c r="A790" s="597"/>
      <c r="B790" s="130"/>
      <c r="C790" s="115"/>
      <c r="D790" s="1660" t="s">
        <v>1773</v>
      </c>
      <c r="E790" s="1687" t="s">
        <v>1074</v>
      </c>
      <c r="F790" s="745">
        <f>((K1321*K1407*(1/K1493-1/K1579)*K1665)/1000)</f>
        <v>168.83428571428527</v>
      </c>
      <c r="G790" s="243" t="s">
        <v>1023</v>
      </c>
      <c r="H790" s="170">
        <f>VLOOKUP(G790,'CP FACTORS'!$A$3:$B$38, 2, FALSE)</f>
        <v>9.4741810000000004E-4</v>
      </c>
      <c r="I790" s="1397">
        <f t="shared" si="57"/>
        <v>0.15995665818628529</v>
      </c>
      <c r="J790" s="122">
        <f t="shared" si="58"/>
        <v>18</v>
      </c>
      <c r="K790" s="742">
        <f t="shared" si="59"/>
        <v>927.18000000000006</v>
      </c>
      <c r="L790" s="743">
        <f>L977</f>
        <v>3.06</v>
      </c>
      <c r="M790" s="1685"/>
      <c r="N790" s="130"/>
      <c r="O790" s="1516"/>
      <c r="P790" s="130"/>
      <c r="Q790" s="130"/>
      <c r="R790" s="1413"/>
      <c r="S790" s="1413"/>
      <c r="T790" s="130"/>
      <c r="U790" s="1686"/>
      <c r="V790" s="176" t="s">
        <v>19</v>
      </c>
      <c r="W790" s="746">
        <v>168.20946073793726</v>
      </c>
      <c r="X790" s="741">
        <v>168.83428571428527</v>
      </c>
      <c r="Y790" s="744"/>
      <c r="Z790" s="702"/>
      <c r="AA790" s="702"/>
      <c r="AB790" s="702"/>
      <c r="AC790" s="702"/>
      <c r="AD790" s="702"/>
      <c r="AE790" s="702"/>
      <c r="AF790" s="702"/>
      <c r="AG790" s="702"/>
    </row>
    <row r="791" spans="1:33" s="56" customFormat="1" x14ac:dyDescent="0.25">
      <c r="A791" s="597"/>
      <c r="B791" s="130"/>
      <c r="C791" s="115"/>
      <c r="D791" s="1660" t="s">
        <v>1773</v>
      </c>
      <c r="E791" s="1688" t="s">
        <v>1074</v>
      </c>
      <c r="F791" s="745">
        <f xml:space="preserve"> ((K977*K1063*(1/K1149-1/K1235)*K1665)/1000)</f>
        <v>377.74325409076874</v>
      </c>
      <c r="G791" s="243" t="s">
        <v>1025</v>
      </c>
      <c r="H791" s="170">
        <f>VLOOKUP(G791,'CP FACTORS'!$A$3:$B$38, 2, FALSE)</f>
        <v>0</v>
      </c>
      <c r="I791" s="1397">
        <f t="shared" si="57"/>
        <v>0</v>
      </c>
      <c r="J791" s="122">
        <f t="shared" si="58"/>
        <v>18</v>
      </c>
      <c r="K791" s="742">
        <f t="shared" si="59"/>
        <v>0</v>
      </c>
      <c r="L791" s="743"/>
      <c r="M791" s="1685"/>
      <c r="N791" s="130"/>
      <c r="O791" s="1516"/>
      <c r="P791" s="130"/>
      <c r="Q791" s="130"/>
      <c r="R791" s="1413"/>
      <c r="S791" s="1413"/>
      <c r="T791" s="130"/>
      <c r="U791" s="1686"/>
      <c r="V791" s="176" t="s">
        <v>19</v>
      </c>
      <c r="W791" s="746">
        <v>523.79310344827582</v>
      </c>
      <c r="X791" s="741">
        <v>377.74325409076874</v>
      </c>
      <c r="Y791" s="744"/>
      <c r="Z791" s="702"/>
      <c r="AA791" s="702"/>
      <c r="AB791" s="702"/>
      <c r="AC791" s="702"/>
      <c r="AD791" s="702"/>
      <c r="AE791" s="702"/>
      <c r="AF791" s="702"/>
      <c r="AG791" s="702"/>
    </row>
    <row r="792" spans="1:33" s="56" customFormat="1" ht="30" x14ac:dyDescent="0.25">
      <c r="A792" s="597"/>
      <c r="B792" s="130"/>
      <c r="C792" s="115"/>
      <c r="D792" s="1660" t="s">
        <v>1773</v>
      </c>
      <c r="E792" s="1684" t="s">
        <v>1075</v>
      </c>
      <c r="F792" s="745">
        <f>((K1322*K1408*(1/K1494-1/K1580)*K1666)/1000)</f>
        <v>1836.3388775510205</v>
      </c>
      <c r="G792" s="243" t="s">
        <v>1023</v>
      </c>
      <c r="H792" s="170">
        <f>VLOOKUP(G792,'CP FACTORS'!$A$3:$B$38, 2, FALSE)</f>
        <v>9.4741810000000004E-4</v>
      </c>
      <c r="I792" s="1397">
        <f t="shared" si="57"/>
        <v>1.7397806903255206</v>
      </c>
      <c r="J792" s="122">
        <f t="shared" si="58"/>
        <v>6</v>
      </c>
      <c r="K792" s="742">
        <f t="shared" si="59"/>
        <v>2063.1007345526277</v>
      </c>
      <c r="L792" s="743">
        <f>L978</f>
        <v>3.06</v>
      </c>
      <c r="M792" s="1685"/>
      <c r="N792" s="130"/>
      <c r="O792" s="1516"/>
      <c r="P792" s="130"/>
      <c r="Q792" s="130"/>
      <c r="R792" s="1413"/>
      <c r="S792" s="1413"/>
      <c r="T792" s="130"/>
      <c r="U792" s="1686"/>
      <c r="V792" s="176" t="s">
        <v>19</v>
      </c>
      <c r="W792" s="746">
        <v>2733.5161764705886</v>
      </c>
      <c r="X792" s="741">
        <v>1836.3388775510205</v>
      </c>
      <c r="Y792" s="744"/>
      <c r="Z792" s="702"/>
      <c r="AA792" s="702"/>
      <c r="AB792" s="702"/>
      <c r="AC792" s="702"/>
      <c r="AD792" s="702"/>
      <c r="AE792" s="702"/>
      <c r="AF792" s="702"/>
      <c r="AG792" s="702"/>
    </row>
    <row r="793" spans="1:33" s="56" customFormat="1" ht="30" x14ac:dyDescent="0.25">
      <c r="A793" s="597"/>
      <c r="B793" s="130"/>
      <c r="C793" s="115"/>
      <c r="D793" s="1660" t="s">
        <v>1773</v>
      </c>
      <c r="E793" s="1060" t="s">
        <v>1075</v>
      </c>
      <c r="F793" s="745">
        <f xml:space="preserve"> ((K978*K1064*(1/K1150-1/K1236)*K1666)/1000)</f>
        <v>9788.00163331972</v>
      </c>
      <c r="G793" s="243" t="s">
        <v>1025</v>
      </c>
      <c r="H793" s="170">
        <f>VLOOKUP(G793,'CP FACTORS'!$A$3:$B$38, 2, FALSE)</f>
        <v>0</v>
      </c>
      <c r="I793" s="1397">
        <f t="shared" si="57"/>
        <v>0</v>
      </c>
      <c r="J793" s="122">
        <f t="shared" si="58"/>
        <v>6</v>
      </c>
      <c r="K793" s="742">
        <f t="shared" si="59"/>
        <v>0</v>
      </c>
      <c r="L793" s="743"/>
      <c r="M793" s="1685"/>
      <c r="N793" s="130"/>
      <c r="O793" s="1516"/>
      <c r="P793" s="130"/>
      <c r="Q793" s="130"/>
      <c r="R793" s="1413"/>
      <c r="S793" s="1413"/>
      <c r="T793" s="130"/>
      <c r="U793" s="1686"/>
      <c r="V793" s="176" t="s">
        <v>19</v>
      </c>
      <c r="W793" s="746">
        <v>13965.852998065762</v>
      </c>
      <c r="X793" s="741">
        <v>9788.00163331972</v>
      </c>
      <c r="Y793" s="744"/>
      <c r="Z793" s="702"/>
      <c r="AA793" s="702"/>
      <c r="AB793" s="702"/>
      <c r="AC793" s="702"/>
      <c r="AD793" s="702"/>
      <c r="AE793" s="702"/>
      <c r="AF793" s="702"/>
      <c r="AG793" s="702"/>
    </row>
    <row r="794" spans="1:33" s="56" customFormat="1" ht="30" x14ac:dyDescent="0.25">
      <c r="A794" s="597"/>
      <c r="B794" s="130"/>
      <c r="C794" s="115"/>
      <c r="D794" s="1660" t="s">
        <v>1773</v>
      </c>
      <c r="E794" s="1060" t="s">
        <v>1076</v>
      </c>
      <c r="F794" s="745">
        <f>((K1323*K1409*(1/K1495-1/K1581)*K1667)/1000)</f>
        <v>460.23576923076939</v>
      </c>
      <c r="G794" s="1675" t="s">
        <v>1054</v>
      </c>
      <c r="H794" s="170">
        <f>VLOOKUP(G794,'CP FACTORS'!$A$3:$B$38, 2, FALSE)</f>
        <v>9.4741810000000004E-4</v>
      </c>
      <c r="I794" s="1397">
        <f t="shared" si="57"/>
        <v>0.43603569803665404</v>
      </c>
      <c r="J794" s="122">
        <f t="shared" si="58"/>
        <v>12</v>
      </c>
      <c r="K794" s="742">
        <f t="shared" si="59"/>
        <v>0</v>
      </c>
      <c r="L794" s="743"/>
      <c r="M794" s="1685"/>
      <c r="N794" s="130"/>
      <c r="O794" s="1516"/>
      <c r="P794" s="130"/>
      <c r="Q794" s="130"/>
      <c r="R794" s="1413"/>
      <c r="S794" s="1413"/>
      <c r="T794" s="130"/>
      <c r="U794" s="1686"/>
      <c r="V794" s="176" t="s">
        <v>19</v>
      </c>
      <c r="W794" s="746">
        <v>466.25192307692322</v>
      </c>
      <c r="X794" s="741">
        <v>460.23576923076939</v>
      </c>
      <c r="Y794" s="744"/>
      <c r="Z794" s="702"/>
      <c r="AA794" s="702"/>
      <c r="AB794" s="702"/>
      <c r="AC794" s="702"/>
      <c r="AD794" s="702"/>
      <c r="AE794" s="702"/>
      <c r="AF794" s="702"/>
      <c r="AG794" s="702"/>
    </row>
    <row r="795" spans="1:33" s="56" customFormat="1" ht="30" x14ac:dyDescent="0.25">
      <c r="A795" s="597"/>
      <c r="B795" s="130"/>
      <c r="C795" s="115"/>
      <c r="D795" s="1660" t="s">
        <v>1773</v>
      </c>
      <c r="E795" s="1061" t="s">
        <v>1076</v>
      </c>
      <c r="F795" s="745">
        <f xml:space="preserve"> ((K979*K1065*(1/K1151-1/K1237)*K1667)/1000)</f>
        <v>9788.00163331972</v>
      </c>
      <c r="G795" s="1675" t="s">
        <v>1070</v>
      </c>
      <c r="H795" s="170">
        <f>VLOOKUP(G795,'CP FACTORS'!$A$3:$B$38, 2, FALSE)</f>
        <v>0</v>
      </c>
      <c r="I795" s="1397">
        <f t="shared" si="57"/>
        <v>0</v>
      </c>
      <c r="J795" s="122">
        <f t="shared" si="58"/>
        <v>12</v>
      </c>
      <c r="K795" s="742">
        <f t="shared" si="59"/>
        <v>0</v>
      </c>
      <c r="L795" s="743"/>
      <c r="M795" s="1685"/>
      <c r="N795" s="130"/>
      <c r="O795" s="1516"/>
      <c r="P795" s="130"/>
      <c r="Q795" s="130"/>
      <c r="R795" s="1413"/>
      <c r="S795" s="1413"/>
      <c r="T795" s="130"/>
      <c r="U795" s="1686"/>
      <c r="V795" s="176" t="s">
        <v>19</v>
      </c>
      <c r="W795" s="746">
        <v>13965.852998065762</v>
      </c>
      <c r="X795" s="741">
        <v>9788.00163331972</v>
      </c>
      <c r="Y795" s="744"/>
      <c r="Z795" s="702"/>
      <c r="AA795" s="702"/>
      <c r="AB795" s="702"/>
      <c r="AC795" s="702"/>
      <c r="AD795" s="702"/>
      <c r="AE795" s="702"/>
      <c r="AF795" s="702"/>
      <c r="AG795" s="702"/>
    </row>
    <row r="796" spans="1:33" s="56" customFormat="1" x14ac:dyDescent="0.25">
      <c r="A796" s="597"/>
      <c r="B796" s="130"/>
      <c r="C796" s="115"/>
      <c r="D796" s="1660" t="s">
        <v>1773</v>
      </c>
      <c r="E796" s="1684" t="s">
        <v>1077</v>
      </c>
      <c r="F796" s="745">
        <f>((K1324*K1410*(1/K1496-1/K1582)*K1668)/1000)</f>
        <v>1836.3388775510205</v>
      </c>
      <c r="G796" s="243" t="s">
        <v>1023</v>
      </c>
      <c r="H796" s="170">
        <f>VLOOKUP(G796,'CP FACTORS'!$A$3:$B$38, 2, FALSE)</f>
        <v>9.4741810000000004E-4</v>
      </c>
      <c r="I796" s="1397">
        <f t="shared" si="57"/>
        <v>1.7397806903255206</v>
      </c>
      <c r="J796" s="122">
        <f t="shared" si="58"/>
        <v>6</v>
      </c>
      <c r="K796" s="742">
        <f t="shared" si="59"/>
        <v>2063.1007345526277</v>
      </c>
      <c r="L796" s="743">
        <f>L980</f>
        <v>3.06</v>
      </c>
      <c r="M796" s="1685"/>
      <c r="N796" s="130"/>
      <c r="O796" s="1516"/>
      <c r="P796" s="130"/>
      <c r="Q796" s="130"/>
      <c r="R796" s="1413"/>
      <c r="S796" s="1413"/>
      <c r="T796" s="130"/>
      <c r="U796" s="1686"/>
      <c r="V796" s="176" t="s">
        <v>19</v>
      </c>
      <c r="W796" s="746">
        <v>2628.7249999999999</v>
      </c>
      <c r="X796" s="741">
        <v>1836.3388775510205</v>
      </c>
      <c r="Y796" s="744"/>
      <c r="Z796" s="702"/>
      <c r="AA796" s="702"/>
      <c r="AB796" s="702"/>
      <c r="AC796" s="702"/>
      <c r="AD796" s="702"/>
      <c r="AE796" s="702"/>
      <c r="AF796" s="702"/>
      <c r="AG796" s="702"/>
    </row>
    <row r="797" spans="1:33" s="56" customFormat="1" x14ac:dyDescent="0.25">
      <c r="A797" s="597"/>
      <c r="B797" s="130"/>
      <c r="C797" s="115"/>
      <c r="D797" s="1660" t="s">
        <v>1773</v>
      </c>
      <c r="E797" s="1060" t="s">
        <v>1077</v>
      </c>
      <c r="F797" s="745">
        <f xml:space="preserve"> ((K980*K1066*(1/K1152-1/K1238)*K1668)/1000)</f>
        <v>2027.0807587241729</v>
      </c>
      <c r="G797" s="243" t="s">
        <v>1025</v>
      </c>
      <c r="H797" s="170">
        <f>VLOOKUP(G797,'CP FACTORS'!$A$3:$B$38, 2, FALSE)</f>
        <v>0</v>
      </c>
      <c r="I797" s="1397">
        <f t="shared" si="57"/>
        <v>0</v>
      </c>
      <c r="J797" s="122">
        <f t="shared" si="58"/>
        <v>6</v>
      </c>
      <c r="K797" s="742">
        <f t="shared" si="59"/>
        <v>0</v>
      </c>
      <c r="L797" s="743"/>
      <c r="M797" s="1685"/>
      <c r="N797" s="130"/>
      <c r="O797" s="1516"/>
      <c r="P797" s="130"/>
      <c r="Q797" s="130"/>
      <c r="R797" s="1413"/>
      <c r="S797" s="1413"/>
      <c r="T797" s="130"/>
      <c r="U797" s="1686"/>
      <c r="V797" s="176" t="s">
        <v>19</v>
      </c>
      <c r="W797" s="746">
        <v>6249.9803405572748</v>
      </c>
      <c r="X797" s="741">
        <v>2027.0807587241729</v>
      </c>
      <c r="Y797" s="744"/>
      <c r="Z797" s="702"/>
      <c r="AA797" s="702"/>
      <c r="AB797" s="702"/>
      <c r="AC797" s="702"/>
      <c r="AD797" s="702"/>
      <c r="AE797" s="702"/>
      <c r="AF797" s="702"/>
      <c r="AG797" s="702"/>
    </row>
    <row r="798" spans="1:33" s="56" customFormat="1" x14ac:dyDescent="0.25">
      <c r="A798" s="597"/>
      <c r="B798" s="130"/>
      <c r="C798" s="115"/>
      <c r="D798" s="1660" t="s">
        <v>1773</v>
      </c>
      <c r="E798" s="1060" t="s">
        <v>1078</v>
      </c>
      <c r="F798" s="745">
        <f>((K1325*K1411*(1/K1497-1/K1583)*K1669)/1000)</f>
        <v>284.90785714285704</v>
      </c>
      <c r="G798" s="1675" t="s">
        <v>1054</v>
      </c>
      <c r="H798" s="170">
        <f>VLOOKUP(G798,'CP FACTORS'!$A$3:$B$38, 2, FALSE)</f>
        <v>9.4741810000000004E-4</v>
      </c>
      <c r="I798" s="1397">
        <f t="shared" si="57"/>
        <v>0.26992686068935706</v>
      </c>
      <c r="J798" s="122">
        <f t="shared" si="58"/>
        <v>12</v>
      </c>
      <c r="K798" s="742">
        <f t="shared" si="59"/>
        <v>0</v>
      </c>
      <c r="L798" s="743"/>
      <c r="M798" s="1685"/>
      <c r="N798" s="130"/>
      <c r="O798" s="1516"/>
      <c r="P798" s="130"/>
      <c r="Q798" s="130"/>
      <c r="R798" s="1413"/>
      <c r="S798" s="1413"/>
      <c r="T798" s="130"/>
      <c r="U798" s="1686"/>
      <c r="V798" s="176" t="s">
        <v>19</v>
      </c>
      <c r="W798" s="746">
        <v>307.25357142857132</v>
      </c>
      <c r="X798" s="741">
        <v>284.90785714285704</v>
      </c>
      <c r="Y798" s="744"/>
      <c r="Z798" s="702"/>
      <c r="AA798" s="702"/>
      <c r="AB798" s="702"/>
      <c r="AC798" s="702"/>
      <c r="AD798" s="702"/>
      <c r="AE798" s="702"/>
      <c r="AF798" s="702"/>
      <c r="AG798" s="702"/>
    </row>
    <row r="799" spans="1:33" s="56" customFormat="1" x14ac:dyDescent="0.25">
      <c r="A799" s="597"/>
      <c r="B799" s="130"/>
      <c r="C799" s="115"/>
      <c r="D799" s="1660" t="s">
        <v>1773</v>
      </c>
      <c r="E799" s="1061" t="s">
        <v>1078</v>
      </c>
      <c r="F799" s="745">
        <f xml:space="preserve"> ((K981*K1067*(1/K1153-1/K1239)*K1669)/1000)</f>
        <v>377.74325409076874</v>
      </c>
      <c r="G799" s="1675" t="s">
        <v>1070</v>
      </c>
      <c r="H799" s="170">
        <f>VLOOKUP(G799,'CP FACTORS'!$A$3:$B$38, 2, FALSE)</f>
        <v>0</v>
      </c>
      <c r="I799" s="1397">
        <f t="shared" si="57"/>
        <v>0</v>
      </c>
      <c r="J799" s="122">
        <f t="shared" si="58"/>
        <v>12</v>
      </c>
      <c r="K799" s="742">
        <f t="shared" si="59"/>
        <v>0</v>
      </c>
      <c r="L799" s="743"/>
      <c r="M799" s="1685"/>
      <c r="N799" s="130"/>
      <c r="O799" s="1516"/>
      <c r="P799" s="130"/>
      <c r="Q799" s="130"/>
      <c r="R799" s="1413"/>
      <c r="S799" s="1413"/>
      <c r="T799" s="130"/>
      <c r="U799" s="1686"/>
      <c r="V799" s="176" t="s">
        <v>19</v>
      </c>
      <c r="W799" s="746">
        <v>1327.6421052631592</v>
      </c>
      <c r="X799" s="741">
        <v>377.74325409076874</v>
      </c>
      <c r="Y799" s="744"/>
      <c r="Z799" s="702"/>
      <c r="AA799" s="702"/>
      <c r="AB799" s="702"/>
      <c r="AC799" s="702"/>
      <c r="AD799" s="702"/>
      <c r="AE799" s="702"/>
      <c r="AF799" s="702"/>
      <c r="AG799" s="702"/>
    </row>
    <row r="800" spans="1:33" s="56" customFormat="1" x14ac:dyDescent="0.25">
      <c r="A800" s="597"/>
      <c r="B800" s="130"/>
      <c r="C800" s="115"/>
      <c r="D800" s="1660" t="s">
        <v>1773</v>
      </c>
      <c r="E800" s="1687" t="s">
        <v>1079</v>
      </c>
      <c r="F800" s="745">
        <f>((K1326*K1412*(1/K1498-1/K1584)*K1670)/1000)</f>
        <v>460.23576923076939</v>
      </c>
      <c r="G800" s="243" t="s">
        <v>1023</v>
      </c>
      <c r="H800" s="170">
        <f>VLOOKUP(G800,'CP FACTORS'!$A$3:$B$38, 2, FALSE)</f>
        <v>9.4741810000000004E-4</v>
      </c>
      <c r="I800" s="1397">
        <f t="shared" si="57"/>
        <v>0.43603569803665404</v>
      </c>
      <c r="J800" s="122">
        <f t="shared" si="58"/>
        <v>18</v>
      </c>
      <c r="K800" s="742">
        <f t="shared" si="59"/>
        <v>1201.662</v>
      </c>
      <c r="L800" s="743">
        <f>L982</f>
        <v>3.06</v>
      </c>
      <c r="M800" s="1685"/>
      <c r="N800" s="130"/>
      <c r="O800" s="1516"/>
      <c r="P800" s="130"/>
      <c r="Q800" s="130"/>
      <c r="R800" s="1413"/>
      <c r="S800" s="1413"/>
      <c r="T800" s="130"/>
      <c r="U800" s="1686"/>
      <c r="V800" s="176" t="s">
        <v>19</v>
      </c>
      <c r="W800" s="746">
        <v>481.29230769230787</v>
      </c>
      <c r="X800" s="741">
        <v>460.23576923076939</v>
      </c>
      <c r="Y800" s="744"/>
      <c r="Z800" s="702"/>
      <c r="AA800" s="702"/>
      <c r="AB800" s="702"/>
      <c r="AC800" s="702"/>
      <c r="AD800" s="702"/>
      <c r="AE800" s="702"/>
      <c r="AF800" s="702"/>
      <c r="AG800" s="702"/>
    </row>
    <row r="801" spans="1:33" s="56" customFormat="1" x14ac:dyDescent="0.25">
      <c r="A801" s="597"/>
      <c r="B801" s="130"/>
      <c r="C801" s="115"/>
      <c r="D801" s="1660" t="s">
        <v>1773</v>
      </c>
      <c r="E801" s="1688" t="s">
        <v>1079</v>
      </c>
      <c r="F801" s="745">
        <f xml:space="preserve"> ((K982*K1068*(1/K1154-1/K1240)*K1670)/1000)</f>
        <v>9788.00163331972</v>
      </c>
      <c r="G801" s="243" t="s">
        <v>1025</v>
      </c>
      <c r="H801" s="170">
        <f>VLOOKUP(G801,'CP FACTORS'!$A$3:$B$38, 2, FALSE)</f>
        <v>0</v>
      </c>
      <c r="I801" s="1397">
        <f t="shared" si="57"/>
        <v>0</v>
      </c>
      <c r="J801" s="122">
        <f t="shared" si="58"/>
        <v>18</v>
      </c>
      <c r="K801" s="742">
        <f t="shared" si="59"/>
        <v>0</v>
      </c>
      <c r="L801" s="743"/>
      <c r="M801" s="1685"/>
      <c r="N801" s="130"/>
      <c r="O801" s="1516"/>
      <c r="P801" s="130"/>
      <c r="Q801" s="130"/>
      <c r="R801" s="1413"/>
      <c r="S801" s="1413"/>
      <c r="T801" s="130"/>
      <c r="U801" s="1686"/>
      <c r="V801" s="176" t="s">
        <v>19</v>
      </c>
      <c r="W801" s="746">
        <v>14670.188469329136</v>
      </c>
      <c r="X801" s="741">
        <v>9788.00163331972</v>
      </c>
      <c r="Y801" s="744"/>
      <c r="Z801" s="702"/>
      <c r="AA801" s="702"/>
      <c r="AB801" s="702"/>
      <c r="AC801" s="702"/>
      <c r="AD801" s="702"/>
      <c r="AE801" s="702"/>
      <c r="AF801" s="702"/>
      <c r="AG801" s="702"/>
    </row>
    <row r="802" spans="1:33" s="56" customFormat="1" x14ac:dyDescent="0.25">
      <c r="A802" s="597"/>
      <c r="B802" s="130"/>
      <c r="C802" s="115"/>
      <c r="D802" s="1660" t="s">
        <v>1773</v>
      </c>
      <c r="E802" s="1687" t="s">
        <v>1080</v>
      </c>
      <c r="F802" s="745">
        <f>((K1327*K1413*(1/K1499-1/K1585)*K1671)/1000)</f>
        <v>284.90785714285704</v>
      </c>
      <c r="G802" s="243" t="s">
        <v>1023</v>
      </c>
      <c r="H802" s="170">
        <f>VLOOKUP(G802,'CP FACTORS'!$A$3:$B$38, 2, FALSE)</f>
        <v>9.4741810000000004E-4</v>
      </c>
      <c r="I802" s="1397">
        <f t="shared" si="57"/>
        <v>0.26992686068935706</v>
      </c>
      <c r="J802" s="122">
        <f t="shared" si="58"/>
        <v>18</v>
      </c>
      <c r="K802" s="742">
        <f t="shared" si="59"/>
        <v>927.18000000000006</v>
      </c>
      <c r="L802" s="743">
        <f>L983</f>
        <v>3.06</v>
      </c>
      <c r="M802" s="1685"/>
      <c r="N802" s="130"/>
      <c r="O802" s="1516"/>
      <c r="P802" s="130"/>
      <c r="Q802" s="130"/>
      <c r="R802" s="1413"/>
      <c r="S802" s="1413"/>
      <c r="T802" s="130"/>
      <c r="U802" s="1686"/>
      <c r="V802" s="176" t="s">
        <v>19</v>
      </c>
      <c r="W802" s="746">
        <v>307.25357142857132</v>
      </c>
      <c r="X802" s="741">
        <v>284.90785714285704</v>
      </c>
      <c r="Y802" s="744"/>
      <c r="Z802" s="702"/>
      <c r="AA802" s="702"/>
      <c r="AB802" s="702"/>
      <c r="AC802" s="702"/>
      <c r="AD802" s="702"/>
      <c r="AE802" s="702"/>
      <c r="AF802" s="702"/>
      <c r="AG802" s="702"/>
    </row>
    <row r="803" spans="1:33" s="56" customFormat="1" x14ac:dyDescent="0.25">
      <c r="A803" s="597"/>
      <c r="B803" s="130"/>
      <c r="C803" s="115"/>
      <c r="D803" s="1660" t="s">
        <v>1773</v>
      </c>
      <c r="E803" s="1688" t="s">
        <v>1080</v>
      </c>
      <c r="F803" s="745">
        <f xml:space="preserve"> ((K983*K1069*(1/K1155-1/K1241)*K1671)/1000)</f>
        <v>377.74325409076874</v>
      </c>
      <c r="G803" s="243" t="s">
        <v>1025</v>
      </c>
      <c r="H803" s="170">
        <f>VLOOKUP(G803,'CP FACTORS'!$A$3:$B$38, 2, FALSE)</f>
        <v>0</v>
      </c>
      <c r="I803" s="1397">
        <f t="shared" si="57"/>
        <v>0</v>
      </c>
      <c r="J803" s="122">
        <f t="shared" si="58"/>
        <v>18</v>
      </c>
      <c r="K803" s="742">
        <f t="shared" si="59"/>
        <v>0</v>
      </c>
      <c r="L803" s="743"/>
      <c r="M803" s="1685"/>
      <c r="N803" s="130"/>
      <c r="O803" s="1516"/>
      <c r="P803" s="130"/>
      <c r="Q803" s="130"/>
      <c r="R803" s="1413"/>
      <c r="S803" s="1413"/>
      <c r="T803" s="130"/>
      <c r="U803" s="1686"/>
      <c r="V803" s="176" t="s">
        <v>19</v>
      </c>
      <c r="W803" s="746">
        <v>1584.0000000000018</v>
      </c>
      <c r="X803" s="741">
        <v>377.74325409076874</v>
      </c>
      <c r="Y803" s="744"/>
      <c r="Z803" s="702"/>
      <c r="AA803" s="702"/>
      <c r="AB803" s="702"/>
      <c r="AC803" s="702"/>
      <c r="AD803" s="702"/>
      <c r="AE803" s="702"/>
      <c r="AF803" s="702"/>
      <c r="AG803" s="702"/>
    </row>
    <row r="804" spans="1:33" s="56" customFormat="1" x14ac:dyDescent="0.25">
      <c r="A804" s="597"/>
      <c r="B804" s="130"/>
      <c r="C804" s="115"/>
      <c r="D804" s="1660" t="s">
        <v>1775</v>
      </c>
      <c r="E804" s="1684" t="s">
        <v>1774</v>
      </c>
      <c r="F804" s="745">
        <f>((K1328*K1414*(1/K1500-1/K1586)*K1672)/1000)</f>
        <v>1130.9484063824204</v>
      </c>
      <c r="G804" s="243" t="s">
        <v>1023</v>
      </c>
      <c r="H804" s="170">
        <f>VLOOKUP(G804,'CP FACTORS'!$A$3:$B$38, 2, FALSE)</f>
        <v>9.4741810000000004E-4</v>
      </c>
      <c r="I804" s="1397">
        <f t="shared" si="57"/>
        <v>1.0714809903728606</v>
      </c>
      <c r="J804" s="122">
        <f t="shared" si="58"/>
        <v>6</v>
      </c>
      <c r="K804" s="742">
        <f t="shared" si="59"/>
        <v>1177.7995915436422</v>
      </c>
      <c r="L804" s="743">
        <f>L984</f>
        <v>3.1</v>
      </c>
      <c r="M804" s="1685"/>
      <c r="N804" s="130"/>
      <c r="O804" s="1516"/>
      <c r="P804" s="130"/>
      <c r="Q804" s="130"/>
      <c r="R804" s="1413"/>
      <c r="S804" s="1413"/>
      <c r="T804" s="130"/>
      <c r="U804" s="1686"/>
      <c r="V804" s="176" t="s">
        <v>19</v>
      </c>
      <c r="W804" s="746">
        <v>1526.8406732891833</v>
      </c>
      <c r="X804" s="741">
        <v>1130.9484063824204</v>
      </c>
      <c r="Y804" s="744"/>
      <c r="Z804" s="702"/>
      <c r="AA804" s="702"/>
      <c r="AB804" s="702"/>
      <c r="AC804" s="702"/>
      <c r="AD804" s="702"/>
      <c r="AE804" s="702"/>
      <c r="AF804" s="702"/>
      <c r="AG804" s="702"/>
    </row>
    <row r="805" spans="1:33" s="56" customFormat="1" x14ac:dyDescent="0.25">
      <c r="A805" s="597"/>
      <c r="B805" s="130"/>
      <c r="C805" s="115"/>
      <c r="D805" s="1660" t="s">
        <v>1775</v>
      </c>
      <c r="E805" s="1060" t="s">
        <v>1774</v>
      </c>
      <c r="F805" s="745">
        <f xml:space="preserve"> ((K984*K1070*(1/K1156-1/K1242)*K1672)/1000)</f>
        <v>2491.6517241379302</v>
      </c>
      <c r="G805" s="243" t="s">
        <v>1025</v>
      </c>
      <c r="H805" s="170">
        <f>VLOOKUP(G805,'CP FACTORS'!$A$3:$B$38, 2, FALSE)</f>
        <v>0</v>
      </c>
      <c r="I805" s="1397">
        <f t="shared" si="57"/>
        <v>0</v>
      </c>
      <c r="J805" s="122">
        <f t="shared" si="58"/>
        <v>6</v>
      </c>
      <c r="K805" s="742">
        <f t="shared" si="59"/>
        <v>0</v>
      </c>
      <c r="L805" s="743"/>
      <c r="M805" s="1685"/>
      <c r="N805" s="130"/>
      <c r="O805" s="1516"/>
      <c r="P805" s="130"/>
      <c r="Q805" s="130"/>
      <c r="R805" s="1413"/>
      <c r="S805" s="1413"/>
      <c r="T805" s="130"/>
      <c r="U805" s="1686"/>
      <c r="V805" s="176" t="s">
        <v>19</v>
      </c>
      <c r="W805" s="746">
        <v>3346.0750760649075</v>
      </c>
      <c r="X805" s="741">
        <v>2491.6517241379302</v>
      </c>
      <c r="Y805" s="744"/>
      <c r="Z805" s="702"/>
      <c r="AA805" s="702"/>
      <c r="AB805" s="702"/>
      <c r="AC805" s="702"/>
      <c r="AD805" s="702"/>
      <c r="AE805" s="702"/>
      <c r="AF805" s="702"/>
      <c r="AG805" s="702"/>
    </row>
    <row r="806" spans="1:33" s="56" customFormat="1" x14ac:dyDescent="0.25">
      <c r="A806" s="597"/>
      <c r="B806" s="130"/>
      <c r="C806" s="115"/>
      <c r="D806" s="1660" t="s">
        <v>1772</v>
      </c>
      <c r="E806" s="1060" t="s">
        <v>1081</v>
      </c>
      <c r="F806" s="745">
        <f>((K1329*K1415*(1/K1501-1/K1587)*K1673)/1000)</f>
        <v>109.33614947965923</v>
      </c>
      <c r="G806" s="1675" t="s">
        <v>1054</v>
      </c>
      <c r="H806" s="170">
        <f>VLOOKUP(G806,'CP FACTORS'!$A$3:$B$38, 2, FALSE)</f>
        <v>9.4741810000000004E-4</v>
      </c>
      <c r="I806" s="1397">
        <f t="shared" si="57"/>
        <v>0.10358704700133474</v>
      </c>
      <c r="J806" s="122">
        <f t="shared" si="58"/>
        <v>12</v>
      </c>
      <c r="K806" s="742">
        <f t="shared" si="59"/>
        <v>0</v>
      </c>
      <c r="L806" s="743"/>
      <c r="M806" s="1685"/>
      <c r="N806" s="130"/>
      <c r="O806" s="1516"/>
      <c r="P806" s="130"/>
      <c r="Q806" s="130"/>
      <c r="R806" s="1413"/>
      <c r="S806" s="1413"/>
      <c r="T806" s="130"/>
      <c r="U806" s="1686"/>
      <c r="V806" s="176" t="s">
        <v>19</v>
      </c>
      <c r="W806" s="746">
        <v>109.33614947965923</v>
      </c>
      <c r="X806" s="741">
        <v>109.33614947965923</v>
      </c>
      <c r="Y806" s="744"/>
      <c r="Z806" s="702"/>
      <c r="AA806" s="702"/>
      <c r="AB806" s="702"/>
      <c r="AC806" s="702"/>
      <c r="AD806" s="702"/>
      <c r="AE806" s="702"/>
      <c r="AF806" s="702"/>
      <c r="AG806" s="702"/>
    </row>
    <row r="807" spans="1:33" s="56" customFormat="1" x14ac:dyDescent="0.25">
      <c r="A807" s="597"/>
      <c r="B807" s="130"/>
      <c r="C807" s="115"/>
      <c r="D807" s="1660" t="s">
        <v>1772</v>
      </c>
      <c r="E807" s="1061" t="s">
        <v>1081</v>
      </c>
      <c r="F807" s="745">
        <f xml:space="preserve"> ((K985*K1071*(1/K1157-1/K1243)*K1673)/1000)</f>
        <v>253.52733389402857</v>
      </c>
      <c r="G807" s="1675" t="s">
        <v>1070</v>
      </c>
      <c r="H807" s="170">
        <f>VLOOKUP(G807,'CP FACTORS'!$A$3:$B$38, 2, FALSE)</f>
        <v>0</v>
      </c>
      <c r="I807" s="1397">
        <f t="shared" si="57"/>
        <v>0</v>
      </c>
      <c r="J807" s="122">
        <f t="shared" si="58"/>
        <v>12</v>
      </c>
      <c r="K807" s="742">
        <f t="shared" si="59"/>
        <v>0</v>
      </c>
      <c r="L807" s="743"/>
      <c r="M807" s="1685"/>
      <c r="N807" s="130"/>
      <c r="O807" s="1516"/>
      <c r="P807" s="130"/>
      <c r="Q807" s="130"/>
      <c r="R807" s="1413"/>
      <c r="S807" s="1413"/>
      <c r="T807" s="130"/>
      <c r="U807" s="1686"/>
      <c r="V807" s="176" t="s">
        <v>19</v>
      </c>
      <c r="W807" s="746">
        <v>340.46551724137925</v>
      </c>
      <c r="X807" s="741">
        <v>253.52733389402857</v>
      </c>
      <c r="Y807" s="744"/>
      <c r="Z807" s="702"/>
      <c r="AA807" s="702"/>
      <c r="AB807" s="702"/>
      <c r="AC807" s="702"/>
      <c r="AD807" s="702"/>
      <c r="AE807" s="702"/>
      <c r="AF807" s="702"/>
      <c r="AG807" s="702"/>
    </row>
    <row r="808" spans="1:33" s="56" customFormat="1" x14ac:dyDescent="0.25">
      <c r="A808" s="597"/>
      <c r="B808" s="130"/>
      <c r="C808" s="115"/>
      <c r="D808" s="1660" t="s">
        <v>1772</v>
      </c>
      <c r="E808" s="1684" t="s">
        <v>1082</v>
      </c>
      <c r="F808" s="745">
        <f>((K1330*K1416*(1/K1502-1/K1588)*K1674)/1000)</f>
        <v>1021.5017864099281</v>
      </c>
      <c r="G808" s="243" t="s">
        <v>1023</v>
      </c>
      <c r="H808" s="170">
        <f>VLOOKUP(G808,'CP FACTORS'!$A$3:$B$38, 2, FALSE)</f>
        <v>9.4741810000000004E-4</v>
      </c>
      <c r="I808" s="1397">
        <f t="shared" si="57"/>
        <v>0.96778928162709987</v>
      </c>
      <c r="J808" s="122">
        <f t="shared" si="58"/>
        <v>6</v>
      </c>
      <c r="K808" s="742">
        <f t="shared" si="59"/>
        <v>1063.8189859103863</v>
      </c>
      <c r="L808" s="743">
        <f>L986</f>
        <v>2.8</v>
      </c>
      <c r="M808" s="1685"/>
      <c r="N808" s="130"/>
      <c r="O808" s="1516"/>
      <c r="P808" s="130"/>
      <c r="Q808" s="130"/>
      <c r="R808" s="1413"/>
      <c r="S808" s="1413"/>
      <c r="T808" s="130"/>
      <c r="U808" s="1686"/>
      <c r="V808" s="176" t="s">
        <v>19</v>
      </c>
      <c r="W808" s="746">
        <v>1534.1387611998441</v>
      </c>
      <c r="X808" s="741">
        <v>1021.5017864099281</v>
      </c>
      <c r="Y808" s="744"/>
      <c r="Z808" s="702"/>
      <c r="AA808" s="702"/>
      <c r="AB808" s="702"/>
      <c r="AC808" s="702"/>
      <c r="AD808" s="702"/>
      <c r="AE808" s="702"/>
      <c r="AF808" s="702"/>
      <c r="AG808" s="702"/>
    </row>
    <row r="809" spans="1:33" s="56" customFormat="1" x14ac:dyDescent="0.25">
      <c r="A809" s="597"/>
      <c r="B809" s="130"/>
      <c r="C809" s="115"/>
      <c r="D809" s="1660" t="s">
        <v>1772</v>
      </c>
      <c r="E809" s="1060" t="s">
        <v>1082</v>
      </c>
      <c r="F809" s="745">
        <f xml:space="preserve"> ((K986*K1072*(1/K1158-1/K1244)*K1674)/1000)</f>
        <v>5825.9434927697412</v>
      </c>
      <c r="G809" s="243" t="s">
        <v>1025</v>
      </c>
      <c r="H809" s="170">
        <f>VLOOKUP(G809,'CP FACTORS'!$A$3:$B$38, 2, FALSE)</f>
        <v>0</v>
      </c>
      <c r="I809" s="1397">
        <f t="shared" si="57"/>
        <v>0</v>
      </c>
      <c r="J809" s="122">
        <f t="shared" si="58"/>
        <v>6</v>
      </c>
      <c r="K809" s="742">
        <f t="shared" si="59"/>
        <v>0</v>
      </c>
      <c r="L809" s="743"/>
      <c r="M809" s="1685"/>
      <c r="N809" s="130"/>
      <c r="O809" s="1516"/>
      <c r="P809" s="130"/>
      <c r="Q809" s="130"/>
      <c r="R809" s="1413"/>
      <c r="S809" s="1413"/>
      <c r="T809" s="130"/>
      <c r="U809" s="1686"/>
      <c r="V809" s="176" t="s">
        <v>19</v>
      </c>
      <c r="W809" s="746">
        <v>7823.7436343411837</v>
      </c>
      <c r="X809" s="741">
        <v>5825.9434927697412</v>
      </c>
      <c r="Y809" s="744"/>
      <c r="Z809" s="702"/>
      <c r="AA809" s="702"/>
      <c r="AB809" s="702"/>
      <c r="AC809" s="702"/>
      <c r="AD809" s="702"/>
      <c r="AE809" s="702"/>
      <c r="AF809" s="702"/>
      <c r="AG809" s="702"/>
    </row>
    <row r="810" spans="1:33" s="56" customFormat="1" x14ac:dyDescent="0.25">
      <c r="A810" s="597"/>
      <c r="B810" s="130"/>
      <c r="C810" s="115"/>
      <c r="D810" s="1660" t="s">
        <v>1772</v>
      </c>
      <c r="E810" s="1060" t="s">
        <v>1083</v>
      </c>
      <c r="F810" s="745">
        <f>((K1331*K1417*(1/K1503-1/K1589)*K1675)/1000)</f>
        <v>203.03523178807947</v>
      </c>
      <c r="G810" s="1675" t="s">
        <v>1054</v>
      </c>
      <c r="H810" s="170">
        <f>VLOOKUP(G810,'CP FACTORS'!$A$3:$B$38, 2, FALSE)</f>
        <v>9.4741810000000004E-4</v>
      </c>
      <c r="I810" s="1397">
        <f t="shared" si="57"/>
        <v>0.19235925353372185</v>
      </c>
      <c r="J810" s="122">
        <f t="shared" si="58"/>
        <v>12</v>
      </c>
      <c r="K810" s="742">
        <f t="shared" si="59"/>
        <v>0</v>
      </c>
      <c r="L810" s="743"/>
      <c r="M810" s="1685"/>
      <c r="N810" s="130"/>
      <c r="O810" s="1516"/>
      <c r="P810" s="130"/>
      <c r="Q810" s="130"/>
      <c r="R810" s="1413"/>
      <c r="S810" s="1413"/>
      <c r="T810" s="130"/>
      <c r="U810" s="1686"/>
      <c r="V810" s="176" t="s">
        <v>19</v>
      </c>
      <c r="W810" s="746">
        <v>203.03523178807947</v>
      </c>
      <c r="X810" s="745">
        <v>203.03523178807947</v>
      </c>
      <c r="Y810" s="744"/>
      <c r="Z810" s="702"/>
      <c r="AA810" s="702"/>
      <c r="AB810" s="702"/>
      <c r="AC810" s="702"/>
      <c r="AD810" s="702"/>
      <c r="AE810" s="702"/>
      <c r="AF810" s="702"/>
      <c r="AG810" s="702"/>
    </row>
    <row r="811" spans="1:33" s="56" customFormat="1" x14ac:dyDescent="0.25">
      <c r="A811" s="597"/>
      <c r="B811" s="130"/>
      <c r="C811" s="115"/>
      <c r="D811" s="1660" t="s">
        <v>1772</v>
      </c>
      <c r="E811" s="1061" t="s">
        <v>1083</v>
      </c>
      <c r="F811" s="745">
        <f xml:space="preserve"> ((K987*K1073*(1/K1159-1/K1245)*K1675)/1000)</f>
        <v>5825.9434927697412</v>
      </c>
      <c r="G811" s="1675" t="s">
        <v>1070</v>
      </c>
      <c r="H811" s="170">
        <f>VLOOKUP(G811,'CP FACTORS'!$A$3:$B$38, 2, FALSE)</f>
        <v>0</v>
      </c>
      <c r="I811" s="1397">
        <f t="shared" si="57"/>
        <v>0</v>
      </c>
      <c r="J811" s="122">
        <f t="shared" si="58"/>
        <v>12</v>
      </c>
      <c r="K811" s="742">
        <f t="shared" si="59"/>
        <v>0</v>
      </c>
      <c r="L811" s="743"/>
      <c r="M811" s="1685"/>
      <c r="N811" s="130"/>
      <c r="O811" s="1516"/>
      <c r="P811" s="130"/>
      <c r="Q811" s="130"/>
      <c r="R811" s="1413"/>
      <c r="S811" s="1413"/>
      <c r="T811" s="130"/>
      <c r="U811" s="1686"/>
      <c r="V811" s="176" t="s">
        <v>19</v>
      </c>
      <c r="W811" s="746">
        <v>7823.7436343411837</v>
      </c>
      <c r="X811" s="741">
        <v>5825.9434927697412</v>
      </c>
      <c r="Y811" s="744"/>
      <c r="Z811" s="702"/>
      <c r="AA811" s="702"/>
      <c r="AB811" s="702"/>
      <c r="AC811" s="702"/>
      <c r="AD811" s="702"/>
      <c r="AE811" s="702"/>
      <c r="AF811" s="702"/>
      <c r="AG811" s="702"/>
    </row>
    <row r="812" spans="1:33" s="56" customFormat="1" x14ac:dyDescent="0.25">
      <c r="A812" s="597"/>
      <c r="B812" s="130"/>
      <c r="C812" s="115"/>
      <c r="D812" s="1660" t="s">
        <v>1772</v>
      </c>
      <c r="E812" s="1687" t="s">
        <v>1084</v>
      </c>
      <c r="F812" s="745">
        <f>((K1332*K1418*(1/K1504-1/K1590)*K1676)/1000)</f>
        <v>196.21105263157907</v>
      </c>
      <c r="G812" s="243" t="s">
        <v>1023</v>
      </c>
      <c r="H812" s="170">
        <f>VLOOKUP(G812,'CP FACTORS'!$A$3:$B$38, 2, FALSE)</f>
        <v>9.4741810000000004E-4</v>
      </c>
      <c r="I812" s="1397">
        <f t="shared" si="57"/>
        <v>0.18589390268321065</v>
      </c>
      <c r="J812" s="122">
        <f t="shared" si="58"/>
        <v>18</v>
      </c>
      <c r="K812" s="742">
        <f t="shared" si="59"/>
        <v>512.07000000000005</v>
      </c>
      <c r="L812" s="743">
        <f>L988</f>
        <v>2.6</v>
      </c>
      <c r="M812" s="1685"/>
      <c r="N812" s="130"/>
      <c r="O812" s="1516"/>
      <c r="P812" s="130"/>
      <c r="Q812" s="130"/>
      <c r="R812" s="1413"/>
      <c r="S812" s="1413"/>
      <c r="T812" s="130"/>
      <c r="U812" s="1686"/>
      <c r="V812" s="176" t="s">
        <v>19</v>
      </c>
      <c r="W812" s="746">
        <v>196.21105263157907</v>
      </c>
      <c r="X812" s="746">
        <v>196.21105263157907</v>
      </c>
      <c r="Y812" s="747"/>
      <c r="Z812" s="702"/>
      <c r="AA812" s="702"/>
      <c r="AB812" s="702"/>
      <c r="AC812" s="702"/>
      <c r="AD812" s="702"/>
      <c r="AE812" s="702"/>
      <c r="AF812" s="702"/>
      <c r="AG812" s="702"/>
    </row>
    <row r="813" spans="1:33" s="56" customFormat="1" x14ac:dyDescent="0.25">
      <c r="A813" s="597"/>
      <c r="B813" s="130"/>
      <c r="C813" s="115"/>
      <c r="D813" s="1660" t="s">
        <v>1772</v>
      </c>
      <c r="E813" s="1688" t="s">
        <v>1084</v>
      </c>
      <c r="F813" s="745">
        <f xml:space="preserve"> ((K988*K1074*(1/K1160-1/K1246)*K1676)/1000)</f>
        <v>5369.2555138784683</v>
      </c>
      <c r="G813" s="243" t="s">
        <v>1025</v>
      </c>
      <c r="H813" s="170">
        <f>VLOOKUP(G813,'CP FACTORS'!$A$3:$B$38, 2, FALSE)</f>
        <v>0</v>
      </c>
      <c r="I813" s="1397">
        <f t="shared" si="57"/>
        <v>0</v>
      </c>
      <c r="J813" s="122">
        <f t="shared" si="58"/>
        <v>18</v>
      </c>
      <c r="K813" s="742">
        <f t="shared" si="59"/>
        <v>0</v>
      </c>
      <c r="L813" s="743"/>
      <c r="M813" s="1685"/>
      <c r="N813" s="130"/>
      <c r="O813" s="1516"/>
      <c r="P813" s="130"/>
      <c r="Q813" s="130"/>
      <c r="R813" s="1413"/>
      <c r="S813" s="1413"/>
      <c r="T813" s="130"/>
      <c r="U813" s="1686"/>
      <c r="V813" s="176" t="s">
        <v>19</v>
      </c>
      <c r="W813" s="746">
        <v>7210.4507535974899</v>
      </c>
      <c r="X813" s="741">
        <v>5369.2555138784683</v>
      </c>
      <c r="Y813" s="744"/>
      <c r="Z813" s="702"/>
      <c r="AA813" s="702"/>
      <c r="AB813" s="702"/>
      <c r="AC813" s="702"/>
      <c r="AD813" s="702"/>
      <c r="AE813" s="702"/>
      <c r="AF813" s="702"/>
      <c r="AG813" s="702"/>
    </row>
    <row r="814" spans="1:33" s="56" customFormat="1" x14ac:dyDescent="0.25">
      <c r="A814" s="597"/>
      <c r="B814" s="130"/>
      <c r="C814" s="115"/>
      <c r="D814" s="1660" t="s">
        <v>1772</v>
      </c>
      <c r="E814" s="1684" t="s">
        <v>1085</v>
      </c>
      <c r="F814" s="745">
        <f>((K1333*K1419*(1/K1505-1/K1591)*K1677)/1000)</f>
        <v>1287.2375465186074</v>
      </c>
      <c r="G814" s="243" t="s">
        <v>1023</v>
      </c>
      <c r="H814" s="170">
        <f>VLOOKUP(G814,'CP FACTORS'!$A$3:$B$38, 2, FALSE)</f>
        <v>9.4741810000000004E-4</v>
      </c>
      <c r="I814" s="1397">
        <f t="shared" si="57"/>
        <v>1.2195521505713207</v>
      </c>
      <c r="J814" s="122">
        <f t="shared" si="58"/>
        <v>6</v>
      </c>
      <c r="K814" s="742">
        <f t="shared" si="59"/>
        <v>1446.1931619658126</v>
      </c>
      <c r="L814" s="743">
        <f>L989</f>
        <v>3.3</v>
      </c>
      <c r="M814" s="1685"/>
      <c r="N814" s="130"/>
      <c r="O814" s="1516"/>
      <c r="P814" s="130"/>
      <c r="Q814" s="130"/>
      <c r="R814" s="1413"/>
      <c r="S814" s="1413"/>
      <c r="T814" s="130"/>
      <c r="U814" s="1686"/>
      <c r="V814" s="176" t="s">
        <v>19</v>
      </c>
      <c r="W814" s="746">
        <v>1708.6712500000001</v>
      </c>
      <c r="X814" s="741">
        <v>1287.2375465186074</v>
      </c>
      <c r="Y814" s="744"/>
      <c r="Z814" s="702"/>
      <c r="AA814" s="702"/>
      <c r="AB814" s="702"/>
      <c r="AC814" s="702"/>
      <c r="AD814" s="702"/>
      <c r="AE814" s="702"/>
      <c r="AF814" s="702"/>
      <c r="AG814" s="702"/>
    </row>
    <row r="815" spans="1:33" s="56" customFormat="1" x14ac:dyDescent="0.25">
      <c r="A815" s="597"/>
      <c r="B815" s="130"/>
      <c r="C815" s="115"/>
      <c r="D815" s="1660" t="s">
        <v>1772</v>
      </c>
      <c r="E815" s="1060" t="s">
        <v>1085</v>
      </c>
      <c r="F815" s="745">
        <f xml:space="preserve"> ((K989*K1075*(1/K1161-1/K1247)*K1677)/1000)</f>
        <v>1798.7611070228763</v>
      </c>
      <c r="G815" s="243" t="s">
        <v>1025</v>
      </c>
      <c r="H815" s="170">
        <f>VLOOKUP(G815,'CP FACTORS'!$A$3:$B$38, 2, FALSE)</f>
        <v>0</v>
      </c>
      <c r="I815" s="1397">
        <f t="shared" si="57"/>
        <v>0</v>
      </c>
      <c r="J815" s="122">
        <f t="shared" si="58"/>
        <v>6</v>
      </c>
      <c r="K815" s="742">
        <f t="shared" si="59"/>
        <v>0</v>
      </c>
      <c r="L815" s="743"/>
      <c r="M815" s="1685"/>
      <c r="N815" s="130"/>
      <c r="O815" s="1516"/>
      <c r="P815" s="130"/>
      <c r="Q815" s="130"/>
      <c r="R815" s="1413"/>
      <c r="S815" s="1413"/>
      <c r="T815" s="130"/>
      <c r="U815" s="1686"/>
      <c r="V815" s="176" t="s">
        <v>19</v>
      </c>
      <c r="W815" s="746">
        <v>4062.4872213622284</v>
      </c>
      <c r="X815" s="741">
        <v>1798.7611070228763</v>
      </c>
      <c r="Y815" s="744"/>
      <c r="Z815" s="702"/>
      <c r="AA815" s="702"/>
      <c r="AB815" s="702"/>
      <c r="AC815" s="702"/>
      <c r="AD815" s="702"/>
      <c r="AE815" s="702"/>
      <c r="AF815" s="702"/>
      <c r="AG815" s="702"/>
    </row>
    <row r="816" spans="1:33" s="56" customFormat="1" x14ac:dyDescent="0.25">
      <c r="A816" s="597"/>
      <c r="B816" s="130"/>
      <c r="C816" s="115"/>
      <c r="D816" s="1660" t="s">
        <v>1772</v>
      </c>
      <c r="E816" s="1060" t="s">
        <v>1086</v>
      </c>
      <c r="F816" s="745">
        <f>((K1334*K1420*(1/K1506-1/K1592)*K1678)/1000)</f>
        <v>199.71482142857135</v>
      </c>
      <c r="G816" s="1675" t="s">
        <v>1054</v>
      </c>
      <c r="H816" s="170">
        <f>VLOOKUP(G816,'CP FACTORS'!$A$3:$B$38, 2, FALSE)</f>
        <v>9.4741810000000004E-4</v>
      </c>
      <c r="I816" s="1397">
        <f t="shared" si="57"/>
        <v>0.18921343665969637</v>
      </c>
      <c r="J816" s="122">
        <f t="shared" si="58"/>
        <v>12</v>
      </c>
      <c r="K816" s="742">
        <f t="shared" si="59"/>
        <v>0</v>
      </c>
      <c r="L816" s="743"/>
      <c r="M816" s="1685"/>
      <c r="N816" s="130"/>
      <c r="O816" s="1516"/>
      <c r="P816" s="130"/>
      <c r="Q816" s="130"/>
      <c r="R816" s="1413"/>
      <c r="S816" s="1413"/>
      <c r="T816" s="130"/>
      <c r="U816" s="1686"/>
      <c r="V816" s="176" t="s">
        <v>19</v>
      </c>
      <c r="W816" s="746">
        <v>199.71482142857135</v>
      </c>
      <c r="X816" s="741">
        <v>199.71482142857135</v>
      </c>
      <c r="Y816" s="744"/>
      <c r="Z816" s="702"/>
      <c r="AA816" s="702"/>
      <c r="AB816" s="702"/>
      <c r="AC816" s="702"/>
      <c r="AD816" s="702"/>
      <c r="AE816" s="702"/>
      <c r="AF816" s="702"/>
      <c r="AG816" s="702"/>
    </row>
    <row r="817" spans="1:33" s="56" customFormat="1" x14ac:dyDescent="0.25">
      <c r="A817" s="597"/>
      <c r="B817" s="130"/>
      <c r="C817" s="115"/>
      <c r="D817" s="1660" t="s">
        <v>1772</v>
      </c>
      <c r="E817" s="1061" t="s">
        <v>1086</v>
      </c>
      <c r="F817" s="745">
        <f xml:space="preserve"> ((K990*K1076*(1/K1162-1/K1248)*K1678)/1000)</f>
        <v>642.6078562259313</v>
      </c>
      <c r="G817" s="1675" t="s">
        <v>1070</v>
      </c>
      <c r="H817" s="170">
        <f>VLOOKUP(G817,'CP FACTORS'!$A$3:$B$38, 2, FALSE)</f>
        <v>0</v>
      </c>
      <c r="I817" s="1397">
        <f t="shared" si="57"/>
        <v>0</v>
      </c>
      <c r="J817" s="122">
        <f t="shared" si="58"/>
        <v>12</v>
      </c>
      <c r="K817" s="742">
        <f t="shared" si="59"/>
        <v>0</v>
      </c>
      <c r="L817" s="743"/>
      <c r="M817" s="1685"/>
      <c r="N817" s="130"/>
      <c r="O817" s="1516"/>
      <c r="P817" s="130"/>
      <c r="Q817" s="130"/>
      <c r="R817" s="1413"/>
      <c r="S817" s="1413"/>
      <c r="T817" s="130"/>
      <c r="U817" s="1686"/>
      <c r="V817" s="176" t="s">
        <v>19</v>
      </c>
      <c r="W817" s="746">
        <v>862.96736842105349</v>
      </c>
      <c r="X817" s="741">
        <v>642.6078562259313</v>
      </c>
      <c r="Y817" s="744"/>
      <c r="Z817" s="702"/>
      <c r="AA817" s="702"/>
      <c r="AB817" s="702"/>
      <c r="AC817" s="702"/>
      <c r="AD817" s="702"/>
      <c r="AE817" s="702"/>
      <c r="AF817" s="702"/>
      <c r="AG817" s="702"/>
    </row>
    <row r="818" spans="1:33" s="56" customFormat="1" x14ac:dyDescent="0.25">
      <c r="A818" s="597"/>
      <c r="B818" s="130"/>
      <c r="C818" s="115"/>
      <c r="D818" s="1660" t="s">
        <v>1772</v>
      </c>
      <c r="E818" s="1687" t="s">
        <v>1087</v>
      </c>
      <c r="F818" s="745">
        <f>((K1335*K1421*(1/K1507-1/K1593)*K1679)/1000)</f>
        <v>199.71482142857135</v>
      </c>
      <c r="G818" s="243" t="s">
        <v>1023</v>
      </c>
      <c r="H818" s="170">
        <f>VLOOKUP(G818,'CP FACTORS'!$A$3:$B$38, 2, FALSE)</f>
        <v>9.4741810000000004E-4</v>
      </c>
      <c r="I818" s="1397">
        <f t="shared" si="57"/>
        <v>0.18921343665969637</v>
      </c>
      <c r="J818" s="122">
        <f t="shared" si="58"/>
        <v>18</v>
      </c>
      <c r="K818" s="742">
        <f t="shared" si="59"/>
        <v>842.34149999999988</v>
      </c>
      <c r="L818" s="743">
        <f>L991</f>
        <v>3.3</v>
      </c>
      <c r="M818" s="1685"/>
      <c r="N818" s="130"/>
      <c r="O818" s="1516"/>
      <c r="P818" s="130"/>
      <c r="Q818" s="130"/>
      <c r="R818" s="1413"/>
      <c r="S818" s="1413"/>
      <c r="T818" s="130"/>
      <c r="U818" s="1686"/>
      <c r="V818" s="176" t="s">
        <v>19</v>
      </c>
      <c r="W818" s="746">
        <v>199.71482142857135</v>
      </c>
      <c r="X818" s="746">
        <v>199.71482142857135</v>
      </c>
      <c r="Y818" s="744"/>
      <c r="Z818" s="702"/>
      <c r="AA818" s="702"/>
      <c r="AB818" s="702"/>
      <c r="AC818" s="702"/>
      <c r="AD818" s="702"/>
      <c r="AE818" s="702"/>
      <c r="AF818" s="702"/>
      <c r="AG818" s="702"/>
    </row>
    <row r="819" spans="1:33" s="56" customFormat="1" x14ac:dyDescent="0.25">
      <c r="A819" s="597"/>
      <c r="B819" s="130"/>
      <c r="C819" s="115"/>
      <c r="D819" s="1660" t="s">
        <v>1772</v>
      </c>
      <c r="E819" s="1688" t="s">
        <v>1087</v>
      </c>
      <c r="F819" s="745">
        <f xml:space="preserve"> ((K991*K1077*(1/K1163-1/K1249)*K1679)/1000)</f>
        <v>766.69069188651167</v>
      </c>
      <c r="G819" s="243" t="s">
        <v>1025</v>
      </c>
      <c r="H819" s="170">
        <f>VLOOKUP(G819,'CP FACTORS'!$A$3:$B$38, 2, FALSE)</f>
        <v>0</v>
      </c>
      <c r="I819" s="1397">
        <f t="shared" si="57"/>
        <v>0</v>
      </c>
      <c r="J819" s="122">
        <f t="shared" si="58"/>
        <v>18</v>
      </c>
      <c r="K819" s="742">
        <f t="shared" si="59"/>
        <v>0</v>
      </c>
      <c r="L819" s="743"/>
      <c r="M819" s="1685"/>
      <c r="N819" s="130"/>
      <c r="O819" s="1516"/>
      <c r="P819" s="130"/>
      <c r="Q819" s="130"/>
      <c r="R819" s="1413"/>
      <c r="S819" s="1413"/>
      <c r="T819" s="130"/>
      <c r="U819" s="1686"/>
      <c r="V819" s="176" t="s">
        <v>19</v>
      </c>
      <c r="W819" s="746">
        <v>1029.6000000000013</v>
      </c>
      <c r="X819" s="741">
        <v>766.69069188651167</v>
      </c>
      <c r="Y819" s="744"/>
      <c r="Z819" s="702"/>
      <c r="AA819" s="702"/>
      <c r="AB819" s="702"/>
      <c r="AC819" s="702"/>
      <c r="AD819" s="702"/>
      <c r="AE819" s="702"/>
      <c r="AF819" s="702"/>
      <c r="AG819" s="702"/>
    </row>
    <row r="820" spans="1:33" s="56" customFormat="1" x14ac:dyDescent="0.25">
      <c r="A820" s="597"/>
      <c r="B820" s="130"/>
      <c r="C820" s="115"/>
      <c r="D820" s="1660" t="s">
        <v>1772</v>
      </c>
      <c r="E820" s="1687" t="s">
        <v>1088</v>
      </c>
      <c r="F820" s="745">
        <f>((K1336*K1422*(1/K1508-1/K1594)*K1680)/1000)</f>
        <v>312.84000000000009</v>
      </c>
      <c r="G820" s="243" t="s">
        <v>1023</v>
      </c>
      <c r="H820" s="170">
        <f>VLOOKUP(G820,'CP FACTORS'!$A$3:$B$38, 2, FALSE)</f>
        <v>9.4741810000000004E-4</v>
      </c>
      <c r="I820" s="1397">
        <f t="shared" si="57"/>
        <v>0.29639027840400012</v>
      </c>
      <c r="J820" s="122">
        <f t="shared" si="58"/>
        <v>18</v>
      </c>
      <c r="K820" s="742">
        <f t="shared" si="59"/>
        <v>816.81600000000014</v>
      </c>
      <c r="L820" s="743">
        <f>L992</f>
        <v>3.2</v>
      </c>
      <c r="M820" s="1685"/>
      <c r="N820" s="130"/>
      <c r="O820" s="1516"/>
      <c r="P820" s="130"/>
      <c r="Q820" s="130"/>
      <c r="R820" s="1413"/>
      <c r="S820" s="1413"/>
      <c r="T820" s="130"/>
      <c r="U820" s="1686"/>
      <c r="V820" s="176" t="s">
        <v>19</v>
      </c>
      <c r="W820" s="746">
        <v>312.84000000000009</v>
      </c>
      <c r="X820" s="745">
        <v>312.84000000000009</v>
      </c>
      <c r="Y820" s="744"/>
      <c r="Z820" s="702"/>
      <c r="AA820" s="702"/>
      <c r="AB820" s="702"/>
      <c r="AC820" s="702"/>
      <c r="AD820" s="702"/>
      <c r="AE820" s="702"/>
      <c r="AF820" s="702"/>
      <c r="AG820" s="702"/>
    </row>
    <row r="821" spans="1:33" s="56" customFormat="1" x14ac:dyDescent="0.25">
      <c r="A821" s="597"/>
      <c r="B821" s="130"/>
      <c r="C821" s="115"/>
      <c r="D821" s="1660" t="s">
        <v>1772</v>
      </c>
      <c r="E821" s="1688" t="s">
        <v>1088</v>
      </c>
      <c r="F821" s="745">
        <f xml:space="preserve"> ((K992*K1078*(1/K1164-1/K1250)*K1680)/1000)</f>
        <v>7100.6925174592607</v>
      </c>
      <c r="G821" s="243" t="s">
        <v>1025</v>
      </c>
      <c r="H821" s="170">
        <f>VLOOKUP(G821,'CP FACTORS'!$A$3:$B$38, 2, FALSE)</f>
        <v>0</v>
      </c>
      <c r="I821" s="1397">
        <f t="shared" si="57"/>
        <v>0</v>
      </c>
      <c r="J821" s="122">
        <f t="shared" si="58"/>
        <v>18</v>
      </c>
      <c r="K821" s="742">
        <f t="shared" si="59"/>
        <v>0</v>
      </c>
      <c r="L821" s="743"/>
      <c r="M821" s="1685"/>
      <c r="N821" s="130"/>
      <c r="O821" s="1516"/>
      <c r="P821" s="130"/>
      <c r="Q821" s="130"/>
      <c r="R821" s="1413"/>
      <c r="S821" s="1413"/>
      <c r="T821" s="130"/>
      <c r="U821" s="1686"/>
      <c r="V821" s="176" t="s">
        <v>19</v>
      </c>
      <c r="W821" s="746">
        <v>9535.6225050639387</v>
      </c>
      <c r="X821" s="741">
        <v>7100.6925174592607</v>
      </c>
      <c r="Y821" s="744"/>
      <c r="Z821" s="702"/>
      <c r="AA821" s="702"/>
      <c r="AB821" s="702"/>
      <c r="AC821" s="702"/>
      <c r="AD821" s="702"/>
      <c r="AE821" s="702"/>
      <c r="AF821" s="702"/>
      <c r="AG821" s="702"/>
    </row>
    <row r="822" spans="1:33" s="56" customFormat="1" ht="30" x14ac:dyDescent="0.25">
      <c r="A822" s="597"/>
      <c r="B822" s="130"/>
      <c r="C822" s="115"/>
      <c r="D822" s="1660" t="s">
        <v>1772</v>
      </c>
      <c r="E822" s="1684" t="s">
        <v>1089</v>
      </c>
      <c r="F822" s="745">
        <f>((K1337*K1423*(1/K1509-1/K1595)*K1681)/1000)</f>
        <v>1209.2231497599041</v>
      </c>
      <c r="G822" s="243" t="s">
        <v>1023</v>
      </c>
      <c r="H822" s="170">
        <f>VLOOKUP(G822,'CP FACTORS'!$A$3:$B$38, 2, FALSE)</f>
        <v>9.4741810000000004E-4</v>
      </c>
      <c r="I822" s="1397">
        <f t="shared" si="57"/>
        <v>1.145639899021544</v>
      </c>
      <c r="J822" s="122">
        <f t="shared" si="58"/>
        <v>6</v>
      </c>
      <c r="K822" s="742">
        <f t="shared" si="59"/>
        <v>1358.5450915436422</v>
      </c>
      <c r="L822" s="743">
        <f>L993</f>
        <v>3.1</v>
      </c>
      <c r="M822" s="1685"/>
      <c r="N822" s="130"/>
      <c r="O822" s="1516"/>
      <c r="P822" s="130"/>
      <c r="Q822" s="130"/>
      <c r="R822" s="1413"/>
      <c r="S822" s="1413"/>
      <c r="T822" s="130"/>
      <c r="U822" s="1686"/>
      <c r="V822" s="176" t="s">
        <v>19</v>
      </c>
      <c r="W822" s="746">
        <v>1776.7855147058826</v>
      </c>
      <c r="X822" s="741">
        <v>1209.2231497599041</v>
      </c>
      <c r="Y822" s="744"/>
      <c r="Z822" s="702"/>
      <c r="AA822" s="702"/>
      <c r="AB822" s="702"/>
      <c r="AC822" s="702"/>
      <c r="AD822" s="702"/>
      <c r="AE822" s="702"/>
      <c r="AF822" s="702"/>
      <c r="AG822" s="702"/>
    </row>
    <row r="823" spans="1:33" s="56" customFormat="1" ht="30" x14ac:dyDescent="0.25">
      <c r="A823" s="597"/>
      <c r="B823" s="130"/>
      <c r="C823" s="115"/>
      <c r="D823" s="1660" t="s">
        <v>1772</v>
      </c>
      <c r="E823" s="1060" t="s">
        <v>1089</v>
      </c>
      <c r="F823" s="745">
        <f xml:space="preserve"> ((K993*K1079*(1/K1165-1/K1251)*K1681)/1000)</f>
        <v>6759.7787234042544</v>
      </c>
      <c r="G823" s="243" t="s">
        <v>1025</v>
      </c>
      <c r="H823" s="170">
        <f>VLOOKUP(G823,'CP FACTORS'!$A$3:$B$38, 2, FALSE)</f>
        <v>0</v>
      </c>
      <c r="I823" s="1397">
        <f t="shared" si="57"/>
        <v>0</v>
      </c>
      <c r="J823" s="122">
        <f t="shared" si="58"/>
        <v>6</v>
      </c>
      <c r="K823" s="742">
        <f t="shared" si="59"/>
        <v>0</v>
      </c>
      <c r="L823" s="743"/>
      <c r="M823" s="1685"/>
      <c r="N823" s="130"/>
      <c r="O823" s="1516"/>
      <c r="P823" s="130"/>
      <c r="Q823" s="130"/>
      <c r="R823" s="1413"/>
      <c r="S823" s="1413"/>
      <c r="T823" s="130"/>
      <c r="U823" s="1686"/>
      <c r="V823" s="176" t="s">
        <v>19</v>
      </c>
      <c r="W823" s="746">
        <v>9077.8044487427451</v>
      </c>
      <c r="X823" s="741">
        <v>6759.7787234042544</v>
      </c>
      <c r="Y823" s="744"/>
      <c r="Z823" s="702"/>
      <c r="AA823" s="702"/>
      <c r="AB823" s="702"/>
      <c r="AC823" s="702"/>
      <c r="AD823" s="702"/>
      <c r="AE823" s="702"/>
      <c r="AF823" s="702"/>
      <c r="AG823" s="702"/>
    </row>
    <row r="824" spans="1:33" s="56" customFormat="1" ht="30" x14ac:dyDescent="0.25">
      <c r="A824" s="597"/>
      <c r="B824" s="130"/>
      <c r="C824" s="115"/>
      <c r="D824" s="1660" t="s">
        <v>1772</v>
      </c>
      <c r="E824" s="1060" t="s">
        <v>1090</v>
      </c>
      <c r="F824" s="745">
        <f>((K1338*K1424*(1/K1510-1/K1596)*K1682)/1000)</f>
        <v>303.06375000000014</v>
      </c>
      <c r="G824" s="1675" t="s">
        <v>1054</v>
      </c>
      <c r="H824" s="170">
        <f>VLOOKUP(G824,'CP FACTORS'!$A$3:$B$38, 2, FALSE)</f>
        <v>9.4741810000000004E-4</v>
      </c>
      <c r="I824" s="1397">
        <f t="shared" si="57"/>
        <v>0.28712808220387515</v>
      </c>
      <c r="J824" s="122">
        <f t="shared" si="58"/>
        <v>12</v>
      </c>
      <c r="K824" s="742">
        <f t="shared" si="59"/>
        <v>0</v>
      </c>
      <c r="L824" s="743"/>
      <c r="M824" s="1685"/>
      <c r="N824" s="130"/>
      <c r="O824" s="1516"/>
      <c r="P824" s="130"/>
      <c r="Q824" s="130"/>
      <c r="R824" s="1413"/>
      <c r="S824" s="1413"/>
      <c r="T824" s="130"/>
      <c r="U824" s="1686"/>
      <c r="V824" s="176" t="s">
        <v>19</v>
      </c>
      <c r="W824" s="746">
        <v>303.06375000000014</v>
      </c>
      <c r="X824" s="745">
        <v>303.06375000000014</v>
      </c>
      <c r="Y824" s="744"/>
      <c r="Z824" s="702"/>
      <c r="AA824" s="702"/>
      <c r="AB824" s="702"/>
      <c r="AC824" s="702"/>
      <c r="AD824" s="702"/>
      <c r="AE824" s="702"/>
      <c r="AF824" s="702"/>
      <c r="AG824" s="702"/>
    </row>
    <row r="825" spans="1:33" s="56" customFormat="1" ht="30" x14ac:dyDescent="0.25">
      <c r="A825" s="597"/>
      <c r="B825" s="130"/>
      <c r="C825" s="115"/>
      <c r="D825" s="1660" t="s">
        <v>1772</v>
      </c>
      <c r="E825" s="1061" t="s">
        <v>1090</v>
      </c>
      <c r="F825" s="745">
        <f xml:space="preserve"> ((K994*K1080*(1/K1166-1/K1252)*K1682)/1000)</f>
        <v>6759.7787234042544</v>
      </c>
      <c r="G825" s="1675" t="s">
        <v>1070</v>
      </c>
      <c r="H825" s="170">
        <f>VLOOKUP(G825,'CP FACTORS'!$A$3:$B$38, 2, FALSE)</f>
        <v>0</v>
      </c>
      <c r="I825" s="1397">
        <f t="shared" si="57"/>
        <v>0</v>
      </c>
      <c r="J825" s="122">
        <f t="shared" si="58"/>
        <v>12</v>
      </c>
      <c r="K825" s="742">
        <f t="shared" si="59"/>
        <v>0</v>
      </c>
      <c r="L825" s="743"/>
      <c r="M825" s="1685"/>
      <c r="N825" s="130"/>
      <c r="O825" s="1516"/>
      <c r="P825" s="130"/>
      <c r="Q825" s="130"/>
      <c r="R825" s="1413"/>
      <c r="S825" s="1413"/>
      <c r="T825" s="130"/>
      <c r="U825" s="1686"/>
      <c r="V825" s="176" t="s">
        <v>19</v>
      </c>
      <c r="W825" s="746">
        <v>9077.8044487427451</v>
      </c>
      <c r="X825" s="741">
        <v>6759.7787234042544</v>
      </c>
      <c r="Y825" s="744"/>
      <c r="Z825" s="702"/>
      <c r="AA825" s="702"/>
      <c r="AB825" s="702"/>
      <c r="AC825" s="702"/>
      <c r="AD825" s="702"/>
      <c r="AE825" s="702"/>
      <c r="AF825" s="702"/>
      <c r="AG825" s="702"/>
    </row>
    <row r="826" spans="1:33" s="56" customFormat="1" x14ac:dyDescent="0.25">
      <c r="A826" s="597"/>
      <c r="B826" s="130"/>
      <c r="C826" s="115"/>
      <c r="D826" s="1660" t="s">
        <v>1772</v>
      </c>
      <c r="E826" s="1689" t="s">
        <v>1091</v>
      </c>
      <c r="F826" s="745">
        <f>((K1339*K1425*(1/K1511-1/K1597)*K1683)/1000)</f>
        <v>109.33614947965923</v>
      </c>
      <c r="G826" s="243" t="s">
        <v>1023</v>
      </c>
      <c r="H826" s="170">
        <f>VLOOKUP(G826,'CP FACTORS'!$A$3:$B$38, 2, FALSE)</f>
        <v>9.4741810000000004E-4</v>
      </c>
      <c r="I826" s="1397">
        <f t="shared" si="57"/>
        <v>0.10358704700133474</v>
      </c>
      <c r="J826" s="122">
        <f t="shared" si="58"/>
        <v>18</v>
      </c>
      <c r="K826" s="742">
        <f t="shared" si="59"/>
        <v>610.54500000000007</v>
      </c>
      <c r="L826" s="743">
        <f>L995</f>
        <v>3.1</v>
      </c>
      <c r="M826" s="1685"/>
      <c r="N826" s="130"/>
      <c r="O826" s="1516"/>
      <c r="P826" s="130"/>
      <c r="Q826" s="130"/>
      <c r="R826" s="1413"/>
      <c r="S826" s="1413"/>
      <c r="T826" s="130"/>
      <c r="U826" s="1686"/>
      <c r="V826" s="176" t="s">
        <v>19</v>
      </c>
      <c r="W826" s="746">
        <v>109.33614947965923</v>
      </c>
      <c r="X826" s="745">
        <v>109.33614947965923</v>
      </c>
      <c r="Y826" s="744"/>
      <c r="Z826" s="702"/>
      <c r="AA826" s="702"/>
      <c r="AB826" s="702"/>
      <c r="AC826" s="702"/>
      <c r="AD826" s="702"/>
      <c r="AE826" s="702"/>
      <c r="AF826" s="702"/>
      <c r="AG826" s="702"/>
    </row>
    <row r="827" spans="1:33" s="56" customFormat="1" x14ac:dyDescent="0.25">
      <c r="A827" s="597"/>
      <c r="B827" s="130"/>
      <c r="C827" s="115"/>
      <c r="D827" s="1660" t="s">
        <v>1772</v>
      </c>
      <c r="E827" s="1690" t="s">
        <v>1091</v>
      </c>
      <c r="F827" s="745">
        <f xml:space="preserve"> ((K995*K1081*(1/K1167-1/K1253)*K1683)/1000)</f>
        <v>253.52733389402857</v>
      </c>
      <c r="G827" s="243" t="s">
        <v>1025</v>
      </c>
      <c r="H827" s="170">
        <f>VLOOKUP(G827,'CP FACTORS'!$A$3:$B$38, 2, FALSE)</f>
        <v>0</v>
      </c>
      <c r="I827" s="1397">
        <f t="shared" si="57"/>
        <v>0</v>
      </c>
      <c r="J827" s="122">
        <f t="shared" si="58"/>
        <v>18</v>
      </c>
      <c r="K827" s="742">
        <f t="shared" si="59"/>
        <v>0</v>
      </c>
      <c r="L827" s="743"/>
      <c r="M827" s="1685"/>
      <c r="N827" s="130"/>
      <c r="O827" s="1516"/>
      <c r="P827" s="130"/>
      <c r="Q827" s="130"/>
      <c r="R827" s="1413"/>
      <c r="S827" s="1413"/>
      <c r="T827" s="130"/>
      <c r="U827" s="1686"/>
      <c r="V827" s="176" t="s">
        <v>19</v>
      </c>
      <c r="W827" s="746">
        <v>340.46551724137925</v>
      </c>
      <c r="X827" s="741">
        <v>253.52733389402857</v>
      </c>
      <c r="Y827" s="744"/>
      <c r="Z827" s="702"/>
      <c r="AA827" s="702"/>
      <c r="AB827" s="702"/>
      <c r="AC827" s="702"/>
      <c r="AD827" s="702"/>
      <c r="AE827" s="702"/>
      <c r="AF827" s="702"/>
      <c r="AG827" s="702"/>
    </row>
    <row r="828" spans="1:33" s="56" customFormat="1" x14ac:dyDescent="0.25">
      <c r="A828" s="597"/>
      <c r="B828" s="130"/>
      <c r="C828" s="115"/>
      <c r="D828" s="1660" t="s">
        <v>1773</v>
      </c>
      <c r="E828" s="1687" t="s">
        <v>1092</v>
      </c>
      <c r="F828" s="745">
        <f>((K1340*K1426*(1/K1512-1/K1598)*K1684)/1000)</f>
        <v>1787.6571428571426</v>
      </c>
      <c r="G828" s="243" t="s">
        <v>1023</v>
      </c>
      <c r="H828" s="170">
        <f>VLOOKUP(G828,'CP FACTORS'!$A$3:$B$38, 2, FALSE)</f>
        <v>9.4741810000000004E-4</v>
      </c>
      <c r="I828" s="1397">
        <f t="shared" si="57"/>
        <v>1.6936587337371427</v>
      </c>
      <c r="J828" s="122">
        <f t="shared" si="58"/>
        <v>18</v>
      </c>
      <c r="K828" s="742">
        <f t="shared" si="59"/>
        <v>1624</v>
      </c>
      <c r="L828" s="743">
        <f>L996</f>
        <v>2.8</v>
      </c>
      <c r="M828" s="1685"/>
      <c r="N828" s="130"/>
      <c r="O828" s="1516"/>
      <c r="P828" s="130"/>
      <c r="Q828" s="130"/>
      <c r="R828" s="1413"/>
      <c r="S828" s="1413"/>
      <c r="T828" s="130"/>
      <c r="U828" s="1686"/>
      <c r="V828" s="176" t="s">
        <v>19</v>
      </c>
      <c r="W828" s="746">
        <v>2576.329411764706</v>
      </c>
      <c r="X828" s="741">
        <v>1787.6571428571426</v>
      </c>
      <c r="Y828" s="744"/>
      <c r="Z828" s="702"/>
      <c r="AA828" s="702"/>
      <c r="AB828" s="702"/>
      <c r="AC828" s="702"/>
      <c r="AD828" s="702"/>
      <c r="AE828" s="702"/>
      <c r="AF828" s="702"/>
      <c r="AG828" s="702"/>
    </row>
    <row r="829" spans="1:33" s="56" customFormat="1" x14ac:dyDescent="0.25">
      <c r="A829" s="597"/>
      <c r="B829" s="130"/>
      <c r="C829" s="115"/>
      <c r="D829" s="1660" t="s">
        <v>1773</v>
      </c>
      <c r="E829" s="1688" t="s">
        <v>1092</v>
      </c>
      <c r="F829" s="745">
        <f xml:space="preserve"> ((K996*K1082*(1/K1168-1/K1254)*K1684)/1000)</f>
        <v>9558.6245427336198</v>
      </c>
      <c r="G829" s="243" t="s">
        <v>1025</v>
      </c>
      <c r="H829" s="170">
        <f>VLOOKUP(G829,'CP FACTORS'!$A$3:$B$38, 2, FALSE)</f>
        <v>0</v>
      </c>
      <c r="I829" s="1397">
        <f t="shared" si="57"/>
        <v>0</v>
      </c>
      <c r="J829" s="122">
        <f t="shared" si="58"/>
        <v>18</v>
      </c>
      <c r="K829" s="742">
        <f t="shared" si="59"/>
        <v>0</v>
      </c>
      <c r="L829" s="743"/>
      <c r="M829" s="1685"/>
      <c r="N829" s="130"/>
      <c r="O829" s="1516"/>
      <c r="P829" s="130"/>
      <c r="Q829" s="130"/>
      <c r="R829" s="1413"/>
      <c r="S829" s="1413"/>
      <c r="T829" s="130"/>
      <c r="U829" s="1686"/>
      <c r="V829" s="176" t="s">
        <v>19</v>
      </c>
      <c r="W829" s="746">
        <v>12836.414910662994</v>
      </c>
      <c r="X829" s="741">
        <v>9558.6245427336198</v>
      </c>
      <c r="Y829" s="744"/>
      <c r="Z829" s="702"/>
      <c r="AA829" s="702"/>
      <c r="AB829" s="702"/>
      <c r="AC829" s="702"/>
      <c r="AD829" s="702"/>
      <c r="AE829" s="702"/>
      <c r="AF829" s="702"/>
      <c r="AG829" s="702"/>
    </row>
    <row r="830" spans="1:33" s="56" customFormat="1" x14ac:dyDescent="0.25">
      <c r="A830" s="597"/>
      <c r="B830" s="130"/>
      <c r="C830" s="115"/>
      <c r="D830" s="1660" t="s">
        <v>1772</v>
      </c>
      <c r="E830" s="1687" t="s">
        <v>1093</v>
      </c>
      <c r="F830" s="745">
        <f>((K1341*K1427*(1/K1513-1/K1599)*K1685)/1000)</f>
        <v>1161.9771428571428</v>
      </c>
      <c r="G830" s="243" t="s">
        <v>1023</v>
      </c>
      <c r="H830" s="170">
        <f>VLOOKUP(G830,'CP FACTORS'!$A$3:$B$38, 2, FALSE)</f>
        <v>9.4741810000000004E-4</v>
      </c>
      <c r="I830" s="1397">
        <f t="shared" si="57"/>
        <v>1.1008781769291429</v>
      </c>
      <c r="J830" s="122">
        <f t="shared" si="58"/>
        <v>18</v>
      </c>
      <c r="K830" s="742">
        <f t="shared" si="59"/>
        <v>1055.6000000000001</v>
      </c>
      <c r="L830" s="743">
        <f>L997</f>
        <v>2.8</v>
      </c>
      <c r="M830" s="1685"/>
      <c r="N830" s="130"/>
      <c r="O830" s="1516"/>
      <c r="P830" s="130"/>
      <c r="Q830" s="130"/>
      <c r="R830" s="1413"/>
      <c r="S830" s="1413"/>
      <c r="T830" s="130"/>
      <c r="U830" s="1686"/>
      <c r="V830" s="176" t="s">
        <v>19</v>
      </c>
      <c r="W830" s="746">
        <v>1674.6141176470589</v>
      </c>
      <c r="X830" s="741">
        <v>1161.9771428571428</v>
      </c>
      <c r="Y830" s="744"/>
      <c r="Z830" s="702"/>
      <c r="AA830" s="702"/>
      <c r="AB830" s="702"/>
      <c r="AC830" s="702"/>
      <c r="AD830" s="702"/>
      <c r="AE830" s="702"/>
      <c r="AF830" s="702"/>
      <c r="AG830" s="702"/>
    </row>
    <row r="831" spans="1:33" s="56" customFormat="1" x14ac:dyDescent="0.25">
      <c r="A831" s="597"/>
      <c r="B831" s="130"/>
      <c r="C831" s="115"/>
      <c r="D831" s="1660" t="s">
        <v>1772</v>
      </c>
      <c r="E831" s="1688" t="s">
        <v>1093</v>
      </c>
      <c r="F831" s="745">
        <f xml:space="preserve"> ((K997*K1083*(1/K1169-1/K1255)*K1685)/1000)</f>
        <v>6213.105952776853</v>
      </c>
      <c r="G831" s="243" t="s">
        <v>1025</v>
      </c>
      <c r="H831" s="170">
        <f>VLOOKUP(G831,'CP FACTORS'!$A$3:$B$38, 2, FALSE)</f>
        <v>0</v>
      </c>
      <c r="I831" s="1397">
        <f t="shared" si="57"/>
        <v>0</v>
      </c>
      <c r="J831" s="122">
        <f t="shared" si="58"/>
        <v>18</v>
      </c>
      <c r="K831" s="742">
        <f t="shared" si="59"/>
        <v>0</v>
      </c>
      <c r="L831" s="743"/>
      <c r="M831" s="1685"/>
      <c r="N831" s="130"/>
      <c r="O831" s="1516"/>
      <c r="P831" s="130"/>
      <c r="Q831" s="130"/>
      <c r="R831" s="1413"/>
      <c r="S831" s="1413"/>
      <c r="T831" s="130"/>
      <c r="U831" s="1686"/>
      <c r="V831" s="176" t="s">
        <v>19</v>
      </c>
      <c r="W831" s="746">
        <v>8343.6696919309452</v>
      </c>
      <c r="X831" s="741">
        <v>6213.105952776853</v>
      </c>
      <c r="Y831" s="744"/>
      <c r="Z831" s="702"/>
      <c r="AA831" s="702"/>
      <c r="AB831" s="702"/>
      <c r="AC831" s="702"/>
      <c r="AD831" s="702"/>
      <c r="AE831" s="702"/>
      <c r="AF831" s="702"/>
      <c r="AG831" s="702"/>
    </row>
    <row r="832" spans="1:33" s="56" customFormat="1" x14ac:dyDescent="0.25">
      <c r="A832" s="597"/>
      <c r="B832" s="130"/>
      <c r="C832" s="115"/>
      <c r="D832" s="1660" t="s">
        <v>1773</v>
      </c>
      <c r="E832" s="1687" t="s">
        <v>1094</v>
      </c>
      <c r="F832" s="745">
        <f>((K1342*K1428*(1/K1514-1/K1600)*K1686)/1000)</f>
        <v>1883.0767507002802</v>
      </c>
      <c r="G832" s="243" t="s">
        <v>1023</v>
      </c>
      <c r="H832" s="170">
        <f>VLOOKUP(G832,'CP FACTORS'!$A$3:$B$38, 2, FALSE)</f>
        <v>9.4741810000000004E-4</v>
      </c>
      <c r="I832" s="1397">
        <f t="shared" si="57"/>
        <v>1.7840609973026331</v>
      </c>
      <c r="J832" s="122">
        <f t="shared" si="58"/>
        <v>18</v>
      </c>
      <c r="K832" s="742">
        <f t="shared" si="59"/>
        <v>1997.3333333333333</v>
      </c>
      <c r="L832" s="743">
        <f>L998</f>
        <v>2.8</v>
      </c>
      <c r="M832" s="1685"/>
      <c r="N832" s="130"/>
      <c r="O832" s="1516"/>
      <c r="P832" s="130"/>
      <c r="Q832" s="130"/>
      <c r="R832" s="1413"/>
      <c r="S832" s="1413"/>
      <c r="T832" s="130"/>
      <c r="U832" s="1686"/>
      <c r="V832" s="176" t="s">
        <v>19</v>
      </c>
      <c r="W832" s="746">
        <v>2671.7490196078434</v>
      </c>
      <c r="X832" s="741">
        <v>1883.0767507002802</v>
      </c>
      <c r="Y832" s="744"/>
      <c r="Z832" s="702"/>
      <c r="AA832" s="702"/>
      <c r="AB832" s="702"/>
      <c r="AC832" s="702"/>
      <c r="AD832" s="702"/>
      <c r="AE832" s="702"/>
      <c r="AF832" s="702"/>
      <c r="AG832" s="702"/>
    </row>
    <row r="833" spans="1:33" s="56" customFormat="1" x14ac:dyDescent="0.25">
      <c r="A833" s="597"/>
      <c r="B833" s="130"/>
      <c r="C833" s="115"/>
      <c r="D833" s="1660" t="s">
        <v>1773</v>
      </c>
      <c r="E833" s="1688" t="s">
        <v>1094</v>
      </c>
      <c r="F833" s="745">
        <f xml:space="preserve"> ((K998*K1084*(1/K1170-1/K1256)*K1686)/1000)</f>
        <v>9558.6245427336198</v>
      </c>
      <c r="G833" s="243" t="s">
        <v>1025</v>
      </c>
      <c r="H833" s="170">
        <f>VLOOKUP(G833,'CP FACTORS'!$A$3:$B$38, 2, FALSE)</f>
        <v>0</v>
      </c>
      <c r="I833" s="1397">
        <f t="shared" si="57"/>
        <v>0</v>
      </c>
      <c r="J833" s="122">
        <f t="shared" si="58"/>
        <v>18</v>
      </c>
      <c r="K833" s="742">
        <f t="shared" si="59"/>
        <v>0</v>
      </c>
      <c r="L833" s="743"/>
      <c r="M833" s="1685"/>
      <c r="N833" s="130"/>
      <c r="O833" s="1516"/>
      <c r="P833" s="130"/>
      <c r="Q833" s="130"/>
      <c r="R833" s="1413"/>
      <c r="S833" s="1413"/>
      <c r="T833" s="130"/>
      <c r="U833" s="1686"/>
      <c r="V833" s="176" t="s">
        <v>19</v>
      </c>
      <c r="W833" s="746">
        <v>12836.414910662994</v>
      </c>
      <c r="X833" s="741">
        <v>9558.6245427336198</v>
      </c>
      <c r="Y833" s="744"/>
      <c r="Z833" s="702"/>
      <c r="AA833" s="702"/>
      <c r="AB833" s="702"/>
      <c r="AC833" s="702"/>
      <c r="AD833" s="702"/>
      <c r="AE833" s="702"/>
      <c r="AF833" s="702"/>
      <c r="AG833" s="702"/>
    </row>
    <row r="834" spans="1:33" s="56" customFormat="1" x14ac:dyDescent="0.25">
      <c r="A834" s="597"/>
      <c r="B834" s="130"/>
      <c r="C834" s="115"/>
      <c r="D834" s="1660" t="s">
        <v>1772</v>
      </c>
      <c r="E834" s="1687" t="s">
        <v>1095</v>
      </c>
      <c r="F834" s="745">
        <f>((K1343*K1429*(1/K1515-1/K1601)*K1687)/1000)</f>
        <v>1223.999887955182</v>
      </c>
      <c r="G834" s="243" t="s">
        <v>1023</v>
      </c>
      <c r="H834" s="170">
        <f>VLOOKUP(G834,'CP FACTORS'!$A$3:$B$38, 2, FALSE)</f>
        <v>9.4741810000000004E-4</v>
      </c>
      <c r="I834" s="1397">
        <f t="shared" si="57"/>
        <v>1.1596396482467115</v>
      </c>
      <c r="J834" s="122">
        <f t="shared" si="58"/>
        <v>18</v>
      </c>
      <c r="K834" s="742">
        <f t="shared" si="59"/>
        <v>1298.2666666666667</v>
      </c>
      <c r="L834" s="743">
        <f>L999</f>
        <v>2.8</v>
      </c>
      <c r="M834" s="1685"/>
      <c r="N834" s="130"/>
      <c r="O834" s="1516"/>
      <c r="P834" s="130"/>
      <c r="Q834" s="130"/>
      <c r="R834" s="1413"/>
      <c r="S834" s="1413"/>
      <c r="T834" s="130"/>
      <c r="U834" s="1686"/>
      <c r="V834" s="176" t="s">
        <v>19</v>
      </c>
      <c r="W834" s="746">
        <v>1736.6368627450984</v>
      </c>
      <c r="X834" s="741">
        <v>1223.999887955182</v>
      </c>
      <c r="Y834" s="744"/>
      <c r="Z834" s="702"/>
      <c r="AA834" s="702"/>
      <c r="AB834" s="702"/>
      <c r="AC834" s="702"/>
      <c r="AD834" s="702"/>
      <c r="AE834" s="702"/>
      <c r="AF834" s="702"/>
      <c r="AG834" s="702"/>
    </row>
    <row r="835" spans="1:33" s="56" customFormat="1" x14ac:dyDescent="0.25">
      <c r="A835" s="597"/>
      <c r="B835" s="130"/>
      <c r="C835" s="115"/>
      <c r="D835" s="1660" t="s">
        <v>1772</v>
      </c>
      <c r="E835" s="1688" t="s">
        <v>1095</v>
      </c>
      <c r="F835" s="745">
        <f xml:space="preserve"> ((K999*K1085*(1/K1171-1/K1257)*K1687)/1000)</f>
        <v>6213.105952776853</v>
      </c>
      <c r="G835" s="243" t="s">
        <v>1025</v>
      </c>
      <c r="H835" s="170">
        <f>VLOOKUP(G835,'CP FACTORS'!$A$3:$B$38, 2, FALSE)</f>
        <v>0</v>
      </c>
      <c r="I835" s="1397">
        <f t="shared" si="57"/>
        <v>0</v>
      </c>
      <c r="J835" s="122">
        <f t="shared" si="58"/>
        <v>18</v>
      </c>
      <c r="K835" s="742">
        <f t="shared" si="59"/>
        <v>0</v>
      </c>
      <c r="L835" s="743"/>
      <c r="M835" s="1685"/>
      <c r="N835" s="130"/>
      <c r="O835" s="1516"/>
      <c r="P835" s="130"/>
      <c r="Q835" s="130"/>
      <c r="R835" s="1413"/>
      <c r="S835" s="1413"/>
      <c r="T835" s="130"/>
      <c r="U835" s="1686"/>
      <c r="V835" s="176" t="s">
        <v>19</v>
      </c>
      <c r="W835" s="746">
        <v>8343.6696919309452</v>
      </c>
      <c r="X835" s="741">
        <v>6213.105952776853</v>
      </c>
      <c r="Y835" s="744"/>
      <c r="Z835" s="702"/>
      <c r="AA835" s="702"/>
      <c r="AB835" s="702"/>
      <c r="AC835" s="702"/>
      <c r="AD835" s="702"/>
      <c r="AE835" s="702"/>
      <c r="AF835" s="702"/>
      <c r="AG835" s="702"/>
    </row>
    <row r="836" spans="1:33" s="56" customFormat="1" x14ac:dyDescent="0.25">
      <c r="A836" s="597"/>
      <c r="B836" s="130"/>
      <c r="C836" s="115"/>
      <c r="D836" s="1660" t="s">
        <v>1773</v>
      </c>
      <c r="E836" s="1687" t="s">
        <v>1096</v>
      </c>
      <c r="F836" s="745">
        <f>((K1344*K1430*(1/K1516-1/K1602)*K1688)/1000)</f>
        <v>1968.4521892967714</v>
      </c>
      <c r="G836" s="243" t="s">
        <v>1023</v>
      </c>
      <c r="H836" s="170">
        <f>VLOOKUP(G836,'CP FACTORS'!$A$3:$B$38, 2, FALSE)</f>
        <v>9.4741810000000004E-4</v>
      </c>
      <c r="I836" s="1397">
        <f t="shared" si="57"/>
        <v>1.8649472331243875</v>
      </c>
      <c r="J836" s="122">
        <f t="shared" si="58"/>
        <v>18</v>
      </c>
      <c r="K836" s="742">
        <f t="shared" si="59"/>
        <v>2277.3333333333335</v>
      </c>
      <c r="L836" s="743">
        <f>L1000</f>
        <v>2.8</v>
      </c>
      <c r="M836" s="1685"/>
      <c r="N836" s="130"/>
      <c r="O836" s="1516"/>
      <c r="P836" s="130"/>
      <c r="Q836" s="130"/>
      <c r="R836" s="1413"/>
      <c r="S836" s="1413"/>
      <c r="T836" s="130"/>
      <c r="U836" s="1686"/>
      <c r="V836" s="176" t="s">
        <v>19</v>
      </c>
      <c r="W836" s="746">
        <v>2757.1244582043346</v>
      </c>
      <c r="X836" s="741">
        <v>1968.4521892967714</v>
      </c>
      <c r="Y836" s="744"/>
      <c r="Z836" s="702"/>
      <c r="AA836" s="702"/>
      <c r="AB836" s="702"/>
      <c r="AC836" s="702"/>
      <c r="AD836" s="702"/>
      <c r="AE836" s="702"/>
      <c r="AF836" s="702"/>
      <c r="AG836" s="702"/>
    </row>
    <row r="837" spans="1:33" s="56" customFormat="1" x14ac:dyDescent="0.25">
      <c r="A837" s="597"/>
      <c r="B837" s="130"/>
      <c r="C837" s="115"/>
      <c r="D837" s="1660" t="s">
        <v>1773</v>
      </c>
      <c r="E837" s="1688" t="s">
        <v>1096</v>
      </c>
      <c r="F837" s="745">
        <f xml:space="preserve"> ((K1000*K1086*(1/K1172-1/K1258)*K1688)/1000)</f>
        <v>9558.6245427336198</v>
      </c>
      <c r="G837" s="243" t="s">
        <v>1025</v>
      </c>
      <c r="H837" s="170">
        <f>VLOOKUP(G837,'CP FACTORS'!$A$3:$B$38, 2, FALSE)</f>
        <v>0</v>
      </c>
      <c r="I837" s="1397">
        <f t="shared" si="57"/>
        <v>0</v>
      </c>
      <c r="J837" s="122">
        <f t="shared" si="58"/>
        <v>18</v>
      </c>
      <c r="K837" s="742">
        <f t="shared" si="59"/>
        <v>0</v>
      </c>
      <c r="L837" s="743"/>
      <c r="M837" s="1685"/>
      <c r="N837" s="130"/>
      <c r="O837" s="1516"/>
      <c r="P837" s="130"/>
      <c r="Q837" s="130"/>
      <c r="R837" s="1413"/>
      <c r="S837" s="1413"/>
      <c r="T837" s="130"/>
      <c r="U837" s="1686"/>
      <c r="V837" s="176" t="s">
        <v>19</v>
      </c>
      <c r="W837" s="746">
        <v>12836.414910662994</v>
      </c>
      <c r="X837" s="741">
        <v>9558.6245427336198</v>
      </c>
      <c r="Y837" s="744"/>
      <c r="Z837" s="702"/>
      <c r="AA837" s="702"/>
      <c r="AB837" s="702"/>
      <c r="AC837" s="702"/>
      <c r="AD837" s="702"/>
      <c r="AE837" s="702"/>
      <c r="AF837" s="702"/>
      <c r="AG837" s="702"/>
    </row>
    <row r="838" spans="1:33" s="56" customFormat="1" x14ac:dyDescent="0.25">
      <c r="A838" s="597"/>
      <c r="B838" s="130"/>
      <c r="C838" s="115"/>
      <c r="D838" s="1660" t="s">
        <v>1772</v>
      </c>
      <c r="E838" s="1687" t="s">
        <v>1097</v>
      </c>
      <c r="F838" s="745">
        <f>((K1345*K1431*(1/K1517-1/K1603)*K1689)/1000)</f>
        <v>1279.4939230429013</v>
      </c>
      <c r="G838" s="243" t="s">
        <v>1023</v>
      </c>
      <c r="H838" s="170">
        <f>VLOOKUP(G838,'CP FACTORS'!$A$3:$B$38, 2, FALSE)</f>
        <v>9.4741810000000004E-4</v>
      </c>
      <c r="I838" s="1397">
        <f t="shared" si="57"/>
        <v>1.2122157015308519</v>
      </c>
      <c r="J838" s="122">
        <f t="shared" si="58"/>
        <v>18</v>
      </c>
      <c r="K838" s="742">
        <f t="shared" si="59"/>
        <v>1480.2666666666669</v>
      </c>
      <c r="L838" s="743">
        <f>L1001</f>
        <v>2.8</v>
      </c>
      <c r="M838" s="1685"/>
      <c r="N838" s="130"/>
      <c r="O838" s="1516"/>
      <c r="P838" s="130"/>
      <c r="Q838" s="130"/>
      <c r="R838" s="1413"/>
      <c r="S838" s="1413"/>
      <c r="T838" s="130"/>
      <c r="U838" s="1686"/>
      <c r="V838" s="176" t="s">
        <v>19</v>
      </c>
      <c r="W838" s="746">
        <v>1792.1308978328177</v>
      </c>
      <c r="X838" s="741">
        <v>1279.4939230429013</v>
      </c>
      <c r="Y838" s="744"/>
      <c r="Z838" s="702"/>
      <c r="AA838" s="702"/>
      <c r="AB838" s="702"/>
      <c r="AC838" s="702"/>
      <c r="AD838" s="702"/>
      <c r="AE838" s="702"/>
      <c r="AF838" s="702"/>
      <c r="AG838" s="702"/>
    </row>
    <row r="839" spans="1:33" s="56" customFormat="1" x14ac:dyDescent="0.25">
      <c r="A839" s="597"/>
      <c r="B839" s="130"/>
      <c r="C839" s="115"/>
      <c r="D839" s="1660" t="s">
        <v>1772</v>
      </c>
      <c r="E839" s="1688" t="s">
        <v>1097</v>
      </c>
      <c r="F839" s="745">
        <f xml:space="preserve"> ((K1001*K1087*(1/K1173-1/K1259)*K1689)/1000)</f>
        <v>6213.105952776853</v>
      </c>
      <c r="G839" s="243" t="s">
        <v>1025</v>
      </c>
      <c r="H839" s="170">
        <f>VLOOKUP(G839,'CP FACTORS'!$A$3:$B$38, 2, FALSE)</f>
        <v>0</v>
      </c>
      <c r="I839" s="1397">
        <f t="shared" si="57"/>
        <v>0</v>
      </c>
      <c r="J839" s="122">
        <f t="shared" si="58"/>
        <v>18</v>
      </c>
      <c r="K839" s="742">
        <f t="shared" si="59"/>
        <v>0</v>
      </c>
      <c r="L839" s="743"/>
      <c r="M839" s="1685"/>
      <c r="N839" s="130"/>
      <c r="O839" s="1516"/>
      <c r="P839" s="130"/>
      <c r="Q839" s="130"/>
      <c r="R839" s="1413"/>
      <c r="S839" s="1413"/>
      <c r="T839" s="130"/>
      <c r="U839" s="1686"/>
      <c r="V839" s="176" t="s">
        <v>19</v>
      </c>
      <c r="W839" s="746">
        <v>8343.6696919309452</v>
      </c>
      <c r="X839" s="741">
        <v>6213.105952776853</v>
      </c>
      <c r="Y839" s="744"/>
      <c r="Z839" s="702"/>
      <c r="AA839" s="702"/>
      <c r="AB839" s="702"/>
      <c r="AC839" s="702"/>
      <c r="AD839" s="702"/>
      <c r="AE839" s="702"/>
      <c r="AF839" s="702"/>
      <c r="AG839" s="702"/>
    </row>
    <row r="840" spans="1:33" s="56" customFormat="1" ht="30" x14ac:dyDescent="0.25">
      <c r="A840" s="597"/>
      <c r="B840" s="130"/>
      <c r="C840" s="115"/>
      <c r="D840" s="1660" t="s">
        <v>1773</v>
      </c>
      <c r="E840" s="1684" t="s">
        <v>1098</v>
      </c>
      <c r="F840" s="745">
        <f>((K1346*K1432*(1/K1518-1/K1604)*K1690)/1000)</f>
        <v>2264.428307322929</v>
      </c>
      <c r="G840" s="243" t="s">
        <v>1023</v>
      </c>
      <c r="H840" s="170">
        <f>VLOOKUP(G840,'CP FACTORS'!$A$3:$B$38, 2, FALSE)</f>
        <v>9.4741810000000004E-4</v>
      </c>
      <c r="I840" s="1397">
        <f t="shared" si="57"/>
        <v>2.1453603645101054</v>
      </c>
      <c r="J840" s="122">
        <f t="shared" si="58"/>
        <v>6</v>
      </c>
      <c r="K840" s="742">
        <f t="shared" si="59"/>
        <v>4468.6993716056031</v>
      </c>
      <c r="L840" s="743">
        <f>L1002</f>
        <v>3.1</v>
      </c>
      <c r="M840" s="1685"/>
      <c r="N840" s="130"/>
      <c r="O840" s="1516"/>
      <c r="P840" s="130"/>
      <c r="Q840" s="130"/>
      <c r="R840" s="1413"/>
      <c r="S840" s="1413"/>
      <c r="T840" s="130"/>
      <c r="U840" s="1686"/>
      <c r="V840" s="176" t="s">
        <v>19</v>
      </c>
      <c r="W840" s="746">
        <v>3137.6011764705886</v>
      </c>
      <c r="X840" s="741">
        <v>2264.428307322929</v>
      </c>
      <c r="Y840" s="744"/>
      <c r="Z840" s="702"/>
      <c r="AA840" s="702"/>
      <c r="AB840" s="702"/>
      <c r="AC840" s="702"/>
      <c r="AD840" s="702"/>
      <c r="AE840" s="702"/>
      <c r="AF840" s="702"/>
      <c r="AG840" s="702"/>
    </row>
    <row r="841" spans="1:33" s="56" customFormat="1" ht="30" x14ac:dyDescent="0.25">
      <c r="A841" s="597"/>
      <c r="B841" s="130"/>
      <c r="C841" s="115"/>
      <c r="D841" s="1660" t="s">
        <v>1773</v>
      </c>
      <c r="E841" s="1060" t="s">
        <v>1098</v>
      </c>
      <c r="F841" s="745">
        <f xml:space="preserve"> ((K1002*K1088*(1/K1174-1/K1260)*K1690)/1000)</f>
        <v>10399.659574468084</v>
      </c>
      <c r="G841" s="243" t="s">
        <v>1025</v>
      </c>
      <c r="H841" s="170">
        <f>VLOOKUP(G841,'CP FACTORS'!$A$3:$B$38, 2, FALSE)</f>
        <v>0</v>
      </c>
      <c r="I841" s="1397">
        <f t="shared" si="57"/>
        <v>0</v>
      </c>
      <c r="J841" s="122">
        <f t="shared" si="58"/>
        <v>6</v>
      </c>
      <c r="K841" s="742">
        <f t="shared" si="59"/>
        <v>0</v>
      </c>
      <c r="L841" s="743"/>
      <c r="M841" s="1685"/>
      <c r="N841" s="130"/>
      <c r="O841" s="1516"/>
      <c r="P841" s="130"/>
      <c r="Q841" s="130"/>
      <c r="R841" s="1413"/>
      <c r="S841" s="1413"/>
      <c r="T841" s="130"/>
      <c r="U841" s="1686"/>
      <c r="V841" s="176" t="s">
        <v>19</v>
      </c>
      <c r="W841" s="746">
        <v>13965.852998065762</v>
      </c>
      <c r="X841" s="741">
        <v>10399.659574468084</v>
      </c>
      <c r="Y841" s="744"/>
      <c r="Z841" s="702"/>
      <c r="AA841" s="702"/>
      <c r="AB841" s="702"/>
      <c r="AC841" s="702"/>
      <c r="AD841" s="702"/>
      <c r="AE841" s="702"/>
      <c r="AF841" s="702"/>
      <c r="AG841" s="702"/>
    </row>
    <row r="842" spans="1:33" s="56" customFormat="1" ht="30" x14ac:dyDescent="0.25">
      <c r="A842" s="597"/>
      <c r="B842" s="130"/>
      <c r="C842" s="115"/>
      <c r="D842" s="1660" t="s">
        <v>1773</v>
      </c>
      <c r="E842" s="1060" t="s">
        <v>1099</v>
      </c>
      <c r="F842" s="745">
        <f>((K1347*K1433*(1/K1519-1/K1605)*K1691)/1000)</f>
        <v>870.33692307692309</v>
      </c>
      <c r="G842" s="1675" t="s">
        <v>1054</v>
      </c>
      <c r="H842" s="170">
        <f>VLOOKUP(G842,'CP FACTORS'!$A$3:$B$38, 2, FALSE)</f>
        <v>9.4741810000000004E-4</v>
      </c>
      <c r="I842" s="1397">
        <f t="shared" si="57"/>
        <v>0.82457295402138464</v>
      </c>
      <c r="J842" s="122">
        <f t="shared" si="58"/>
        <v>12</v>
      </c>
      <c r="K842" s="742">
        <f t="shared" si="59"/>
        <v>0</v>
      </c>
      <c r="L842" s="743"/>
      <c r="M842" s="1685"/>
      <c r="N842" s="130"/>
      <c r="O842" s="1516"/>
      <c r="P842" s="130"/>
      <c r="Q842" s="130"/>
      <c r="R842" s="1413"/>
      <c r="S842" s="1413"/>
      <c r="T842" s="130"/>
      <c r="U842" s="1686"/>
      <c r="V842" s="176" t="s">
        <v>19</v>
      </c>
      <c r="W842" s="746">
        <v>870.33692307692309</v>
      </c>
      <c r="X842" s="745">
        <v>870.33692307692309</v>
      </c>
      <c r="Y842" s="744"/>
      <c r="Z842" s="702"/>
      <c r="AA842" s="702"/>
      <c r="AB842" s="702"/>
      <c r="AC842" s="702"/>
      <c r="AD842" s="702"/>
      <c r="AE842" s="702"/>
      <c r="AF842" s="702"/>
      <c r="AG842" s="702"/>
    </row>
    <row r="843" spans="1:33" s="56" customFormat="1" ht="30" x14ac:dyDescent="0.25">
      <c r="A843" s="597"/>
      <c r="B843" s="130"/>
      <c r="C843" s="115"/>
      <c r="D843" s="1660" t="s">
        <v>1773</v>
      </c>
      <c r="E843" s="1061" t="s">
        <v>1099</v>
      </c>
      <c r="F843" s="745">
        <f xml:space="preserve"> ((K1003*K1089*(1/K1175-1/K1261)*K1691)/1000)</f>
        <v>10399.659574468084</v>
      </c>
      <c r="G843" s="1675" t="s">
        <v>1070</v>
      </c>
      <c r="H843" s="170">
        <f>VLOOKUP(G843,'CP FACTORS'!$A$3:$B$38, 2, FALSE)</f>
        <v>0</v>
      </c>
      <c r="I843" s="1397">
        <f t="shared" si="57"/>
        <v>0</v>
      </c>
      <c r="J843" s="122">
        <f t="shared" si="58"/>
        <v>12</v>
      </c>
      <c r="K843" s="742">
        <f t="shared" si="59"/>
        <v>0</v>
      </c>
      <c r="L843" s="743"/>
      <c r="M843" s="1685"/>
      <c r="N843" s="130"/>
      <c r="O843" s="1516"/>
      <c r="P843" s="130"/>
      <c r="Q843" s="130"/>
      <c r="R843" s="1413"/>
      <c r="S843" s="1413"/>
      <c r="T843" s="130"/>
      <c r="U843" s="1686"/>
      <c r="V843" s="176" t="s">
        <v>19</v>
      </c>
      <c r="W843" s="746">
        <v>13965.852998065762</v>
      </c>
      <c r="X843" s="741">
        <v>10399.659574468084</v>
      </c>
      <c r="Y843" s="744"/>
      <c r="Z843" s="702"/>
      <c r="AA843" s="702"/>
      <c r="AB843" s="702"/>
      <c r="AC843" s="702"/>
      <c r="AD843" s="702"/>
      <c r="AE843" s="702"/>
      <c r="AF843" s="702"/>
      <c r="AG843" s="702"/>
    </row>
    <row r="844" spans="1:33" s="56" customFormat="1" x14ac:dyDescent="0.25">
      <c r="A844" s="597"/>
      <c r="B844" s="130"/>
      <c r="C844" s="115"/>
      <c r="D844" s="1660" t="s">
        <v>1773</v>
      </c>
      <c r="E844" s="1687" t="s">
        <v>1100</v>
      </c>
      <c r="F844" s="745">
        <f>((K1348*K1434*(1/K1520-1/K1606)*K1692)/1000)</f>
        <v>898.41230769230776</v>
      </c>
      <c r="G844" s="243" t="s">
        <v>1023</v>
      </c>
      <c r="H844" s="170">
        <f>VLOOKUP(G844,'CP FACTORS'!$A$3:$B$38, 2, FALSE)</f>
        <v>9.4741810000000004E-4</v>
      </c>
      <c r="I844" s="1397">
        <f t="shared" ref="I844:I907" si="60">F844*H844</f>
        <v>0.85117208157046165</v>
      </c>
      <c r="J844" s="122">
        <f t="shared" si="58"/>
        <v>18</v>
      </c>
      <c r="K844" s="742">
        <f t="shared" si="59"/>
        <v>3712</v>
      </c>
      <c r="L844" s="743">
        <f>L1004</f>
        <v>3.2</v>
      </c>
      <c r="M844" s="1685"/>
      <c r="N844" s="130"/>
      <c r="O844" s="1516"/>
      <c r="P844" s="130"/>
      <c r="Q844" s="130"/>
      <c r="R844" s="1413"/>
      <c r="S844" s="1413"/>
      <c r="T844" s="130"/>
      <c r="U844" s="1686"/>
      <c r="V844" s="176" t="s">
        <v>19</v>
      </c>
      <c r="W844" s="746">
        <v>898.41230769230776</v>
      </c>
      <c r="X844" s="745">
        <v>898.41230769230776</v>
      </c>
      <c r="Y844" s="744"/>
      <c r="Z844" s="702"/>
      <c r="AA844" s="702"/>
      <c r="AB844" s="702"/>
      <c r="AC844" s="702"/>
      <c r="AD844" s="702"/>
      <c r="AE844" s="702"/>
      <c r="AF844" s="702"/>
      <c r="AG844" s="702"/>
    </row>
    <row r="845" spans="1:33" s="56" customFormat="1" x14ac:dyDescent="0.25">
      <c r="A845" s="597"/>
      <c r="B845" s="130"/>
      <c r="C845" s="115"/>
      <c r="D845" s="1660" t="s">
        <v>1773</v>
      </c>
      <c r="E845" s="1688" t="s">
        <v>1100</v>
      </c>
      <c r="F845" s="745">
        <f xml:space="preserve"> ((K1004*K1090*(1/K1176-1/K1262)*K1692)/1000)</f>
        <v>10924.142334552707</v>
      </c>
      <c r="G845" s="243" t="s">
        <v>1025</v>
      </c>
      <c r="H845" s="170">
        <f>VLOOKUP(G845,'CP FACTORS'!$A$3:$B$38, 2, FALSE)</f>
        <v>0</v>
      </c>
      <c r="I845" s="1397">
        <f t="shared" si="60"/>
        <v>0</v>
      </c>
      <c r="J845" s="122">
        <f t="shared" ref="J845:J908" si="61">K1811</f>
        <v>18</v>
      </c>
      <c r="K845" s="742">
        <f t="shared" ref="K845:K908" si="62">K1983</f>
        <v>0</v>
      </c>
      <c r="L845" s="743"/>
      <c r="M845" s="1685"/>
      <c r="N845" s="130"/>
      <c r="O845" s="1516"/>
      <c r="P845" s="130"/>
      <c r="Q845" s="130"/>
      <c r="R845" s="1413"/>
      <c r="S845" s="1413"/>
      <c r="T845" s="130"/>
      <c r="U845" s="1686"/>
      <c r="V845" s="176" t="s">
        <v>19</v>
      </c>
      <c r="W845" s="746">
        <v>14670.188469329136</v>
      </c>
      <c r="X845" s="741">
        <v>10924.142334552707</v>
      </c>
      <c r="Y845" s="744"/>
      <c r="Z845" s="702"/>
      <c r="AA845" s="702"/>
      <c r="AB845" s="702"/>
      <c r="AC845" s="702"/>
      <c r="AD845" s="702"/>
      <c r="AE845" s="702"/>
      <c r="AF845" s="702"/>
      <c r="AG845" s="702"/>
    </row>
    <row r="846" spans="1:33" s="56" customFormat="1" x14ac:dyDescent="0.25">
      <c r="A846" s="597"/>
      <c r="B846" s="130"/>
      <c r="C846" s="115"/>
      <c r="D846" s="1660" t="s">
        <v>1772</v>
      </c>
      <c r="E846" s="1687" t="s">
        <v>1101</v>
      </c>
      <c r="F846" s="745">
        <f>((K1349*K1435*(1/K1521-1/K1607)*K1693)/1000)</f>
        <v>583.96799999999996</v>
      </c>
      <c r="G846" s="243" t="s">
        <v>1023</v>
      </c>
      <c r="H846" s="170">
        <f>VLOOKUP(G846,'CP FACTORS'!$A$3:$B$38, 2, FALSE)</f>
        <v>9.4741810000000004E-4</v>
      </c>
      <c r="I846" s="1397">
        <f t="shared" si="60"/>
        <v>0.5532618530208</v>
      </c>
      <c r="J846" s="122">
        <f t="shared" si="61"/>
        <v>18</v>
      </c>
      <c r="K846" s="742">
        <f t="shared" si="62"/>
        <v>2412.8000000000002</v>
      </c>
      <c r="L846" s="743">
        <f>L1005</f>
        <v>3.2</v>
      </c>
      <c r="M846" s="1685"/>
      <c r="N846" s="130"/>
      <c r="O846" s="1516"/>
      <c r="P846" s="130"/>
      <c r="Q846" s="130"/>
      <c r="R846" s="1413"/>
      <c r="S846" s="1413"/>
      <c r="T846" s="130"/>
      <c r="U846" s="1686"/>
      <c r="V846" s="176" t="s">
        <v>19</v>
      </c>
      <c r="W846" s="746">
        <v>583.96799999999996</v>
      </c>
      <c r="X846" s="745">
        <v>583.96799999999996</v>
      </c>
      <c r="Y846" s="744"/>
      <c r="Z846" s="702"/>
      <c r="AA846" s="702"/>
      <c r="AB846" s="702"/>
      <c r="AC846" s="702"/>
      <c r="AD846" s="702"/>
      <c r="AE846" s="702"/>
      <c r="AF846" s="702"/>
      <c r="AG846" s="702"/>
    </row>
    <row r="847" spans="1:33" s="56" customFormat="1" x14ac:dyDescent="0.25">
      <c r="A847" s="597"/>
      <c r="B847" s="130"/>
      <c r="C847" s="115"/>
      <c r="D847" s="1660" t="s">
        <v>1772</v>
      </c>
      <c r="E847" s="1688" t="s">
        <v>1101</v>
      </c>
      <c r="F847" s="745">
        <f xml:space="preserve"> ((K1005*K1091*(1/K1177-1/K1263)*K1693)/1000)</f>
        <v>7100.6925174592607</v>
      </c>
      <c r="G847" s="243" t="s">
        <v>1025</v>
      </c>
      <c r="H847" s="170">
        <f>VLOOKUP(G847,'CP FACTORS'!$A$3:$B$38, 2, FALSE)</f>
        <v>0</v>
      </c>
      <c r="I847" s="1397">
        <f t="shared" si="60"/>
        <v>0</v>
      </c>
      <c r="J847" s="122">
        <f t="shared" si="61"/>
        <v>18</v>
      </c>
      <c r="K847" s="742">
        <f t="shared" si="62"/>
        <v>0</v>
      </c>
      <c r="L847" s="743"/>
      <c r="M847" s="1685"/>
      <c r="N847" s="130"/>
      <c r="O847" s="1516"/>
      <c r="P847" s="130"/>
      <c r="Q847" s="130"/>
      <c r="R847" s="1413"/>
      <c r="S847" s="1413"/>
      <c r="T847" s="130"/>
      <c r="U847" s="1686"/>
      <c r="V847" s="176" t="s">
        <v>19</v>
      </c>
      <c r="W847" s="746">
        <v>9535.6225050639387</v>
      </c>
      <c r="X847" s="741">
        <v>7100.6925174592607</v>
      </c>
      <c r="Y847" s="744"/>
      <c r="Z847" s="702"/>
      <c r="AA847" s="702"/>
      <c r="AB847" s="702"/>
      <c r="AC847" s="702"/>
      <c r="AD847" s="702"/>
      <c r="AE847" s="702"/>
      <c r="AF847" s="702"/>
      <c r="AG847" s="702"/>
    </row>
    <row r="848" spans="1:33" s="56" customFormat="1" ht="30" x14ac:dyDescent="0.25">
      <c r="A848" s="597"/>
      <c r="B848" s="130"/>
      <c r="C848" s="115"/>
      <c r="D848" s="1660" t="s">
        <v>1773</v>
      </c>
      <c r="E848" s="1684" t="s">
        <v>1102</v>
      </c>
      <c r="F848" s="745">
        <f>((K1350*K1436*(1/K1522-1/K1608)*K1694)/1000)</f>
        <v>2341.3968787515005</v>
      </c>
      <c r="G848" s="243" t="s">
        <v>1023</v>
      </c>
      <c r="H848" s="170">
        <f>VLOOKUP(G848,'CP FACTORS'!$A$3:$B$38, 2, FALSE)</f>
        <v>9.4741810000000004E-4</v>
      </c>
      <c r="I848" s="1397">
        <f t="shared" si="60"/>
        <v>2.218281782212677</v>
      </c>
      <c r="J848" s="122">
        <f t="shared" si="61"/>
        <v>6</v>
      </c>
      <c r="K848" s="742">
        <f t="shared" si="62"/>
        <v>4468.6993716056031</v>
      </c>
      <c r="L848" s="743">
        <f>L1006</f>
        <v>3.1</v>
      </c>
      <c r="M848" s="1685"/>
      <c r="N848" s="130"/>
      <c r="O848" s="1516"/>
      <c r="P848" s="130"/>
      <c r="Q848" s="130"/>
      <c r="R848" s="1413"/>
      <c r="S848" s="1413"/>
      <c r="T848" s="130"/>
      <c r="U848" s="1686"/>
      <c r="V848" s="176" t="s">
        <v>19</v>
      </c>
      <c r="W848" s="746">
        <v>3214.5697478991597</v>
      </c>
      <c r="X848" s="741">
        <v>2341.3968787515005</v>
      </c>
      <c r="Y848" s="744"/>
      <c r="Z848" s="702"/>
      <c r="AA848" s="702"/>
      <c r="AB848" s="702"/>
      <c r="AC848" s="702"/>
      <c r="AD848" s="702"/>
      <c r="AE848" s="702"/>
      <c r="AF848" s="702"/>
      <c r="AG848" s="702"/>
    </row>
    <row r="849" spans="1:33" s="56" customFormat="1" ht="30" x14ac:dyDescent="0.25">
      <c r="A849" s="597"/>
      <c r="B849" s="130"/>
      <c r="C849" s="115"/>
      <c r="D849" s="1660" t="s">
        <v>1773</v>
      </c>
      <c r="E849" s="1060" t="s">
        <v>1102</v>
      </c>
      <c r="F849" s="745">
        <f xml:space="preserve"> ((K1006*K1092*(1/K1178-1/K1264)*K1694)/1000)</f>
        <v>10399.659574468084</v>
      </c>
      <c r="G849" s="243" t="s">
        <v>1025</v>
      </c>
      <c r="H849" s="170">
        <f>VLOOKUP(G849,'CP FACTORS'!$A$3:$B$38, 2, FALSE)</f>
        <v>0</v>
      </c>
      <c r="I849" s="1397">
        <f t="shared" si="60"/>
        <v>0</v>
      </c>
      <c r="J849" s="122">
        <f t="shared" si="61"/>
        <v>6</v>
      </c>
      <c r="K849" s="742">
        <f t="shared" si="62"/>
        <v>0</v>
      </c>
      <c r="L849" s="743"/>
      <c r="M849" s="1685"/>
      <c r="N849" s="130"/>
      <c r="O849" s="1516"/>
      <c r="P849" s="130"/>
      <c r="Q849" s="130"/>
      <c r="R849" s="1413"/>
      <c r="S849" s="1413"/>
      <c r="T849" s="130"/>
      <c r="U849" s="1686"/>
      <c r="V849" s="176" t="s">
        <v>19</v>
      </c>
      <c r="W849" s="746">
        <v>13965.852998065762</v>
      </c>
      <c r="X849" s="741">
        <v>10399.659574468084</v>
      </c>
      <c r="Y849" s="744"/>
      <c r="Z849" s="702"/>
      <c r="AA849" s="702"/>
      <c r="AB849" s="702"/>
      <c r="AC849" s="702"/>
      <c r="AD849" s="702"/>
      <c r="AE849" s="702"/>
      <c r="AF849" s="702"/>
      <c r="AG849" s="702"/>
    </row>
    <row r="850" spans="1:33" s="56" customFormat="1" ht="30" x14ac:dyDescent="0.25">
      <c r="A850" s="597"/>
      <c r="B850" s="130"/>
      <c r="C850" s="115"/>
      <c r="D850" s="1660" t="s">
        <v>1773</v>
      </c>
      <c r="E850" s="1060" t="s">
        <v>1103</v>
      </c>
      <c r="F850" s="745">
        <f>((K1351*K1437*(1/K1523-1/K1609)*K1695)/1000)</f>
        <v>947.30549450549472</v>
      </c>
      <c r="G850" s="1675" t="s">
        <v>1054</v>
      </c>
      <c r="H850" s="170">
        <f>VLOOKUP(G850,'CP FACTORS'!$A$3:$B$38, 2, FALSE)</f>
        <v>9.4741810000000004E-4</v>
      </c>
      <c r="I850" s="1397">
        <f t="shared" si="60"/>
        <v>0.8974943717239563</v>
      </c>
      <c r="J850" s="122">
        <f t="shared" si="61"/>
        <v>12</v>
      </c>
      <c r="K850" s="742">
        <f t="shared" si="62"/>
        <v>0</v>
      </c>
      <c r="L850" s="743"/>
      <c r="M850" s="1685"/>
      <c r="N850" s="130"/>
      <c r="O850" s="1516"/>
      <c r="P850" s="130"/>
      <c r="Q850" s="130"/>
      <c r="R850" s="1413"/>
      <c r="S850" s="1413"/>
      <c r="T850" s="130"/>
      <c r="U850" s="1686"/>
      <c r="V850" s="176" t="s">
        <v>19</v>
      </c>
      <c r="W850" s="746">
        <v>947.30549450549472</v>
      </c>
      <c r="X850" s="745">
        <v>947.30549450549472</v>
      </c>
      <c r="Y850" s="744"/>
      <c r="Z850" s="702"/>
      <c r="AA850" s="702"/>
      <c r="AB850" s="702"/>
      <c r="AC850" s="702"/>
      <c r="AD850" s="702"/>
      <c r="AE850" s="702"/>
      <c r="AF850" s="702"/>
      <c r="AG850" s="702"/>
    </row>
    <row r="851" spans="1:33" s="56" customFormat="1" ht="30" x14ac:dyDescent="0.25">
      <c r="A851" s="597"/>
      <c r="B851" s="130"/>
      <c r="C851" s="115"/>
      <c r="D851" s="1660" t="s">
        <v>1773</v>
      </c>
      <c r="E851" s="1061" t="s">
        <v>1103</v>
      </c>
      <c r="F851" s="745">
        <f xml:space="preserve"> ((K1007*K1093*(1/K1179-1/K1265)*K1695)/1000)</f>
        <v>10399.659574468084</v>
      </c>
      <c r="G851" s="1675" t="s">
        <v>1070</v>
      </c>
      <c r="H851" s="170">
        <f>VLOOKUP(G851,'CP FACTORS'!$A$3:$B$38, 2, FALSE)</f>
        <v>0</v>
      </c>
      <c r="I851" s="1397">
        <f t="shared" si="60"/>
        <v>0</v>
      </c>
      <c r="J851" s="122">
        <f t="shared" si="61"/>
        <v>12</v>
      </c>
      <c r="K851" s="742">
        <f t="shared" si="62"/>
        <v>0</v>
      </c>
      <c r="L851" s="743"/>
      <c r="M851" s="1685"/>
      <c r="N851" s="130"/>
      <c r="O851" s="1516"/>
      <c r="P851" s="130"/>
      <c r="Q851" s="130"/>
      <c r="R851" s="1413"/>
      <c r="S851" s="1413"/>
      <c r="T851" s="130"/>
      <c r="U851" s="1686"/>
      <c r="V851" s="176" t="s">
        <v>19</v>
      </c>
      <c r="W851" s="746">
        <v>13965.852998065762</v>
      </c>
      <c r="X851" s="741">
        <v>10399.659574468084</v>
      </c>
      <c r="Y851" s="744"/>
      <c r="Z851" s="702"/>
      <c r="AA851" s="702"/>
      <c r="AB851" s="702"/>
      <c r="AC851" s="702"/>
      <c r="AD851" s="702"/>
      <c r="AE851" s="702"/>
      <c r="AF851" s="702"/>
      <c r="AG851" s="702"/>
    </row>
    <row r="852" spans="1:33" s="56" customFormat="1" ht="30" x14ac:dyDescent="0.25">
      <c r="A852" s="597"/>
      <c r="B852" s="130"/>
      <c r="C852" s="115"/>
      <c r="D852" s="1660" t="s">
        <v>1772</v>
      </c>
      <c r="E852" s="1684" t="s">
        <v>1104</v>
      </c>
      <c r="F852" s="745">
        <f>((K1352*K1438*(1/K1524-1/K1610)*K1696)/1000)</f>
        <v>1521.9079711884754</v>
      </c>
      <c r="G852" s="243" t="s">
        <v>1023</v>
      </c>
      <c r="H852" s="170">
        <f>VLOOKUP(G852,'CP FACTORS'!$A$3:$B$38, 2, FALSE)</f>
        <v>9.4741810000000004E-4</v>
      </c>
      <c r="I852" s="1397">
        <f t="shared" si="60"/>
        <v>1.4418831584382401</v>
      </c>
      <c r="J852" s="122">
        <f t="shared" si="61"/>
        <v>6</v>
      </c>
      <c r="K852" s="742">
        <f t="shared" si="62"/>
        <v>2904.6545915436423</v>
      </c>
      <c r="L852" s="743">
        <f>L1008</f>
        <v>3.1</v>
      </c>
      <c r="M852" s="1685"/>
      <c r="N852" s="130"/>
      <c r="O852" s="1516"/>
      <c r="P852" s="130"/>
      <c r="Q852" s="130"/>
      <c r="R852" s="1413"/>
      <c r="S852" s="1413"/>
      <c r="T852" s="130"/>
      <c r="U852" s="1686"/>
      <c r="V852" s="176" t="s">
        <v>19</v>
      </c>
      <c r="W852" s="746">
        <v>2089.4703361344541</v>
      </c>
      <c r="X852" s="741">
        <v>1521.9079711884754</v>
      </c>
      <c r="Y852" s="744"/>
      <c r="Z852" s="702"/>
      <c r="AA852" s="702"/>
      <c r="AB852" s="702"/>
      <c r="AC852" s="702"/>
      <c r="AD852" s="702"/>
      <c r="AE852" s="702"/>
      <c r="AF852" s="702"/>
      <c r="AG852" s="702"/>
    </row>
    <row r="853" spans="1:33" s="56" customFormat="1" ht="30" x14ac:dyDescent="0.25">
      <c r="A853" s="597"/>
      <c r="B853" s="130"/>
      <c r="C853" s="115"/>
      <c r="D853" s="1660" t="s">
        <v>1772</v>
      </c>
      <c r="E853" s="1060" t="s">
        <v>1104</v>
      </c>
      <c r="F853" s="745">
        <f xml:space="preserve"> ((K1008*K1094*(1/K1180-1/K1266)*K1696)/1000)</f>
        <v>6759.7787234042544</v>
      </c>
      <c r="G853" s="243" t="s">
        <v>1025</v>
      </c>
      <c r="H853" s="170">
        <f>VLOOKUP(G853,'CP FACTORS'!$A$3:$B$38, 2, FALSE)</f>
        <v>0</v>
      </c>
      <c r="I853" s="1397">
        <f t="shared" si="60"/>
        <v>0</v>
      </c>
      <c r="J853" s="122">
        <f t="shared" si="61"/>
        <v>6</v>
      </c>
      <c r="K853" s="742">
        <f t="shared" si="62"/>
        <v>0</v>
      </c>
      <c r="L853" s="743"/>
      <c r="M853" s="1685"/>
      <c r="N853" s="130"/>
      <c r="O853" s="1516"/>
      <c r="P853" s="130"/>
      <c r="Q853" s="130"/>
      <c r="R853" s="1413"/>
      <c r="S853" s="1413"/>
      <c r="T853" s="130"/>
      <c r="U853" s="1686"/>
      <c r="V853" s="176" t="s">
        <v>19</v>
      </c>
      <c r="W853" s="746">
        <v>9077.8044487427451</v>
      </c>
      <c r="X853" s="741">
        <v>6759.7787234042544</v>
      </c>
      <c r="Y853" s="744"/>
      <c r="Z853" s="702"/>
      <c r="AA853" s="702"/>
      <c r="AB853" s="702"/>
      <c r="AC853" s="702"/>
      <c r="AD853" s="702"/>
      <c r="AE853" s="702"/>
      <c r="AF853" s="702"/>
      <c r="AG853" s="702"/>
    </row>
    <row r="854" spans="1:33" s="56" customFormat="1" ht="30" x14ac:dyDescent="0.25">
      <c r="A854" s="597"/>
      <c r="B854" s="130"/>
      <c r="C854" s="115"/>
      <c r="D854" s="1660" t="s">
        <v>1772</v>
      </c>
      <c r="E854" s="1060" t="s">
        <v>1105</v>
      </c>
      <c r="F854" s="745">
        <f>((K1353*K1439*(1/K1525-1/K1611)*K1697)/1000)</f>
        <v>615.74857142857161</v>
      </c>
      <c r="G854" s="1675" t="s">
        <v>1054</v>
      </c>
      <c r="H854" s="170">
        <f>VLOOKUP(G854,'CP FACTORS'!$A$3:$B$38, 2, FALSE)</f>
        <v>9.4741810000000004E-4</v>
      </c>
      <c r="I854" s="1397">
        <f t="shared" si="60"/>
        <v>0.58337134162057158</v>
      </c>
      <c r="J854" s="122">
        <f t="shared" si="61"/>
        <v>12</v>
      </c>
      <c r="K854" s="742">
        <f t="shared" si="62"/>
        <v>0</v>
      </c>
      <c r="L854" s="743"/>
      <c r="M854" s="1685"/>
      <c r="N854" s="130"/>
      <c r="O854" s="1516"/>
      <c r="P854" s="130"/>
      <c r="Q854" s="130"/>
      <c r="R854" s="1413"/>
      <c r="S854" s="1413"/>
      <c r="T854" s="130"/>
      <c r="U854" s="1686"/>
      <c r="V854" s="176" t="s">
        <v>19</v>
      </c>
      <c r="W854" s="746">
        <v>615.74857142857161</v>
      </c>
      <c r="X854" s="745">
        <v>615.74857142857161</v>
      </c>
      <c r="Y854" s="744"/>
      <c r="Z854" s="702"/>
      <c r="AA854" s="702"/>
      <c r="AB854" s="702"/>
      <c r="AC854" s="702"/>
      <c r="AD854" s="702"/>
      <c r="AE854" s="702"/>
      <c r="AF854" s="702"/>
      <c r="AG854" s="702"/>
    </row>
    <row r="855" spans="1:33" s="56" customFormat="1" ht="30" x14ac:dyDescent="0.25">
      <c r="A855" s="597"/>
      <c r="B855" s="130"/>
      <c r="C855" s="115"/>
      <c r="D855" s="1660" t="s">
        <v>1772</v>
      </c>
      <c r="E855" s="1061" t="s">
        <v>1105</v>
      </c>
      <c r="F855" s="745">
        <f xml:space="preserve"> ((K1009*K1095*(1/K1181-1/K1267)*K1697)/1000)</f>
        <v>6759.7787234042544</v>
      </c>
      <c r="G855" s="1675" t="s">
        <v>1070</v>
      </c>
      <c r="H855" s="170">
        <f>VLOOKUP(G855,'CP FACTORS'!$A$3:$B$38, 2, FALSE)</f>
        <v>0</v>
      </c>
      <c r="I855" s="1397">
        <f t="shared" si="60"/>
        <v>0</v>
      </c>
      <c r="J855" s="122">
        <f t="shared" si="61"/>
        <v>12</v>
      </c>
      <c r="K855" s="742">
        <f t="shared" si="62"/>
        <v>0</v>
      </c>
      <c r="L855" s="743"/>
      <c r="M855" s="1685"/>
      <c r="N855" s="130"/>
      <c r="O855" s="1516"/>
      <c r="P855" s="130"/>
      <c r="Q855" s="130"/>
      <c r="R855" s="1413"/>
      <c r="S855" s="1413"/>
      <c r="T855" s="130"/>
      <c r="U855" s="1686"/>
      <c r="V855" s="176" t="s">
        <v>19</v>
      </c>
      <c r="W855" s="746">
        <v>9077.8044487427451</v>
      </c>
      <c r="X855" s="741">
        <v>6759.7787234042544</v>
      </c>
      <c r="Y855" s="744"/>
      <c r="Z855" s="702"/>
      <c r="AA855" s="702"/>
      <c r="AB855" s="702"/>
      <c r="AC855" s="702"/>
      <c r="AD855" s="702"/>
      <c r="AE855" s="702"/>
      <c r="AF855" s="702"/>
      <c r="AG855" s="702"/>
    </row>
    <row r="856" spans="1:33" s="56" customFormat="1" x14ac:dyDescent="0.25">
      <c r="A856" s="597"/>
      <c r="B856" s="130"/>
      <c r="C856" s="115"/>
      <c r="D856" s="1660" t="s">
        <v>1773</v>
      </c>
      <c r="E856" s="1687" t="s">
        <v>1106</v>
      </c>
      <c r="F856" s="745">
        <f>((K1354*K1440*(1/K1526-1/K1612)*K1698)/1000)</f>
        <v>977.86373626373654</v>
      </c>
      <c r="G856" s="243" t="s">
        <v>1023</v>
      </c>
      <c r="H856" s="170">
        <f>VLOOKUP(G856,'CP FACTORS'!$A$3:$B$38, 2, FALSE)</f>
        <v>9.4741810000000004E-4</v>
      </c>
      <c r="I856" s="1397">
        <f t="shared" si="60"/>
        <v>0.92644580306989044</v>
      </c>
      <c r="J856" s="122">
        <f t="shared" si="61"/>
        <v>18</v>
      </c>
      <c r="K856" s="742">
        <f t="shared" si="62"/>
        <v>3712</v>
      </c>
      <c r="L856" s="743">
        <f>L1010</f>
        <v>3.2</v>
      </c>
      <c r="M856" s="1685"/>
      <c r="N856" s="130"/>
      <c r="O856" s="1516"/>
      <c r="P856" s="130"/>
      <c r="Q856" s="130"/>
      <c r="R856" s="1413"/>
      <c r="S856" s="1413"/>
      <c r="T856" s="130"/>
      <c r="U856" s="1686"/>
      <c r="V856" s="176" t="s">
        <v>19</v>
      </c>
      <c r="W856" s="746">
        <v>977.86373626373654</v>
      </c>
      <c r="X856" s="745">
        <v>977.86373626373654</v>
      </c>
      <c r="Y856" s="744"/>
      <c r="Z856" s="702"/>
      <c r="AA856" s="702"/>
      <c r="AB856" s="702"/>
      <c r="AC856" s="702"/>
      <c r="AD856" s="702"/>
      <c r="AE856" s="702"/>
      <c r="AF856" s="702"/>
      <c r="AG856" s="702"/>
    </row>
    <row r="857" spans="1:33" s="56" customFormat="1" x14ac:dyDescent="0.25">
      <c r="A857" s="597"/>
      <c r="B857" s="130"/>
      <c r="C857" s="115"/>
      <c r="D857" s="1660" t="s">
        <v>1773</v>
      </c>
      <c r="E857" s="1688" t="s">
        <v>1106</v>
      </c>
      <c r="F857" s="745">
        <f xml:space="preserve"> ((K1010*K1096*(1/K1182-1/K1268)*K1698)/1000)</f>
        <v>10924.142334552707</v>
      </c>
      <c r="G857" s="243" t="s">
        <v>1025</v>
      </c>
      <c r="H857" s="170">
        <f>VLOOKUP(G857,'CP FACTORS'!$A$3:$B$38, 2, FALSE)</f>
        <v>0</v>
      </c>
      <c r="I857" s="1397">
        <f t="shared" si="60"/>
        <v>0</v>
      </c>
      <c r="J857" s="122">
        <f t="shared" si="61"/>
        <v>18</v>
      </c>
      <c r="K857" s="742">
        <f t="shared" si="62"/>
        <v>0</v>
      </c>
      <c r="L857" s="743"/>
      <c r="M857" s="1685"/>
      <c r="N857" s="130"/>
      <c r="O857" s="1516"/>
      <c r="P857" s="130"/>
      <c r="Q857" s="130"/>
      <c r="R857" s="1413"/>
      <c r="S857" s="1413"/>
      <c r="T857" s="130"/>
      <c r="U857" s="1686"/>
      <c r="V857" s="176" t="s">
        <v>19</v>
      </c>
      <c r="W857" s="746">
        <v>14670.188469329136</v>
      </c>
      <c r="X857" s="741">
        <v>10924.142334552707</v>
      </c>
      <c r="Y857" s="744"/>
      <c r="Z857" s="702"/>
      <c r="AA857" s="702"/>
      <c r="AB857" s="702"/>
      <c r="AC857" s="702"/>
      <c r="AD857" s="702"/>
      <c r="AE857" s="702"/>
      <c r="AF857" s="702"/>
      <c r="AG857" s="702"/>
    </row>
    <row r="858" spans="1:33" s="56" customFormat="1" x14ac:dyDescent="0.25">
      <c r="A858" s="597"/>
      <c r="B858" s="130"/>
      <c r="C858" s="115"/>
      <c r="D858" s="1660" t="s">
        <v>1773</v>
      </c>
      <c r="E858" s="1687" t="s">
        <v>1107</v>
      </c>
      <c r="F858" s="745">
        <f>((K1355*K1441*(1/K1527-1/K1613)*K1699)/1000)</f>
        <v>635.61142857142875</v>
      </c>
      <c r="G858" s="243" t="s">
        <v>1023</v>
      </c>
      <c r="H858" s="170">
        <f>VLOOKUP(G858,'CP FACTORS'!$A$3:$B$38, 2, FALSE)</f>
        <v>9.4741810000000004E-4</v>
      </c>
      <c r="I858" s="1397">
        <f t="shared" si="60"/>
        <v>0.60218977199542878</v>
      </c>
      <c r="J858" s="122">
        <f t="shared" si="61"/>
        <v>18</v>
      </c>
      <c r="K858" s="742">
        <f t="shared" si="62"/>
        <v>2412.8000000000002</v>
      </c>
      <c r="L858" s="743">
        <f>L1011</f>
        <v>3.2</v>
      </c>
      <c r="M858" s="1685"/>
      <c r="N858" s="130"/>
      <c r="O858" s="1516"/>
      <c r="P858" s="130"/>
      <c r="Q858" s="130"/>
      <c r="R858" s="1413"/>
      <c r="S858" s="1413"/>
      <c r="T858" s="130"/>
      <c r="U858" s="1686"/>
      <c r="V858" s="176" t="s">
        <v>19</v>
      </c>
      <c r="W858" s="746">
        <v>635.61142857142875</v>
      </c>
      <c r="X858" s="745">
        <v>635.61142857142875</v>
      </c>
      <c r="Y858" s="744"/>
      <c r="Z858" s="702"/>
      <c r="AA858" s="702"/>
      <c r="AB858" s="702"/>
      <c r="AC858" s="702"/>
      <c r="AD858" s="702"/>
      <c r="AE858" s="702"/>
      <c r="AF858" s="702"/>
      <c r="AG858" s="702"/>
    </row>
    <row r="859" spans="1:33" s="56" customFormat="1" x14ac:dyDescent="0.25">
      <c r="A859" s="597"/>
      <c r="B859" s="130"/>
      <c r="C859" s="115"/>
      <c r="D859" s="1660" t="s">
        <v>1773</v>
      </c>
      <c r="E859" s="1688" t="s">
        <v>1107</v>
      </c>
      <c r="F859" s="745">
        <f xml:space="preserve"> ((K1011*K1097*(1/K1183-1/K1269)*K1699)/1000)</f>
        <v>7100.6925174592607</v>
      </c>
      <c r="G859" s="243" t="s">
        <v>1025</v>
      </c>
      <c r="H859" s="170">
        <f>VLOOKUP(G859,'CP FACTORS'!$A$3:$B$38, 2, FALSE)</f>
        <v>0</v>
      </c>
      <c r="I859" s="1397">
        <f t="shared" si="60"/>
        <v>0</v>
      </c>
      <c r="J859" s="122">
        <f t="shared" si="61"/>
        <v>18</v>
      </c>
      <c r="K859" s="742">
        <f t="shared" si="62"/>
        <v>0</v>
      </c>
      <c r="L859" s="743"/>
      <c r="M859" s="1685"/>
      <c r="N859" s="130"/>
      <c r="O859" s="1516"/>
      <c r="P859" s="130"/>
      <c r="Q859" s="130"/>
      <c r="R859" s="1413"/>
      <c r="S859" s="1413"/>
      <c r="T859" s="130"/>
      <c r="U859" s="1686"/>
      <c r="V859" s="176" t="s">
        <v>19</v>
      </c>
      <c r="W859" s="746">
        <v>9535.6225050639387</v>
      </c>
      <c r="X859" s="741">
        <v>7100.6925174592607</v>
      </c>
      <c r="Y859" s="744"/>
      <c r="Z859" s="702"/>
      <c r="AA859" s="702"/>
      <c r="AB859" s="702"/>
      <c r="AC859" s="702"/>
      <c r="AD859" s="702"/>
      <c r="AE859" s="702"/>
      <c r="AF859" s="702"/>
      <c r="AG859" s="702"/>
    </row>
    <row r="860" spans="1:33" s="56" customFormat="1" x14ac:dyDescent="0.25">
      <c r="A860" s="597"/>
      <c r="B860" s="130"/>
      <c r="C860" s="115"/>
      <c r="D860" s="1660" t="s">
        <v>1773</v>
      </c>
      <c r="E860" s="1687" t="s">
        <v>1108</v>
      </c>
      <c r="F860" s="745">
        <f>((K1356*K1442*(1/K1528-1/K1614)*K1700)/1000)</f>
        <v>2106.8816326530614</v>
      </c>
      <c r="G860" s="243" t="s">
        <v>1023</v>
      </c>
      <c r="H860" s="170">
        <f>VLOOKUP(G860,'CP FACTORS'!$A$3:$B$38, 2, FALSE)</f>
        <v>9.4741810000000004E-4</v>
      </c>
      <c r="I860" s="1397">
        <f t="shared" si="60"/>
        <v>1.9960977933330615</v>
      </c>
      <c r="J860" s="122">
        <f t="shared" si="61"/>
        <v>6</v>
      </c>
      <c r="K860" s="742">
        <f t="shared" si="62"/>
        <v>2843.0025568704809</v>
      </c>
      <c r="L860" s="743">
        <f>L1012</f>
        <v>3.3</v>
      </c>
      <c r="M860" s="1685"/>
      <c r="N860" s="130"/>
      <c r="O860" s="1516"/>
      <c r="P860" s="130"/>
      <c r="Q860" s="130"/>
      <c r="R860" s="1413"/>
      <c r="S860" s="1413"/>
      <c r="T860" s="130"/>
      <c r="U860" s="1686"/>
      <c r="V860" s="176" t="s">
        <v>19</v>
      </c>
      <c r="W860" s="746">
        <v>2755.2411764705885</v>
      </c>
      <c r="X860" s="741">
        <v>2106.8816326530614</v>
      </c>
      <c r="Y860" s="744"/>
      <c r="Z860" s="702"/>
      <c r="AA860" s="702"/>
      <c r="AB860" s="702"/>
      <c r="AC860" s="702"/>
      <c r="AD860" s="702"/>
      <c r="AE860" s="702"/>
      <c r="AF860" s="702"/>
      <c r="AG860" s="702"/>
    </row>
    <row r="861" spans="1:33" s="56" customFormat="1" x14ac:dyDescent="0.25">
      <c r="A861" s="597"/>
      <c r="B861" s="130"/>
      <c r="C861" s="115"/>
      <c r="D861" s="1660" t="s">
        <v>1773</v>
      </c>
      <c r="E861" s="1691" t="s">
        <v>1108</v>
      </c>
      <c r="F861" s="745">
        <f xml:space="preserve"> ((K1012*K1098*(1/K1184-1/K1270)*K1700)/1000)</f>
        <v>2767.3247800351946</v>
      </c>
      <c r="G861" s="243" t="s">
        <v>1025</v>
      </c>
      <c r="H861" s="170">
        <f>VLOOKUP(G861,'CP FACTORS'!$A$3:$B$38, 2, FALSE)</f>
        <v>0</v>
      </c>
      <c r="I861" s="1397">
        <f t="shared" si="60"/>
        <v>0</v>
      </c>
      <c r="J861" s="122">
        <f t="shared" si="61"/>
        <v>6</v>
      </c>
      <c r="K861" s="742">
        <f t="shared" si="62"/>
        <v>0</v>
      </c>
      <c r="L861" s="743"/>
      <c r="M861" s="1685"/>
      <c r="N861" s="130"/>
      <c r="O861" s="1516"/>
      <c r="P861" s="130"/>
      <c r="Q861" s="130"/>
      <c r="R861" s="1413"/>
      <c r="S861" s="1413"/>
      <c r="T861" s="130"/>
      <c r="U861" s="1686"/>
      <c r="V861" s="176" t="s">
        <v>19</v>
      </c>
      <c r="W861" s="746">
        <v>6249.9803405572748</v>
      </c>
      <c r="X861" s="741">
        <v>2767.3247800351946</v>
      </c>
      <c r="Y861" s="744"/>
      <c r="Z861" s="702"/>
      <c r="AA861" s="702"/>
      <c r="AB861" s="702"/>
      <c r="AC861" s="702"/>
      <c r="AD861" s="702"/>
      <c r="AE861" s="702"/>
      <c r="AF861" s="702"/>
      <c r="AG861" s="702"/>
    </row>
    <row r="862" spans="1:33" s="56" customFormat="1" x14ac:dyDescent="0.25">
      <c r="A862" s="597"/>
      <c r="B862" s="130"/>
      <c r="C862" s="115"/>
      <c r="D862" s="1660" t="s">
        <v>1773</v>
      </c>
      <c r="E862" s="1691" t="s">
        <v>1109</v>
      </c>
      <c r="F862" s="745">
        <f>((K1357*K1443*(1/K1529-1/K1615)*K1701)/1000)</f>
        <v>433.76974789915954</v>
      </c>
      <c r="G862" s="1675" t="s">
        <v>1054</v>
      </c>
      <c r="H862" s="170">
        <f>VLOOKUP(G862,'CP FACTORS'!$A$3:$B$38, 2, FALSE)</f>
        <v>9.4741810000000004E-4</v>
      </c>
      <c r="I862" s="1397">
        <f t="shared" si="60"/>
        <v>0.41096131039210076</v>
      </c>
      <c r="J862" s="122">
        <f t="shared" si="61"/>
        <v>12</v>
      </c>
      <c r="K862" s="742">
        <f t="shared" si="62"/>
        <v>0</v>
      </c>
      <c r="L862" s="743"/>
      <c r="M862" s="1685"/>
      <c r="N862" s="130"/>
      <c r="O862" s="1516"/>
      <c r="P862" s="130"/>
      <c r="Q862" s="130"/>
      <c r="R862" s="1413"/>
      <c r="S862" s="1413"/>
      <c r="T862" s="130"/>
      <c r="U862" s="1686"/>
      <c r="V862" s="176" t="s">
        <v>19</v>
      </c>
      <c r="W862" s="746">
        <v>433.76974789915954</v>
      </c>
      <c r="X862" s="745">
        <v>433.76974789915954</v>
      </c>
      <c r="Y862" s="744"/>
      <c r="Z862" s="702"/>
      <c r="AA862" s="702"/>
      <c r="AB862" s="702"/>
      <c r="AC862" s="702"/>
      <c r="AD862" s="702"/>
      <c r="AE862" s="702"/>
      <c r="AF862" s="702"/>
      <c r="AG862" s="702"/>
    </row>
    <row r="863" spans="1:33" s="56" customFormat="1" x14ac:dyDescent="0.25">
      <c r="A863" s="597"/>
      <c r="B863" s="130"/>
      <c r="C863" s="115"/>
      <c r="D863" s="1660" t="s">
        <v>1773</v>
      </c>
      <c r="E863" s="914" t="s">
        <v>1109</v>
      </c>
      <c r="F863" s="745">
        <f xml:space="preserve"> ((K1013*K1099*(1/K1185-1/K1271)*K1701)/1000)</f>
        <v>988.62747111681745</v>
      </c>
      <c r="G863" s="1675" t="s">
        <v>1070</v>
      </c>
      <c r="H863" s="170">
        <f>VLOOKUP(G863,'CP FACTORS'!$A$3:$B$38, 2, FALSE)</f>
        <v>0</v>
      </c>
      <c r="I863" s="1397">
        <f t="shared" si="60"/>
        <v>0</v>
      </c>
      <c r="J863" s="122">
        <f t="shared" si="61"/>
        <v>12</v>
      </c>
      <c r="K863" s="742">
        <f t="shared" si="62"/>
        <v>0</v>
      </c>
      <c r="L863" s="743"/>
      <c r="M863" s="1685"/>
      <c r="N863" s="130"/>
      <c r="O863" s="1516"/>
      <c r="P863" s="130"/>
      <c r="Q863" s="130"/>
      <c r="R863" s="1413"/>
      <c r="S863" s="1413"/>
      <c r="T863" s="130"/>
      <c r="U863" s="1686"/>
      <c r="V863" s="176" t="s">
        <v>19</v>
      </c>
      <c r="W863" s="746">
        <v>1327.6421052631592</v>
      </c>
      <c r="X863" s="741">
        <v>988.62747111681745</v>
      </c>
      <c r="Y863" s="744"/>
      <c r="Z863" s="702"/>
      <c r="AA863" s="702"/>
      <c r="AB863" s="702"/>
      <c r="AC863" s="702"/>
      <c r="AD863" s="702"/>
      <c r="AE863" s="702"/>
      <c r="AF863" s="702"/>
      <c r="AG863" s="702"/>
    </row>
    <row r="864" spans="1:33" s="56" customFormat="1" x14ac:dyDescent="0.25">
      <c r="A864" s="597"/>
      <c r="B864" s="130"/>
      <c r="C864" s="115"/>
      <c r="D864" s="1660" t="s">
        <v>1773</v>
      </c>
      <c r="E864" s="1687" t="s">
        <v>1110</v>
      </c>
      <c r="F864" s="745">
        <f>((K1358*K1444*(1/K1530-1/K1616)*K1702)/1000)</f>
        <v>433.76974789915954</v>
      </c>
      <c r="G864" s="243" t="s">
        <v>1023</v>
      </c>
      <c r="H864" s="170">
        <f>VLOOKUP(G864,'CP FACTORS'!$A$3:$B$38, 2, FALSE)</f>
        <v>9.4741810000000004E-4</v>
      </c>
      <c r="I864" s="1397">
        <f t="shared" si="60"/>
        <v>0.41096131039210076</v>
      </c>
      <c r="J864" s="122">
        <f t="shared" si="61"/>
        <v>18</v>
      </c>
      <c r="K864" s="742">
        <f t="shared" si="62"/>
        <v>1914</v>
      </c>
      <c r="L864" s="743">
        <f>L1014</f>
        <v>3.3</v>
      </c>
      <c r="M864" s="1685"/>
      <c r="N864" s="130"/>
      <c r="O864" s="1516"/>
      <c r="P864" s="130"/>
      <c r="Q864" s="130"/>
      <c r="R864" s="1413"/>
      <c r="S864" s="1413"/>
      <c r="T864" s="130"/>
      <c r="U864" s="1686"/>
      <c r="V864" s="176" t="s">
        <v>19</v>
      </c>
      <c r="W864" s="746">
        <v>433.76974789915954</v>
      </c>
      <c r="X864" s="745">
        <v>433.76974789915954</v>
      </c>
      <c r="Y864" s="744"/>
      <c r="Z864" s="702"/>
      <c r="AA864" s="702"/>
      <c r="AB864" s="702"/>
      <c r="AC864" s="702"/>
      <c r="AD864" s="702"/>
      <c r="AE864" s="702"/>
      <c r="AF864" s="702"/>
      <c r="AG864" s="702"/>
    </row>
    <row r="865" spans="1:33" s="56" customFormat="1" x14ac:dyDescent="0.25">
      <c r="A865" s="597"/>
      <c r="B865" s="130"/>
      <c r="C865" s="115"/>
      <c r="D865" s="1660" t="s">
        <v>1773</v>
      </c>
      <c r="E865" s="1688" t="s">
        <v>1110</v>
      </c>
      <c r="F865" s="745">
        <f xml:space="preserve"> ((K1014*K1100*(1/K1186-1/K1272)*K1702)/1000)</f>
        <v>1179.5241413638641</v>
      </c>
      <c r="G865" s="243" t="s">
        <v>1025</v>
      </c>
      <c r="H865" s="170">
        <f>VLOOKUP(G865,'CP FACTORS'!$A$3:$B$38, 2, FALSE)</f>
        <v>0</v>
      </c>
      <c r="I865" s="1397">
        <f t="shared" si="60"/>
        <v>0</v>
      </c>
      <c r="J865" s="122">
        <f t="shared" si="61"/>
        <v>18</v>
      </c>
      <c r="K865" s="742">
        <f t="shared" si="62"/>
        <v>0</v>
      </c>
      <c r="L865" s="743"/>
      <c r="M865" s="1685"/>
      <c r="N865" s="130"/>
      <c r="O865" s="1516"/>
      <c r="P865" s="130"/>
      <c r="Q865" s="130"/>
      <c r="R865" s="1413"/>
      <c r="S865" s="1413"/>
      <c r="T865" s="130"/>
      <c r="U865" s="1686"/>
      <c r="V865" s="176" t="s">
        <v>19</v>
      </c>
      <c r="W865" s="746">
        <v>1584.0000000000018</v>
      </c>
      <c r="X865" s="741">
        <v>1179.5241413638641</v>
      </c>
      <c r="Y865" s="744"/>
      <c r="Z865" s="702"/>
      <c r="AA865" s="702"/>
      <c r="AB865" s="702"/>
      <c r="AC865" s="702"/>
      <c r="AD865" s="702"/>
      <c r="AE865" s="702"/>
      <c r="AF865" s="702"/>
      <c r="AG865" s="702"/>
    </row>
    <row r="866" spans="1:33" s="56" customFormat="1" x14ac:dyDescent="0.25">
      <c r="A866" s="597"/>
      <c r="B866" s="130"/>
      <c r="C866" s="115"/>
      <c r="D866" s="1660" t="s">
        <v>1773</v>
      </c>
      <c r="E866" s="1684" t="s">
        <v>1111</v>
      </c>
      <c r="F866" s="745">
        <f>((K1359*K1445*(1/K1531-1/K1617)*K1703)/1000)</f>
        <v>2219.3404561824727</v>
      </c>
      <c r="G866" s="243" t="s">
        <v>1023</v>
      </c>
      <c r="H866" s="170">
        <f>VLOOKUP(G866,'CP FACTORS'!$A$3:$B$38, 2, FALSE)</f>
        <v>9.4741810000000004E-4</v>
      </c>
      <c r="I866" s="1397">
        <f t="shared" si="60"/>
        <v>2.1026433182495317</v>
      </c>
      <c r="J866" s="122">
        <f t="shared" si="61"/>
        <v>6</v>
      </c>
      <c r="K866" s="742">
        <f t="shared" si="62"/>
        <v>3283.0025568704814</v>
      </c>
      <c r="L866" s="743">
        <f>L1015</f>
        <v>3.3</v>
      </c>
      <c r="M866" s="1692"/>
      <c r="N866" s="130"/>
      <c r="O866" s="1516"/>
      <c r="P866" s="130"/>
      <c r="Q866" s="130"/>
      <c r="R866" s="1413"/>
      <c r="S866" s="1413"/>
      <c r="T866" s="130"/>
      <c r="U866" s="1686"/>
      <c r="V866" s="176" t="s">
        <v>19</v>
      </c>
      <c r="W866" s="746">
        <v>2867.7000000000003</v>
      </c>
      <c r="X866" s="741">
        <v>2219.3404561824727</v>
      </c>
      <c r="Y866" s="744"/>
      <c r="Z866" s="702"/>
      <c r="AA866" s="702"/>
      <c r="AB866" s="702"/>
      <c r="AC866" s="702"/>
      <c r="AD866" s="702"/>
      <c r="AE866" s="702"/>
      <c r="AF866" s="702"/>
      <c r="AG866" s="702"/>
    </row>
    <row r="867" spans="1:33" s="56" customFormat="1" x14ac:dyDescent="0.25">
      <c r="A867" s="597"/>
      <c r="B867" s="130"/>
      <c r="C867" s="115"/>
      <c r="D867" s="1660" t="s">
        <v>1773</v>
      </c>
      <c r="E867" s="1060" t="s">
        <v>1111</v>
      </c>
      <c r="F867" s="745">
        <f xml:space="preserve"> ((K1015*K1101*(1/K1187-1/K1273)*K1703)/1000)</f>
        <v>2767.3247800351946</v>
      </c>
      <c r="G867" s="243" t="s">
        <v>1025</v>
      </c>
      <c r="H867" s="170">
        <f>VLOOKUP(G867,'CP FACTORS'!$A$3:$B$38, 2, FALSE)</f>
        <v>0</v>
      </c>
      <c r="I867" s="1397">
        <f t="shared" si="60"/>
        <v>0</v>
      </c>
      <c r="J867" s="122">
        <f t="shared" si="61"/>
        <v>6</v>
      </c>
      <c r="K867" s="742">
        <f t="shared" si="62"/>
        <v>0</v>
      </c>
      <c r="L867" s="743"/>
      <c r="M867" s="1692"/>
      <c r="N867" s="130"/>
      <c r="O867" s="1516"/>
      <c r="P867" s="130"/>
      <c r="Q867" s="130"/>
      <c r="R867" s="1413"/>
      <c r="S867" s="1413"/>
      <c r="T867" s="130"/>
      <c r="U867" s="1686"/>
      <c r="V867" s="176" t="s">
        <v>19</v>
      </c>
      <c r="W867" s="746">
        <v>6249.9803405572748</v>
      </c>
      <c r="X867" s="741">
        <v>2767.3247800351946</v>
      </c>
      <c r="Y867" s="744"/>
      <c r="Z867" s="702"/>
      <c r="AA867" s="702"/>
      <c r="AB867" s="702"/>
      <c r="AC867" s="702"/>
      <c r="AD867" s="702"/>
      <c r="AE867" s="702"/>
      <c r="AF867" s="702"/>
      <c r="AG867" s="702"/>
    </row>
    <row r="868" spans="1:33" s="56" customFormat="1" x14ac:dyDescent="0.25">
      <c r="A868" s="597"/>
      <c r="B868" s="130"/>
      <c r="C868" s="115"/>
      <c r="D868" s="1660" t="s">
        <v>1773</v>
      </c>
      <c r="E868" s="1060" t="s">
        <v>1112</v>
      </c>
      <c r="F868" s="745">
        <f>((K1360*K1446*(1/K1532-1/K1618)*K1704)/1000)</f>
        <v>546.2285714285714</v>
      </c>
      <c r="G868" s="1675" t="s">
        <v>1054</v>
      </c>
      <c r="H868" s="170">
        <f>VLOOKUP(G868,'CP FACTORS'!$A$3:$B$38, 2, FALSE)</f>
        <v>9.4741810000000004E-4</v>
      </c>
      <c r="I868" s="1397">
        <f t="shared" si="60"/>
        <v>0.51750683530857144</v>
      </c>
      <c r="J868" s="122">
        <f t="shared" si="61"/>
        <v>12</v>
      </c>
      <c r="K868" s="742">
        <f t="shared" si="62"/>
        <v>0</v>
      </c>
      <c r="L868" s="743"/>
      <c r="M868" s="1692"/>
      <c r="N868" s="130"/>
      <c r="O868" s="1516"/>
      <c r="P868" s="130"/>
      <c r="Q868" s="130"/>
      <c r="R868" s="1413"/>
      <c r="S868" s="1413"/>
      <c r="T868" s="130"/>
      <c r="U868" s="1686"/>
      <c r="V868" s="176" t="s">
        <v>19</v>
      </c>
      <c r="W868" s="746">
        <v>546.2285714285714</v>
      </c>
      <c r="X868" s="745">
        <v>546.2285714285714</v>
      </c>
      <c r="Y868" s="744"/>
      <c r="Z868" s="702"/>
      <c r="AA868" s="702"/>
      <c r="AB868" s="702"/>
      <c r="AC868" s="702"/>
      <c r="AD868" s="702"/>
      <c r="AE868" s="702"/>
      <c r="AF868" s="702"/>
      <c r="AG868" s="702"/>
    </row>
    <row r="869" spans="1:33" s="56" customFormat="1" x14ac:dyDescent="0.25">
      <c r="A869" s="597"/>
      <c r="B869" s="130"/>
      <c r="C869" s="115"/>
      <c r="D869" s="1660" t="s">
        <v>1773</v>
      </c>
      <c r="E869" s="1061" t="s">
        <v>1112</v>
      </c>
      <c r="F869" s="745">
        <f xml:space="preserve"> ((K1016*K1102*(1/K1188-1/K1274)*K1704)/1000)</f>
        <v>988.62747111681745</v>
      </c>
      <c r="G869" s="1675" t="s">
        <v>1070</v>
      </c>
      <c r="H869" s="170">
        <f>VLOOKUP(G869,'CP FACTORS'!$A$3:$B$38, 2, FALSE)</f>
        <v>0</v>
      </c>
      <c r="I869" s="1397">
        <f t="shared" si="60"/>
        <v>0</v>
      </c>
      <c r="J869" s="122">
        <f t="shared" si="61"/>
        <v>12</v>
      </c>
      <c r="K869" s="742">
        <f t="shared" si="62"/>
        <v>0</v>
      </c>
      <c r="L869" s="743"/>
      <c r="M869" s="1692"/>
      <c r="N869" s="130"/>
      <c r="O869" s="1516"/>
      <c r="P869" s="130"/>
      <c r="Q869" s="130"/>
      <c r="R869" s="1413"/>
      <c r="S869" s="1413"/>
      <c r="T869" s="130"/>
      <c r="U869" s="1686"/>
      <c r="V869" s="176" t="s">
        <v>19</v>
      </c>
      <c r="W869" s="746">
        <v>1327.6421052631592</v>
      </c>
      <c r="X869" s="741">
        <v>988.62747111681745</v>
      </c>
      <c r="Y869" s="744"/>
      <c r="Z869" s="702"/>
      <c r="AA869" s="702"/>
      <c r="AB869" s="702"/>
      <c r="AC869" s="702"/>
      <c r="AD869" s="702"/>
      <c r="AE869" s="702"/>
      <c r="AF869" s="702"/>
      <c r="AG869" s="702"/>
    </row>
    <row r="870" spans="1:33" s="56" customFormat="1" x14ac:dyDescent="0.25">
      <c r="A870" s="597"/>
      <c r="B870" s="130"/>
      <c r="C870" s="115"/>
      <c r="D870" s="1660" t="s">
        <v>1773</v>
      </c>
      <c r="E870" s="1687" t="s">
        <v>1113</v>
      </c>
      <c r="F870" s="745">
        <f>((K1361*K1447*(1/K1533-1/K1619)*K1705)/1000)</f>
        <v>546.2285714285714</v>
      </c>
      <c r="G870" s="243" t="s">
        <v>1023</v>
      </c>
      <c r="H870" s="170">
        <f>VLOOKUP(G870,'CP FACTORS'!$A$3:$B$38, 2, FALSE)</f>
        <v>9.4741810000000004E-4</v>
      </c>
      <c r="I870" s="1397">
        <f t="shared" si="60"/>
        <v>0.51750683530857144</v>
      </c>
      <c r="J870" s="122">
        <f t="shared" si="61"/>
        <v>18</v>
      </c>
      <c r="K870" s="742">
        <f t="shared" si="62"/>
        <v>2354</v>
      </c>
      <c r="L870" s="743">
        <f>L1017</f>
        <v>3.3</v>
      </c>
      <c r="M870" s="1692"/>
      <c r="N870" s="130"/>
      <c r="O870" s="1516"/>
      <c r="P870" s="130"/>
      <c r="Q870" s="130"/>
      <c r="R870" s="1413"/>
      <c r="S870" s="1413"/>
      <c r="T870" s="130"/>
      <c r="U870" s="1686"/>
      <c r="V870" s="176" t="s">
        <v>19</v>
      </c>
      <c r="W870" s="746">
        <v>546.2285714285714</v>
      </c>
      <c r="X870" s="745">
        <v>546.2285714285714</v>
      </c>
      <c r="Y870" s="744"/>
      <c r="Z870" s="702"/>
      <c r="AA870" s="702"/>
      <c r="AB870" s="702"/>
      <c r="AC870" s="702"/>
      <c r="AD870" s="702"/>
      <c r="AE870" s="702"/>
      <c r="AF870" s="702"/>
      <c r="AG870" s="702"/>
    </row>
    <row r="871" spans="1:33" s="56" customFormat="1" x14ac:dyDescent="0.25">
      <c r="A871" s="597"/>
      <c r="B871" s="130"/>
      <c r="C871" s="115"/>
      <c r="D871" s="1660" t="s">
        <v>1773</v>
      </c>
      <c r="E871" s="1688" t="s">
        <v>1113</v>
      </c>
      <c r="F871" s="745">
        <f xml:space="preserve"> ((K1017*K1103*(1/K1189-1/K1275)*K1705)/1000)</f>
        <v>1179.5241413638641</v>
      </c>
      <c r="G871" s="243" t="s">
        <v>1025</v>
      </c>
      <c r="H871" s="170">
        <f>VLOOKUP(G871,'CP FACTORS'!$A$3:$B$38, 2, FALSE)</f>
        <v>0</v>
      </c>
      <c r="I871" s="1397">
        <f t="shared" si="60"/>
        <v>0</v>
      </c>
      <c r="J871" s="122">
        <f t="shared" si="61"/>
        <v>18</v>
      </c>
      <c r="K871" s="742">
        <f t="shared" si="62"/>
        <v>0</v>
      </c>
      <c r="L871" s="743"/>
      <c r="M871" s="1692"/>
      <c r="N871" s="130"/>
      <c r="O871" s="1516"/>
      <c r="P871" s="130"/>
      <c r="Q871" s="130"/>
      <c r="R871" s="1413"/>
      <c r="S871" s="1413"/>
      <c r="T871" s="130"/>
      <c r="U871" s="1686"/>
      <c r="V871" s="176" t="s">
        <v>19</v>
      </c>
      <c r="W871" s="746">
        <v>1584.0000000000018</v>
      </c>
      <c r="X871" s="741">
        <v>1179.5241413638641</v>
      </c>
      <c r="Y871" s="744"/>
      <c r="Z871" s="702"/>
      <c r="AA871" s="702"/>
      <c r="AB871" s="702"/>
      <c r="AC871" s="702"/>
      <c r="AD871" s="702"/>
      <c r="AE871" s="702"/>
      <c r="AF871" s="702"/>
      <c r="AG871" s="702"/>
    </row>
    <row r="872" spans="1:33" s="56" customFormat="1" x14ac:dyDescent="0.25">
      <c r="A872" s="597"/>
      <c r="B872" s="130"/>
      <c r="C872" s="115"/>
      <c r="D872" s="1660" t="s">
        <v>1773</v>
      </c>
      <c r="E872" s="1687" t="s">
        <v>1114</v>
      </c>
      <c r="F872" s="745">
        <f>((K1362*K1448*(1/K1534-1/K1620)*K1706)/1000)</f>
        <v>546.2285714285714</v>
      </c>
      <c r="G872" s="243" t="s">
        <v>1023</v>
      </c>
      <c r="H872" s="170">
        <f>VLOOKUP(G872,'CP FACTORS'!$A$3:$B$38, 2, FALSE)</f>
        <v>9.4741810000000004E-4</v>
      </c>
      <c r="I872" s="1397">
        <f t="shared" si="60"/>
        <v>0.51750683530857144</v>
      </c>
      <c r="J872" s="122">
        <f t="shared" si="61"/>
        <v>18</v>
      </c>
      <c r="K872" s="742">
        <f t="shared" si="62"/>
        <v>2354</v>
      </c>
      <c r="L872" s="743">
        <f>L1018</f>
        <v>3.3</v>
      </c>
      <c r="M872" s="1692"/>
      <c r="N872" s="130"/>
      <c r="O872" s="1516"/>
      <c r="P872" s="130"/>
      <c r="Q872" s="130"/>
      <c r="R872" s="1413"/>
      <c r="S872" s="1413"/>
      <c r="T872" s="130"/>
      <c r="U872" s="1686"/>
      <c r="V872" s="176" t="s">
        <v>19</v>
      </c>
      <c r="W872" s="746">
        <v>546.2285714285714</v>
      </c>
      <c r="X872" s="745">
        <v>546.2285714285714</v>
      </c>
      <c r="Y872" s="744"/>
      <c r="Z872" s="702"/>
      <c r="AA872" s="702"/>
      <c r="AB872" s="702"/>
      <c r="AC872" s="702"/>
      <c r="AD872" s="702"/>
      <c r="AE872" s="702"/>
      <c r="AF872" s="702"/>
      <c r="AG872" s="702"/>
    </row>
    <row r="873" spans="1:33" s="56" customFormat="1" x14ac:dyDescent="0.25">
      <c r="A873" s="597"/>
      <c r="B873" s="130"/>
      <c r="C873" s="115"/>
      <c r="D873" s="1660" t="s">
        <v>1773</v>
      </c>
      <c r="E873" s="1688" t="s">
        <v>1114</v>
      </c>
      <c r="F873" s="745">
        <f xml:space="preserve"> ((K1018*K1104*(1/K1190-1/K1276)*K1706)/1000)</f>
        <v>1179.5241413638641</v>
      </c>
      <c r="G873" s="243" t="s">
        <v>1025</v>
      </c>
      <c r="H873" s="170">
        <f>VLOOKUP(G873,'CP FACTORS'!$A$3:$B$38, 2, FALSE)</f>
        <v>0</v>
      </c>
      <c r="I873" s="1397">
        <f t="shared" si="60"/>
        <v>0</v>
      </c>
      <c r="J873" s="122">
        <f t="shared" si="61"/>
        <v>18</v>
      </c>
      <c r="K873" s="742">
        <f t="shared" si="62"/>
        <v>0</v>
      </c>
      <c r="L873" s="743"/>
      <c r="M873" s="1692"/>
      <c r="N873" s="130"/>
      <c r="O873" s="1516"/>
      <c r="P873" s="130"/>
      <c r="Q873" s="130"/>
      <c r="R873" s="1413"/>
      <c r="S873" s="1413"/>
      <c r="T873" s="130"/>
      <c r="U873" s="1686"/>
      <c r="V873" s="176" t="s">
        <v>19</v>
      </c>
      <c r="W873" s="746">
        <v>1584.0000000000018</v>
      </c>
      <c r="X873" s="741">
        <v>1179.5241413638641</v>
      </c>
      <c r="Y873" s="744"/>
      <c r="Z873" s="702"/>
      <c r="AA873" s="702"/>
      <c r="AB873" s="702"/>
      <c r="AC873" s="702"/>
      <c r="AD873" s="702"/>
      <c r="AE873" s="702"/>
      <c r="AF873" s="702"/>
      <c r="AG873" s="702"/>
    </row>
    <row r="874" spans="1:33" s="56" customFormat="1" x14ac:dyDescent="0.25">
      <c r="A874" s="597"/>
      <c r="B874" s="130"/>
      <c r="C874" s="115"/>
      <c r="D874" s="1660" t="s">
        <v>1773</v>
      </c>
      <c r="E874" s="1684" t="s">
        <v>1115</v>
      </c>
      <c r="F874" s="745">
        <f>((K1363*K1449*(1/K1535-1/K1621)*K1707)/1000)</f>
        <v>2319.9615088140517</v>
      </c>
      <c r="G874" s="243" t="s">
        <v>1023</v>
      </c>
      <c r="H874" s="170">
        <f>VLOOKUP(G874,'CP FACTORS'!$A$3:$B$38, 2, FALSE)</f>
        <v>9.4741810000000004E-4</v>
      </c>
      <c r="I874" s="1397">
        <f t="shared" si="60"/>
        <v>2.1979735247537424</v>
      </c>
      <c r="J874" s="122">
        <f t="shared" si="61"/>
        <v>6</v>
      </c>
      <c r="K874" s="742">
        <f t="shared" si="62"/>
        <v>3613.0025568704814</v>
      </c>
      <c r="L874" s="743">
        <f>L1019</f>
        <v>3.3</v>
      </c>
      <c r="M874" s="1692"/>
      <c r="N874" s="130"/>
      <c r="O874" s="1516"/>
      <c r="P874" s="130"/>
      <c r="Q874" s="130"/>
      <c r="R874" s="1413"/>
      <c r="S874" s="1413"/>
      <c r="T874" s="130"/>
      <c r="U874" s="1686"/>
      <c r="V874" s="176" t="s">
        <v>19</v>
      </c>
      <c r="W874" s="746">
        <v>2968.3210526315793</v>
      </c>
      <c r="X874" s="741">
        <v>2319.9615088140517</v>
      </c>
      <c r="Y874" s="744"/>
      <c r="Z874" s="702"/>
      <c r="AA874" s="702"/>
      <c r="AB874" s="702"/>
      <c r="AC874" s="702"/>
      <c r="AD874" s="702"/>
      <c r="AE874" s="702"/>
      <c r="AF874" s="702"/>
      <c r="AG874" s="702"/>
    </row>
    <row r="875" spans="1:33" s="56" customFormat="1" x14ac:dyDescent="0.25">
      <c r="A875" s="597"/>
      <c r="B875" s="130"/>
      <c r="C875" s="115"/>
      <c r="D875" s="1660" t="s">
        <v>1773</v>
      </c>
      <c r="E875" s="1060" t="s">
        <v>1115</v>
      </c>
      <c r="F875" s="745">
        <f xml:space="preserve"> ((K1019*K1105*(1/K1191-1/K1277)*K1707)/1000)</f>
        <v>2767.3247800351946</v>
      </c>
      <c r="G875" s="243" t="s">
        <v>1025</v>
      </c>
      <c r="H875" s="170">
        <f>VLOOKUP(G875,'CP FACTORS'!$A$3:$B$38, 2, FALSE)</f>
        <v>0</v>
      </c>
      <c r="I875" s="1397">
        <f t="shared" si="60"/>
        <v>0</v>
      </c>
      <c r="J875" s="122">
        <f t="shared" si="61"/>
        <v>6</v>
      </c>
      <c r="K875" s="742">
        <f t="shared" si="62"/>
        <v>0</v>
      </c>
      <c r="L875" s="743"/>
      <c r="M875" s="1692"/>
      <c r="N875" s="130"/>
      <c r="O875" s="1516"/>
      <c r="P875" s="130"/>
      <c r="Q875" s="130"/>
      <c r="R875" s="1413"/>
      <c r="S875" s="1413"/>
      <c r="T875" s="130"/>
      <c r="U875" s="1686"/>
      <c r="V875" s="176" t="s">
        <v>19</v>
      </c>
      <c r="W875" s="746">
        <v>6249.9803405572748</v>
      </c>
      <c r="X875" s="741">
        <v>2767.3247800351946</v>
      </c>
      <c r="Y875" s="744"/>
      <c r="Z875" s="702"/>
      <c r="AA875" s="702"/>
      <c r="AB875" s="702"/>
      <c r="AC875" s="702"/>
      <c r="AD875" s="702"/>
      <c r="AE875" s="702"/>
      <c r="AF875" s="702"/>
      <c r="AG875" s="702"/>
    </row>
    <row r="876" spans="1:33" s="56" customFormat="1" x14ac:dyDescent="0.25">
      <c r="A876" s="597"/>
      <c r="B876" s="130"/>
      <c r="C876" s="115"/>
      <c r="D876" s="1660" t="s">
        <v>1773</v>
      </c>
      <c r="E876" s="1060" t="s">
        <v>1116</v>
      </c>
      <c r="F876" s="745">
        <f>((K1364*K1450*(1/K1536-1/K1622)*K1708)/1000)</f>
        <v>646.8496240601504</v>
      </c>
      <c r="G876" s="1675" t="s">
        <v>1054</v>
      </c>
      <c r="H876" s="170">
        <f>VLOOKUP(G876,'CP FACTORS'!$A$3:$B$38, 2, FALSE)</f>
        <v>9.4741810000000004E-4</v>
      </c>
      <c r="I876" s="1397">
        <f t="shared" si="60"/>
        <v>0.61283704181278198</v>
      </c>
      <c r="J876" s="122">
        <f t="shared" si="61"/>
        <v>12</v>
      </c>
      <c r="K876" s="742">
        <f t="shared" si="62"/>
        <v>0</v>
      </c>
      <c r="L876" s="743"/>
      <c r="M876" s="1692"/>
      <c r="N876" s="130"/>
      <c r="O876" s="1516"/>
      <c r="P876" s="130"/>
      <c r="Q876" s="130"/>
      <c r="R876" s="1413"/>
      <c r="S876" s="1413"/>
      <c r="T876" s="130"/>
      <c r="U876" s="1686"/>
      <c r="V876" s="176" t="s">
        <v>19</v>
      </c>
      <c r="W876" s="746">
        <v>646.8496240601504</v>
      </c>
      <c r="X876" s="745">
        <v>646.8496240601504</v>
      </c>
      <c r="Y876" s="744"/>
      <c r="Z876" s="702"/>
      <c r="AA876" s="702"/>
      <c r="AB876" s="702"/>
      <c r="AC876" s="702"/>
      <c r="AD876" s="702"/>
      <c r="AE876" s="702"/>
      <c r="AF876" s="702"/>
      <c r="AG876" s="702"/>
    </row>
    <row r="877" spans="1:33" s="56" customFormat="1" x14ac:dyDescent="0.25">
      <c r="A877" s="597"/>
      <c r="B877" s="130"/>
      <c r="C877" s="115"/>
      <c r="D877" s="1660" t="s">
        <v>1773</v>
      </c>
      <c r="E877" s="1061" t="s">
        <v>1116</v>
      </c>
      <c r="F877" s="745">
        <f xml:space="preserve"> ((K1020*K1106*(1/K1192-1/K1278)*K1708)/1000)</f>
        <v>988.62747111681745</v>
      </c>
      <c r="G877" s="1675" t="s">
        <v>1070</v>
      </c>
      <c r="H877" s="170">
        <f>VLOOKUP(G877,'CP FACTORS'!$A$3:$B$38, 2, FALSE)</f>
        <v>0</v>
      </c>
      <c r="I877" s="1397">
        <f t="shared" si="60"/>
        <v>0</v>
      </c>
      <c r="J877" s="122">
        <f t="shared" si="61"/>
        <v>12</v>
      </c>
      <c r="K877" s="742">
        <f t="shared" si="62"/>
        <v>0</v>
      </c>
      <c r="L877" s="743"/>
      <c r="M877" s="1692"/>
      <c r="N877" s="130"/>
      <c r="O877" s="1516"/>
      <c r="P877" s="130"/>
      <c r="Q877" s="130"/>
      <c r="R877" s="1413"/>
      <c r="S877" s="1413"/>
      <c r="T877" s="130"/>
      <c r="U877" s="1686"/>
      <c r="V877" s="176" t="s">
        <v>19</v>
      </c>
      <c r="W877" s="746">
        <v>1327.6421052631592</v>
      </c>
      <c r="X877" s="741">
        <v>988.62747111681745</v>
      </c>
      <c r="Y877" s="744"/>
      <c r="Z877" s="702"/>
      <c r="AA877" s="702"/>
      <c r="AB877" s="702"/>
      <c r="AC877" s="702"/>
      <c r="AD877" s="702"/>
      <c r="AE877" s="702"/>
      <c r="AF877" s="702"/>
      <c r="AG877" s="702"/>
    </row>
    <row r="878" spans="1:33" s="56" customFormat="1" x14ac:dyDescent="0.25">
      <c r="A878" s="597"/>
      <c r="B878" s="130"/>
      <c r="C878" s="115"/>
      <c r="D878" s="1660" t="s">
        <v>1773</v>
      </c>
      <c r="E878" s="1687" t="s">
        <v>1117</v>
      </c>
      <c r="F878" s="745">
        <f>((K1365*K1451*(1/K1537-1/K1623)*K1709)/1000)</f>
        <v>646.8496240601504</v>
      </c>
      <c r="G878" s="243" t="s">
        <v>1023</v>
      </c>
      <c r="H878" s="170">
        <f>VLOOKUP(G878,'CP FACTORS'!$A$3:$B$38, 2, FALSE)</f>
        <v>9.4741810000000004E-4</v>
      </c>
      <c r="I878" s="1397">
        <f t="shared" si="60"/>
        <v>0.61283704181278198</v>
      </c>
      <c r="J878" s="122">
        <f t="shared" si="61"/>
        <v>18</v>
      </c>
      <c r="K878" s="742">
        <f t="shared" si="62"/>
        <v>2684</v>
      </c>
      <c r="L878" s="743">
        <f>L1021</f>
        <v>3.3</v>
      </c>
      <c r="M878" s="1692"/>
      <c r="N878" s="130"/>
      <c r="O878" s="1516"/>
      <c r="P878" s="130"/>
      <c r="Q878" s="130"/>
      <c r="R878" s="1413"/>
      <c r="S878" s="1413"/>
      <c r="T878" s="130"/>
      <c r="U878" s="1686"/>
      <c r="V878" s="176" t="s">
        <v>19</v>
      </c>
      <c r="W878" s="746">
        <v>646.8496240601504</v>
      </c>
      <c r="X878" s="745">
        <v>646.8496240601504</v>
      </c>
      <c r="Y878" s="744"/>
      <c r="Z878" s="702"/>
      <c r="AA878" s="702"/>
      <c r="AB878" s="702"/>
      <c r="AC878" s="702"/>
      <c r="AD878" s="702"/>
      <c r="AE878" s="702"/>
      <c r="AF878" s="702"/>
      <c r="AG878" s="702"/>
    </row>
    <row r="879" spans="1:33" s="56" customFormat="1" x14ac:dyDescent="0.25">
      <c r="A879" s="597"/>
      <c r="B879" s="130"/>
      <c r="C879" s="115"/>
      <c r="D879" s="1660" t="s">
        <v>1773</v>
      </c>
      <c r="E879" s="1688" t="s">
        <v>1117</v>
      </c>
      <c r="F879" s="745">
        <f xml:space="preserve"> ((K1021*K1107*(1/K1193-1/K1279)*K1709)/1000)</f>
        <v>1179.5241413638641</v>
      </c>
      <c r="G879" s="243" t="s">
        <v>1025</v>
      </c>
      <c r="H879" s="170">
        <f>VLOOKUP(G879,'CP FACTORS'!$A$3:$B$38, 2, FALSE)</f>
        <v>0</v>
      </c>
      <c r="I879" s="1397">
        <f t="shared" si="60"/>
        <v>0</v>
      </c>
      <c r="J879" s="122">
        <f t="shared" si="61"/>
        <v>18</v>
      </c>
      <c r="K879" s="742">
        <f t="shared" si="62"/>
        <v>0</v>
      </c>
      <c r="L879" s="743"/>
      <c r="M879" s="1692"/>
      <c r="N879" s="130"/>
      <c r="O879" s="1516"/>
      <c r="P879" s="130"/>
      <c r="Q879" s="130"/>
      <c r="R879" s="1413"/>
      <c r="S879" s="1413"/>
      <c r="T879" s="130"/>
      <c r="U879" s="1686"/>
      <c r="V879" s="176" t="s">
        <v>19</v>
      </c>
      <c r="W879" s="746">
        <v>1584.0000000000018</v>
      </c>
      <c r="X879" s="741">
        <v>1179.5241413638641</v>
      </c>
      <c r="Y879" s="744"/>
      <c r="Z879" s="702"/>
      <c r="AA879" s="702"/>
      <c r="AB879" s="702"/>
      <c r="AC879" s="702"/>
      <c r="AD879" s="702"/>
      <c r="AE879" s="702"/>
      <c r="AF879" s="702"/>
      <c r="AG879" s="702"/>
    </row>
    <row r="880" spans="1:33" s="56" customFormat="1" ht="30" x14ac:dyDescent="0.25">
      <c r="A880" s="597"/>
      <c r="B880" s="130"/>
      <c r="C880" s="115"/>
      <c r="D880" s="1660" t="s">
        <v>1773</v>
      </c>
      <c r="E880" s="1684" t="s">
        <v>1118</v>
      </c>
      <c r="F880" s="745">
        <f>((K1366*K1452*(1/K1538-1/K1624)*K1710)/1000)</f>
        <v>1979.1918367346937</v>
      </c>
      <c r="G880" s="243" t="s">
        <v>1023</v>
      </c>
      <c r="H880" s="170">
        <f>VLOOKUP(G880,'CP FACTORS'!$A$3:$B$38, 2, FALSE)</f>
        <v>9.4741810000000004E-4</v>
      </c>
      <c r="I880" s="1397">
        <f t="shared" si="60"/>
        <v>1.8751221694946938</v>
      </c>
      <c r="J880" s="122">
        <f t="shared" si="61"/>
        <v>6</v>
      </c>
      <c r="K880" s="742">
        <f t="shared" si="62"/>
        <v>2670.6993716056031</v>
      </c>
      <c r="L880" s="743">
        <f>L1022</f>
        <v>3.1</v>
      </c>
      <c r="M880" s="1692"/>
      <c r="N880" s="130"/>
      <c r="O880" s="1516"/>
      <c r="P880" s="130"/>
      <c r="Q880" s="130"/>
      <c r="R880" s="1413"/>
      <c r="S880" s="1413"/>
      <c r="T880" s="130"/>
      <c r="U880" s="1686"/>
      <c r="V880" s="176" t="s">
        <v>19</v>
      </c>
      <c r="W880" s="746">
        <v>2852.3647058823531</v>
      </c>
      <c r="X880" s="741">
        <v>1979.1918367346937</v>
      </c>
      <c r="Y880" s="744"/>
      <c r="Z880" s="702"/>
      <c r="AA880" s="702"/>
      <c r="AB880" s="702"/>
      <c r="AC880" s="702"/>
      <c r="AD880" s="702"/>
      <c r="AE880" s="702"/>
      <c r="AF880" s="702"/>
      <c r="AG880" s="702"/>
    </row>
    <row r="881" spans="1:33" s="56" customFormat="1" ht="30" x14ac:dyDescent="0.25">
      <c r="A881" s="597"/>
      <c r="B881" s="130"/>
      <c r="C881" s="115"/>
      <c r="D881" s="1660" t="s">
        <v>1773</v>
      </c>
      <c r="E881" s="1060" t="s">
        <v>1118</v>
      </c>
      <c r="F881" s="745">
        <f xml:space="preserve"> ((K1022*K1108*(1/K1194-1/K1280)*K1710)/1000)</f>
        <v>10399.659574468084</v>
      </c>
      <c r="G881" s="243" t="s">
        <v>1025</v>
      </c>
      <c r="H881" s="170">
        <f>VLOOKUP(G881,'CP FACTORS'!$A$3:$B$38, 2, FALSE)</f>
        <v>0</v>
      </c>
      <c r="I881" s="1397">
        <f t="shared" si="60"/>
        <v>0</v>
      </c>
      <c r="J881" s="122">
        <f t="shared" si="61"/>
        <v>6</v>
      </c>
      <c r="K881" s="742">
        <f t="shared" si="62"/>
        <v>0</v>
      </c>
      <c r="L881" s="743"/>
      <c r="M881" s="1692"/>
      <c r="N881" s="130"/>
      <c r="O881" s="1516"/>
      <c r="P881" s="130"/>
      <c r="Q881" s="130"/>
      <c r="R881" s="1413"/>
      <c r="S881" s="1413"/>
      <c r="T881" s="130"/>
      <c r="U881" s="1686"/>
      <c r="V881" s="176" t="s">
        <v>19</v>
      </c>
      <c r="W881" s="746">
        <v>13965.852998065762</v>
      </c>
      <c r="X881" s="741">
        <v>10399.659574468084</v>
      </c>
      <c r="Y881" s="744"/>
      <c r="Z881" s="702"/>
      <c r="AA881" s="702"/>
      <c r="AB881" s="702"/>
      <c r="AC881" s="702"/>
      <c r="AD881" s="702"/>
      <c r="AE881" s="702"/>
      <c r="AF881" s="702"/>
      <c r="AG881" s="702"/>
    </row>
    <row r="882" spans="1:33" s="56" customFormat="1" ht="30" x14ac:dyDescent="0.25">
      <c r="A882" s="597"/>
      <c r="B882" s="130"/>
      <c r="C882" s="115"/>
      <c r="D882" s="1660" t="s">
        <v>1773</v>
      </c>
      <c r="E882" s="1060" t="s">
        <v>1119</v>
      </c>
      <c r="F882" s="745">
        <f>((K1367*K1453*(1/K1539-1/K1625)*K1711)/1000)</f>
        <v>585.10045248868789</v>
      </c>
      <c r="G882" s="1675" t="s">
        <v>1054</v>
      </c>
      <c r="H882" s="170">
        <f>VLOOKUP(G882,'CP FACTORS'!$A$3:$B$38, 2, FALSE)</f>
        <v>9.4741810000000004E-4</v>
      </c>
      <c r="I882" s="1397">
        <f t="shared" si="60"/>
        <v>0.55433475900597295</v>
      </c>
      <c r="J882" s="122">
        <f t="shared" si="61"/>
        <v>12</v>
      </c>
      <c r="K882" s="742">
        <f t="shared" si="62"/>
        <v>0</v>
      </c>
      <c r="L882" s="743"/>
      <c r="M882" s="1692"/>
      <c r="N882" s="130"/>
      <c r="O882" s="1516"/>
      <c r="P882" s="130"/>
      <c r="Q882" s="130"/>
      <c r="R882" s="1413"/>
      <c r="S882" s="1413"/>
      <c r="T882" s="130"/>
      <c r="U882" s="1686"/>
      <c r="V882" s="176" t="s">
        <v>19</v>
      </c>
      <c r="W882" s="746">
        <v>585.10045248868789</v>
      </c>
      <c r="X882" s="745">
        <v>585.10045248868789</v>
      </c>
      <c r="Y882" s="744"/>
      <c r="Z882" s="702"/>
      <c r="AA882" s="702"/>
      <c r="AB882" s="702"/>
      <c r="AC882" s="702"/>
      <c r="AD882" s="702"/>
      <c r="AE882" s="702"/>
      <c r="AF882" s="702"/>
      <c r="AG882" s="702"/>
    </row>
    <row r="883" spans="1:33" s="56" customFormat="1" ht="30" x14ac:dyDescent="0.25">
      <c r="A883" s="597"/>
      <c r="B883" s="130"/>
      <c r="C883" s="115"/>
      <c r="D883" s="1660" t="s">
        <v>1773</v>
      </c>
      <c r="E883" s="1061" t="s">
        <v>1119</v>
      </c>
      <c r="F883" s="745">
        <f xml:space="preserve"> ((K1023*K1109*(1/K1195-1/K1281)*K1711)/1000)</f>
        <v>10399.659574468084</v>
      </c>
      <c r="G883" s="1675" t="s">
        <v>1070</v>
      </c>
      <c r="H883" s="170">
        <f>VLOOKUP(G883,'CP FACTORS'!$A$3:$B$38, 2, FALSE)</f>
        <v>0</v>
      </c>
      <c r="I883" s="1397">
        <f t="shared" si="60"/>
        <v>0</v>
      </c>
      <c r="J883" s="122">
        <f t="shared" si="61"/>
        <v>12</v>
      </c>
      <c r="K883" s="742">
        <f t="shared" si="62"/>
        <v>0</v>
      </c>
      <c r="L883" s="743"/>
      <c r="M883" s="1692"/>
      <c r="N883" s="130"/>
      <c r="O883" s="1516"/>
      <c r="P883" s="130"/>
      <c r="Q883" s="130"/>
      <c r="R883" s="1413"/>
      <c r="S883" s="1413"/>
      <c r="T883" s="130"/>
      <c r="U883" s="1686"/>
      <c r="V883" s="176" t="s">
        <v>19</v>
      </c>
      <c r="W883" s="746">
        <v>13965.852998065762</v>
      </c>
      <c r="X883" s="741">
        <v>10399.659574468084</v>
      </c>
      <c r="Y883" s="744"/>
      <c r="Z883" s="702"/>
      <c r="AA883" s="702"/>
      <c r="AB883" s="702"/>
      <c r="AC883" s="702"/>
      <c r="AD883" s="702"/>
      <c r="AE883" s="702"/>
      <c r="AF883" s="702"/>
      <c r="AG883" s="702"/>
    </row>
    <row r="884" spans="1:33" s="56" customFormat="1" ht="30" x14ac:dyDescent="0.25">
      <c r="A884" s="597"/>
      <c r="B884" s="130"/>
      <c r="C884" s="115"/>
      <c r="D884" s="1660" t="s">
        <v>1772</v>
      </c>
      <c r="E884" s="1684" t="s">
        <v>1120</v>
      </c>
      <c r="F884" s="745">
        <f>((K1368*K1454*(1/K1540-1/K1626)*K1712)/1000)</f>
        <v>1286.4746938775511</v>
      </c>
      <c r="G884" s="243" t="s">
        <v>1023</v>
      </c>
      <c r="H884" s="170">
        <f>VLOOKUP(G884,'CP FACTORS'!$A$3:$B$38, 2, FALSE)</f>
        <v>9.4741810000000004E-4</v>
      </c>
      <c r="I884" s="1397">
        <f t="shared" si="60"/>
        <v>1.2188294101715511</v>
      </c>
      <c r="J884" s="122">
        <f t="shared" si="61"/>
        <v>6</v>
      </c>
      <c r="K884" s="742">
        <f t="shared" si="62"/>
        <v>1735.954591543642</v>
      </c>
      <c r="L884" s="743">
        <f>L1024</f>
        <v>3.1</v>
      </c>
      <c r="M884" s="1692"/>
      <c r="N884" s="130"/>
      <c r="O884" s="1516"/>
      <c r="P884" s="130"/>
      <c r="Q884" s="130"/>
      <c r="R884" s="1413"/>
      <c r="S884" s="1413"/>
      <c r="T884" s="130"/>
      <c r="U884" s="1686"/>
      <c r="V884" s="176" t="s">
        <v>19</v>
      </c>
      <c r="W884" s="746">
        <v>1854.0370588235296</v>
      </c>
      <c r="X884" s="741">
        <v>1286.4746938775511</v>
      </c>
      <c r="Y884" s="744"/>
      <c r="Z884" s="702"/>
      <c r="AA884" s="702"/>
      <c r="AB884" s="702"/>
      <c r="AC884" s="702"/>
      <c r="AD884" s="702"/>
      <c r="AE884" s="702"/>
      <c r="AF884" s="702"/>
      <c r="AG884" s="702"/>
    </row>
    <row r="885" spans="1:33" s="56" customFormat="1" ht="30" x14ac:dyDescent="0.25">
      <c r="A885" s="597"/>
      <c r="B885" s="130"/>
      <c r="C885" s="115"/>
      <c r="D885" s="1660" t="s">
        <v>1772</v>
      </c>
      <c r="E885" s="1060" t="s">
        <v>1120</v>
      </c>
      <c r="F885" s="745">
        <f xml:space="preserve"> ((K1024*K1110*(1/K1196-1/K1282)*K1712)/1000)</f>
        <v>6759.7787234042544</v>
      </c>
      <c r="G885" s="243" t="s">
        <v>1025</v>
      </c>
      <c r="H885" s="170">
        <f>VLOOKUP(G885,'CP FACTORS'!$A$3:$B$38, 2, FALSE)</f>
        <v>0</v>
      </c>
      <c r="I885" s="1397">
        <f t="shared" si="60"/>
        <v>0</v>
      </c>
      <c r="J885" s="122">
        <f t="shared" si="61"/>
        <v>6</v>
      </c>
      <c r="K885" s="742">
        <f t="shared" si="62"/>
        <v>0</v>
      </c>
      <c r="L885" s="743"/>
      <c r="M885" s="1692"/>
      <c r="N885" s="130"/>
      <c r="O885" s="1516"/>
      <c r="P885" s="130"/>
      <c r="Q885" s="130"/>
      <c r="R885" s="1413"/>
      <c r="S885" s="1413"/>
      <c r="T885" s="130"/>
      <c r="U885" s="1686"/>
      <c r="V885" s="176" t="s">
        <v>19</v>
      </c>
      <c r="W885" s="746">
        <v>9077.8044487427451</v>
      </c>
      <c r="X885" s="741">
        <v>6759.7787234042544</v>
      </c>
      <c r="Y885" s="744"/>
      <c r="Z885" s="702"/>
      <c r="AA885" s="702"/>
      <c r="AB885" s="702"/>
      <c r="AC885" s="702"/>
      <c r="AD885" s="702"/>
      <c r="AE885" s="702"/>
      <c r="AF885" s="702"/>
      <c r="AG885" s="702"/>
    </row>
    <row r="886" spans="1:33" s="56" customFormat="1" ht="30" x14ac:dyDescent="0.25">
      <c r="A886" s="597"/>
      <c r="B886" s="130"/>
      <c r="C886" s="115"/>
      <c r="D886" s="1660" t="s">
        <v>1772</v>
      </c>
      <c r="E886" s="1060" t="s">
        <v>1121</v>
      </c>
      <c r="F886" s="745">
        <f>((K1369*K1455*(1/K1541-1/K1627)*K1713)/1000)</f>
        <v>380.31529411764717</v>
      </c>
      <c r="G886" s="1675" t="s">
        <v>1054</v>
      </c>
      <c r="H886" s="170">
        <f>VLOOKUP(G886,'CP FACTORS'!$A$3:$B$38, 2, FALSE)</f>
        <v>9.4741810000000004E-4</v>
      </c>
      <c r="I886" s="1397">
        <f t="shared" si="60"/>
        <v>0.36031759335388247</v>
      </c>
      <c r="J886" s="122">
        <f t="shared" si="61"/>
        <v>12</v>
      </c>
      <c r="K886" s="742">
        <f t="shared" si="62"/>
        <v>0</v>
      </c>
      <c r="L886" s="743"/>
      <c r="M886" s="1692"/>
      <c r="N886" s="130"/>
      <c r="O886" s="1516"/>
      <c r="P886" s="130"/>
      <c r="Q886" s="130"/>
      <c r="R886" s="1413"/>
      <c r="S886" s="1413"/>
      <c r="T886" s="130"/>
      <c r="U886" s="1686"/>
      <c r="V886" s="176" t="s">
        <v>19</v>
      </c>
      <c r="W886" s="746">
        <v>380.31529411764717</v>
      </c>
      <c r="X886" s="745">
        <v>380.31529411764717</v>
      </c>
      <c r="Y886" s="744"/>
      <c r="Z886" s="702"/>
      <c r="AA886" s="702"/>
      <c r="AB886" s="702"/>
      <c r="AC886" s="702"/>
      <c r="AD886" s="702"/>
      <c r="AE886" s="702"/>
      <c r="AF886" s="702"/>
      <c r="AG886" s="702"/>
    </row>
    <row r="887" spans="1:33" s="56" customFormat="1" ht="30" x14ac:dyDescent="0.25">
      <c r="A887" s="597"/>
      <c r="B887" s="130"/>
      <c r="C887" s="115"/>
      <c r="D887" s="1660" t="s">
        <v>1772</v>
      </c>
      <c r="E887" s="1061" t="s">
        <v>1121</v>
      </c>
      <c r="F887" s="745">
        <f xml:space="preserve"> ((K1025*K1111*(1/K1197-1/K1283)*K1713)/1000)</f>
        <v>6759.7787234042544</v>
      </c>
      <c r="G887" s="1675" t="s">
        <v>1070</v>
      </c>
      <c r="H887" s="170">
        <f>VLOOKUP(G887,'CP FACTORS'!$A$3:$B$38, 2, FALSE)</f>
        <v>0</v>
      </c>
      <c r="I887" s="1397">
        <f t="shared" si="60"/>
        <v>0</v>
      </c>
      <c r="J887" s="122">
        <f t="shared" si="61"/>
        <v>12</v>
      </c>
      <c r="K887" s="742">
        <f t="shared" si="62"/>
        <v>0</v>
      </c>
      <c r="L887" s="743"/>
      <c r="M887" s="1692"/>
      <c r="N887" s="130"/>
      <c r="O887" s="1516"/>
      <c r="P887" s="130"/>
      <c r="Q887" s="130"/>
      <c r="R887" s="1413"/>
      <c r="S887" s="1413"/>
      <c r="T887" s="130"/>
      <c r="U887" s="1686"/>
      <c r="V887" s="176" t="s">
        <v>19</v>
      </c>
      <c r="W887" s="746">
        <v>9077.8044487427451</v>
      </c>
      <c r="X887" s="741">
        <v>6759.7787234042544</v>
      </c>
      <c r="Y887" s="744"/>
      <c r="Z887" s="702"/>
      <c r="AA887" s="702"/>
      <c r="AB887" s="702"/>
      <c r="AC887" s="702"/>
      <c r="AD887" s="702"/>
      <c r="AE887" s="702"/>
      <c r="AF887" s="702"/>
      <c r="AG887" s="702"/>
    </row>
    <row r="888" spans="1:33" s="56" customFormat="1" x14ac:dyDescent="0.25">
      <c r="A888" s="597"/>
      <c r="B888" s="130"/>
      <c r="C888" s="115"/>
      <c r="D888" s="1660" t="s">
        <v>1772</v>
      </c>
      <c r="E888" s="1684" t="s">
        <v>1122</v>
      </c>
      <c r="F888" s="745">
        <f>((K1370*K1456*(1/K1542-1/K1628)*K1714)/1000)</f>
        <v>1369.47306122449</v>
      </c>
      <c r="G888" s="243" t="s">
        <v>1023</v>
      </c>
      <c r="H888" s="170">
        <f>VLOOKUP(G888,'CP FACTORS'!$A$3:$B$38, 2, FALSE)</f>
        <v>9.4741810000000004E-4</v>
      </c>
      <c r="I888" s="1397">
        <f t="shared" si="60"/>
        <v>1.2974635656664901</v>
      </c>
      <c r="J888" s="122">
        <f t="shared" si="61"/>
        <v>6</v>
      </c>
      <c r="K888" s="742">
        <f t="shared" si="62"/>
        <v>1847.9516619658127</v>
      </c>
      <c r="L888" s="743">
        <f>L1026</f>
        <v>3.3</v>
      </c>
      <c r="M888" s="1692"/>
      <c r="N888" s="130"/>
      <c r="O888" s="1516"/>
      <c r="P888" s="130"/>
      <c r="Q888" s="130"/>
      <c r="R888" s="1413"/>
      <c r="S888" s="1413"/>
      <c r="T888" s="130"/>
      <c r="U888" s="1686"/>
      <c r="V888" s="176" t="s">
        <v>19</v>
      </c>
      <c r="W888" s="746">
        <v>1790.9067647058826</v>
      </c>
      <c r="X888" s="741">
        <v>1369.47306122449</v>
      </c>
      <c r="Y888" s="744"/>
      <c r="Z888" s="702"/>
      <c r="AA888" s="702"/>
      <c r="AB888" s="702"/>
      <c r="AC888" s="702"/>
      <c r="AD888" s="702"/>
      <c r="AE888" s="702"/>
      <c r="AF888" s="702"/>
      <c r="AG888" s="702"/>
    </row>
    <row r="889" spans="1:33" s="56" customFormat="1" x14ac:dyDescent="0.25">
      <c r="A889" s="597"/>
      <c r="B889" s="130"/>
      <c r="C889" s="115"/>
      <c r="D889" s="1660" t="s">
        <v>1772</v>
      </c>
      <c r="E889" s="1060" t="s">
        <v>1122</v>
      </c>
      <c r="F889" s="745">
        <f xml:space="preserve"> ((K1026*K1112*(1/K1198-1/K1284)*K1714)/1000)</f>
        <v>1798.7611070228763</v>
      </c>
      <c r="G889" s="243" t="s">
        <v>1025</v>
      </c>
      <c r="H889" s="170">
        <f>VLOOKUP(G889,'CP FACTORS'!$A$3:$B$38, 2, FALSE)</f>
        <v>0</v>
      </c>
      <c r="I889" s="1397">
        <f t="shared" si="60"/>
        <v>0</v>
      </c>
      <c r="J889" s="122">
        <f t="shared" si="61"/>
        <v>6</v>
      </c>
      <c r="K889" s="742">
        <f t="shared" si="62"/>
        <v>0</v>
      </c>
      <c r="L889" s="743"/>
      <c r="M889" s="1692"/>
      <c r="N889" s="130"/>
      <c r="O889" s="1516"/>
      <c r="P889" s="130"/>
      <c r="Q889" s="130"/>
      <c r="R889" s="1413"/>
      <c r="S889" s="1413"/>
      <c r="T889" s="130"/>
      <c r="U889" s="1686"/>
      <c r="V889" s="176" t="s">
        <v>19</v>
      </c>
      <c r="W889" s="746">
        <v>4062.4872213622284</v>
      </c>
      <c r="X889" s="741">
        <v>1798.7611070228763</v>
      </c>
      <c r="Y889" s="744"/>
      <c r="Z889" s="702"/>
      <c r="AA889" s="702"/>
      <c r="AB889" s="702"/>
      <c r="AC889" s="702"/>
      <c r="AD889" s="702"/>
      <c r="AE889" s="702"/>
      <c r="AF889" s="702"/>
      <c r="AG889" s="702"/>
    </row>
    <row r="890" spans="1:33" s="56" customFormat="1" x14ac:dyDescent="0.25">
      <c r="A890" s="597"/>
      <c r="B890" s="130"/>
      <c r="C890" s="115"/>
      <c r="D890" s="1660" t="s">
        <v>1772</v>
      </c>
      <c r="E890" s="1060" t="s">
        <v>1123</v>
      </c>
      <c r="F890" s="745">
        <f>((K1371*K1457*(1/K1543-1/K1629)*K1715)/1000)</f>
        <v>281.95033613445372</v>
      </c>
      <c r="G890" s="1675" t="s">
        <v>1054</v>
      </c>
      <c r="H890" s="170">
        <f>VLOOKUP(G890,'CP FACTORS'!$A$3:$B$38, 2, FALSE)</f>
        <v>9.4741810000000004E-4</v>
      </c>
      <c r="I890" s="1397">
        <f t="shared" si="60"/>
        <v>0.2671248517548655</v>
      </c>
      <c r="J890" s="122">
        <f t="shared" si="61"/>
        <v>12</v>
      </c>
      <c r="K890" s="742">
        <f t="shared" si="62"/>
        <v>0</v>
      </c>
      <c r="L890" s="743"/>
      <c r="M890" s="1692"/>
      <c r="N890" s="130"/>
      <c r="O890" s="1516"/>
      <c r="P890" s="130"/>
      <c r="Q890" s="130"/>
      <c r="R890" s="1413"/>
      <c r="S890" s="1413"/>
      <c r="T890" s="130"/>
      <c r="U890" s="1686"/>
      <c r="V890" s="176" t="s">
        <v>19</v>
      </c>
      <c r="W890" s="746">
        <v>281.95033613445372</v>
      </c>
      <c r="X890" s="745">
        <v>281.95033613445372</v>
      </c>
      <c r="Y890" s="744"/>
      <c r="Z890" s="702"/>
      <c r="AA890" s="702"/>
      <c r="AB890" s="702"/>
      <c r="AC890" s="702"/>
      <c r="AD890" s="702"/>
      <c r="AE890" s="702"/>
      <c r="AF890" s="702"/>
      <c r="AG890" s="702"/>
    </row>
    <row r="891" spans="1:33" s="56" customFormat="1" x14ac:dyDescent="0.25">
      <c r="A891" s="597"/>
      <c r="B891" s="130"/>
      <c r="C891" s="115"/>
      <c r="D891" s="1660" t="s">
        <v>1772</v>
      </c>
      <c r="E891" s="1061" t="s">
        <v>1123</v>
      </c>
      <c r="F891" s="745">
        <f xml:space="preserve"> ((K1027*K1113*(1/K1199-1/K1285)*K1715)/1000)</f>
        <v>642.6078562259313</v>
      </c>
      <c r="G891" s="1675" t="s">
        <v>1070</v>
      </c>
      <c r="H891" s="170">
        <f>VLOOKUP(G891,'CP FACTORS'!$A$3:$B$38, 2, FALSE)</f>
        <v>0</v>
      </c>
      <c r="I891" s="1397">
        <f t="shared" si="60"/>
        <v>0</v>
      </c>
      <c r="J891" s="122">
        <f t="shared" si="61"/>
        <v>12</v>
      </c>
      <c r="K891" s="742">
        <f t="shared" si="62"/>
        <v>0</v>
      </c>
      <c r="L891" s="743"/>
      <c r="M891" s="1692"/>
      <c r="N891" s="130"/>
      <c r="O891" s="1516"/>
      <c r="P891" s="130"/>
      <c r="Q891" s="130"/>
      <c r="R891" s="1413"/>
      <c r="S891" s="1413"/>
      <c r="T891" s="130"/>
      <c r="U891" s="1686"/>
      <c r="V891" s="176" t="s">
        <v>19</v>
      </c>
      <c r="W891" s="746">
        <v>862.96736842105349</v>
      </c>
      <c r="X891" s="741">
        <v>642.6078562259313</v>
      </c>
      <c r="Y891" s="744"/>
      <c r="Z891" s="702"/>
      <c r="AA891" s="702"/>
      <c r="AB891" s="702"/>
      <c r="AC891" s="702"/>
      <c r="AD891" s="702"/>
      <c r="AE891" s="702"/>
      <c r="AF891" s="702"/>
      <c r="AG891" s="702"/>
    </row>
    <row r="892" spans="1:33" s="56" customFormat="1" ht="30" x14ac:dyDescent="0.25">
      <c r="A892" s="597"/>
      <c r="B892" s="130"/>
      <c r="C892" s="115"/>
      <c r="D892" s="1660" t="s">
        <v>1773</v>
      </c>
      <c r="E892" s="1684" t="s">
        <v>1124</v>
      </c>
      <c r="F892" s="745">
        <f>((K1372*K1458*(1/K1544-1/K1630)*K1716)/1000)</f>
        <v>2084.8349739895957</v>
      </c>
      <c r="G892" s="243" t="s">
        <v>1023</v>
      </c>
      <c r="H892" s="170">
        <f>VLOOKUP(G892,'CP FACTORS'!$A$3:$B$38, 2, FALSE)</f>
        <v>9.4741810000000004E-4</v>
      </c>
      <c r="I892" s="1397">
        <f t="shared" si="60"/>
        <v>1.9752103898707722</v>
      </c>
      <c r="J892" s="122">
        <f t="shared" si="61"/>
        <v>6</v>
      </c>
      <c r="K892" s="742">
        <f t="shared" si="62"/>
        <v>3084.0327049389371</v>
      </c>
      <c r="L892" s="743">
        <f>L1028</f>
        <v>3.1</v>
      </c>
      <c r="M892" s="1692"/>
      <c r="N892" s="130"/>
      <c r="O892" s="1516"/>
      <c r="P892" s="130"/>
      <c r="Q892" s="130"/>
      <c r="R892" s="1413"/>
      <c r="S892" s="1413"/>
      <c r="T892" s="130"/>
      <c r="U892" s="1686"/>
      <c r="V892" s="176" t="s">
        <v>19</v>
      </c>
      <c r="W892" s="746">
        <v>2958.0078431372549</v>
      </c>
      <c r="X892" s="741">
        <v>2084.8349739895957</v>
      </c>
      <c r="Y892" s="744"/>
      <c r="Z892" s="702"/>
      <c r="AA892" s="702"/>
      <c r="AB892" s="702"/>
      <c r="AC892" s="702"/>
      <c r="AD892" s="702"/>
      <c r="AE892" s="702"/>
      <c r="AF892" s="702"/>
      <c r="AG892" s="702"/>
    </row>
    <row r="893" spans="1:33" s="56" customFormat="1" ht="30" x14ac:dyDescent="0.25">
      <c r="A893" s="597"/>
      <c r="B893" s="130"/>
      <c r="C893" s="115"/>
      <c r="D893" s="1660" t="s">
        <v>1773</v>
      </c>
      <c r="E893" s="1060" t="s">
        <v>1124</v>
      </c>
      <c r="F893" s="745">
        <f xml:space="preserve"> ((K1028*K1114*(1/K1200-1/K1286)*K1716)/1000)</f>
        <v>10399.659574468084</v>
      </c>
      <c r="G893" s="243" t="s">
        <v>1025</v>
      </c>
      <c r="H893" s="170">
        <f>VLOOKUP(G893,'CP FACTORS'!$A$3:$B$38, 2, FALSE)</f>
        <v>0</v>
      </c>
      <c r="I893" s="1397">
        <f t="shared" si="60"/>
        <v>0</v>
      </c>
      <c r="J893" s="122">
        <f t="shared" si="61"/>
        <v>6</v>
      </c>
      <c r="K893" s="742">
        <f t="shared" si="62"/>
        <v>0</v>
      </c>
      <c r="L893" s="743"/>
      <c r="M893" s="1692"/>
      <c r="N893" s="130"/>
      <c r="O893" s="1516"/>
      <c r="P893" s="130"/>
      <c r="Q893" s="130"/>
      <c r="R893" s="1413"/>
      <c r="S893" s="1413"/>
      <c r="T893" s="130"/>
      <c r="U893" s="1686"/>
      <c r="V893" s="176" t="s">
        <v>19</v>
      </c>
      <c r="W893" s="746">
        <v>13965.852998065762</v>
      </c>
      <c r="X893" s="741">
        <v>10399.659574468084</v>
      </c>
      <c r="Y893" s="744"/>
      <c r="Z893" s="702"/>
      <c r="AA893" s="702"/>
      <c r="AB893" s="702"/>
      <c r="AC893" s="702"/>
      <c r="AD893" s="702"/>
      <c r="AE893" s="702"/>
      <c r="AF893" s="702"/>
      <c r="AG893" s="702"/>
    </row>
    <row r="894" spans="1:33" s="56" customFormat="1" ht="30" x14ac:dyDescent="0.25">
      <c r="A894" s="597"/>
      <c r="B894" s="130"/>
      <c r="C894" s="115"/>
      <c r="D894" s="1660" t="s">
        <v>1773</v>
      </c>
      <c r="E894" s="1060" t="s">
        <v>1125</v>
      </c>
      <c r="F894" s="745">
        <f>((K1373*K1459*(1/K1545-1/K1631)*K1717)/1000)</f>
        <v>690.74358974358995</v>
      </c>
      <c r="G894" s="1675" t="s">
        <v>1054</v>
      </c>
      <c r="H894" s="170">
        <f>VLOOKUP(G894,'CP FACTORS'!$A$3:$B$38, 2, FALSE)</f>
        <v>9.4741810000000004E-4</v>
      </c>
      <c r="I894" s="1397">
        <f t="shared" si="60"/>
        <v>0.65442297938205152</v>
      </c>
      <c r="J894" s="122">
        <f t="shared" si="61"/>
        <v>12</v>
      </c>
      <c r="K894" s="742">
        <f t="shared" si="62"/>
        <v>0</v>
      </c>
      <c r="L894" s="743"/>
      <c r="M894" s="1692"/>
      <c r="N894" s="130"/>
      <c r="O894" s="1516"/>
      <c r="P894" s="130"/>
      <c r="Q894" s="130"/>
      <c r="R894" s="1413"/>
      <c r="S894" s="1413"/>
      <c r="T894" s="130"/>
      <c r="U894" s="1686"/>
      <c r="V894" s="176" t="s">
        <v>19</v>
      </c>
      <c r="W894" s="746">
        <v>690.74358974358995</v>
      </c>
      <c r="X894" s="745">
        <v>690.74358974358995</v>
      </c>
      <c r="Y894" s="744"/>
      <c r="Z894" s="702"/>
      <c r="AA894" s="702"/>
      <c r="AB894" s="702"/>
      <c r="AC894" s="702"/>
      <c r="AD894" s="702"/>
      <c r="AE894" s="702"/>
      <c r="AF894" s="702"/>
      <c r="AG894" s="702"/>
    </row>
    <row r="895" spans="1:33" s="56" customFormat="1" ht="30" x14ac:dyDescent="0.25">
      <c r="A895" s="597"/>
      <c r="B895" s="130"/>
      <c r="C895" s="115"/>
      <c r="D895" s="1660" t="s">
        <v>1773</v>
      </c>
      <c r="E895" s="1061" t="s">
        <v>1125</v>
      </c>
      <c r="F895" s="745">
        <f xml:space="preserve"> ((K1029*K1115*(1/K1201-1/K1287)*K1717)/1000)</f>
        <v>10399.659574468084</v>
      </c>
      <c r="G895" s="1675" t="s">
        <v>1070</v>
      </c>
      <c r="H895" s="170">
        <f>VLOOKUP(G895,'CP FACTORS'!$A$3:$B$38, 2, FALSE)</f>
        <v>0</v>
      </c>
      <c r="I895" s="1397">
        <f t="shared" si="60"/>
        <v>0</v>
      </c>
      <c r="J895" s="122">
        <f t="shared" si="61"/>
        <v>12</v>
      </c>
      <c r="K895" s="742">
        <f t="shared" si="62"/>
        <v>0</v>
      </c>
      <c r="L895" s="743"/>
      <c r="M895" s="1692"/>
      <c r="N895" s="130"/>
      <c r="O895" s="1516"/>
      <c r="P895" s="130"/>
      <c r="Q895" s="130"/>
      <c r="R895" s="1413"/>
      <c r="S895" s="1413"/>
      <c r="T895" s="130"/>
      <c r="U895" s="1686"/>
      <c r="V895" s="176" t="s">
        <v>19</v>
      </c>
      <c r="W895" s="746">
        <v>13965.852998065762</v>
      </c>
      <c r="X895" s="741">
        <v>10399.659574468084</v>
      </c>
      <c r="Y895" s="744"/>
      <c r="Z895" s="702"/>
      <c r="AA895" s="702"/>
      <c r="AB895" s="702"/>
      <c r="AC895" s="702"/>
      <c r="AD895" s="702"/>
      <c r="AE895" s="702"/>
      <c r="AF895" s="702"/>
      <c r="AG895" s="702"/>
    </row>
    <row r="896" spans="1:33" s="56" customFormat="1" ht="30" x14ac:dyDescent="0.25">
      <c r="A896" s="597"/>
      <c r="B896" s="130"/>
      <c r="C896" s="115"/>
      <c r="D896" s="1660" t="s">
        <v>1772</v>
      </c>
      <c r="E896" s="1684" t="s">
        <v>1126</v>
      </c>
      <c r="F896" s="745">
        <f>((K1374*K1460*(1/K1546-1/K1632)*K1718)/1000)</f>
        <v>1355.1427330932372</v>
      </c>
      <c r="G896" s="243" t="s">
        <v>1023</v>
      </c>
      <c r="H896" s="170">
        <f>VLOOKUP(G896,'CP FACTORS'!$A$3:$B$38, 2, FALSE)</f>
        <v>9.4741810000000004E-4</v>
      </c>
      <c r="I896" s="1397">
        <f t="shared" si="60"/>
        <v>1.2838867534160019</v>
      </c>
      <c r="J896" s="122">
        <f t="shared" si="61"/>
        <v>6</v>
      </c>
      <c r="K896" s="742">
        <f t="shared" si="62"/>
        <v>2004.6212582103092</v>
      </c>
      <c r="L896" s="743">
        <f>L1030</f>
        <v>3.1</v>
      </c>
      <c r="M896" s="1692"/>
      <c r="N896" s="130"/>
      <c r="O896" s="1516"/>
      <c r="P896" s="130"/>
      <c r="Q896" s="130"/>
      <c r="R896" s="1413"/>
      <c r="S896" s="1413"/>
      <c r="T896" s="130"/>
      <c r="U896" s="1686"/>
      <c r="V896" s="176" t="s">
        <v>19</v>
      </c>
      <c r="W896" s="746">
        <v>1922.7050980392157</v>
      </c>
      <c r="X896" s="741">
        <v>1355.1427330932372</v>
      </c>
      <c r="Y896" s="744"/>
      <c r="Z896" s="702"/>
      <c r="AA896" s="702"/>
      <c r="AB896" s="702"/>
      <c r="AC896" s="702"/>
      <c r="AD896" s="702"/>
      <c r="AE896" s="702"/>
      <c r="AF896" s="702"/>
      <c r="AG896" s="702"/>
    </row>
    <row r="897" spans="1:33" s="56" customFormat="1" ht="30" x14ac:dyDescent="0.25">
      <c r="A897" s="597"/>
      <c r="B897" s="130"/>
      <c r="C897" s="115"/>
      <c r="D897" s="1660" t="s">
        <v>1772</v>
      </c>
      <c r="E897" s="1060" t="s">
        <v>1126</v>
      </c>
      <c r="F897" s="745">
        <f xml:space="preserve"> ((K1030*K1116*(1/K1202-1/K1288)*K1718)/1000)</f>
        <v>6759.7787234042544</v>
      </c>
      <c r="G897" s="243" t="s">
        <v>1025</v>
      </c>
      <c r="H897" s="170">
        <f>VLOOKUP(G897,'CP FACTORS'!$A$3:$B$38, 2, FALSE)</f>
        <v>0</v>
      </c>
      <c r="I897" s="1397">
        <f t="shared" si="60"/>
        <v>0</v>
      </c>
      <c r="J897" s="122">
        <f t="shared" si="61"/>
        <v>6</v>
      </c>
      <c r="K897" s="742">
        <f t="shared" si="62"/>
        <v>0</v>
      </c>
      <c r="L897" s="743"/>
      <c r="M897" s="1692"/>
      <c r="N897" s="130"/>
      <c r="O897" s="1516"/>
      <c r="P897" s="130"/>
      <c r="Q897" s="130"/>
      <c r="R897" s="1413"/>
      <c r="S897" s="1413"/>
      <c r="T897" s="130"/>
      <c r="U897" s="1686"/>
      <c r="V897" s="176" t="s">
        <v>19</v>
      </c>
      <c r="W897" s="746">
        <v>9077.8044487427451</v>
      </c>
      <c r="X897" s="741">
        <v>6759.7787234042544</v>
      </c>
      <c r="Y897" s="744"/>
      <c r="Z897" s="702"/>
      <c r="AA897" s="702"/>
      <c r="AB897" s="702"/>
      <c r="AC897" s="702"/>
      <c r="AD897" s="702"/>
      <c r="AE897" s="702"/>
      <c r="AF897" s="702"/>
      <c r="AG897" s="702"/>
    </row>
    <row r="898" spans="1:33" s="56" customFormat="1" ht="30" x14ac:dyDescent="0.25">
      <c r="A898" s="597"/>
      <c r="B898" s="130"/>
      <c r="C898" s="115"/>
      <c r="D898" s="1660" t="s">
        <v>1772</v>
      </c>
      <c r="E898" s="1060" t="s">
        <v>1127</v>
      </c>
      <c r="F898" s="745">
        <f>((K1375*K1461*(1/K1547-1/K1633)*K1719)/1000)</f>
        <v>448.98333333333346</v>
      </c>
      <c r="G898" s="1675" t="s">
        <v>1054</v>
      </c>
      <c r="H898" s="170">
        <f>VLOOKUP(G898,'CP FACTORS'!$A$3:$B$38, 2, FALSE)</f>
        <v>9.4741810000000004E-4</v>
      </c>
      <c r="I898" s="1397">
        <f t="shared" si="60"/>
        <v>0.42537493659833348</v>
      </c>
      <c r="J898" s="122">
        <f t="shared" si="61"/>
        <v>12</v>
      </c>
      <c r="K898" s="742">
        <f t="shared" si="62"/>
        <v>0</v>
      </c>
      <c r="L898" s="743"/>
      <c r="M898" s="1692"/>
      <c r="N898" s="130"/>
      <c r="O898" s="1516"/>
      <c r="P898" s="130"/>
      <c r="Q898" s="130"/>
      <c r="R898" s="1413"/>
      <c r="S898" s="1413"/>
      <c r="T898" s="130"/>
      <c r="U898" s="1686"/>
      <c r="V898" s="176" t="s">
        <v>19</v>
      </c>
      <c r="W898" s="746">
        <v>448.98333333333346</v>
      </c>
      <c r="X898" s="745">
        <v>448.98333333333346</v>
      </c>
      <c r="Y898" s="744"/>
      <c r="Z898" s="702"/>
      <c r="AA898" s="702"/>
      <c r="AB898" s="702"/>
      <c r="AC898" s="702"/>
      <c r="AD898" s="702"/>
      <c r="AE898" s="702"/>
      <c r="AF898" s="702"/>
      <c r="AG898" s="702"/>
    </row>
    <row r="899" spans="1:33" s="56" customFormat="1" ht="30" x14ac:dyDescent="0.25">
      <c r="A899" s="597"/>
      <c r="B899" s="130"/>
      <c r="C899" s="115"/>
      <c r="D899" s="1660" t="s">
        <v>1772</v>
      </c>
      <c r="E899" s="1061" t="s">
        <v>1127</v>
      </c>
      <c r="F899" s="745">
        <f xml:space="preserve"> ((K1031*K1117*(1/K1203-1/K1289)*K1719)/1000)</f>
        <v>6759.7787234042544</v>
      </c>
      <c r="G899" s="1675" t="s">
        <v>1070</v>
      </c>
      <c r="H899" s="170">
        <f>VLOOKUP(G899,'CP FACTORS'!$A$3:$B$38, 2, FALSE)</f>
        <v>0</v>
      </c>
      <c r="I899" s="1397">
        <f t="shared" si="60"/>
        <v>0</v>
      </c>
      <c r="J899" s="122">
        <f t="shared" si="61"/>
        <v>12</v>
      </c>
      <c r="K899" s="742">
        <f t="shared" si="62"/>
        <v>0</v>
      </c>
      <c r="L899" s="743"/>
      <c r="M899" s="1692"/>
      <c r="N899" s="130"/>
      <c r="O899" s="1516"/>
      <c r="P899" s="130"/>
      <c r="Q899" s="130"/>
      <c r="R899" s="1413"/>
      <c r="S899" s="1413"/>
      <c r="T899" s="130"/>
      <c r="U899" s="1686"/>
      <c r="V899" s="176" t="s">
        <v>19</v>
      </c>
      <c r="W899" s="746">
        <v>9077.8044487427451</v>
      </c>
      <c r="X899" s="741">
        <v>6759.7787234042544</v>
      </c>
      <c r="Y899" s="744"/>
      <c r="Z899" s="702"/>
      <c r="AA899" s="702"/>
      <c r="AB899" s="702"/>
      <c r="AC899" s="702"/>
      <c r="AD899" s="702"/>
      <c r="AE899" s="702"/>
      <c r="AF899" s="702"/>
      <c r="AG899" s="702"/>
    </row>
    <row r="900" spans="1:33" s="56" customFormat="1" x14ac:dyDescent="0.25">
      <c r="A900" s="597"/>
      <c r="B900" s="130"/>
      <c r="C900" s="115"/>
      <c r="D900" s="1660" t="s">
        <v>1772</v>
      </c>
      <c r="E900" s="1684" t="s">
        <v>1128</v>
      </c>
      <c r="F900" s="745">
        <f>((K1376*K1462*(1/K1548-1/K1634)*K1720)/1000)</f>
        <v>1442.5712965186076</v>
      </c>
      <c r="G900" s="243" t="s">
        <v>1023</v>
      </c>
      <c r="H900" s="170">
        <f>VLOOKUP(G900,'CP FACTORS'!$A$3:$B$38, 2, FALSE)</f>
        <v>9.4741810000000004E-4</v>
      </c>
      <c r="I900" s="1397">
        <f t="shared" si="60"/>
        <v>1.3667181568621958</v>
      </c>
      <c r="J900" s="122">
        <f t="shared" si="61"/>
        <v>6</v>
      </c>
      <c r="K900" s="742">
        <f t="shared" si="62"/>
        <v>2133.9516619658129</v>
      </c>
      <c r="L900" s="743">
        <f>L1032</f>
        <v>3.3</v>
      </c>
      <c r="M900" s="1692"/>
      <c r="N900" s="130"/>
      <c r="O900" s="1516"/>
      <c r="P900" s="130"/>
      <c r="Q900" s="130"/>
      <c r="R900" s="1413"/>
      <c r="S900" s="1413"/>
      <c r="T900" s="130"/>
      <c r="U900" s="1686"/>
      <c r="V900" s="176" t="s">
        <v>19</v>
      </c>
      <c r="W900" s="746">
        <v>1864.0050000000006</v>
      </c>
      <c r="X900" s="741">
        <v>1442.5712965186076</v>
      </c>
      <c r="Y900" s="744"/>
      <c r="Z900" s="702"/>
      <c r="AA900" s="702"/>
      <c r="AB900" s="702"/>
      <c r="AC900" s="702"/>
      <c r="AD900" s="702"/>
      <c r="AE900" s="702"/>
      <c r="AF900" s="702"/>
      <c r="AG900" s="702"/>
    </row>
    <row r="901" spans="1:33" s="56" customFormat="1" x14ac:dyDescent="0.25">
      <c r="A901" s="597"/>
      <c r="B901" s="130"/>
      <c r="C901" s="115"/>
      <c r="D901" s="1660" t="s">
        <v>1772</v>
      </c>
      <c r="E901" s="1060" t="s">
        <v>1128</v>
      </c>
      <c r="F901" s="745">
        <f xml:space="preserve"> ((K1032*K1118*(1/K1204-1/K1290)*K1720)/1000)</f>
        <v>1798.7611070228763</v>
      </c>
      <c r="G901" s="243" t="s">
        <v>1025</v>
      </c>
      <c r="H901" s="170">
        <f>VLOOKUP(G901,'CP FACTORS'!$A$3:$B$38, 2, FALSE)</f>
        <v>0</v>
      </c>
      <c r="I901" s="1397">
        <f t="shared" si="60"/>
        <v>0</v>
      </c>
      <c r="J901" s="122">
        <f t="shared" si="61"/>
        <v>6</v>
      </c>
      <c r="K901" s="742">
        <f t="shared" si="62"/>
        <v>0</v>
      </c>
      <c r="L901" s="743"/>
      <c r="M901" s="1692"/>
      <c r="N901" s="130"/>
      <c r="O901" s="1516"/>
      <c r="P901" s="130"/>
      <c r="Q901" s="130"/>
      <c r="R901" s="1413"/>
      <c r="S901" s="1413"/>
      <c r="T901" s="130"/>
      <c r="U901" s="1686"/>
      <c r="V901" s="176" t="s">
        <v>19</v>
      </c>
      <c r="W901" s="746">
        <v>4062.4872213622284</v>
      </c>
      <c r="X901" s="741">
        <v>1798.7611070228763</v>
      </c>
      <c r="Y901" s="744"/>
      <c r="Z901" s="702"/>
      <c r="AA901" s="702"/>
      <c r="AB901" s="702"/>
      <c r="AC901" s="702"/>
      <c r="AD901" s="702"/>
      <c r="AE901" s="702"/>
      <c r="AF901" s="702"/>
      <c r="AG901" s="702"/>
    </row>
    <row r="902" spans="1:33" s="56" customFormat="1" x14ac:dyDescent="0.25">
      <c r="A902" s="597"/>
      <c r="B902" s="130"/>
      <c r="C902" s="115"/>
      <c r="D902" s="1660" t="s">
        <v>1772</v>
      </c>
      <c r="E902" s="1060" t="s">
        <v>1129</v>
      </c>
      <c r="F902" s="745">
        <f>((K1377*K1463*(1/K1549-1/K1635)*K1721)/1000)</f>
        <v>355.04857142857139</v>
      </c>
      <c r="G902" s="1675" t="s">
        <v>1054</v>
      </c>
      <c r="H902" s="170">
        <f>VLOOKUP(G902,'CP FACTORS'!$A$3:$B$38, 2, FALSE)</f>
        <v>9.4741810000000004E-4</v>
      </c>
      <c r="I902" s="1397">
        <f t="shared" si="60"/>
        <v>0.33637944295057143</v>
      </c>
      <c r="J902" s="122">
        <f t="shared" si="61"/>
        <v>12</v>
      </c>
      <c r="K902" s="742">
        <f t="shared" si="62"/>
        <v>0</v>
      </c>
      <c r="L902" s="743"/>
      <c r="M902" s="1692"/>
      <c r="N902" s="130"/>
      <c r="O902" s="1516"/>
      <c r="P902" s="130"/>
      <c r="Q902" s="130"/>
      <c r="R902" s="1413"/>
      <c r="S902" s="1413"/>
      <c r="T902" s="130"/>
      <c r="U902" s="1686"/>
      <c r="V902" s="176" t="s">
        <v>19</v>
      </c>
      <c r="W902" s="746">
        <v>355.04857142857139</v>
      </c>
      <c r="X902" s="745">
        <v>355.04857142857139</v>
      </c>
      <c r="Y902" s="744"/>
      <c r="Z902" s="702"/>
      <c r="AA902" s="702"/>
      <c r="AB902" s="702"/>
      <c r="AC902" s="702"/>
      <c r="AD902" s="702"/>
      <c r="AE902" s="702"/>
      <c r="AF902" s="702"/>
      <c r="AG902" s="702"/>
    </row>
    <row r="903" spans="1:33" s="56" customFormat="1" x14ac:dyDescent="0.25">
      <c r="A903" s="597"/>
      <c r="B903" s="130"/>
      <c r="C903" s="115"/>
      <c r="D903" s="1660" t="s">
        <v>1772</v>
      </c>
      <c r="E903" s="1061" t="s">
        <v>1129</v>
      </c>
      <c r="F903" s="745">
        <f xml:space="preserve"> ((K1033*K1119*(1/K1205-1/K1291)*K1721)/1000)</f>
        <v>642.6078562259313</v>
      </c>
      <c r="G903" s="1675" t="s">
        <v>1070</v>
      </c>
      <c r="H903" s="170">
        <f>VLOOKUP(G903,'CP FACTORS'!$A$3:$B$38, 2, FALSE)</f>
        <v>0</v>
      </c>
      <c r="I903" s="1397">
        <f t="shared" si="60"/>
        <v>0</v>
      </c>
      <c r="J903" s="122">
        <f t="shared" si="61"/>
        <v>12</v>
      </c>
      <c r="K903" s="742">
        <f t="shared" si="62"/>
        <v>0</v>
      </c>
      <c r="L903" s="743"/>
      <c r="M903" s="1692"/>
      <c r="N903" s="130"/>
      <c r="O903" s="1516"/>
      <c r="P903" s="130"/>
      <c r="Q903" s="130"/>
      <c r="R903" s="1413"/>
      <c r="S903" s="1413"/>
      <c r="T903" s="130"/>
      <c r="U903" s="1686"/>
      <c r="V903" s="176" t="s">
        <v>19</v>
      </c>
      <c r="W903" s="746">
        <v>862.96736842105349</v>
      </c>
      <c r="X903" s="741">
        <v>642.6078562259313</v>
      </c>
      <c r="Y903" s="744"/>
      <c r="Z903" s="702"/>
      <c r="AA903" s="702"/>
      <c r="AB903" s="702"/>
      <c r="AC903" s="702"/>
      <c r="AD903" s="702"/>
      <c r="AE903" s="702"/>
      <c r="AF903" s="702"/>
      <c r="AG903" s="702"/>
    </row>
    <row r="904" spans="1:33" s="56" customFormat="1" ht="30" x14ac:dyDescent="0.25">
      <c r="A904" s="597"/>
      <c r="B904" s="130"/>
      <c r="C904" s="115"/>
      <c r="D904" s="1660" t="s">
        <v>1773</v>
      </c>
      <c r="E904" s="1684" t="s">
        <v>1130</v>
      </c>
      <c r="F904" s="745">
        <f>((K1378*K1464*(1/K1550-1/K1636)*K1722)/1000)</f>
        <v>2179.3577810071401</v>
      </c>
      <c r="G904" s="243" t="s">
        <v>1023</v>
      </c>
      <c r="H904" s="170">
        <f>VLOOKUP(G904,'CP FACTORS'!$A$3:$B$38, 2, FALSE)</f>
        <v>9.4741810000000004E-4</v>
      </c>
      <c r="I904" s="1397">
        <f t="shared" si="60"/>
        <v>2.064763008102001</v>
      </c>
      <c r="J904" s="122">
        <f t="shared" si="61"/>
        <v>6</v>
      </c>
      <c r="K904" s="742">
        <f t="shared" si="62"/>
        <v>3394.0327049389371</v>
      </c>
      <c r="L904" s="743">
        <f>L1034</f>
        <v>3.1</v>
      </c>
      <c r="M904" s="1692"/>
      <c r="N904" s="130"/>
      <c r="O904" s="1516"/>
      <c r="P904" s="130"/>
      <c r="Q904" s="130"/>
      <c r="R904" s="1413"/>
      <c r="S904" s="1413"/>
      <c r="T904" s="130"/>
      <c r="U904" s="1686"/>
      <c r="V904" s="176" t="s">
        <v>19</v>
      </c>
      <c r="W904" s="746">
        <v>3052.5306501547993</v>
      </c>
      <c r="X904" s="741">
        <v>2179.3577810071401</v>
      </c>
      <c r="Y904" s="744"/>
      <c r="Z904" s="702"/>
      <c r="AA904" s="702"/>
      <c r="AB904" s="702"/>
      <c r="AC904" s="702"/>
      <c r="AD904" s="702"/>
      <c r="AE904" s="702"/>
      <c r="AF904" s="702"/>
      <c r="AG904" s="702"/>
    </row>
    <row r="905" spans="1:33" s="56" customFormat="1" ht="30" x14ac:dyDescent="0.25">
      <c r="A905" s="597"/>
      <c r="B905" s="130"/>
      <c r="C905" s="115"/>
      <c r="D905" s="1660" t="s">
        <v>1773</v>
      </c>
      <c r="E905" s="1060" t="s">
        <v>1130</v>
      </c>
      <c r="F905" s="745">
        <f xml:space="preserve"> ((K1034*K1120*(1/K1206-1/K1292)*K1722)/1000)</f>
        <v>10399.659574468084</v>
      </c>
      <c r="G905" s="243" t="s">
        <v>1025</v>
      </c>
      <c r="H905" s="170">
        <f>VLOOKUP(G905,'CP FACTORS'!$A$3:$B$38, 2, FALSE)</f>
        <v>0</v>
      </c>
      <c r="I905" s="1397">
        <f t="shared" si="60"/>
        <v>0</v>
      </c>
      <c r="J905" s="122">
        <f t="shared" si="61"/>
        <v>6</v>
      </c>
      <c r="K905" s="742">
        <f t="shared" si="62"/>
        <v>0</v>
      </c>
      <c r="L905" s="743"/>
      <c r="M905" s="1692"/>
      <c r="N905" s="130"/>
      <c r="O905" s="1516"/>
      <c r="P905" s="130"/>
      <c r="Q905" s="130"/>
      <c r="R905" s="1413"/>
      <c r="S905" s="1413"/>
      <c r="T905" s="130"/>
      <c r="U905" s="1686"/>
      <c r="V905" s="176" t="s">
        <v>19</v>
      </c>
      <c r="W905" s="746">
        <v>13965.852998065762</v>
      </c>
      <c r="X905" s="741">
        <v>10399.659574468084</v>
      </c>
      <c r="Y905" s="744"/>
      <c r="Z905" s="702"/>
      <c r="AA905" s="702"/>
      <c r="AB905" s="702"/>
      <c r="AC905" s="702"/>
      <c r="AD905" s="702"/>
      <c r="AE905" s="702"/>
      <c r="AF905" s="702"/>
      <c r="AG905" s="702"/>
    </row>
    <row r="906" spans="1:33" s="56" customFormat="1" ht="30" x14ac:dyDescent="0.25">
      <c r="A906" s="597"/>
      <c r="B906" s="130"/>
      <c r="C906" s="115"/>
      <c r="D906" s="1660" t="s">
        <v>1773</v>
      </c>
      <c r="E906" s="1060" t="s">
        <v>1131</v>
      </c>
      <c r="F906" s="745">
        <f>((K1379*K1465*(1/K1551-1/K1637)*K1723)/1000)</f>
        <v>785.26639676113382</v>
      </c>
      <c r="G906" s="1675" t="s">
        <v>1054</v>
      </c>
      <c r="H906" s="170">
        <f>VLOOKUP(G906,'CP FACTORS'!$A$3:$B$38, 2, FALSE)</f>
        <v>9.4741810000000004E-4</v>
      </c>
      <c r="I906" s="1397">
        <f t="shared" si="60"/>
        <v>0.74397559761327958</v>
      </c>
      <c r="J906" s="122">
        <f t="shared" si="61"/>
        <v>12</v>
      </c>
      <c r="K906" s="742">
        <f t="shared" si="62"/>
        <v>0</v>
      </c>
      <c r="L906" s="743"/>
      <c r="M906" s="1692"/>
      <c r="N906" s="130"/>
      <c r="O906" s="1516"/>
      <c r="P906" s="130"/>
      <c r="Q906" s="130"/>
      <c r="R906" s="1413"/>
      <c r="S906" s="1413"/>
      <c r="T906" s="130"/>
      <c r="U906" s="1686"/>
      <c r="V906" s="176" t="s">
        <v>19</v>
      </c>
      <c r="W906" s="746">
        <v>785.26639676113382</v>
      </c>
      <c r="X906" s="745">
        <v>785.26639676113382</v>
      </c>
      <c r="Y906" s="744"/>
      <c r="Z906" s="702"/>
      <c r="AA906" s="702"/>
      <c r="AB906" s="702"/>
      <c r="AC906" s="702"/>
      <c r="AD906" s="702"/>
      <c r="AE906" s="702"/>
      <c r="AF906" s="702"/>
      <c r="AG906" s="702"/>
    </row>
    <row r="907" spans="1:33" s="56" customFormat="1" ht="30" x14ac:dyDescent="0.25">
      <c r="A907" s="597"/>
      <c r="B907" s="130"/>
      <c r="C907" s="115"/>
      <c r="D907" s="1660" t="s">
        <v>1773</v>
      </c>
      <c r="E907" s="1693" t="s">
        <v>1131</v>
      </c>
      <c r="F907" s="745">
        <f xml:space="preserve"> ((K1035*K1121*(1/K1207-1/K1293)*K1723)/1000)</f>
        <v>10399.659574468084</v>
      </c>
      <c r="G907" s="1675" t="s">
        <v>1070</v>
      </c>
      <c r="H907" s="170">
        <f>VLOOKUP(G907,'CP FACTORS'!$A$3:$B$38, 2, FALSE)</f>
        <v>0</v>
      </c>
      <c r="I907" s="1397">
        <f t="shared" si="60"/>
        <v>0</v>
      </c>
      <c r="J907" s="122">
        <f t="shared" si="61"/>
        <v>12</v>
      </c>
      <c r="K907" s="742">
        <f t="shared" si="62"/>
        <v>0</v>
      </c>
      <c r="L907" s="743"/>
      <c r="M907" s="1692"/>
      <c r="N907" s="130"/>
      <c r="O907" s="1516"/>
      <c r="P907" s="130"/>
      <c r="Q907" s="130"/>
      <c r="R907" s="1413"/>
      <c r="S907" s="1413"/>
      <c r="T907" s="130"/>
      <c r="U907" s="1686"/>
      <c r="V907" s="176" t="s">
        <v>19</v>
      </c>
      <c r="W907" s="746">
        <v>13965.852998065762</v>
      </c>
      <c r="X907" s="741">
        <v>10399.659574468084</v>
      </c>
      <c r="Y907" s="744"/>
      <c r="Z907" s="702"/>
      <c r="AA907" s="702"/>
      <c r="AB907" s="702"/>
      <c r="AC907" s="702"/>
      <c r="AD907" s="702"/>
      <c r="AE907" s="702"/>
      <c r="AF907" s="702"/>
      <c r="AG907" s="702"/>
    </row>
    <row r="908" spans="1:33" s="56" customFormat="1" ht="30" x14ac:dyDescent="0.25">
      <c r="A908" s="597"/>
      <c r="B908" s="130"/>
      <c r="C908" s="115"/>
      <c r="D908" s="1660" t="s">
        <v>1772</v>
      </c>
      <c r="E908" s="1684" t="s">
        <v>1132</v>
      </c>
      <c r="F908" s="745">
        <f>((K1380*K1466*(1/K1552-1/K1638)*K1724)/1000)</f>
        <v>1416.5825576546411</v>
      </c>
      <c r="G908" s="243" t="s">
        <v>1023</v>
      </c>
      <c r="H908" s="170">
        <f>VLOOKUP(G908,'CP FACTORS'!$A$3:$B$38, 2, FALSE)</f>
        <v>9.4741810000000004E-4</v>
      </c>
      <c r="I908" s="1397">
        <f t="shared" ref="I908:I951" si="63">F908*H908</f>
        <v>1.3420959552663005</v>
      </c>
      <c r="J908" s="122">
        <f t="shared" si="61"/>
        <v>6</v>
      </c>
      <c r="K908" s="742">
        <f t="shared" si="62"/>
        <v>2206.121258210309</v>
      </c>
      <c r="L908" s="743">
        <f>L1036</f>
        <v>3.1</v>
      </c>
      <c r="M908" s="1692"/>
      <c r="N908" s="130"/>
      <c r="O908" s="1516"/>
      <c r="P908" s="130"/>
      <c r="Q908" s="130"/>
      <c r="R908" s="1413"/>
      <c r="S908" s="1413"/>
      <c r="T908" s="130"/>
      <c r="U908" s="1686"/>
      <c r="V908" s="176" t="s">
        <v>19</v>
      </c>
      <c r="W908" s="746">
        <v>1984.1449226006196</v>
      </c>
      <c r="X908" s="741">
        <v>1416.5825576546411</v>
      </c>
      <c r="Y908" s="744"/>
      <c r="Z908" s="702"/>
      <c r="AA908" s="702"/>
      <c r="AB908" s="702"/>
      <c r="AC908" s="702"/>
      <c r="AD908" s="702"/>
      <c r="AE908" s="702"/>
      <c r="AF908" s="702"/>
      <c r="AG908" s="702"/>
    </row>
    <row r="909" spans="1:33" s="56" customFormat="1" ht="30" x14ac:dyDescent="0.25">
      <c r="A909" s="597"/>
      <c r="B909" s="130"/>
      <c r="C909" s="115"/>
      <c r="D909" s="1660" t="s">
        <v>1772</v>
      </c>
      <c r="E909" s="1060" t="s">
        <v>1132</v>
      </c>
      <c r="F909" s="745">
        <f xml:space="preserve"> ((K1036*K1122*(1/K1208-1/K1294)*K1724)/1000)</f>
        <v>6759.7787234042544</v>
      </c>
      <c r="G909" s="243" t="s">
        <v>1025</v>
      </c>
      <c r="H909" s="170">
        <f>VLOOKUP(G909,'CP FACTORS'!$A$3:$B$38, 2, FALSE)</f>
        <v>0</v>
      </c>
      <c r="I909" s="1397">
        <f t="shared" si="63"/>
        <v>0</v>
      </c>
      <c r="J909" s="122">
        <f t="shared" ref="J909:J951" si="64">K1875</f>
        <v>6</v>
      </c>
      <c r="K909" s="742">
        <f t="shared" ref="K909:K951" si="65">K2047</f>
        <v>0</v>
      </c>
      <c r="L909" s="743"/>
      <c r="M909" s="1692"/>
      <c r="N909" s="130"/>
      <c r="O909" s="1516"/>
      <c r="P909" s="130"/>
      <c r="Q909" s="130"/>
      <c r="R909" s="1413"/>
      <c r="S909" s="1413"/>
      <c r="T909" s="130"/>
      <c r="U909" s="1686"/>
      <c r="V909" s="176" t="s">
        <v>19</v>
      </c>
      <c r="W909" s="746">
        <v>9077.8044487427451</v>
      </c>
      <c r="X909" s="741">
        <v>6759.7787234042544</v>
      </c>
      <c r="Y909" s="744"/>
      <c r="Z909" s="702"/>
      <c r="AA909" s="702"/>
      <c r="AB909" s="702"/>
      <c r="AC909" s="702"/>
      <c r="AD909" s="702"/>
      <c r="AE909" s="702"/>
      <c r="AF909" s="702"/>
      <c r="AG909" s="702"/>
    </row>
    <row r="910" spans="1:33" s="56" customFormat="1" ht="30" x14ac:dyDescent="0.25">
      <c r="A910" s="597"/>
      <c r="B910" s="130"/>
      <c r="C910" s="115"/>
      <c r="D910" s="1660" t="s">
        <v>1772</v>
      </c>
      <c r="E910" s="1060" t="s">
        <v>1133</v>
      </c>
      <c r="F910" s="745">
        <f>((K1381*K1467*(1/K1553-1/K1639)*K1725)/1000)</f>
        <v>510.42315789473696</v>
      </c>
      <c r="G910" s="1675" t="s">
        <v>1054</v>
      </c>
      <c r="H910" s="170">
        <f>VLOOKUP(G910,'CP FACTORS'!$A$3:$B$38, 2, FALSE)</f>
        <v>9.4741810000000004E-4</v>
      </c>
      <c r="I910" s="1397">
        <f t="shared" si="63"/>
        <v>0.48358413844863168</v>
      </c>
      <c r="J910" s="122">
        <f t="shared" si="64"/>
        <v>12</v>
      </c>
      <c r="K910" s="742">
        <f t="shared" si="65"/>
        <v>0</v>
      </c>
      <c r="L910" s="743"/>
      <c r="M910" s="1692"/>
      <c r="N910" s="130"/>
      <c r="O910" s="1516"/>
      <c r="P910" s="130"/>
      <c r="Q910" s="130"/>
      <c r="R910" s="1413"/>
      <c r="S910" s="1413"/>
      <c r="T910" s="130"/>
      <c r="U910" s="1686"/>
      <c r="V910" s="176" t="s">
        <v>19</v>
      </c>
      <c r="W910" s="746">
        <v>510.42315789473696</v>
      </c>
      <c r="X910" s="745">
        <v>510.42315789473696</v>
      </c>
      <c r="Y910" s="744"/>
      <c r="Z910" s="702"/>
      <c r="AA910" s="702"/>
      <c r="AB910" s="702"/>
      <c r="AC910" s="702"/>
      <c r="AD910" s="702"/>
      <c r="AE910" s="702"/>
      <c r="AF910" s="702"/>
      <c r="AG910" s="702"/>
    </row>
    <row r="911" spans="1:33" s="56" customFormat="1" ht="30" x14ac:dyDescent="0.25">
      <c r="A911" s="597"/>
      <c r="B911" s="130"/>
      <c r="C911" s="115"/>
      <c r="D911" s="1660" t="s">
        <v>1772</v>
      </c>
      <c r="E911" s="1061" t="s">
        <v>1133</v>
      </c>
      <c r="F911" s="745">
        <f xml:space="preserve"> ((K1037*K1123*(1/K1209-1/K1295)*K1725)/1000)</f>
        <v>6759.7787234042544</v>
      </c>
      <c r="G911" s="1675" t="s">
        <v>1070</v>
      </c>
      <c r="H911" s="170">
        <f>VLOOKUP(G911,'CP FACTORS'!$A$3:$B$38, 2, FALSE)</f>
        <v>0</v>
      </c>
      <c r="I911" s="1397">
        <f t="shared" si="63"/>
        <v>0</v>
      </c>
      <c r="J911" s="122">
        <f t="shared" si="64"/>
        <v>12</v>
      </c>
      <c r="K911" s="742">
        <f t="shared" si="65"/>
        <v>0</v>
      </c>
      <c r="L911" s="743"/>
      <c r="M911" s="1692"/>
      <c r="N911" s="130"/>
      <c r="O911" s="1516"/>
      <c r="P911" s="130"/>
      <c r="Q911" s="130"/>
      <c r="R911" s="1413"/>
      <c r="S911" s="1413"/>
      <c r="T911" s="130"/>
      <c r="U911" s="1686"/>
      <c r="V911" s="176" t="s">
        <v>19</v>
      </c>
      <c r="W911" s="746">
        <v>9077.8044487427451</v>
      </c>
      <c r="X911" s="741">
        <v>6759.7787234042544</v>
      </c>
      <c r="Y911" s="744"/>
      <c r="Z911" s="702"/>
      <c r="AA911" s="702"/>
      <c r="AB911" s="702"/>
      <c r="AC911" s="702"/>
      <c r="AD911" s="702"/>
      <c r="AE911" s="702"/>
      <c r="AF911" s="702"/>
      <c r="AG911" s="702"/>
    </row>
    <row r="912" spans="1:33" s="56" customFormat="1" x14ac:dyDescent="0.25">
      <c r="A912" s="597"/>
      <c r="B912" s="130"/>
      <c r="C912" s="115"/>
      <c r="D912" s="1660" t="s">
        <v>1772</v>
      </c>
      <c r="E912" s="1684" t="s">
        <v>1134</v>
      </c>
      <c r="F912" s="745">
        <f>((K1382*K1468*(1/K1554-1/K1640)*K1726)/1000)</f>
        <v>1507.9749807291337</v>
      </c>
      <c r="G912" s="243" t="s">
        <v>1023</v>
      </c>
      <c r="H912" s="170">
        <f>VLOOKUP(G912,'CP FACTORS'!$A$3:$B$38, 2, FALSE)</f>
        <v>9.4741810000000004E-4</v>
      </c>
      <c r="I912" s="1397">
        <f t="shared" si="63"/>
        <v>1.4286827910899325</v>
      </c>
      <c r="J912" s="122">
        <f t="shared" si="64"/>
        <v>6</v>
      </c>
      <c r="K912" s="742">
        <f t="shared" si="65"/>
        <v>2348.4516619658129</v>
      </c>
      <c r="L912" s="743">
        <f>L1038</f>
        <v>3.3</v>
      </c>
      <c r="M912" s="1692"/>
      <c r="N912" s="130"/>
      <c r="O912" s="1516"/>
      <c r="P912" s="130"/>
      <c r="Q912" s="130"/>
      <c r="R912" s="1413"/>
      <c r="S912" s="1413"/>
      <c r="T912" s="130"/>
      <c r="U912" s="1686"/>
      <c r="V912" s="176" t="s">
        <v>19</v>
      </c>
      <c r="W912" s="746">
        <v>1929.4086842105264</v>
      </c>
      <c r="X912" s="741">
        <v>1507.9749807291337</v>
      </c>
      <c r="Y912" s="744"/>
      <c r="Z912" s="702"/>
      <c r="AA912" s="702"/>
      <c r="AB912" s="702"/>
      <c r="AC912" s="702"/>
      <c r="AD912" s="702"/>
      <c r="AE912" s="702"/>
      <c r="AF912" s="702"/>
      <c r="AG912" s="702"/>
    </row>
    <row r="913" spans="1:33" s="56" customFormat="1" x14ac:dyDescent="0.25">
      <c r="A913" s="597"/>
      <c r="B913" s="130"/>
      <c r="C913" s="115"/>
      <c r="D913" s="1660" t="s">
        <v>1772</v>
      </c>
      <c r="E913" s="1060" t="s">
        <v>1134</v>
      </c>
      <c r="F913" s="745">
        <f xml:space="preserve"> ((K1038*K1124*(1/K1210-1/K1296)*K1726)/1000)</f>
        <v>1798.7611070228763</v>
      </c>
      <c r="G913" s="243" t="s">
        <v>1025</v>
      </c>
      <c r="H913" s="170">
        <f>VLOOKUP(G913,'CP FACTORS'!$A$3:$B$38, 2, FALSE)</f>
        <v>0</v>
      </c>
      <c r="I913" s="1397">
        <f t="shared" si="63"/>
        <v>0</v>
      </c>
      <c r="J913" s="122">
        <f t="shared" si="64"/>
        <v>6</v>
      </c>
      <c r="K913" s="742">
        <f t="shared" si="65"/>
        <v>0</v>
      </c>
      <c r="L913" s="743"/>
      <c r="M913" s="1692"/>
      <c r="N913" s="130"/>
      <c r="O913" s="1516"/>
      <c r="P913" s="130"/>
      <c r="Q913" s="130"/>
      <c r="R913" s="1413"/>
      <c r="S913" s="1413"/>
      <c r="T913" s="130"/>
      <c r="U913" s="1686"/>
      <c r="V913" s="176" t="s">
        <v>19</v>
      </c>
      <c r="W913" s="746">
        <v>4062.4872213622284</v>
      </c>
      <c r="X913" s="741">
        <v>1798.7611070228763</v>
      </c>
      <c r="Y913" s="744"/>
      <c r="Z913" s="702"/>
      <c r="AA913" s="702"/>
      <c r="AB913" s="702"/>
      <c r="AC913" s="702"/>
      <c r="AD913" s="702"/>
      <c r="AE913" s="702"/>
      <c r="AF913" s="702"/>
      <c r="AG913" s="702"/>
    </row>
    <row r="914" spans="1:33" s="56" customFormat="1" x14ac:dyDescent="0.25">
      <c r="A914" s="597"/>
      <c r="B914" s="130"/>
      <c r="C914" s="115"/>
      <c r="D914" s="1660" t="s">
        <v>1772</v>
      </c>
      <c r="E914" s="1060" t="s">
        <v>1135</v>
      </c>
      <c r="F914" s="745">
        <f>((K1383*K1469*(1/K1555-1/K1641)*K1727)/1000)</f>
        <v>420.45225563909776</v>
      </c>
      <c r="G914" s="1675" t="s">
        <v>1054</v>
      </c>
      <c r="H914" s="170">
        <f>VLOOKUP(G914,'CP FACTORS'!$A$3:$B$38, 2, FALSE)</f>
        <v>9.4741810000000004E-4</v>
      </c>
      <c r="I914" s="1397">
        <f t="shared" si="63"/>
        <v>0.39834407717830828</v>
      </c>
      <c r="J914" s="122">
        <f t="shared" si="64"/>
        <v>12</v>
      </c>
      <c r="K914" s="742">
        <f t="shared" si="65"/>
        <v>0</v>
      </c>
      <c r="L914" s="743"/>
      <c r="M914" s="1692"/>
      <c r="N914" s="130"/>
      <c r="O914" s="1516"/>
      <c r="P914" s="130"/>
      <c r="Q914" s="130"/>
      <c r="R914" s="1413"/>
      <c r="S914" s="1413"/>
      <c r="T914" s="130"/>
      <c r="U914" s="1686"/>
      <c r="V914" s="176" t="s">
        <v>19</v>
      </c>
      <c r="W914" s="746">
        <v>420.45225563909776</v>
      </c>
      <c r="X914" s="745">
        <v>420.45225563909776</v>
      </c>
      <c r="Y914" s="744"/>
      <c r="Z914" s="702"/>
      <c r="AA914" s="702"/>
      <c r="AB914" s="702"/>
      <c r="AC914" s="702"/>
      <c r="AD914" s="702"/>
      <c r="AE914" s="702"/>
      <c r="AF914" s="702"/>
      <c r="AG914" s="702"/>
    </row>
    <row r="915" spans="1:33" s="56" customFormat="1" x14ac:dyDescent="0.25">
      <c r="A915" s="597"/>
      <c r="B915" s="130"/>
      <c r="C915" s="115"/>
      <c r="D915" s="1660" t="s">
        <v>1772</v>
      </c>
      <c r="E915" s="1061" t="s">
        <v>1135</v>
      </c>
      <c r="F915" s="745">
        <f xml:space="preserve"> ((K1039*K1125*(1/K1211-1/K1297)*K1727)/1000)</f>
        <v>642.6078562259313</v>
      </c>
      <c r="G915" s="1675" t="s">
        <v>1070</v>
      </c>
      <c r="H915" s="170">
        <f>VLOOKUP(G915,'CP FACTORS'!$A$3:$B$38, 2, FALSE)</f>
        <v>0</v>
      </c>
      <c r="I915" s="1397">
        <f t="shared" si="63"/>
        <v>0</v>
      </c>
      <c r="J915" s="122">
        <f t="shared" si="64"/>
        <v>12</v>
      </c>
      <c r="K915" s="742">
        <f t="shared" si="65"/>
        <v>0</v>
      </c>
      <c r="L915" s="743"/>
      <c r="M915" s="1692"/>
      <c r="N915" s="130"/>
      <c r="O915" s="1516"/>
      <c r="P915" s="130"/>
      <c r="Q915" s="130"/>
      <c r="R915" s="1413"/>
      <c r="S915" s="1413"/>
      <c r="T915" s="130"/>
      <c r="U915" s="1686"/>
      <c r="V915" s="176" t="s">
        <v>19</v>
      </c>
      <c r="W915" s="746">
        <v>862.96736842105349</v>
      </c>
      <c r="X915" s="741">
        <v>642.6078562259313</v>
      </c>
      <c r="Y915" s="744"/>
      <c r="Z915" s="702"/>
      <c r="AA915" s="702"/>
      <c r="AB915" s="702"/>
      <c r="AC915" s="702"/>
      <c r="AD915" s="702"/>
      <c r="AE915" s="702"/>
      <c r="AF915" s="702"/>
      <c r="AG915" s="702"/>
    </row>
    <row r="916" spans="1:33" s="56" customFormat="1" x14ac:dyDescent="0.25">
      <c r="A916" s="597"/>
      <c r="B916" s="130"/>
      <c r="C916" s="115"/>
      <c r="D916" s="1660" t="s">
        <v>1773</v>
      </c>
      <c r="E916" s="1684" t="s">
        <v>1136</v>
      </c>
      <c r="F916" s="745">
        <f>((K1384*K1470*(1/K1556-1/K1642)*K1728)/1000)</f>
        <v>2410.520456182473</v>
      </c>
      <c r="G916" s="243" t="s">
        <v>1023</v>
      </c>
      <c r="H916" s="170">
        <f>VLOOKUP(G916,'CP FACTORS'!$A$3:$B$38, 2, FALSE)</f>
        <v>9.4741810000000004E-4</v>
      </c>
      <c r="I916" s="1397">
        <f t="shared" si="63"/>
        <v>2.283770710607532</v>
      </c>
      <c r="J916" s="122">
        <f t="shared" si="64"/>
        <v>6</v>
      </c>
      <c r="K916" s="742">
        <f t="shared" si="65"/>
        <v>4757.0025568704805</v>
      </c>
      <c r="L916" s="743">
        <f>L1040</f>
        <v>3.3</v>
      </c>
      <c r="M916" s="1692"/>
      <c r="N916" s="130"/>
      <c r="O916" s="1516"/>
      <c r="P916" s="130"/>
      <c r="Q916" s="130"/>
      <c r="R916" s="1413"/>
      <c r="S916" s="1413"/>
      <c r="T916" s="130"/>
      <c r="U916" s="1686"/>
      <c r="V916" s="176" t="s">
        <v>19</v>
      </c>
      <c r="W916" s="746">
        <v>3058.88</v>
      </c>
      <c r="X916" s="741">
        <v>2410.520456182473</v>
      </c>
      <c r="Y916" s="744"/>
      <c r="Z916" s="702"/>
      <c r="AA916" s="702"/>
      <c r="AB916" s="702"/>
      <c r="AC916" s="702"/>
      <c r="AD916" s="702"/>
      <c r="AE916" s="702"/>
      <c r="AF916" s="702"/>
      <c r="AG916" s="702"/>
    </row>
    <row r="917" spans="1:33" s="56" customFormat="1" x14ac:dyDescent="0.25">
      <c r="A917" s="597"/>
      <c r="B917" s="130"/>
      <c r="C917" s="115"/>
      <c r="D917" s="1660" t="s">
        <v>1773</v>
      </c>
      <c r="E917" s="1060" t="s">
        <v>1136</v>
      </c>
      <c r="F917" s="745">
        <f xml:space="preserve"> ((K1040*K1126*(1/K1212-1/K1298)*K1728)/1000)</f>
        <v>2767.3247800351946</v>
      </c>
      <c r="G917" s="243" t="s">
        <v>1025</v>
      </c>
      <c r="H917" s="170">
        <f>VLOOKUP(G917,'CP FACTORS'!$A$3:$B$38, 2, FALSE)</f>
        <v>0</v>
      </c>
      <c r="I917" s="1397">
        <f t="shared" si="63"/>
        <v>0</v>
      </c>
      <c r="J917" s="122">
        <f t="shared" si="64"/>
        <v>6</v>
      </c>
      <c r="K917" s="742">
        <f t="shared" si="65"/>
        <v>0</v>
      </c>
      <c r="L917" s="743"/>
      <c r="M917" s="1692"/>
      <c r="N917" s="130"/>
      <c r="O917" s="1516"/>
      <c r="P917" s="130"/>
      <c r="Q917" s="130"/>
      <c r="R917" s="1413"/>
      <c r="S917" s="1413"/>
      <c r="T917" s="130"/>
      <c r="U917" s="1686"/>
      <c r="V917" s="176" t="s">
        <v>19</v>
      </c>
      <c r="W917" s="746">
        <v>6249.9803405572748</v>
      </c>
      <c r="X917" s="741">
        <v>2767.3247800351946</v>
      </c>
      <c r="Y917" s="744"/>
      <c r="Z917" s="702"/>
      <c r="AA917" s="702"/>
      <c r="AB917" s="702"/>
      <c r="AC917" s="702"/>
      <c r="AD917" s="702"/>
      <c r="AE917" s="702"/>
      <c r="AF917" s="702"/>
      <c r="AG917" s="702"/>
    </row>
    <row r="918" spans="1:33" s="56" customFormat="1" x14ac:dyDescent="0.25">
      <c r="A918" s="597"/>
      <c r="B918" s="130"/>
      <c r="C918" s="115"/>
      <c r="D918" s="1660" t="s">
        <v>1773</v>
      </c>
      <c r="E918" s="1060" t="s">
        <v>1137</v>
      </c>
      <c r="F918" s="745">
        <f>((K1385*K1471*(1/K1557-1/K1643)*K1729)/1000)</f>
        <v>737.40857142857124</v>
      </c>
      <c r="G918" s="1675" t="s">
        <v>1054</v>
      </c>
      <c r="H918" s="170">
        <f>VLOOKUP(G918,'CP FACTORS'!$A$3:$B$38, 2, FALSE)</f>
        <v>9.4741810000000004E-4</v>
      </c>
      <c r="I918" s="1397">
        <f t="shared" si="63"/>
        <v>0.69863422766657124</v>
      </c>
      <c r="J918" s="122">
        <f t="shared" si="64"/>
        <v>12</v>
      </c>
      <c r="K918" s="742">
        <f t="shared" si="65"/>
        <v>0</v>
      </c>
      <c r="L918" s="743"/>
      <c r="M918" s="1692"/>
      <c r="N918" s="130"/>
      <c r="O918" s="1516"/>
      <c r="P918" s="130"/>
      <c r="Q918" s="130"/>
      <c r="R918" s="1413"/>
      <c r="S918" s="1413"/>
      <c r="T918" s="130"/>
      <c r="U918" s="1686"/>
      <c r="V918" s="176" t="s">
        <v>19</v>
      </c>
      <c r="W918" s="746">
        <v>737.40857142857124</v>
      </c>
      <c r="X918" s="745">
        <v>737.40857142857124</v>
      </c>
      <c r="Y918" s="744"/>
      <c r="Z918" s="702"/>
      <c r="AA918" s="702"/>
      <c r="AB918" s="702"/>
      <c r="AC918" s="702"/>
      <c r="AD918" s="702"/>
      <c r="AE918" s="702"/>
      <c r="AF918" s="702"/>
      <c r="AG918" s="702"/>
    </row>
    <row r="919" spans="1:33" s="56" customFormat="1" x14ac:dyDescent="0.25">
      <c r="A919" s="597"/>
      <c r="B919" s="130"/>
      <c r="C919" s="115"/>
      <c r="D919" s="1660" t="s">
        <v>1773</v>
      </c>
      <c r="E919" s="1061" t="s">
        <v>1137</v>
      </c>
      <c r="F919" s="745">
        <f xml:space="preserve"> ((K1041*K1127*(1/K1213-1/K1299)*K1729)/1000)</f>
        <v>988.62747111681745</v>
      </c>
      <c r="G919" s="1675" t="s">
        <v>1070</v>
      </c>
      <c r="H919" s="170">
        <f>VLOOKUP(G919,'CP FACTORS'!$A$3:$B$38, 2, FALSE)</f>
        <v>0</v>
      </c>
      <c r="I919" s="1397">
        <f t="shared" si="63"/>
        <v>0</v>
      </c>
      <c r="J919" s="122">
        <f t="shared" si="64"/>
        <v>12</v>
      </c>
      <c r="K919" s="742">
        <f t="shared" si="65"/>
        <v>0</v>
      </c>
      <c r="L919" s="743"/>
      <c r="M919" s="1692"/>
      <c r="N919" s="130"/>
      <c r="O919" s="1516"/>
      <c r="P919" s="130"/>
      <c r="Q919" s="130"/>
      <c r="R919" s="1413"/>
      <c r="S919" s="1413"/>
      <c r="T919" s="130"/>
      <c r="U919" s="1686"/>
      <c r="V919" s="176" t="s">
        <v>19</v>
      </c>
      <c r="W919" s="746">
        <v>1327.6421052631592</v>
      </c>
      <c r="X919" s="741">
        <v>988.62747111681745</v>
      </c>
      <c r="Y919" s="744"/>
      <c r="Z919" s="702"/>
      <c r="AA919" s="702"/>
      <c r="AB919" s="702"/>
      <c r="AC919" s="702"/>
      <c r="AD919" s="702"/>
      <c r="AE919" s="702"/>
      <c r="AF919" s="702"/>
      <c r="AG919" s="702"/>
    </row>
    <row r="920" spans="1:33" s="56" customFormat="1" x14ac:dyDescent="0.25">
      <c r="A920" s="597"/>
      <c r="B920" s="130"/>
      <c r="C920" s="115"/>
      <c r="D920" s="1660" t="s">
        <v>1773</v>
      </c>
      <c r="E920" s="1687" t="s">
        <v>1138</v>
      </c>
      <c r="F920" s="745">
        <f>((K1386*K1472*(1/K1558-1/K1644)*K1730)/1000)</f>
        <v>737.40857142857124</v>
      </c>
      <c r="G920" s="243" t="s">
        <v>1023</v>
      </c>
      <c r="H920" s="170">
        <f>VLOOKUP(G920,'CP FACTORS'!$A$3:$B$38, 2, FALSE)</f>
        <v>9.4741810000000004E-4</v>
      </c>
      <c r="I920" s="1397">
        <f t="shared" si="63"/>
        <v>0.69863422766657124</v>
      </c>
      <c r="J920" s="122">
        <f t="shared" si="64"/>
        <v>18</v>
      </c>
      <c r="K920" s="742">
        <f t="shared" si="65"/>
        <v>3828</v>
      </c>
      <c r="L920" s="743">
        <f>L1042</f>
        <v>3.3</v>
      </c>
      <c r="M920" s="1692"/>
      <c r="N920" s="130"/>
      <c r="O920" s="1516"/>
      <c r="P920" s="130"/>
      <c r="Q920" s="130"/>
      <c r="R920" s="1413"/>
      <c r="S920" s="1413"/>
      <c r="T920" s="130"/>
      <c r="U920" s="1686"/>
      <c r="V920" s="176" t="s">
        <v>19</v>
      </c>
      <c r="W920" s="746">
        <v>737.40857142857124</v>
      </c>
      <c r="X920" s="745">
        <v>737.40857142857124</v>
      </c>
      <c r="Y920" s="744"/>
      <c r="Z920" s="702"/>
      <c r="AA920" s="702"/>
      <c r="AB920" s="702"/>
      <c r="AC920" s="702"/>
      <c r="AD920" s="702"/>
      <c r="AE920" s="702"/>
      <c r="AF920" s="702"/>
      <c r="AG920" s="702"/>
    </row>
    <row r="921" spans="1:33" s="56" customFormat="1" x14ac:dyDescent="0.25">
      <c r="A921" s="597"/>
      <c r="B921" s="130"/>
      <c r="C921" s="115"/>
      <c r="D921" s="1660" t="s">
        <v>1773</v>
      </c>
      <c r="E921" s="1688" t="s">
        <v>1138</v>
      </c>
      <c r="F921" s="745">
        <f xml:space="preserve"> ((K1042*K1128*(1/K1214-1/K1300)*K1730)/1000)</f>
        <v>1179.5241413638641</v>
      </c>
      <c r="G921" s="243" t="s">
        <v>1025</v>
      </c>
      <c r="H921" s="170">
        <f>VLOOKUP(G921,'CP FACTORS'!$A$3:$B$38, 2, FALSE)</f>
        <v>0</v>
      </c>
      <c r="I921" s="1397">
        <f t="shared" si="63"/>
        <v>0</v>
      </c>
      <c r="J921" s="122">
        <f t="shared" si="64"/>
        <v>18</v>
      </c>
      <c r="K921" s="742">
        <f t="shared" si="65"/>
        <v>0</v>
      </c>
      <c r="L921" s="743"/>
      <c r="M921" s="1692"/>
      <c r="N921" s="130"/>
      <c r="O921" s="1516"/>
      <c r="P921" s="130"/>
      <c r="Q921" s="130"/>
      <c r="R921" s="1413"/>
      <c r="S921" s="1413"/>
      <c r="T921" s="130"/>
      <c r="U921" s="1686"/>
      <c r="V921" s="176" t="s">
        <v>19</v>
      </c>
      <c r="W921" s="746">
        <v>1584.0000000000018</v>
      </c>
      <c r="X921" s="741">
        <v>1179.5241413638641</v>
      </c>
      <c r="Y921" s="744"/>
      <c r="Z921" s="702"/>
      <c r="AA921" s="702"/>
      <c r="AB921" s="702"/>
      <c r="AC921" s="702"/>
      <c r="AD921" s="702"/>
      <c r="AE921" s="702"/>
      <c r="AF921" s="702"/>
      <c r="AG921" s="702"/>
    </row>
    <row r="922" spans="1:33" s="56" customFormat="1" ht="30" x14ac:dyDescent="0.25">
      <c r="A922" s="597"/>
      <c r="B922" s="130"/>
      <c r="C922" s="115"/>
      <c r="D922" s="1660" t="s">
        <v>1772</v>
      </c>
      <c r="E922" s="1684" t="s">
        <v>1139</v>
      </c>
      <c r="F922" s="745">
        <f>((K1387*K1473*(1/K1559-1/K1645)*K1731)/1000)</f>
        <v>1471.8783997599039</v>
      </c>
      <c r="G922" s="243" t="s">
        <v>1023</v>
      </c>
      <c r="H922" s="170">
        <f>VLOOKUP(G922,'CP FACTORS'!$A$3:$B$38, 2, FALSE)</f>
        <v>9.4741810000000004E-4</v>
      </c>
      <c r="I922" s="1397">
        <f t="shared" si="63"/>
        <v>1.3944842369315686</v>
      </c>
      <c r="J922" s="122">
        <f t="shared" si="64"/>
        <v>6</v>
      </c>
      <c r="K922" s="742">
        <f t="shared" si="65"/>
        <v>2904.6545915436423</v>
      </c>
      <c r="L922" s="743">
        <f>L1043</f>
        <v>3.1</v>
      </c>
      <c r="M922" s="1692"/>
      <c r="N922" s="130"/>
      <c r="O922" s="1516"/>
      <c r="P922" s="130"/>
      <c r="Q922" s="130"/>
      <c r="R922" s="1413"/>
      <c r="S922" s="1413"/>
      <c r="T922" s="130"/>
      <c r="U922" s="1686"/>
      <c r="V922" s="176" t="s">
        <v>19</v>
      </c>
      <c r="W922" s="746">
        <v>2039.4407647058827</v>
      </c>
      <c r="X922" s="741">
        <v>1471.8783997599039</v>
      </c>
      <c r="Y922" s="744"/>
      <c r="Z922" s="702"/>
      <c r="AA922" s="702"/>
      <c r="AB922" s="702"/>
      <c r="AC922" s="702"/>
      <c r="AD922" s="702"/>
      <c r="AE922" s="702"/>
      <c r="AF922" s="702"/>
      <c r="AG922" s="702"/>
    </row>
    <row r="923" spans="1:33" s="56" customFormat="1" ht="30" x14ac:dyDescent="0.25">
      <c r="A923" s="597"/>
      <c r="B923" s="130"/>
      <c r="C923" s="115"/>
      <c r="D923" s="1660" t="s">
        <v>1772</v>
      </c>
      <c r="E923" s="1060" t="s">
        <v>1139</v>
      </c>
      <c r="F923" s="745">
        <f xml:space="preserve"> ((K1043*K1129*(1/K1215-1/K1301)*K1731)/1000)</f>
        <v>6759.7787234042544</v>
      </c>
      <c r="G923" s="243" t="s">
        <v>1025</v>
      </c>
      <c r="H923" s="170">
        <f>VLOOKUP(G923,'CP FACTORS'!$A$3:$B$38, 2, FALSE)</f>
        <v>0</v>
      </c>
      <c r="I923" s="1397">
        <f t="shared" si="63"/>
        <v>0</v>
      </c>
      <c r="J923" s="122">
        <f t="shared" si="64"/>
        <v>6</v>
      </c>
      <c r="K923" s="742">
        <f t="shared" si="65"/>
        <v>0</v>
      </c>
      <c r="L923" s="743"/>
      <c r="M923" s="1692"/>
      <c r="N923" s="130"/>
      <c r="O923" s="1516"/>
      <c r="P923" s="130"/>
      <c r="Q923" s="130"/>
      <c r="R923" s="1413"/>
      <c r="S923" s="1413"/>
      <c r="T923" s="130"/>
      <c r="U923" s="1686"/>
      <c r="V923" s="176" t="s">
        <v>19</v>
      </c>
      <c r="W923" s="746">
        <v>9077.8044487427451</v>
      </c>
      <c r="X923" s="741">
        <v>6759.7787234042544</v>
      </c>
      <c r="Y923" s="744"/>
      <c r="Z923" s="702"/>
      <c r="AA923" s="702"/>
      <c r="AB923" s="702"/>
      <c r="AC923" s="702"/>
      <c r="AD923" s="702"/>
      <c r="AE923" s="702"/>
      <c r="AF923" s="702"/>
      <c r="AG923" s="702"/>
    </row>
    <row r="924" spans="1:33" s="56" customFormat="1" ht="30" x14ac:dyDescent="0.25">
      <c r="A924" s="597"/>
      <c r="B924" s="130"/>
      <c r="C924" s="115"/>
      <c r="D924" s="1660" t="s">
        <v>1772</v>
      </c>
      <c r="E924" s="1060" t="s">
        <v>1140</v>
      </c>
      <c r="F924" s="745">
        <f>((K1388*K1474*(1/K1560-1/K1646)*K1732)/1000)</f>
        <v>565.71900000000005</v>
      </c>
      <c r="G924" s="1675" t="s">
        <v>1054</v>
      </c>
      <c r="H924" s="170">
        <f>VLOOKUP(G924,'CP FACTORS'!$A$3:$B$38, 2, FALSE)</f>
        <v>9.4741810000000004E-4</v>
      </c>
      <c r="I924" s="1397">
        <f t="shared" si="63"/>
        <v>0.53597242011390012</v>
      </c>
      <c r="J924" s="122">
        <f t="shared" si="64"/>
        <v>12</v>
      </c>
      <c r="K924" s="742">
        <f t="shared" si="65"/>
        <v>0</v>
      </c>
      <c r="L924" s="743"/>
      <c r="M924" s="1692"/>
      <c r="N924" s="130"/>
      <c r="O924" s="1516"/>
      <c r="P924" s="130"/>
      <c r="Q924" s="130"/>
      <c r="R924" s="1413"/>
      <c r="S924" s="1413"/>
      <c r="T924" s="130"/>
      <c r="U924" s="1686"/>
      <c r="V924" s="176" t="s">
        <v>19</v>
      </c>
      <c r="W924" s="746">
        <v>565.71900000000005</v>
      </c>
      <c r="X924" s="745">
        <v>565.71900000000005</v>
      </c>
      <c r="Y924" s="744"/>
      <c r="Z924" s="702"/>
      <c r="AA924" s="702"/>
      <c r="AB924" s="702"/>
      <c r="AC924" s="702"/>
      <c r="AD924" s="702"/>
      <c r="AE924" s="702"/>
      <c r="AF924" s="702"/>
      <c r="AG924" s="702"/>
    </row>
    <row r="925" spans="1:33" s="56" customFormat="1" ht="30" x14ac:dyDescent="0.25">
      <c r="A925" s="597"/>
      <c r="B925" s="130"/>
      <c r="C925" s="115"/>
      <c r="D925" s="1660" t="s">
        <v>1772</v>
      </c>
      <c r="E925" s="1061" t="s">
        <v>1140</v>
      </c>
      <c r="F925" s="745">
        <f xml:space="preserve"> ((K1044*K1130*(1/K1216-1/K1302)*K1732)/1000)</f>
        <v>6759.7787234042544</v>
      </c>
      <c r="G925" s="1675" t="s">
        <v>1070</v>
      </c>
      <c r="H925" s="170">
        <f>VLOOKUP(G925,'CP FACTORS'!$A$3:$B$38, 2, FALSE)</f>
        <v>0</v>
      </c>
      <c r="I925" s="1397">
        <f t="shared" si="63"/>
        <v>0</v>
      </c>
      <c r="J925" s="122">
        <f t="shared" si="64"/>
        <v>12</v>
      </c>
      <c r="K925" s="742">
        <f t="shared" si="65"/>
        <v>0</v>
      </c>
      <c r="L925" s="743"/>
      <c r="M925" s="1692"/>
      <c r="N925" s="130"/>
      <c r="O925" s="1516"/>
      <c r="P925" s="130"/>
      <c r="Q925" s="130"/>
      <c r="R925" s="1413"/>
      <c r="S925" s="1413"/>
      <c r="T925" s="130"/>
      <c r="U925" s="1686"/>
      <c r="V925" s="176" t="s">
        <v>19</v>
      </c>
      <c r="W925" s="746">
        <v>9077.8044487427451</v>
      </c>
      <c r="X925" s="741">
        <v>6759.7787234042544</v>
      </c>
      <c r="Y925" s="744"/>
      <c r="Z925" s="702"/>
      <c r="AA925" s="702"/>
      <c r="AB925" s="702"/>
      <c r="AC925" s="702"/>
      <c r="AD925" s="702"/>
      <c r="AE925" s="702"/>
      <c r="AF925" s="702"/>
      <c r="AG925" s="702"/>
    </row>
    <row r="926" spans="1:33" s="56" customFormat="1" x14ac:dyDescent="0.25">
      <c r="A926" s="597"/>
      <c r="B926" s="130"/>
      <c r="C926" s="115"/>
      <c r="D926" s="1660" t="s">
        <v>1772</v>
      </c>
      <c r="E926" s="1684" t="s">
        <v>1141</v>
      </c>
      <c r="F926" s="745">
        <f>((K1389*K1475*(1/K1561-1/K1647)*K1733)/1000)</f>
        <v>1566.8382965186074</v>
      </c>
      <c r="G926" s="243" t="s">
        <v>1023</v>
      </c>
      <c r="H926" s="170">
        <f>VLOOKUP(G926,'CP FACTORS'!$A$3:$B$38, 2, FALSE)</f>
        <v>9.4741810000000004E-4</v>
      </c>
      <c r="I926" s="1397">
        <f t="shared" si="63"/>
        <v>1.4844509618948958</v>
      </c>
      <c r="J926" s="122">
        <f t="shared" si="64"/>
        <v>6</v>
      </c>
      <c r="K926" s="742">
        <f t="shared" si="65"/>
        <v>3092.0516619658124</v>
      </c>
      <c r="L926" s="743">
        <f>L1045</f>
        <v>3.3</v>
      </c>
      <c r="M926" s="1692"/>
      <c r="N926" s="130"/>
      <c r="O926" s="1516"/>
      <c r="P926" s="130"/>
      <c r="Q926" s="130"/>
      <c r="R926" s="1413"/>
      <c r="S926" s="1413"/>
      <c r="T926" s="130"/>
      <c r="U926" s="1686"/>
      <c r="V926" s="176" t="s">
        <v>19</v>
      </c>
      <c r="W926" s="746">
        <v>1988.2719999999999</v>
      </c>
      <c r="X926" s="741">
        <v>1566.8382965186074</v>
      </c>
      <c r="Y926" s="744"/>
      <c r="Z926" s="702"/>
      <c r="AA926" s="702"/>
      <c r="AB926" s="702"/>
      <c r="AC926" s="702"/>
      <c r="AD926" s="702"/>
      <c r="AE926" s="702"/>
      <c r="AF926" s="702"/>
      <c r="AG926" s="702"/>
    </row>
    <row r="927" spans="1:33" s="56" customFormat="1" x14ac:dyDescent="0.25">
      <c r="A927" s="597"/>
      <c r="B927" s="130"/>
      <c r="C927" s="115"/>
      <c r="D927" s="1660" t="s">
        <v>1772</v>
      </c>
      <c r="E927" s="1060" t="s">
        <v>1141</v>
      </c>
      <c r="F927" s="745">
        <f xml:space="preserve"> ((K1045*K1131*(1/K1217-1/K1303)*K1733)/1000)</f>
        <v>1798.7611070228763</v>
      </c>
      <c r="G927" s="243" t="s">
        <v>1025</v>
      </c>
      <c r="H927" s="170">
        <f>VLOOKUP(G927,'CP FACTORS'!$A$3:$B$38, 2, FALSE)</f>
        <v>0</v>
      </c>
      <c r="I927" s="1397">
        <f t="shared" si="63"/>
        <v>0</v>
      </c>
      <c r="J927" s="122">
        <f t="shared" si="64"/>
        <v>6</v>
      </c>
      <c r="K927" s="742">
        <f t="shared" si="65"/>
        <v>0</v>
      </c>
      <c r="L927" s="743"/>
      <c r="M927" s="1692"/>
      <c r="N927" s="130"/>
      <c r="O927" s="1516"/>
      <c r="P927" s="130"/>
      <c r="Q927" s="130"/>
      <c r="R927" s="1413"/>
      <c r="S927" s="1413"/>
      <c r="T927" s="130"/>
      <c r="U927" s="1686"/>
      <c r="V927" s="176" t="s">
        <v>19</v>
      </c>
      <c r="W927" s="746">
        <v>4062.4872213622284</v>
      </c>
      <c r="X927" s="741">
        <v>1798.7611070228763</v>
      </c>
      <c r="Y927" s="744"/>
      <c r="Z927" s="702"/>
      <c r="AA927" s="702"/>
      <c r="AB927" s="702"/>
      <c r="AC927" s="702"/>
      <c r="AD927" s="702"/>
      <c r="AE927" s="702"/>
      <c r="AF927" s="702"/>
      <c r="AG927" s="702"/>
    </row>
    <row r="928" spans="1:33" s="56" customFormat="1" x14ac:dyDescent="0.25">
      <c r="A928" s="597"/>
      <c r="B928" s="130"/>
      <c r="C928" s="115"/>
      <c r="D928" s="1660" t="s">
        <v>1772</v>
      </c>
      <c r="E928" s="1060" t="s">
        <v>1142</v>
      </c>
      <c r="F928" s="745">
        <f>((K1390*K1476*(1/K1562-1/K1648)*K1734)/1000)</f>
        <v>479.31557142857133</v>
      </c>
      <c r="G928" s="1675" t="s">
        <v>1054</v>
      </c>
      <c r="H928" s="170">
        <f>VLOOKUP(G928,'CP FACTORS'!$A$3:$B$38, 2, FALSE)</f>
        <v>9.4741810000000004E-4</v>
      </c>
      <c r="I928" s="1397">
        <f t="shared" si="63"/>
        <v>0.45411224798327138</v>
      </c>
      <c r="J928" s="122">
        <f t="shared" si="64"/>
        <v>12</v>
      </c>
      <c r="K928" s="742">
        <f t="shared" si="65"/>
        <v>0</v>
      </c>
      <c r="L928" s="743"/>
      <c r="M928" s="1692"/>
      <c r="N928" s="130"/>
      <c r="O928" s="1516"/>
      <c r="P928" s="130"/>
      <c r="Q928" s="130"/>
      <c r="R928" s="1413"/>
      <c r="S928" s="1413"/>
      <c r="T928" s="130"/>
      <c r="U928" s="1686"/>
      <c r="V928" s="176" t="s">
        <v>19</v>
      </c>
      <c r="W928" s="746">
        <v>479.31557142857133</v>
      </c>
      <c r="X928" s="745">
        <v>479.31557142857133</v>
      </c>
      <c r="Y928" s="744"/>
      <c r="Z928" s="702"/>
      <c r="AA928" s="702"/>
      <c r="AB928" s="702"/>
      <c r="AC928" s="702"/>
      <c r="AD928" s="702"/>
      <c r="AE928" s="702"/>
      <c r="AF928" s="702"/>
      <c r="AG928" s="702"/>
    </row>
    <row r="929" spans="1:33" s="56" customFormat="1" x14ac:dyDescent="0.25">
      <c r="A929" s="597"/>
      <c r="B929" s="130"/>
      <c r="C929" s="115"/>
      <c r="D929" s="1660" t="s">
        <v>1772</v>
      </c>
      <c r="E929" s="1061" t="s">
        <v>1142</v>
      </c>
      <c r="F929" s="745">
        <f xml:space="preserve"> ((K1046*K1132*(1/K1218-1/K1304)*K1734)/1000)</f>
        <v>642.6078562259313</v>
      </c>
      <c r="G929" s="1675" t="s">
        <v>1070</v>
      </c>
      <c r="H929" s="170">
        <f>VLOOKUP(G929,'CP FACTORS'!$A$3:$B$38, 2, FALSE)</f>
        <v>0</v>
      </c>
      <c r="I929" s="1397">
        <f t="shared" si="63"/>
        <v>0</v>
      </c>
      <c r="J929" s="122">
        <f t="shared" si="64"/>
        <v>12</v>
      </c>
      <c r="K929" s="742">
        <f t="shared" si="65"/>
        <v>0</v>
      </c>
      <c r="L929" s="743"/>
      <c r="M929" s="1692"/>
      <c r="N929" s="130"/>
      <c r="O929" s="1516"/>
      <c r="P929" s="130"/>
      <c r="Q929" s="130"/>
      <c r="R929" s="1413"/>
      <c r="S929" s="1413"/>
      <c r="T929" s="130"/>
      <c r="U929" s="1686"/>
      <c r="V929" s="176" t="s">
        <v>19</v>
      </c>
      <c r="W929" s="746">
        <v>862.96736842105349</v>
      </c>
      <c r="X929" s="741">
        <v>642.6078562259313</v>
      </c>
      <c r="Y929" s="744"/>
      <c r="Z929" s="702"/>
      <c r="AA929" s="702"/>
      <c r="AB929" s="702"/>
      <c r="AC929" s="702"/>
      <c r="AD929" s="702"/>
      <c r="AE929" s="702"/>
      <c r="AF929" s="702"/>
      <c r="AG929" s="702"/>
    </row>
    <row r="930" spans="1:33" s="56" customFormat="1" x14ac:dyDescent="0.25">
      <c r="A930" s="597"/>
      <c r="B930" s="130"/>
      <c r="C930" s="115"/>
      <c r="D930" s="1660" t="s">
        <v>1773</v>
      </c>
      <c r="E930" s="1684" t="s">
        <v>1143</v>
      </c>
      <c r="F930" s="745">
        <f>((K1391*K1477*(1/K1563-1/K1649)*K1735)/1000)</f>
        <v>2492.4547418967586</v>
      </c>
      <c r="G930" s="243" t="s">
        <v>1023</v>
      </c>
      <c r="H930" s="170">
        <f>VLOOKUP(G930,'CP FACTORS'!$A$3:$B$38, 2, FALSE)</f>
        <v>9.4741810000000004E-4</v>
      </c>
      <c r="I930" s="1397">
        <f t="shared" si="63"/>
        <v>2.3613967359038175</v>
      </c>
      <c r="J930" s="122">
        <f t="shared" si="64"/>
        <v>6</v>
      </c>
      <c r="K930" s="742">
        <f t="shared" si="65"/>
        <v>4757.0025568704805</v>
      </c>
      <c r="L930" s="743">
        <f>L1047</f>
        <v>3.3</v>
      </c>
      <c r="M930" s="1692"/>
      <c r="N930" s="130"/>
      <c r="O930" s="1516"/>
      <c r="P930" s="130"/>
      <c r="Q930" s="130"/>
      <c r="R930" s="1413"/>
      <c r="S930" s="1413"/>
      <c r="T930" s="130"/>
      <c r="U930" s="1686"/>
      <c r="V930" s="176" t="s">
        <v>19</v>
      </c>
      <c r="W930" s="746">
        <v>3140.8142857142857</v>
      </c>
      <c r="X930" s="741">
        <v>2492.4547418967586</v>
      </c>
      <c r="Y930" s="744"/>
      <c r="Z930" s="702"/>
      <c r="AA930" s="702"/>
      <c r="AB930" s="702"/>
      <c r="AC930" s="702"/>
      <c r="AD930" s="702"/>
      <c r="AE930" s="702"/>
      <c r="AF930" s="702"/>
      <c r="AG930" s="702"/>
    </row>
    <row r="931" spans="1:33" s="56" customFormat="1" x14ac:dyDescent="0.25">
      <c r="A931" s="597"/>
      <c r="B931" s="130"/>
      <c r="C931" s="115"/>
      <c r="D931" s="1660" t="s">
        <v>1773</v>
      </c>
      <c r="E931" s="1060" t="s">
        <v>1143</v>
      </c>
      <c r="F931" s="745">
        <f xml:space="preserve"> ((K1047*K1133*(1/K1219-1/K1305)*K1735)/1000)</f>
        <v>2767.3247800351946</v>
      </c>
      <c r="G931" s="243" t="s">
        <v>1025</v>
      </c>
      <c r="H931" s="170">
        <f>VLOOKUP(G931,'CP FACTORS'!$A$3:$B$38, 2, FALSE)</f>
        <v>0</v>
      </c>
      <c r="I931" s="1397">
        <f t="shared" si="63"/>
        <v>0</v>
      </c>
      <c r="J931" s="122">
        <f t="shared" si="64"/>
        <v>6</v>
      </c>
      <c r="K931" s="742">
        <f t="shared" si="65"/>
        <v>0</v>
      </c>
      <c r="L931" s="743"/>
      <c r="M931" s="1692"/>
      <c r="N931" s="130"/>
      <c r="O931" s="1516"/>
      <c r="P931" s="130"/>
      <c r="Q931" s="130"/>
      <c r="R931" s="1413"/>
      <c r="S931" s="1413"/>
      <c r="T931" s="130"/>
      <c r="U931" s="1686"/>
      <c r="V931" s="176" t="s">
        <v>19</v>
      </c>
      <c r="W931" s="746">
        <v>6249.9803405572748</v>
      </c>
      <c r="X931" s="741">
        <v>2767.3247800351946</v>
      </c>
      <c r="Y931" s="744"/>
      <c r="Z931" s="702"/>
      <c r="AA931" s="702"/>
      <c r="AB931" s="702"/>
      <c r="AC931" s="702"/>
      <c r="AD931" s="702"/>
      <c r="AE931" s="702"/>
      <c r="AF931" s="702"/>
      <c r="AG931" s="702"/>
    </row>
    <row r="932" spans="1:33" s="56" customFormat="1" x14ac:dyDescent="0.25">
      <c r="A932" s="597"/>
      <c r="B932" s="130"/>
      <c r="C932" s="115"/>
      <c r="D932" s="1660" t="s">
        <v>1773</v>
      </c>
      <c r="E932" s="1060" t="s">
        <v>1144</v>
      </c>
      <c r="F932" s="745">
        <f>((K1392*K1478*(1/K1564-1/K1650)*K1736)/1000)</f>
        <v>819.34285714285704</v>
      </c>
      <c r="G932" s="1675" t="s">
        <v>1054</v>
      </c>
      <c r="H932" s="170">
        <f>VLOOKUP(G932,'CP FACTORS'!$A$3:$B$38, 2, FALSE)</f>
        <v>9.4741810000000004E-4</v>
      </c>
      <c r="I932" s="1397">
        <f t="shared" si="63"/>
        <v>0.77626025296285706</v>
      </c>
      <c r="J932" s="122">
        <f t="shared" si="64"/>
        <v>12</v>
      </c>
      <c r="K932" s="742">
        <f t="shared" si="65"/>
        <v>0</v>
      </c>
      <c r="L932" s="743"/>
      <c r="M932" s="1692"/>
      <c r="N932" s="130"/>
      <c r="O932" s="1516"/>
      <c r="P932" s="130"/>
      <c r="Q932" s="130"/>
      <c r="R932" s="1413"/>
      <c r="S932" s="1413"/>
      <c r="T932" s="130"/>
      <c r="U932" s="1686"/>
      <c r="V932" s="176" t="s">
        <v>19</v>
      </c>
      <c r="W932" s="746">
        <v>819.34285714285704</v>
      </c>
      <c r="X932" s="745">
        <v>819.34285714285704</v>
      </c>
      <c r="Y932" s="744"/>
      <c r="Z932" s="702"/>
      <c r="AA932" s="702"/>
      <c r="AB932" s="702"/>
      <c r="AC932" s="702"/>
      <c r="AD932" s="702"/>
      <c r="AE932" s="702"/>
      <c r="AF932" s="702"/>
      <c r="AG932" s="702"/>
    </row>
    <row r="933" spans="1:33" s="56" customFormat="1" x14ac:dyDescent="0.25">
      <c r="A933" s="597"/>
      <c r="B933" s="130"/>
      <c r="C933" s="115"/>
      <c r="D933" s="1660" t="s">
        <v>1773</v>
      </c>
      <c r="E933" s="1061" t="s">
        <v>1144</v>
      </c>
      <c r="F933" s="745">
        <f xml:space="preserve"> ((K1048*K1134*(1/K1220-1/K1306)*K1736)/1000)</f>
        <v>988.62747111681745</v>
      </c>
      <c r="G933" s="1675" t="s">
        <v>1070</v>
      </c>
      <c r="H933" s="170">
        <f>VLOOKUP(G933,'CP FACTORS'!$A$3:$B$38, 2, FALSE)</f>
        <v>0</v>
      </c>
      <c r="I933" s="1397">
        <f t="shared" si="63"/>
        <v>0</v>
      </c>
      <c r="J933" s="122">
        <f t="shared" si="64"/>
        <v>12</v>
      </c>
      <c r="K933" s="742">
        <f t="shared" si="65"/>
        <v>0</v>
      </c>
      <c r="L933" s="743"/>
      <c r="M933" s="1692"/>
      <c r="N933" s="130"/>
      <c r="O933" s="1516"/>
      <c r="P933" s="130"/>
      <c r="Q933" s="130"/>
      <c r="R933" s="1413"/>
      <c r="S933" s="1413"/>
      <c r="T933" s="130"/>
      <c r="U933" s="1686"/>
      <c r="V933" s="176" t="s">
        <v>19</v>
      </c>
      <c r="W933" s="746">
        <v>1327.6421052631592</v>
      </c>
      <c r="X933" s="741">
        <v>988.62747111681745</v>
      </c>
      <c r="Y933" s="744"/>
      <c r="Z933" s="702"/>
      <c r="AA933" s="702"/>
      <c r="AB933" s="702"/>
      <c r="AC933" s="702"/>
      <c r="AD933" s="702"/>
      <c r="AE933" s="702"/>
      <c r="AF933" s="702"/>
      <c r="AG933" s="702"/>
    </row>
    <row r="934" spans="1:33" s="56" customFormat="1" x14ac:dyDescent="0.25">
      <c r="A934" s="597"/>
      <c r="B934" s="130"/>
      <c r="C934" s="115"/>
      <c r="D934" s="1660" t="s">
        <v>1773</v>
      </c>
      <c r="E934" s="1687" t="s">
        <v>1145</v>
      </c>
      <c r="F934" s="745">
        <f>((K1393*K1479*(1/K1565-1/K1651)*K1737)/1000)</f>
        <v>819.34285714285704</v>
      </c>
      <c r="G934" s="243" t="s">
        <v>1023</v>
      </c>
      <c r="H934" s="170">
        <f>VLOOKUP(G934,'CP FACTORS'!$A$3:$B$38, 2, FALSE)</f>
        <v>9.4741810000000004E-4</v>
      </c>
      <c r="I934" s="1397">
        <f t="shared" si="63"/>
        <v>0.77626025296285706</v>
      </c>
      <c r="J934" s="122">
        <f t="shared" si="64"/>
        <v>18</v>
      </c>
      <c r="K934" s="742">
        <f t="shared" si="65"/>
        <v>3828</v>
      </c>
      <c r="L934" s="743">
        <f>L1049</f>
        <v>3.3</v>
      </c>
      <c r="M934" s="1692"/>
      <c r="N934" s="130"/>
      <c r="O934" s="1516"/>
      <c r="P934" s="130"/>
      <c r="Q934" s="130"/>
      <c r="R934" s="1413"/>
      <c r="S934" s="1413"/>
      <c r="T934" s="130"/>
      <c r="U934" s="1686"/>
      <c r="V934" s="176" t="s">
        <v>19</v>
      </c>
      <c r="W934" s="746">
        <v>819.34285714285704</v>
      </c>
      <c r="X934" s="745">
        <v>819.34285714285704</v>
      </c>
      <c r="Y934" s="744"/>
      <c r="Z934" s="702"/>
      <c r="AA934" s="702"/>
      <c r="AB934" s="702"/>
      <c r="AC934" s="702"/>
      <c r="AD934" s="702"/>
      <c r="AE934" s="702"/>
      <c r="AF934" s="702"/>
      <c r="AG934" s="702"/>
    </row>
    <row r="935" spans="1:33" s="56" customFormat="1" x14ac:dyDescent="0.25">
      <c r="A935" s="597"/>
      <c r="B935" s="130"/>
      <c r="C935" s="115"/>
      <c r="D935" s="1660" t="s">
        <v>1773</v>
      </c>
      <c r="E935" s="1688" t="s">
        <v>1145</v>
      </c>
      <c r="F935" s="745">
        <f xml:space="preserve"> ((K1049*K1135*(1/K1221-1/K1307)*K1737)/1000)</f>
        <v>1179.5241413638641</v>
      </c>
      <c r="G935" s="243" t="s">
        <v>1025</v>
      </c>
      <c r="H935" s="170">
        <f>VLOOKUP(G935,'CP FACTORS'!$A$3:$B$38, 2, FALSE)</f>
        <v>0</v>
      </c>
      <c r="I935" s="1397">
        <f t="shared" si="63"/>
        <v>0</v>
      </c>
      <c r="J935" s="122">
        <f t="shared" si="64"/>
        <v>18</v>
      </c>
      <c r="K935" s="742">
        <f t="shared" si="65"/>
        <v>0</v>
      </c>
      <c r="L935" s="743"/>
      <c r="M935" s="1692"/>
      <c r="N935" s="130"/>
      <c r="O935" s="1516"/>
      <c r="P935" s="130"/>
      <c r="Q935" s="130"/>
      <c r="R935" s="1413"/>
      <c r="S935" s="1413"/>
      <c r="T935" s="130"/>
      <c r="U935" s="1686"/>
      <c r="V935" s="176" t="s">
        <v>19</v>
      </c>
      <c r="W935" s="746">
        <v>1584.0000000000018</v>
      </c>
      <c r="X935" s="741">
        <v>1179.5241413638641</v>
      </c>
      <c r="Y935" s="744"/>
      <c r="Z935" s="702"/>
      <c r="AA935" s="702"/>
      <c r="AB935" s="702"/>
      <c r="AC935" s="702"/>
      <c r="AD935" s="702"/>
      <c r="AE935" s="702"/>
      <c r="AF935" s="702"/>
      <c r="AG935" s="702"/>
    </row>
    <row r="936" spans="1:33" s="56" customFormat="1" x14ac:dyDescent="0.25">
      <c r="A936" s="597"/>
      <c r="B936" s="130"/>
      <c r="C936" s="115"/>
      <c r="D936" s="1660" t="s">
        <v>1772</v>
      </c>
      <c r="E936" s="1687" t="s">
        <v>1146</v>
      </c>
      <c r="F936" s="745">
        <f>((K1394*K1480*(1/K1566-1/K1652)*K1738)/1000)</f>
        <v>556.1600000000002</v>
      </c>
      <c r="G936" s="243" t="s">
        <v>1023</v>
      </c>
      <c r="H936" s="170">
        <f>VLOOKUP(G936,'CP FACTORS'!$A$3:$B$38, 2, FALSE)</f>
        <v>9.4741810000000004E-4</v>
      </c>
      <c r="I936" s="1397">
        <f t="shared" si="63"/>
        <v>0.52691605049600021</v>
      </c>
      <c r="J936" s="122">
        <f t="shared" si="64"/>
        <v>18</v>
      </c>
      <c r="K936" s="742">
        <f t="shared" si="65"/>
        <v>2111.2000000000003</v>
      </c>
      <c r="L936" s="743">
        <f>L1050</f>
        <v>2.8</v>
      </c>
      <c r="M936" s="1692"/>
      <c r="N936" s="130"/>
      <c r="O936" s="1516"/>
      <c r="P936" s="130"/>
      <c r="Q936" s="130"/>
      <c r="R936" s="1413"/>
      <c r="S936" s="1413"/>
      <c r="T936" s="130"/>
      <c r="U936" s="1686"/>
      <c r="V936" s="176" t="s">
        <v>19</v>
      </c>
      <c r="W936" s="746">
        <v>556.1600000000002</v>
      </c>
      <c r="X936" s="745">
        <v>556.1600000000002</v>
      </c>
      <c r="Y936" s="744"/>
      <c r="Z936" s="702"/>
      <c r="AA936" s="702"/>
      <c r="AB936" s="702"/>
      <c r="AC936" s="702"/>
      <c r="AD936" s="702"/>
      <c r="AE936" s="702"/>
      <c r="AF936" s="702"/>
      <c r="AG936" s="702"/>
    </row>
    <row r="937" spans="1:33" s="56" customFormat="1" x14ac:dyDescent="0.25">
      <c r="A937" s="597"/>
      <c r="B937" s="130"/>
      <c r="C937" s="115"/>
      <c r="D937" s="1660" t="s">
        <v>1772</v>
      </c>
      <c r="E937" s="1688" t="s">
        <v>1146</v>
      </c>
      <c r="F937" s="745">
        <f xml:space="preserve"> ((K1050*K1136*(1/K1222-1/K1308)*K1738)/1000)</f>
        <v>6213.105952776853</v>
      </c>
      <c r="G937" s="243" t="s">
        <v>1025</v>
      </c>
      <c r="H937" s="170">
        <f>VLOOKUP(G937,'CP FACTORS'!$A$3:$B$38, 2, FALSE)</f>
        <v>0</v>
      </c>
      <c r="I937" s="1397">
        <f t="shared" si="63"/>
        <v>0</v>
      </c>
      <c r="J937" s="122">
        <f t="shared" si="64"/>
        <v>18</v>
      </c>
      <c r="K937" s="742">
        <f t="shared" si="65"/>
        <v>0</v>
      </c>
      <c r="L937" s="743"/>
      <c r="M937" s="1692"/>
      <c r="N937" s="130"/>
      <c r="O937" s="1516"/>
      <c r="P937" s="130"/>
      <c r="Q937" s="130"/>
      <c r="R937" s="1413"/>
      <c r="S937" s="1413"/>
      <c r="T937" s="130"/>
      <c r="U937" s="1686"/>
      <c r="V937" s="176" t="s">
        <v>19</v>
      </c>
      <c r="W937" s="746">
        <v>8343.6696919309452</v>
      </c>
      <c r="X937" s="741">
        <v>6213.105952776853</v>
      </c>
      <c r="Y937" s="744"/>
      <c r="Z937" s="702"/>
      <c r="AA937" s="702"/>
      <c r="AB937" s="702"/>
      <c r="AC937" s="702"/>
      <c r="AD937" s="702"/>
      <c r="AE937" s="702"/>
      <c r="AF937" s="702"/>
      <c r="AG937" s="702"/>
    </row>
    <row r="938" spans="1:33" s="56" customFormat="1" x14ac:dyDescent="0.25">
      <c r="A938" s="597"/>
      <c r="B938" s="130"/>
      <c r="C938" s="115"/>
      <c r="D938" s="1660" t="s">
        <v>1772</v>
      </c>
      <c r="E938" s="1684" t="s">
        <v>1147</v>
      </c>
      <c r="F938" s="745">
        <f>((K1395*K1481*(1/K1567-1/K1653)*K1739)/1000)</f>
        <v>1620.0955822328933</v>
      </c>
      <c r="G938" s="243" t="s">
        <v>1023</v>
      </c>
      <c r="H938" s="170">
        <f>VLOOKUP(G938,'CP FACTORS'!$A$3:$B$38, 2, FALSE)</f>
        <v>9.4741810000000004E-4</v>
      </c>
      <c r="I938" s="1397">
        <f t="shared" si="63"/>
        <v>1.5349078783374817</v>
      </c>
      <c r="J938" s="122">
        <f t="shared" si="64"/>
        <v>6</v>
      </c>
      <c r="K938" s="742">
        <f t="shared" si="65"/>
        <v>3092.0516619658124</v>
      </c>
      <c r="L938" s="743">
        <f>L1051</f>
        <v>3.3</v>
      </c>
      <c r="M938" s="1692"/>
      <c r="N938" s="130"/>
      <c r="O938" s="1516"/>
      <c r="P938" s="130"/>
      <c r="Q938" s="130"/>
      <c r="R938" s="1413"/>
      <c r="S938" s="1413"/>
      <c r="T938" s="130"/>
      <c r="U938" s="1686"/>
      <c r="V938" s="176" t="s">
        <v>19</v>
      </c>
      <c r="W938" s="746">
        <v>2041.5292857142858</v>
      </c>
      <c r="X938" s="741">
        <v>1620.0955822328933</v>
      </c>
      <c r="Y938" s="744"/>
      <c r="Z938" s="702"/>
      <c r="AA938" s="702"/>
      <c r="AB938" s="702"/>
      <c r="AC938" s="702"/>
      <c r="AD938" s="702"/>
      <c r="AE938" s="702"/>
      <c r="AF938" s="702"/>
      <c r="AG938" s="702"/>
    </row>
    <row r="939" spans="1:33" s="56" customFormat="1" x14ac:dyDescent="0.25">
      <c r="A939" s="597"/>
      <c r="B939" s="130"/>
      <c r="C939" s="115"/>
      <c r="D939" s="1660" t="s">
        <v>1772</v>
      </c>
      <c r="E939" s="1060" t="s">
        <v>1147</v>
      </c>
      <c r="F939" s="745">
        <f xml:space="preserve"> ((K1051*K1137*(1/K1223-1/K1309)*K1739)/1000)</f>
        <v>1798.7611070228763</v>
      </c>
      <c r="G939" s="243" t="s">
        <v>1025</v>
      </c>
      <c r="H939" s="170">
        <f>VLOOKUP(G939,'CP FACTORS'!$A$3:$B$38, 2, FALSE)</f>
        <v>0</v>
      </c>
      <c r="I939" s="1397">
        <f t="shared" si="63"/>
        <v>0</v>
      </c>
      <c r="J939" s="122">
        <f t="shared" si="64"/>
        <v>6</v>
      </c>
      <c r="K939" s="742">
        <f t="shared" si="65"/>
        <v>0</v>
      </c>
      <c r="L939" s="743"/>
      <c r="M939" s="1692"/>
      <c r="N939" s="130"/>
      <c r="O939" s="1516"/>
      <c r="P939" s="130"/>
      <c r="Q939" s="130"/>
      <c r="R939" s="1413"/>
      <c r="S939" s="1413"/>
      <c r="T939" s="130"/>
      <c r="U939" s="1686"/>
      <c r="V939" s="176" t="s">
        <v>19</v>
      </c>
      <c r="W939" s="746">
        <v>4062.4872213622284</v>
      </c>
      <c r="X939" s="741">
        <v>1798.7611070228763</v>
      </c>
      <c r="Y939" s="744"/>
      <c r="Z939" s="702"/>
      <c r="AA939" s="702"/>
      <c r="AB939" s="702"/>
      <c r="AC939" s="702"/>
      <c r="AD939" s="702"/>
      <c r="AE939" s="702"/>
      <c r="AF939" s="702"/>
      <c r="AG939" s="702"/>
    </row>
    <row r="940" spans="1:33" s="56" customFormat="1" x14ac:dyDescent="0.25">
      <c r="A940" s="597"/>
      <c r="B940" s="130"/>
      <c r="C940" s="115"/>
      <c r="D940" s="1660" t="s">
        <v>1772</v>
      </c>
      <c r="E940" s="1060" t="s">
        <v>1148</v>
      </c>
      <c r="F940" s="745">
        <f>((K1396*K1482*(1/K1568-1/K1654)*K1740)/1000)</f>
        <v>532.57285714285706</v>
      </c>
      <c r="G940" s="1675" t="s">
        <v>1054</v>
      </c>
      <c r="H940" s="170">
        <f>VLOOKUP(G940,'CP FACTORS'!$A$3:$B$38, 2, FALSE)</f>
        <v>9.4741810000000004E-4</v>
      </c>
      <c r="I940" s="1397">
        <f t="shared" si="63"/>
        <v>0.50456916442585709</v>
      </c>
      <c r="J940" s="122">
        <f t="shared" si="64"/>
        <v>12</v>
      </c>
      <c r="K940" s="742">
        <f t="shared" si="65"/>
        <v>0</v>
      </c>
      <c r="L940" s="743"/>
      <c r="M940" s="1692"/>
      <c r="N940" s="130"/>
      <c r="O940" s="1516"/>
      <c r="P940" s="130"/>
      <c r="Q940" s="130"/>
      <c r="R940" s="1413"/>
      <c r="S940" s="1413"/>
      <c r="T940" s="130"/>
      <c r="U940" s="1686"/>
      <c r="V940" s="176" t="s">
        <v>19</v>
      </c>
      <c r="W940" s="746">
        <v>532.57285714285706</v>
      </c>
      <c r="X940" s="745">
        <v>532.57285714285706</v>
      </c>
      <c r="Y940" s="744"/>
      <c r="Z940" s="702"/>
      <c r="AA940" s="702"/>
      <c r="AB940" s="702"/>
      <c r="AC940" s="702"/>
      <c r="AD940" s="702"/>
      <c r="AE940" s="702"/>
      <c r="AF940" s="702"/>
      <c r="AG940" s="702"/>
    </row>
    <row r="941" spans="1:33" s="56" customFormat="1" x14ac:dyDescent="0.25">
      <c r="A941" s="597"/>
      <c r="B941" s="130"/>
      <c r="C941" s="115"/>
      <c r="D941" s="1660" t="s">
        <v>1772</v>
      </c>
      <c r="E941" s="1061" t="s">
        <v>1148</v>
      </c>
      <c r="F941" s="745">
        <f xml:space="preserve"> ((K1052*K1138*(1/K1224-1/K1310)*K1740)/1000)</f>
        <v>642.6078562259313</v>
      </c>
      <c r="G941" s="1675" t="s">
        <v>1070</v>
      </c>
      <c r="H941" s="170">
        <f>VLOOKUP(G941,'CP FACTORS'!$A$3:$B$38, 2, FALSE)</f>
        <v>0</v>
      </c>
      <c r="I941" s="1397">
        <f t="shared" si="63"/>
        <v>0</v>
      </c>
      <c r="J941" s="122">
        <f t="shared" si="64"/>
        <v>12</v>
      </c>
      <c r="K941" s="742">
        <f t="shared" si="65"/>
        <v>0</v>
      </c>
      <c r="L941" s="743"/>
      <c r="M941" s="1692"/>
      <c r="N941" s="130"/>
      <c r="O941" s="1516"/>
      <c r="P941" s="130"/>
      <c r="Q941" s="130"/>
      <c r="R941" s="1413"/>
      <c r="S941" s="1413"/>
      <c r="T941" s="130"/>
      <c r="U941" s="1686"/>
      <c r="V941" s="176" t="s">
        <v>19</v>
      </c>
      <c r="W941" s="746">
        <v>862.96736842105349</v>
      </c>
      <c r="X941" s="741">
        <v>642.6078562259313</v>
      </c>
      <c r="Y941" s="744"/>
      <c r="Z941" s="702"/>
      <c r="AA941" s="702"/>
      <c r="AB941" s="702"/>
      <c r="AC941" s="702"/>
      <c r="AD941" s="702"/>
      <c r="AE941" s="702"/>
      <c r="AF941" s="702"/>
      <c r="AG941" s="702"/>
    </row>
    <row r="942" spans="1:33" s="56" customFormat="1" x14ac:dyDescent="0.25">
      <c r="A942" s="597"/>
      <c r="B942" s="130"/>
      <c r="C942" s="115"/>
      <c r="D942" s="1660" t="s">
        <v>1772</v>
      </c>
      <c r="E942" s="1687" t="s">
        <v>1149</v>
      </c>
      <c r="F942" s="745">
        <f>((K1397*K1483*(1/K1569-1/K1655)*K1741)/1000)</f>
        <v>281.95033613445372</v>
      </c>
      <c r="G942" s="243" t="s">
        <v>1023</v>
      </c>
      <c r="H942" s="170">
        <f>VLOOKUP(G942,'CP FACTORS'!$A$3:$B$38, 2, FALSE)</f>
        <v>9.4741810000000004E-4</v>
      </c>
      <c r="I942" s="1397">
        <f t="shared" si="63"/>
        <v>0.2671248517548655</v>
      </c>
      <c r="J942" s="122">
        <f t="shared" si="64"/>
        <v>18</v>
      </c>
      <c r="K942" s="742">
        <f t="shared" si="65"/>
        <v>1244.1000000000001</v>
      </c>
      <c r="L942" s="743">
        <f>L1053</f>
        <v>3.3</v>
      </c>
      <c r="M942" s="1692"/>
      <c r="N942" s="130"/>
      <c r="O942" s="1516"/>
      <c r="P942" s="130"/>
      <c r="Q942" s="130"/>
      <c r="R942" s="1413"/>
      <c r="S942" s="1413"/>
      <c r="T942" s="130"/>
      <c r="U942" s="1686"/>
      <c r="V942" s="176" t="s">
        <v>19</v>
      </c>
      <c r="W942" s="746">
        <v>281.95033613445372</v>
      </c>
      <c r="X942" s="745">
        <v>281.95033613445372</v>
      </c>
      <c r="Y942" s="744"/>
      <c r="Z942" s="702"/>
      <c r="AA942" s="702"/>
      <c r="AB942" s="702"/>
      <c r="AC942" s="702"/>
      <c r="AD942" s="702"/>
      <c r="AE942" s="702"/>
      <c r="AF942" s="702"/>
      <c r="AG942" s="702"/>
    </row>
    <row r="943" spans="1:33" s="56" customFormat="1" x14ac:dyDescent="0.25">
      <c r="A943" s="597"/>
      <c r="B943" s="130"/>
      <c r="C943" s="115"/>
      <c r="D943" s="1660" t="s">
        <v>1772</v>
      </c>
      <c r="E943" s="1688" t="s">
        <v>1149</v>
      </c>
      <c r="F943" s="745">
        <f xml:space="preserve"> ((K1053*K1139*(1/K1225-1/K1311)*K1741)/1000)</f>
        <v>766.69069188651167</v>
      </c>
      <c r="G943" s="243" t="s">
        <v>1025</v>
      </c>
      <c r="H943" s="170">
        <f>VLOOKUP(G943,'CP FACTORS'!$A$3:$B$38, 2, FALSE)</f>
        <v>0</v>
      </c>
      <c r="I943" s="1397">
        <f t="shared" si="63"/>
        <v>0</v>
      </c>
      <c r="J943" s="122">
        <f t="shared" si="64"/>
        <v>18</v>
      </c>
      <c r="K943" s="742">
        <f t="shared" si="65"/>
        <v>0</v>
      </c>
      <c r="L943" s="743"/>
      <c r="M943" s="1692"/>
      <c r="N943" s="130"/>
      <c r="O943" s="1516"/>
      <c r="P943" s="130"/>
      <c r="Q943" s="130"/>
      <c r="R943" s="1413"/>
      <c r="S943" s="1413"/>
      <c r="T943" s="130"/>
      <c r="U943" s="1686"/>
      <c r="V943" s="176" t="s">
        <v>19</v>
      </c>
      <c r="W943" s="746">
        <v>1029.6000000000013</v>
      </c>
      <c r="X943" s="741">
        <v>766.69069188651167</v>
      </c>
      <c r="Y943" s="744"/>
      <c r="Z943" s="702"/>
      <c r="AA943" s="702"/>
      <c r="AB943" s="702"/>
      <c r="AC943" s="702"/>
      <c r="AD943" s="702"/>
      <c r="AE943" s="702"/>
      <c r="AF943" s="702"/>
      <c r="AG943" s="702"/>
    </row>
    <row r="944" spans="1:33" s="56" customFormat="1" x14ac:dyDescent="0.25">
      <c r="A944" s="597"/>
      <c r="B944" s="130"/>
      <c r="C944" s="115"/>
      <c r="D944" s="1660" t="s">
        <v>1772</v>
      </c>
      <c r="E944" s="1687" t="s">
        <v>1150</v>
      </c>
      <c r="F944" s="745">
        <f>((K1398*K1484*(1/K1570-1/K1656)*K1742)/1000)</f>
        <v>355.04857142857139</v>
      </c>
      <c r="G944" s="243" t="s">
        <v>1023</v>
      </c>
      <c r="H944" s="170">
        <f>VLOOKUP(G944,'CP FACTORS'!$A$3:$B$38, 2, FALSE)</f>
        <v>9.4741810000000004E-4</v>
      </c>
      <c r="I944" s="1397">
        <f t="shared" si="63"/>
        <v>0.33637944295057143</v>
      </c>
      <c r="J944" s="122">
        <f t="shared" si="64"/>
        <v>18</v>
      </c>
      <c r="K944" s="742">
        <f t="shared" si="65"/>
        <v>1530.1000000000001</v>
      </c>
      <c r="L944" s="743">
        <f>L1054</f>
        <v>3.3</v>
      </c>
      <c r="M944" s="1692"/>
      <c r="N944" s="130"/>
      <c r="O944" s="1516"/>
      <c r="P944" s="130"/>
      <c r="Q944" s="130"/>
      <c r="R944" s="1413"/>
      <c r="S944" s="1413"/>
      <c r="T944" s="130"/>
      <c r="U944" s="1686"/>
      <c r="V944" s="176" t="s">
        <v>19</v>
      </c>
      <c r="W944" s="746">
        <v>355.04857142857139</v>
      </c>
      <c r="X944" s="745">
        <v>355.04857142857139</v>
      </c>
      <c r="Y944" s="744"/>
      <c r="Z944" s="702"/>
      <c r="AA944" s="702"/>
      <c r="AB944" s="702"/>
      <c r="AC944" s="702"/>
      <c r="AD944" s="702"/>
      <c r="AE944" s="702"/>
      <c r="AF944" s="702"/>
      <c r="AG944" s="702"/>
    </row>
    <row r="945" spans="1:33" s="56" customFormat="1" x14ac:dyDescent="0.25">
      <c r="A945" s="597"/>
      <c r="B945" s="130"/>
      <c r="C945" s="115"/>
      <c r="D945" s="1660" t="s">
        <v>1772</v>
      </c>
      <c r="E945" s="1688" t="s">
        <v>1150</v>
      </c>
      <c r="F945" s="745">
        <f xml:space="preserve"> ((K1054*K1140*(1/K1226-1/K1312)*K1742)/1000)</f>
        <v>766.69069188651167</v>
      </c>
      <c r="G945" s="243" t="s">
        <v>1025</v>
      </c>
      <c r="H945" s="170">
        <f>VLOOKUP(G945,'CP FACTORS'!$A$3:$B$38, 2, FALSE)</f>
        <v>0</v>
      </c>
      <c r="I945" s="1397">
        <f t="shared" si="63"/>
        <v>0</v>
      </c>
      <c r="J945" s="122">
        <f t="shared" si="64"/>
        <v>18</v>
      </c>
      <c r="K945" s="742">
        <f t="shared" si="65"/>
        <v>0</v>
      </c>
      <c r="L945" s="743"/>
      <c r="M945" s="1692"/>
      <c r="N945" s="130"/>
      <c r="O945" s="1516"/>
      <c r="P945" s="130"/>
      <c r="Q945" s="130"/>
      <c r="R945" s="1413"/>
      <c r="S945" s="1413"/>
      <c r="T945" s="130"/>
      <c r="U945" s="1686"/>
      <c r="V945" s="176" t="s">
        <v>19</v>
      </c>
      <c r="W945" s="746">
        <v>1029.6000000000013</v>
      </c>
      <c r="X945" s="741">
        <v>766.69069188651167</v>
      </c>
      <c r="Y945" s="744"/>
      <c r="Z945" s="702"/>
      <c r="AA945" s="702"/>
      <c r="AB945" s="702"/>
      <c r="AC945" s="702"/>
      <c r="AD945" s="702"/>
      <c r="AE945" s="702"/>
      <c r="AF945" s="702"/>
      <c r="AG945" s="702"/>
    </row>
    <row r="946" spans="1:33" s="56" customFormat="1" x14ac:dyDescent="0.25">
      <c r="A946" s="597"/>
      <c r="B946" s="130"/>
      <c r="C946" s="115"/>
      <c r="D946" s="1660" t="s">
        <v>1772</v>
      </c>
      <c r="E946" s="1687" t="s">
        <v>1151</v>
      </c>
      <c r="F946" s="745">
        <f>((K1399*K1485*(1/K1571-1/K1657)*K1743)/1000)</f>
        <v>420.45225563909776</v>
      </c>
      <c r="G946" s="243" t="s">
        <v>1023</v>
      </c>
      <c r="H946" s="170">
        <f>VLOOKUP(G946,'CP FACTORS'!$A$3:$B$38, 2, FALSE)</f>
        <v>9.4741810000000004E-4</v>
      </c>
      <c r="I946" s="1397">
        <f t="shared" si="63"/>
        <v>0.39834407717830828</v>
      </c>
      <c r="J946" s="122">
        <f t="shared" si="64"/>
        <v>18</v>
      </c>
      <c r="K946" s="742">
        <f t="shared" si="65"/>
        <v>1744.6000000000001</v>
      </c>
      <c r="L946" s="743">
        <f>L1055</f>
        <v>3.3</v>
      </c>
      <c r="M946" s="1692"/>
      <c r="N946" s="130"/>
      <c r="O946" s="1516"/>
      <c r="P946" s="130"/>
      <c r="Q946" s="130"/>
      <c r="R946" s="1413"/>
      <c r="S946" s="1413"/>
      <c r="T946" s="130"/>
      <c r="U946" s="1686"/>
      <c r="V946" s="176" t="s">
        <v>19</v>
      </c>
      <c r="W946" s="746">
        <v>420.45225563909776</v>
      </c>
      <c r="X946" s="745">
        <v>420.45225563909776</v>
      </c>
      <c r="Y946" s="744"/>
      <c r="Z946" s="702"/>
      <c r="AA946" s="702"/>
      <c r="AB946" s="702"/>
      <c r="AC946" s="702"/>
      <c r="AD946" s="702"/>
      <c r="AE946" s="702"/>
      <c r="AF946" s="702"/>
      <c r="AG946" s="702"/>
    </row>
    <row r="947" spans="1:33" s="56" customFormat="1" x14ac:dyDescent="0.25">
      <c r="A947" s="597"/>
      <c r="B947" s="130"/>
      <c r="C947" s="115"/>
      <c r="D947" s="1660" t="s">
        <v>1772</v>
      </c>
      <c r="E947" s="1688" t="s">
        <v>1151</v>
      </c>
      <c r="F947" s="745">
        <f xml:space="preserve"> ((K1055*K1141*(1/K1227-1/K1313)*K1743)/1000)</f>
        <v>766.69069188651167</v>
      </c>
      <c r="G947" s="243" t="s">
        <v>1025</v>
      </c>
      <c r="H947" s="170">
        <f>VLOOKUP(G947,'CP FACTORS'!$A$3:$B$38, 2, FALSE)</f>
        <v>0</v>
      </c>
      <c r="I947" s="1397">
        <f t="shared" si="63"/>
        <v>0</v>
      </c>
      <c r="J947" s="122">
        <f t="shared" si="64"/>
        <v>18</v>
      </c>
      <c r="K947" s="742">
        <f t="shared" si="65"/>
        <v>0</v>
      </c>
      <c r="L947" s="743"/>
      <c r="M947" s="1692"/>
      <c r="N947" s="130"/>
      <c r="O947" s="1516"/>
      <c r="P947" s="130"/>
      <c r="Q947" s="130"/>
      <c r="R947" s="1413"/>
      <c r="S947" s="1413"/>
      <c r="T947" s="130"/>
      <c r="U947" s="1686"/>
      <c r="V947" s="176" t="s">
        <v>19</v>
      </c>
      <c r="W947" s="746">
        <v>1029.6000000000013</v>
      </c>
      <c r="X947" s="741">
        <v>766.69069188651167</v>
      </c>
      <c r="Y947" s="744"/>
      <c r="Z947" s="702"/>
      <c r="AA947" s="702"/>
      <c r="AB947" s="702"/>
      <c r="AC947" s="702"/>
      <c r="AD947" s="702"/>
      <c r="AE947" s="702"/>
      <c r="AF947" s="702"/>
      <c r="AG947" s="702"/>
    </row>
    <row r="948" spans="1:33" s="56" customFormat="1" x14ac:dyDescent="0.25">
      <c r="A948" s="597"/>
      <c r="B948" s="130"/>
      <c r="C948" s="115"/>
      <c r="D948" s="1660" t="s">
        <v>1772</v>
      </c>
      <c r="E948" s="1687" t="s">
        <v>1152</v>
      </c>
      <c r="F948" s="745">
        <f>((K1400*K1486*(1/K1572-1/K1658)*K1744)/1000)</f>
        <v>479.31557142857133</v>
      </c>
      <c r="G948" s="243" t="s">
        <v>1023</v>
      </c>
      <c r="H948" s="170">
        <f>VLOOKUP(G948,'CP FACTORS'!$A$3:$B$38, 2, FALSE)</f>
        <v>9.4741810000000004E-4</v>
      </c>
      <c r="I948" s="1397">
        <f t="shared" si="63"/>
        <v>0.45411224798327138</v>
      </c>
      <c r="J948" s="122">
        <f t="shared" si="64"/>
        <v>18</v>
      </c>
      <c r="K948" s="742">
        <f t="shared" si="65"/>
        <v>2488.2000000000003</v>
      </c>
      <c r="L948" s="743">
        <f>L1056</f>
        <v>3.3</v>
      </c>
      <c r="M948" s="1692"/>
      <c r="N948" s="130"/>
      <c r="O948" s="1516"/>
      <c r="P948" s="130"/>
      <c r="Q948" s="130"/>
      <c r="R948" s="1413"/>
      <c r="S948" s="1413"/>
      <c r="T948" s="130"/>
      <c r="U948" s="1686"/>
      <c r="V948" s="176" t="s">
        <v>19</v>
      </c>
      <c r="W948" s="746">
        <v>479.31557142857133</v>
      </c>
      <c r="X948" s="745">
        <v>479.31557142857133</v>
      </c>
      <c r="Y948" s="744"/>
      <c r="Z948" s="702"/>
      <c r="AA948" s="702"/>
      <c r="AB948" s="702"/>
      <c r="AC948" s="702"/>
      <c r="AD948" s="702"/>
      <c r="AE948" s="702"/>
      <c r="AF948" s="702"/>
      <c r="AG948" s="702"/>
    </row>
    <row r="949" spans="1:33" s="56" customFormat="1" x14ac:dyDescent="0.25">
      <c r="A949" s="597"/>
      <c r="B949" s="130"/>
      <c r="C949" s="115"/>
      <c r="D949" s="1660" t="s">
        <v>1772</v>
      </c>
      <c r="E949" s="1688" t="s">
        <v>1152</v>
      </c>
      <c r="F949" s="745">
        <f xml:space="preserve"> ((K1056*K1142*(1/K1228-1/K1314)*K1744)/1000)</f>
        <v>766.69069188651167</v>
      </c>
      <c r="G949" s="243" t="s">
        <v>1025</v>
      </c>
      <c r="H949" s="170">
        <f>VLOOKUP(G949,'CP FACTORS'!$A$3:$B$38, 2, FALSE)</f>
        <v>0</v>
      </c>
      <c r="I949" s="1397">
        <f t="shared" si="63"/>
        <v>0</v>
      </c>
      <c r="J949" s="122">
        <f t="shared" si="64"/>
        <v>18</v>
      </c>
      <c r="K949" s="742">
        <f t="shared" si="65"/>
        <v>0</v>
      </c>
      <c r="L949" s="743"/>
      <c r="M949" s="1692"/>
      <c r="N949" s="130"/>
      <c r="O949" s="1516"/>
      <c r="P949" s="130"/>
      <c r="Q949" s="130"/>
      <c r="R949" s="1413"/>
      <c r="S949" s="1413"/>
      <c r="T949" s="130"/>
      <c r="U949" s="1686"/>
      <c r="V949" s="176" t="s">
        <v>19</v>
      </c>
      <c r="W949" s="746">
        <v>1029.6000000000013</v>
      </c>
      <c r="X949" s="741">
        <v>766.69069188651167</v>
      </c>
      <c r="Y949" s="744"/>
      <c r="Z949" s="702"/>
      <c r="AA949" s="702"/>
      <c r="AB949" s="702"/>
      <c r="AC949" s="702"/>
      <c r="AD949" s="702"/>
      <c r="AE949" s="702"/>
      <c r="AF949" s="702"/>
      <c r="AG949" s="702"/>
    </row>
    <row r="950" spans="1:33" s="56" customFormat="1" x14ac:dyDescent="0.25">
      <c r="A950" s="597"/>
      <c r="B950" s="130"/>
      <c r="C950" s="115"/>
      <c r="D950" s="1660" t="s">
        <v>1772</v>
      </c>
      <c r="E950" s="1687" t="s">
        <v>1153</v>
      </c>
      <c r="F950" s="745">
        <f>((K1401*K1487*(1/K1573-1/K1659)*K1745)/1000)</f>
        <v>532.57285714285706</v>
      </c>
      <c r="G950" s="243" t="s">
        <v>1023</v>
      </c>
      <c r="H950" s="170">
        <f>VLOOKUP(G950,'CP FACTORS'!$A$3:$B$38, 2, FALSE)</f>
        <v>9.4741810000000004E-4</v>
      </c>
      <c r="I950" s="1397">
        <f t="shared" si="63"/>
        <v>0.50456916442585709</v>
      </c>
      <c r="J950" s="122">
        <f t="shared" si="64"/>
        <v>18</v>
      </c>
      <c r="K950" s="742">
        <f t="shared" si="65"/>
        <v>2488.2000000000003</v>
      </c>
      <c r="L950" s="743">
        <f>L1057</f>
        <v>3.3</v>
      </c>
      <c r="M950" s="1692"/>
      <c r="N950" s="130"/>
      <c r="O950" s="1516"/>
      <c r="P950" s="130"/>
      <c r="Q950" s="130"/>
      <c r="R950" s="1413"/>
      <c r="S950" s="1413"/>
      <c r="T950" s="130"/>
      <c r="U950" s="1686"/>
      <c r="V950" s="176" t="s">
        <v>19</v>
      </c>
      <c r="W950" s="746">
        <v>532.57285714285706</v>
      </c>
      <c r="X950" s="745">
        <v>532.57285714285706</v>
      </c>
      <c r="Y950" s="744"/>
      <c r="Z950" s="702"/>
      <c r="AA950" s="702"/>
      <c r="AB950" s="702"/>
      <c r="AC950" s="702"/>
      <c r="AD950" s="702"/>
      <c r="AE950" s="702"/>
      <c r="AF950" s="702"/>
      <c r="AG950" s="702"/>
    </row>
    <row r="951" spans="1:33" s="56" customFormat="1" x14ac:dyDescent="0.25">
      <c r="A951" s="597"/>
      <c r="B951" s="130"/>
      <c r="C951" s="115"/>
      <c r="D951" s="1660" t="s">
        <v>1772</v>
      </c>
      <c r="E951" s="1688" t="s">
        <v>1153</v>
      </c>
      <c r="F951" s="745">
        <f xml:space="preserve"> ((K1057*K1143*(1/K1229-1/K1315)*K1745)/1000)</f>
        <v>766.69069188651167</v>
      </c>
      <c r="G951" s="243" t="s">
        <v>1025</v>
      </c>
      <c r="H951" s="170">
        <f>VLOOKUP(G951,'CP FACTORS'!$A$3:$B$38, 2, FALSE)</f>
        <v>0</v>
      </c>
      <c r="I951" s="1397">
        <f t="shared" si="63"/>
        <v>0</v>
      </c>
      <c r="J951" s="122">
        <f t="shared" si="64"/>
        <v>18</v>
      </c>
      <c r="K951" s="742">
        <f t="shared" si="65"/>
        <v>0</v>
      </c>
      <c r="L951" s="743"/>
      <c r="M951" s="1692"/>
      <c r="N951" s="130"/>
      <c r="O951" s="1516"/>
      <c r="P951" s="130"/>
      <c r="Q951" s="130"/>
      <c r="R951" s="1413"/>
      <c r="S951" s="1413"/>
      <c r="T951" s="130"/>
      <c r="U951" s="1686"/>
      <c r="V951" s="176" t="s">
        <v>19</v>
      </c>
      <c r="W951" s="746">
        <v>1029.6000000000013</v>
      </c>
      <c r="X951" s="741">
        <v>766.69069188651167</v>
      </c>
      <c r="Y951" s="744"/>
      <c r="Z951" s="702"/>
      <c r="AA951" s="702"/>
      <c r="AB951" s="702"/>
      <c r="AC951" s="702"/>
      <c r="AD951" s="702"/>
      <c r="AE951" s="702"/>
      <c r="AF951" s="702"/>
      <c r="AG951" s="702"/>
    </row>
    <row r="952" spans="1:33" s="56" customFormat="1" hidden="1" outlineLevel="1" x14ac:dyDescent="0.25">
      <c r="A952" s="597"/>
      <c r="B952" s="130"/>
      <c r="C952" s="616"/>
      <c r="D952" s="658"/>
      <c r="E952" s="658" t="s">
        <v>1001</v>
      </c>
      <c r="F952" s="1582"/>
      <c r="G952" s="1666"/>
      <c r="H952" s="616"/>
      <c r="I952" s="616"/>
      <c r="J952" s="616"/>
      <c r="K952" s="616"/>
      <c r="L952" s="616"/>
      <c r="M952" s="616"/>
      <c r="N952" s="130"/>
      <c r="O952" s="130"/>
      <c r="P952" s="130"/>
      <c r="Q952" s="658"/>
      <c r="R952" s="130"/>
      <c r="S952" s="130"/>
      <c r="T952" s="130"/>
      <c r="U952" s="130"/>
    </row>
    <row r="953" spans="1:33" s="56" customFormat="1" hidden="1" outlineLevel="1" x14ac:dyDescent="0.25">
      <c r="A953" s="597"/>
      <c r="B953" s="130"/>
      <c r="C953" s="616"/>
      <c r="D953" s="658"/>
      <c r="E953" s="658"/>
      <c r="F953" s="1582"/>
      <c r="G953" s="1666"/>
      <c r="H953" s="616"/>
      <c r="I953" s="616"/>
      <c r="J953" s="616"/>
      <c r="K953" s="616"/>
      <c r="L953" s="616"/>
      <c r="M953" s="616"/>
      <c r="N953" s="130"/>
      <c r="O953" s="130"/>
      <c r="P953" s="130"/>
      <c r="Q953" s="658"/>
      <c r="R953" s="130"/>
      <c r="S953" s="130"/>
      <c r="T953" s="130"/>
      <c r="U953" s="130"/>
    </row>
    <row r="954" spans="1:33" s="56" customFormat="1" hidden="1" outlineLevel="1" x14ac:dyDescent="0.25">
      <c r="A954" s="597"/>
      <c r="B954" s="130"/>
      <c r="C954" s="616"/>
      <c r="D954" s="1418" t="s">
        <v>463</v>
      </c>
      <c r="E954" s="603"/>
      <c r="F954" s="130"/>
      <c r="G954" s="658"/>
      <c r="H954" s="130"/>
      <c r="I954" s="489"/>
      <c r="J954" s="130"/>
      <c r="K954" s="130"/>
      <c r="L954" s="130"/>
      <c r="M954" s="130"/>
      <c r="N954" s="130"/>
      <c r="O954" s="130"/>
      <c r="P954" s="130"/>
      <c r="Q954" s="130"/>
      <c r="R954" s="130"/>
      <c r="S954" s="130"/>
      <c r="T954" s="130"/>
      <c r="U954" s="130"/>
    </row>
    <row r="955" spans="1:33" s="56" customFormat="1" hidden="1" outlineLevel="1" x14ac:dyDescent="0.25">
      <c r="A955" s="597"/>
      <c r="B955" s="130"/>
      <c r="C955" s="616"/>
      <c r="D955" s="658"/>
      <c r="E955" s="658"/>
      <c r="F955" s="130"/>
      <c r="G955" s="1584"/>
      <c r="H955" s="616"/>
      <c r="I955" s="489"/>
      <c r="J955" s="130"/>
      <c r="K955" s="130"/>
      <c r="L955" s="130"/>
      <c r="M955" s="130"/>
      <c r="N955" s="130"/>
      <c r="O955" s="130"/>
      <c r="P955" s="130"/>
      <c r="Q955" s="130"/>
      <c r="R955" s="130"/>
      <c r="S955" s="130"/>
      <c r="T955" s="130"/>
      <c r="U955" s="130"/>
    </row>
    <row r="956" spans="1:33" s="56" customFormat="1" hidden="1" outlineLevel="1" x14ac:dyDescent="0.25">
      <c r="A956" s="597"/>
      <c r="B956" s="130"/>
      <c r="C956" s="616"/>
      <c r="D956" s="658"/>
      <c r="E956" s="603"/>
      <c r="F956" s="1594"/>
      <c r="G956" s="1584"/>
      <c r="H956" s="616"/>
      <c r="I956" s="489"/>
      <c r="J956" s="130"/>
      <c r="K956" s="130"/>
      <c r="L956" s="130"/>
      <c r="M956" s="130"/>
      <c r="N956" s="130"/>
      <c r="O956" s="130"/>
      <c r="P956" s="130"/>
      <c r="Q956" s="130"/>
      <c r="R956" s="130"/>
      <c r="S956" s="130"/>
      <c r="T956" s="130"/>
      <c r="U956" s="130"/>
    </row>
    <row r="957" spans="1:33" s="56" customFormat="1" hidden="1" outlineLevel="1" x14ac:dyDescent="0.25">
      <c r="A957" s="597"/>
      <c r="B957" s="130"/>
      <c r="C957" s="616"/>
      <c r="D957" s="658"/>
      <c r="E957" s="603"/>
      <c r="F957" s="1594"/>
      <c r="G957" s="1584"/>
      <c r="H957" s="616"/>
      <c r="I957" s="489"/>
      <c r="J957" s="130"/>
      <c r="K957" s="130"/>
      <c r="L957" s="130"/>
      <c r="M957" s="130"/>
      <c r="N957" s="130"/>
      <c r="O957" s="130"/>
      <c r="P957" s="130"/>
      <c r="Q957" s="130"/>
      <c r="R957" s="130"/>
      <c r="S957" s="130"/>
      <c r="T957" s="130"/>
      <c r="U957" s="130"/>
    </row>
    <row r="958" spans="1:33" s="56" customFormat="1" hidden="1" outlineLevel="1" x14ac:dyDescent="0.25">
      <c r="A958" s="597"/>
      <c r="B958" s="130"/>
      <c r="C958" s="616"/>
      <c r="D958" s="658"/>
      <c r="E958" s="603"/>
      <c r="F958" s="1594"/>
      <c r="G958" s="1584"/>
      <c r="H958" s="616"/>
      <c r="I958" s="489"/>
      <c r="J958" s="130"/>
      <c r="K958" s="130"/>
      <c r="L958" s="130"/>
      <c r="M958" s="130"/>
      <c r="N958" s="130"/>
      <c r="O958" s="130"/>
      <c r="P958" s="130"/>
      <c r="Q958" s="130"/>
      <c r="R958" s="130"/>
      <c r="S958" s="130"/>
      <c r="T958" s="130"/>
      <c r="U958" s="130"/>
    </row>
    <row r="959" spans="1:33" s="56" customFormat="1" hidden="1" outlineLevel="1" x14ac:dyDescent="0.25">
      <c r="A959" s="597"/>
      <c r="B959" s="130"/>
      <c r="C959" s="616"/>
      <c r="D959" s="658"/>
      <c r="E959" s="603"/>
      <c r="F959" s="1594"/>
      <c r="G959" s="1584"/>
      <c r="H959" s="616"/>
      <c r="I959" s="489"/>
      <c r="J959" s="130"/>
      <c r="K959" s="130"/>
      <c r="L959" s="130"/>
      <c r="M959" s="130"/>
      <c r="N959" s="130"/>
      <c r="O959" s="130"/>
      <c r="P959" s="130"/>
      <c r="Q959" s="130"/>
      <c r="R959" s="130"/>
      <c r="S959" s="130"/>
      <c r="T959" s="130"/>
      <c r="U959" s="130"/>
    </row>
    <row r="960" spans="1:33" s="56" customFormat="1" hidden="1" outlineLevel="1" x14ac:dyDescent="0.25">
      <c r="A960" s="597"/>
      <c r="B960" s="130"/>
      <c r="C960" s="616"/>
      <c r="D960" s="658" t="s">
        <v>945</v>
      </c>
      <c r="E960" s="603"/>
      <c r="F960" s="1594"/>
      <c r="G960" s="1584"/>
      <c r="H960" s="616"/>
      <c r="I960" s="489"/>
      <c r="J960" s="130"/>
      <c r="K960" s="130"/>
      <c r="L960" s="130"/>
      <c r="M960" s="130"/>
      <c r="N960" s="130"/>
      <c r="O960" s="130"/>
      <c r="P960" s="130"/>
      <c r="Q960" s="130"/>
      <c r="R960" s="130"/>
      <c r="S960" s="130"/>
      <c r="T960" s="130"/>
      <c r="U960" s="130"/>
    </row>
    <row r="961" spans="1:33" s="56" customFormat="1" hidden="1" outlineLevel="1" x14ac:dyDescent="0.25">
      <c r="A961" s="597"/>
      <c r="B961" s="130"/>
      <c r="C961" s="616"/>
      <c r="D961" s="658"/>
      <c r="E961" s="603"/>
      <c r="F961" s="1594"/>
      <c r="G961" s="1584"/>
      <c r="H961" s="616"/>
      <c r="I961" s="489"/>
      <c r="J961" s="130"/>
      <c r="K961" s="130"/>
      <c r="L961" s="130"/>
      <c r="M961" s="130"/>
      <c r="N961" s="130"/>
      <c r="O961" s="130"/>
      <c r="P961" s="130"/>
      <c r="Q961" s="130"/>
      <c r="R961" s="130"/>
      <c r="S961" s="130"/>
      <c r="T961" s="130"/>
      <c r="U961" s="130"/>
    </row>
    <row r="962" spans="1:33" s="56" customFormat="1" hidden="1" outlineLevel="1" x14ac:dyDescent="0.25">
      <c r="A962" s="597"/>
      <c r="B962" s="130"/>
      <c r="C962" s="616"/>
      <c r="D962" s="658"/>
      <c r="E962" s="603"/>
      <c r="F962" s="1594"/>
      <c r="G962" s="1584"/>
      <c r="H962" s="616"/>
      <c r="I962" s="489"/>
      <c r="J962" s="130"/>
      <c r="K962" s="130"/>
      <c r="L962" s="130"/>
      <c r="M962" s="130"/>
      <c r="N962" s="130"/>
      <c r="O962" s="130"/>
      <c r="P962" s="130"/>
      <c r="Q962" s="130"/>
      <c r="R962" s="130"/>
      <c r="S962" s="130"/>
      <c r="T962" s="130"/>
      <c r="U962" s="130"/>
    </row>
    <row r="963" spans="1:33" s="56" customFormat="1" hidden="1" outlineLevel="1" x14ac:dyDescent="0.25">
      <c r="A963" s="597"/>
      <c r="B963" s="130"/>
      <c r="C963" s="616"/>
      <c r="D963" s="658"/>
      <c r="E963" s="603"/>
      <c r="F963" s="1594"/>
      <c r="G963" s="1584"/>
      <c r="H963" s="616"/>
      <c r="I963" s="489"/>
      <c r="J963" s="130"/>
      <c r="K963" s="130"/>
      <c r="L963" s="130"/>
      <c r="M963" s="130"/>
      <c r="N963" s="130"/>
      <c r="O963" s="130"/>
      <c r="P963" s="130"/>
      <c r="Q963" s="130"/>
      <c r="R963" s="130"/>
      <c r="S963" s="130"/>
      <c r="T963" s="130"/>
      <c r="U963" s="130"/>
    </row>
    <row r="964" spans="1:33" s="56" customFormat="1" hidden="1" outlineLevel="1" x14ac:dyDescent="0.25">
      <c r="A964" s="597"/>
      <c r="B964" s="130"/>
      <c r="C964" s="616"/>
      <c r="D964" s="658"/>
      <c r="E964" s="603"/>
      <c r="F964" s="1594"/>
      <c r="G964" s="1584"/>
      <c r="H964" s="616"/>
      <c r="I964" s="489"/>
      <c r="J964" s="130"/>
      <c r="K964" s="130"/>
      <c r="L964" s="130"/>
      <c r="M964" s="130"/>
      <c r="N964" s="130"/>
      <c r="O964" s="130"/>
      <c r="P964" s="130"/>
      <c r="Q964" s="130"/>
      <c r="R964" s="130"/>
      <c r="S964" s="130"/>
      <c r="T964" s="130"/>
      <c r="U964" s="130"/>
    </row>
    <row r="965" spans="1:33" s="56" customFormat="1" hidden="1" outlineLevel="1" x14ac:dyDescent="0.25">
      <c r="A965" s="597"/>
      <c r="B965" s="130"/>
      <c r="C965" s="616"/>
      <c r="D965" s="658"/>
      <c r="E965" s="658"/>
      <c r="F965" s="1594"/>
      <c r="G965" s="1584"/>
      <c r="H965" s="616"/>
      <c r="I965" s="489"/>
      <c r="J965" s="130"/>
      <c r="K965" s="130"/>
      <c r="L965" s="130"/>
      <c r="M965" s="130"/>
      <c r="N965" s="130"/>
      <c r="O965" s="130"/>
      <c r="P965" s="130"/>
      <c r="Q965" s="130"/>
      <c r="R965" s="130"/>
      <c r="S965" s="130"/>
      <c r="T965" s="130"/>
      <c r="U965" s="130"/>
      <c r="V965" s="748"/>
    </row>
    <row r="966" spans="1:33" s="56" customFormat="1" hidden="1" outlineLevel="1" x14ac:dyDescent="0.25">
      <c r="A966" s="597"/>
      <c r="B966" s="130"/>
      <c r="C966" s="616"/>
      <c r="D966" s="658" t="s">
        <v>1002</v>
      </c>
      <c r="E966" s="658"/>
      <c r="F966" s="1594"/>
      <c r="G966" s="1584"/>
      <c r="H966" s="616"/>
      <c r="I966" s="489"/>
      <c r="J966" s="130"/>
      <c r="K966" s="130"/>
      <c r="L966" s="130"/>
      <c r="M966" s="130"/>
      <c r="N966" s="130"/>
      <c r="O966" s="130"/>
      <c r="P966" s="130"/>
      <c r="Q966" s="130"/>
      <c r="R966" s="130"/>
      <c r="S966" s="130"/>
      <c r="T966" s="130"/>
      <c r="U966" s="130"/>
    </row>
    <row r="967" spans="1:33" s="56" customFormat="1" hidden="1" outlineLevel="1" x14ac:dyDescent="0.25">
      <c r="A967" s="597"/>
      <c r="B967" s="130"/>
      <c r="C967" s="616"/>
      <c r="D967" s="658"/>
      <c r="E967" s="658"/>
      <c r="F967" s="1594"/>
      <c r="G967" s="1584"/>
      <c r="H967" s="616"/>
      <c r="I967" s="489"/>
      <c r="J967" s="130"/>
      <c r="K967" s="130"/>
      <c r="L967" s="130"/>
      <c r="M967" s="130"/>
      <c r="N967" s="130"/>
      <c r="O967" s="130"/>
      <c r="P967" s="130"/>
      <c r="Q967" s="130"/>
      <c r="R967" s="130"/>
      <c r="S967" s="130"/>
      <c r="T967" s="130"/>
      <c r="U967" s="130"/>
      <c r="W967" s="748"/>
    </row>
    <row r="968" spans="1:33" s="56" customFormat="1" hidden="1" outlineLevel="1" x14ac:dyDescent="0.25">
      <c r="A968" s="597"/>
      <c r="B968" s="130"/>
      <c r="C968" s="616"/>
      <c r="D968" s="658"/>
      <c r="E968" s="658"/>
      <c r="F968" s="1594"/>
      <c r="G968" s="1584"/>
      <c r="H968" s="616"/>
      <c r="I968" s="130"/>
      <c r="J968" s="130"/>
      <c r="K968" s="130"/>
      <c r="L968" s="130"/>
      <c r="M968" s="130"/>
      <c r="N968" s="130"/>
      <c r="O968" s="130"/>
      <c r="P968" s="130"/>
      <c r="Q968" s="130"/>
      <c r="R968" s="130"/>
      <c r="S968" s="130"/>
      <c r="T968" s="130"/>
      <c r="U968" s="130"/>
    </row>
    <row r="969" spans="1:33" s="56" customFormat="1" hidden="1" outlineLevel="1" x14ac:dyDescent="0.25">
      <c r="A969" s="597"/>
      <c r="B969" s="130"/>
      <c r="C969" s="616"/>
      <c r="D969" s="658"/>
      <c r="E969" s="658"/>
      <c r="F969" s="130"/>
      <c r="G969" s="658"/>
      <c r="H969" s="616"/>
      <c r="I969" s="130"/>
      <c r="J969" s="130"/>
      <c r="K969" s="130"/>
      <c r="L969" s="130"/>
      <c r="M969" s="130"/>
      <c r="N969" s="130"/>
      <c r="O969" s="130"/>
      <c r="P969" s="130"/>
      <c r="Q969" s="130"/>
      <c r="R969" s="130"/>
      <c r="S969" s="130"/>
      <c r="T969" s="130"/>
      <c r="U969" s="130"/>
    </row>
    <row r="970" spans="1:33" s="56" customFormat="1" hidden="1" outlineLevel="1" x14ac:dyDescent="0.25">
      <c r="A970" s="597"/>
      <c r="B970" s="130"/>
      <c r="C970" s="616"/>
      <c r="D970" s="658"/>
      <c r="E970" s="658"/>
      <c r="F970" s="130"/>
      <c r="G970" s="658"/>
      <c r="H970" s="616"/>
      <c r="I970" s="616"/>
      <c r="J970" s="616"/>
      <c r="K970" s="616"/>
      <c r="L970" s="616"/>
      <c r="M970" s="616"/>
      <c r="N970" s="130"/>
      <c r="O970" s="130"/>
      <c r="P970" s="130"/>
      <c r="Q970" s="658"/>
      <c r="R970" s="130"/>
      <c r="S970" s="130"/>
      <c r="T970" s="130"/>
      <c r="U970" s="130"/>
    </row>
    <row r="971" spans="1:33" s="56" customFormat="1" ht="30" hidden="1" customHeight="1" outlineLevel="1" thickBot="1" x14ac:dyDescent="0.3">
      <c r="A971" s="597"/>
      <c r="B971" s="130"/>
      <c r="C971" s="616"/>
      <c r="D971" s="358" t="s">
        <v>465</v>
      </c>
      <c r="E971" s="358" t="s">
        <v>466</v>
      </c>
      <c r="F971" s="2122" t="s">
        <v>514</v>
      </c>
      <c r="G971" s="2122"/>
      <c r="H971" s="2122"/>
      <c r="I971" s="2122"/>
      <c r="J971" s="534" t="s">
        <v>16</v>
      </c>
      <c r="K971" s="534" t="s">
        <v>467</v>
      </c>
      <c r="L971" s="534" t="s">
        <v>948</v>
      </c>
      <c r="M971" s="358" t="s">
        <v>655</v>
      </c>
      <c r="N971" s="130"/>
      <c r="O971" s="130"/>
      <c r="P971" s="2075" t="s">
        <v>947</v>
      </c>
      <c r="Q971" s="2081"/>
      <c r="R971" s="2076"/>
      <c r="S971" s="130"/>
      <c r="T971" s="130"/>
      <c r="U971" s="130"/>
      <c r="V971" s="48" t="s">
        <v>26</v>
      </c>
      <c r="W971" s="49">
        <v>43252</v>
      </c>
      <c r="X971" s="49">
        <f>$X$6</f>
        <v>43465</v>
      </c>
      <c r="Y971" s="49" t="str">
        <f>$Y$6</f>
        <v>-</v>
      </c>
      <c r="Z971" s="49" t="str">
        <f>$Z$6</f>
        <v>-</v>
      </c>
      <c r="AA971" s="49" t="str">
        <f>$AA$6</f>
        <v>-</v>
      </c>
      <c r="AB971" s="49" t="str">
        <f>$AB$6</f>
        <v>-</v>
      </c>
      <c r="AC971" s="49" t="str">
        <f>$AC$6</f>
        <v>-</v>
      </c>
      <c r="AD971" s="49" t="str">
        <f>$AD$6</f>
        <v>-</v>
      </c>
      <c r="AE971" s="49" t="str">
        <f>$AE$6</f>
        <v>-</v>
      </c>
      <c r="AF971" s="49" t="str">
        <f>$AF$6</f>
        <v>-</v>
      </c>
      <c r="AG971" s="49" t="str">
        <f>$AG$6</f>
        <v>-</v>
      </c>
    </row>
    <row r="972" spans="1:33" s="56" customFormat="1" hidden="1" outlineLevel="1" x14ac:dyDescent="0.25">
      <c r="A972" s="749"/>
      <c r="B972" s="130"/>
      <c r="C972" s="616"/>
      <c r="D972" s="2100" t="s">
        <v>1029</v>
      </c>
      <c r="E972" s="2103" t="s">
        <v>1030</v>
      </c>
      <c r="F972" s="2109" t="str">
        <f>$E$780</f>
        <v>ASHP - SEER 15 ER Elec Resist Furnace: HVAC ER1</v>
      </c>
      <c r="G972" s="2109"/>
      <c r="H972" s="2109"/>
      <c r="I972" s="2109"/>
      <c r="J972" s="707">
        <v>919</v>
      </c>
      <c r="K972" s="727">
        <f>3.06*12000</f>
        <v>36720</v>
      </c>
      <c r="L972" s="750">
        <f>K972/12000</f>
        <v>3.06</v>
      </c>
      <c r="M972" s="751" t="s">
        <v>1794</v>
      </c>
      <c r="N972" s="130"/>
      <c r="O972" s="130"/>
      <c r="P972" s="954"/>
      <c r="Q972" s="954" t="s">
        <v>1154</v>
      </c>
      <c r="R972" s="954" t="s">
        <v>1155</v>
      </c>
      <c r="S972" s="752"/>
      <c r="T972" s="753"/>
      <c r="U972" s="130"/>
      <c r="V972" s="2106" t="s">
        <v>1029</v>
      </c>
      <c r="W972" s="605">
        <v>33600</v>
      </c>
      <c r="X972" s="624">
        <f>3.06*12000</f>
        <v>36720</v>
      </c>
      <c r="Y972" s="605"/>
      <c r="Z972" s="605"/>
      <c r="AA972" s="605"/>
      <c r="AB972" s="605"/>
      <c r="AC972" s="605"/>
      <c r="AD972" s="605"/>
      <c r="AE972" s="605"/>
      <c r="AF972" s="605"/>
      <c r="AG972" s="605"/>
    </row>
    <row r="973" spans="1:33" s="56" customFormat="1" hidden="1" outlineLevel="1" x14ac:dyDescent="0.25">
      <c r="A973" s="749"/>
      <c r="B973" s="130"/>
      <c r="C973" s="616"/>
      <c r="D973" s="2101"/>
      <c r="E973" s="2104"/>
      <c r="F973" s="2110" t="str">
        <f>$E$782</f>
        <v>ASHP - SEER 15 ER Elec Resist Furnace: HVAC ER2</v>
      </c>
      <c r="G973" s="2111"/>
      <c r="H973" s="2111"/>
      <c r="I973" s="2112"/>
      <c r="J973" s="709" t="s">
        <v>1156</v>
      </c>
      <c r="K973" s="730">
        <f t="shared" ref="K973:K983" si="66">3.06*12000</f>
        <v>36720</v>
      </c>
      <c r="L973" s="76">
        <f t="shared" ref="L973:L1036" si="67">K973/12000</f>
        <v>3.06</v>
      </c>
      <c r="M973" s="754" t="s">
        <v>1794</v>
      </c>
      <c r="N973" s="130"/>
      <c r="O973" s="130"/>
      <c r="P973" s="755" t="s">
        <v>954</v>
      </c>
      <c r="Q973" s="756">
        <f t="shared" ref="Q973:Q979" si="68">($R$984+R973)-($Q$984/((1+$R$986)^$R$987))</f>
        <v>584.51592632438815</v>
      </c>
      <c r="R973" s="757">
        <v>303</v>
      </c>
      <c r="S973" s="758" t="s">
        <v>1157</v>
      </c>
      <c r="T973" s="529"/>
      <c r="U973" s="529"/>
      <c r="V973" s="2107"/>
      <c r="W973" s="611">
        <v>33600</v>
      </c>
      <c r="X973" s="614">
        <f t="shared" ref="X973:X983" si="69">3.06*12000</f>
        <v>36720</v>
      </c>
      <c r="Y973" s="611"/>
      <c r="Z973" s="611"/>
      <c r="AA973" s="611"/>
      <c r="AB973" s="611"/>
      <c r="AC973" s="611"/>
      <c r="AD973" s="611"/>
      <c r="AE973" s="611"/>
      <c r="AF973" s="611"/>
      <c r="AG973" s="611"/>
    </row>
    <row r="974" spans="1:33" s="56" customFormat="1" hidden="1" outlineLevel="1" x14ac:dyDescent="0.25">
      <c r="A974" s="724"/>
      <c r="B974" s="130"/>
      <c r="C974" s="616"/>
      <c r="D974" s="2101"/>
      <c r="E974" s="2104"/>
      <c r="F974" s="2110" t="str">
        <f>$E$784</f>
        <v>ASHP - SEER 15 ER with ASHP: HVAC ER1</v>
      </c>
      <c r="G974" s="2111"/>
      <c r="H974" s="2111"/>
      <c r="I974" s="2112"/>
      <c r="J974" s="709">
        <v>920</v>
      </c>
      <c r="K974" s="730">
        <f t="shared" si="66"/>
        <v>36720</v>
      </c>
      <c r="L974" s="76">
        <f t="shared" si="67"/>
        <v>3.06</v>
      </c>
      <c r="M974" s="754" t="s">
        <v>1794</v>
      </c>
      <c r="N974" s="130"/>
      <c r="O974" s="130"/>
      <c r="P974" s="755" t="s">
        <v>955</v>
      </c>
      <c r="Q974" s="756">
        <f t="shared" si="68"/>
        <v>674.21592632438819</v>
      </c>
      <c r="R974" s="757">
        <f>785.4/2</f>
        <v>392.7</v>
      </c>
      <c r="S974" s="758" t="s">
        <v>1158</v>
      </c>
      <c r="T974" s="529"/>
      <c r="U974" s="529"/>
      <c r="V974" s="2107"/>
      <c r="W974" s="611">
        <v>37200</v>
      </c>
      <c r="X974" s="614">
        <f t="shared" si="69"/>
        <v>36720</v>
      </c>
      <c r="Y974" s="611"/>
      <c r="Z974" s="611"/>
      <c r="AA974" s="611"/>
      <c r="AB974" s="611"/>
      <c r="AC974" s="611"/>
      <c r="AD974" s="611"/>
      <c r="AE974" s="611"/>
      <c r="AF974" s="611"/>
      <c r="AG974" s="611"/>
    </row>
    <row r="975" spans="1:33" s="56" customFormat="1" hidden="1" outlineLevel="1" x14ac:dyDescent="0.25">
      <c r="A975" s="724"/>
      <c r="B975" s="130"/>
      <c r="C975" s="616"/>
      <c r="D975" s="2101"/>
      <c r="E975" s="2104"/>
      <c r="F975" s="2110" t="str">
        <f>$E$786</f>
        <v>ASHP - SEER 15 ER with ASHP: HVAC ER2</v>
      </c>
      <c r="G975" s="2111"/>
      <c r="H975" s="2111"/>
      <c r="I975" s="2112"/>
      <c r="J975" s="709" t="s">
        <v>1159</v>
      </c>
      <c r="K975" s="730">
        <f t="shared" si="66"/>
        <v>36720</v>
      </c>
      <c r="L975" s="76">
        <f t="shared" si="67"/>
        <v>3.06</v>
      </c>
      <c r="M975" s="754" t="s">
        <v>1794</v>
      </c>
      <c r="N975" s="130"/>
      <c r="O975" s="130"/>
      <c r="P975" s="755" t="s">
        <v>956</v>
      </c>
      <c r="Q975" s="756">
        <f t="shared" si="68"/>
        <v>861.51592632438815</v>
      </c>
      <c r="R975" s="757">
        <f>1740/3</f>
        <v>580</v>
      </c>
      <c r="S975" s="758" t="s">
        <v>1158</v>
      </c>
      <c r="T975" s="529"/>
      <c r="U975" s="529"/>
      <c r="V975" s="2107"/>
      <c r="W975" s="611">
        <v>37200</v>
      </c>
      <c r="X975" s="614">
        <f t="shared" si="69"/>
        <v>36720</v>
      </c>
      <c r="Y975" s="611"/>
      <c r="Z975" s="611"/>
      <c r="AA975" s="611"/>
      <c r="AB975" s="611"/>
      <c r="AC975" s="611"/>
      <c r="AD975" s="611"/>
      <c r="AE975" s="611"/>
      <c r="AF975" s="611"/>
      <c r="AG975" s="611"/>
    </row>
    <row r="976" spans="1:33" s="56" customFormat="1" hidden="1" outlineLevel="1" x14ac:dyDescent="0.25">
      <c r="A976" s="724"/>
      <c r="B976" s="130"/>
      <c r="C976" s="616"/>
      <c r="D976" s="2101"/>
      <c r="E976" s="2104"/>
      <c r="F976" s="2110" t="str">
        <f>$E$788</f>
        <v>ASHP-  SEER 15 Replace at Fail Elec Resist Furnace: HVAC</v>
      </c>
      <c r="G976" s="2111"/>
      <c r="H976" s="2111"/>
      <c r="I976" s="2112"/>
      <c r="J976" s="709">
        <v>921</v>
      </c>
      <c r="K976" s="730">
        <f t="shared" si="66"/>
        <v>36720</v>
      </c>
      <c r="L976" s="76">
        <f t="shared" si="67"/>
        <v>3.06</v>
      </c>
      <c r="M976" s="754" t="s">
        <v>1794</v>
      </c>
      <c r="N976" s="130"/>
      <c r="O976" s="130"/>
      <c r="P976" s="755" t="s">
        <v>958</v>
      </c>
      <c r="Q976" s="756">
        <f t="shared" si="68"/>
        <v>994.84925965772163</v>
      </c>
      <c r="R976" s="757">
        <f>2140/3</f>
        <v>713.33333333333337</v>
      </c>
      <c r="S976" s="758" t="s">
        <v>1158</v>
      </c>
      <c r="T976" s="529"/>
      <c r="U976" s="529"/>
      <c r="V976" s="2107"/>
      <c r="W976" s="611">
        <v>31200</v>
      </c>
      <c r="X976" s="614">
        <f t="shared" si="69"/>
        <v>36720</v>
      </c>
      <c r="Y976" s="611"/>
      <c r="Z976" s="611"/>
      <c r="AA976" s="611"/>
      <c r="AB976" s="611"/>
      <c r="AC976" s="611"/>
      <c r="AD976" s="611"/>
      <c r="AE976" s="611"/>
      <c r="AF976" s="611"/>
      <c r="AG976" s="611"/>
    </row>
    <row r="977" spans="1:33" s="56" customFormat="1" hidden="1" outlineLevel="1" x14ac:dyDescent="0.25">
      <c r="A977" s="724"/>
      <c r="B977" s="130"/>
      <c r="C977" s="616"/>
      <c r="D977" s="2101"/>
      <c r="E977" s="2104"/>
      <c r="F977" s="2110" t="str">
        <f>$E$790</f>
        <v>ASHP - SEER 15 Replace at Fail with ASHP: HVAC</v>
      </c>
      <c r="G977" s="2111"/>
      <c r="H977" s="2111"/>
      <c r="I977" s="2112"/>
      <c r="J977" s="709">
        <v>922</v>
      </c>
      <c r="K977" s="730">
        <f t="shared" si="66"/>
        <v>36720</v>
      </c>
      <c r="L977" s="76">
        <f t="shared" si="67"/>
        <v>3.06</v>
      </c>
      <c r="M977" s="754" t="s">
        <v>1794</v>
      </c>
      <c r="N977" s="130"/>
      <c r="O977" s="130"/>
      <c r="P977" s="755" t="s">
        <v>959</v>
      </c>
      <c r="Q977" s="756">
        <f t="shared" si="68"/>
        <v>1094.8492596577216</v>
      </c>
      <c r="R977" s="757">
        <f>2440/3</f>
        <v>813.33333333333337</v>
      </c>
      <c r="S977" s="758" t="s">
        <v>1160</v>
      </c>
      <c r="T977" s="529"/>
      <c r="U977" s="529"/>
      <c r="V977" s="2107"/>
      <c r="W977" s="611">
        <v>37200</v>
      </c>
      <c r="X977" s="614">
        <f t="shared" si="69"/>
        <v>36720</v>
      </c>
      <c r="Y977" s="611"/>
      <c r="Z977" s="611"/>
      <c r="AA977" s="611"/>
      <c r="AB977" s="611"/>
      <c r="AC977" s="611"/>
      <c r="AD977" s="611"/>
      <c r="AE977" s="611"/>
      <c r="AF977" s="611"/>
      <c r="AG977" s="611"/>
    </row>
    <row r="978" spans="1:33" s="56" customFormat="1" hidden="1" outlineLevel="1" x14ac:dyDescent="0.25">
      <c r="A978" s="724"/>
      <c r="B978" s="130"/>
      <c r="C978" s="616"/>
      <c r="D978" s="2101"/>
      <c r="E978" s="2104"/>
      <c r="F978" s="2110" t="str">
        <f>$E$792</f>
        <v>ASHP - SEER 16 - replace electric furnace / CAC - early replacement SF ER1</v>
      </c>
      <c r="G978" s="2111"/>
      <c r="H978" s="2111"/>
      <c r="I978" s="2112"/>
      <c r="J978" s="709">
        <v>923</v>
      </c>
      <c r="K978" s="730">
        <f t="shared" si="66"/>
        <v>36720</v>
      </c>
      <c r="L978" s="76">
        <f t="shared" si="67"/>
        <v>3.06</v>
      </c>
      <c r="M978" s="754" t="s">
        <v>1794</v>
      </c>
      <c r="N978" s="130"/>
      <c r="O978" s="130"/>
      <c r="P978" s="755" t="s">
        <v>961</v>
      </c>
      <c r="Q978" s="756">
        <f t="shared" si="68"/>
        <v>1441.5159263243881</v>
      </c>
      <c r="R978" s="757">
        <f>2320/2</f>
        <v>1160</v>
      </c>
      <c r="S978" s="758" t="s">
        <v>1160</v>
      </c>
      <c r="T978" s="529"/>
      <c r="U978" s="529"/>
      <c r="V978" s="2107"/>
      <c r="W978" s="611">
        <v>37200</v>
      </c>
      <c r="X978" s="614">
        <f t="shared" si="69"/>
        <v>36720</v>
      </c>
      <c r="Y978" s="611"/>
      <c r="Z978" s="611"/>
      <c r="AA978" s="611"/>
      <c r="AB978" s="611"/>
      <c r="AC978" s="611"/>
      <c r="AD978" s="611"/>
      <c r="AE978" s="611"/>
      <c r="AF978" s="611"/>
      <c r="AG978" s="611"/>
    </row>
    <row r="979" spans="1:33" s="56" customFormat="1" hidden="1" outlineLevel="1" x14ac:dyDescent="0.25">
      <c r="A979" s="724"/>
      <c r="B979" s="130"/>
      <c r="C979" s="616"/>
      <c r="D979" s="2101"/>
      <c r="E979" s="2104"/>
      <c r="F979" s="2110" t="str">
        <f>$E$794</f>
        <v>ASHP - SEER 16 - replace electric furnace / CAC - early replacement SF ER2</v>
      </c>
      <c r="G979" s="2111"/>
      <c r="H979" s="2111"/>
      <c r="I979" s="2112"/>
      <c r="J979" s="709" t="s">
        <v>1161</v>
      </c>
      <c r="K979" s="730">
        <f t="shared" si="66"/>
        <v>36720</v>
      </c>
      <c r="L979" s="76">
        <f t="shared" si="67"/>
        <v>3.06</v>
      </c>
      <c r="M979" s="754" t="s">
        <v>1794</v>
      </c>
      <c r="N979" s="130"/>
      <c r="O979" s="130"/>
      <c r="P979" s="755" t="s">
        <v>962</v>
      </c>
      <c r="Q979" s="756">
        <f t="shared" si="68"/>
        <v>1441.5159263243881</v>
      </c>
      <c r="R979" s="757">
        <f>R978</f>
        <v>1160</v>
      </c>
      <c r="S979" s="758" t="s">
        <v>1162</v>
      </c>
      <c r="T979" s="529"/>
      <c r="U979" s="529"/>
      <c r="V979" s="2107"/>
      <c r="W979" s="611">
        <v>37200</v>
      </c>
      <c r="X979" s="614">
        <f t="shared" si="69"/>
        <v>36720</v>
      </c>
      <c r="Y979" s="611"/>
      <c r="Z979" s="611"/>
      <c r="AA979" s="611"/>
      <c r="AB979" s="611"/>
      <c r="AC979" s="611"/>
      <c r="AD979" s="611"/>
      <c r="AE979" s="611"/>
      <c r="AF979" s="611"/>
      <c r="AG979" s="611"/>
    </row>
    <row r="980" spans="1:33" s="56" customFormat="1" hidden="1" outlineLevel="1" x14ac:dyDescent="0.25">
      <c r="A980" s="724"/>
      <c r="B980" s="130"/>
      <c r="C980" s="616"/>
      <c r="D980" s="2101"/>
      <c r="E980" s="2104"/>
      <c r="F980" s="2110" t="str">
        <f>$E$796</f>
        <v>ASHP SEER 16 replace ASHP - early replacement SF ER1</v>
      </c>
      <c r="G980" s="2111"/>
      <c r="H980" s="2111"/>
      <c r="I980" s="2112"/>
      <c r="J980" s="709">
        <v>924</v>
      </c>
      <c r="K980" s="730">
        <f t="shared" si="66"/>
        <v>36720</v>
      </c>
      <c r="L980" s="76">
        <f t="shared" si="67"/>
        <v>3.06</v>
      </c>
      <c r="M980" s="754" t="s">
        <v>1794</v>
      </c>
      <c r="N980" s="130"/>
      <c r="O980" s="130"/>
      <c r="P980" s="755" t="s">
        <v>963</v>
      </c>
      <c r="Q980" s="755"/>
      <c r="R980" s="759"/>
      <c r="S980" s="752"/>
      <c r="T980" s="760"/>
      <c r="U980" s="130"/>
      <c r="V980" s="2107"/>
      <c r="W980" s="611">
        <v>39600</v>
      </c>
      <c r="X980" s="614">
        <f t="shared" si="69"/>
        <v>36720</v>
      </c>
      <c r="Y980" s="611"/>
      <c r="Z980" s="611"/>
      <c r="AA980" s="611"/>
      <c r="AB980" s="611"/>
      <c r="AC980" s="611"/>
      <c r="AD980" s="611"/>
      <c r="AE980" s="611"/>
      <c r="AF980" s="611"/>
      <c r="AG980" s="611"/>
    </row>
    <row r="981" spans="1:33" s="56" customFormat="1" hidden="1" outlineLevel="1" x14ac:dyDescent="0.25">
      <c r="A981" s="724"/>
      <c r="B981" s="130"/>
      <c r="C981" s="616"/>
      <c r="D981" s="2101"/>
      <c r="E981" s="2104"/>
      <c r="F981" s="2110" t="str">
        <f>$E$798</f>
        <v>ASHP SEER 16 replace ASHP - early replacement SF ER2</v>
      </c>
      <c r="G981" s="2111"/>
      <c r="H981" s="2111"/>
      <c r="I981" s="2112"/>
      <c r="J981" s="709" t="s">
        <v>1163</v>
      </c>
      <c r="K981" s="725">
        <f t="shared" si="66"/>
        <v>36720</v>
      </c>
      <c r="L981" s="76">
        <f t="shared" si="67"/>
        <v>3.06</v>
      </c>
      <c r="M981" s="754" t="s">
        <v>1794</v>
      </c>
      <c r="N981" s="130"/>
      <c r="O981" s="130"/>
      <c r="P981" s="615"/>
      <c r="Q981" s="615"/>
      <c r="R981" s="616"/>
      <c r="S981" s="752"/>
      <c r="T981" s="760"/>
      <c r="U981" s="130"/>
      <c r="V981" s="2107"/>
      <c r="W981" s="611">
        <v>39600</v>
      </c>
      <c r="X981" s="761">
        <f t="shared" si="69"/>
        <v>36720</v>
      </c>
      <c r="Y981" s="611"/>
      <c r="Z981" s="611"/>
      <c r="AA981" s="611"/>
      <c r="AB981" s="611"/>
      <c r="AC981" s="611"/>
      <c r="AD981" s="611"/>
      <c r="AE981" s="611"/>
      <c r="AF981" s="611"/>
      <c r="AG981" s="611"/>
    </row>
    <row r="982" spans="1:33" s="56" customFormat="1" hidden="1" outlineLevel="1" x14ac:dyDescent="0.25">
      <c r="A982" s="724"/>
      <c r="B982" s="130"/>
      <c r="C982" s="616"/>
      <c r="D982" s="2101"/>
      <c r="E982" s="2104"/>
      <c r="F982" s="2110" t="str">
        <f>$E$800</f>
        <v>ASHP - SEER 16 - replace electric furnace / CAC SF</v>
      </c>
      <c r="G982" s="2111"/>
      <c r="H982" s="2111"/>
      <c r="I982" s="2112"/>
      <c r="J982" s="709">
        <v>925</v>
      </c>
      <c r="K982" s="725">
        <f t="shared" si="66"/>
        <v>36720</v>
      </c>
      <c r="L982" s="76">
        <f t="shared" si="67"/>
        <v>3.06</v>
      </c>
      <c r="M982" s="754" t="s">
        <v>1794</v>
      </c>
      <c r="N982" s="130"/>
      <c r="O982" s="130"/>
      <c r="P982" s="2075" t="s">
        <v>1164</v>
      </c>
      <c r="Q982" s="2081"/>
      <c r="R982" s="2076"/>
      <c r="S982" s="752"/>
      <c r="T982" s="760"/>
      <c r="U982" s="130"/>
      <c r="V982" s="2107"/>
      <c r="W982" s="611">
        <v>38400</v>
      </c>
      <c r="X982" s="761">
        <f t="shared" si="69"/>
        <v>36720</v>
      </c>
      <c r="Y982" s="611"/>
      <c r="Z982" s="611"/>
      <c r="AA982" s="611"/>
      <c r="AB982" s="611"/>
      <c r="AC982" s="611"/>
      <c r="AD982" s="611"/>
      <c r="AE982" s="611"/>
      <c r="AF982" s="611"/>
      <c r="AG982" s="611"/>
    </row>
    <row r="983" spans="1:33" s="56" customFormat="1" hidden="1" outlineLevel="1" x14ac:dyDescent="0.25">
      <c r="A983" s="724"/>
      <c r="B983" s="130"/>
      <c r="C983" s="616"/>
      <c r="D983" s="2101"/>
      <c r="E983" s="2104"/>
      <c r="F983" s="2110" t="str">
        <f>$E$802</f>
        <v>ASHP SEER 16 replace ASHP - replace on fail SF</v>
      </c>
      <c r="G983" s="2111"/>
      <c r="H983" s="2111"/>
      <c r="I983" s="2112"/>
      <c r="J983" s="709">
        <v>926</v>
      </c>
      <c r="K983" s="725">
        <f t="shared" si="66"/>
        <v>36720</v>
      </c>
      <c r="L983" s="76">
        <f t="shared" si="67"/>
        <v>3.06</v>
      </c>
      <c r="M983" s="754" t="s">
        <v>1794</v>
      </c>
      <c r="N983" s="130"/>
      <c r="O983" s="130"/>
      <c r="P983" s="954"/>
      <c r="Q983" s="954" t="s">
        <v>1154</v>
      </c>
      <c r="R983" s="954" t="s">
        <v>1155</v>
      </c>
      <c r="S983" s="752"/>
      <c r="T983" s="760"/>
      <c r="U983" s="130"/>
      <c r="V983" s="2107"/>
      <c r="W983" s="611">
        <v>39600</v>
      </c>
      <c r="X983" s="761">
        <f t="shared" si="69"/>
        <v>36720</v>
      </c>
      <c r="Y983" s="611"/>
      <c r="Z983" s="611"/>
      <c r="AA983" s="611"/>
      <c r="AB983" s="611"/>
      <c r="AC983" s="611"/>
      <c r="AD983" s="611"/>
      <c r="AE983" s="611"/>
      <c r="AF983" s="611"/>
      <c r="AG983" s="611"/>
    </row>
    <row r="984" spans="1:33" s="56" customFormat="1" hidden="1" outlineLevel="1" x14ac:dyDescent="0.25">
      <c r="A984" s="724"/>
      <c r="B984" s="130"/>
      <c r="C984" s="616"/>
      <c r="D984" s="2101"/>
      <c r="E984" s="2104"/>
      <c r="F984" s="2110" t="str">
        <f>$E$804</f>
        <v>ASHP SEER 15 MFMR / MFLI ER Replace ASHP: HVAC ER1</v>
      </c>
      <c r="G984" s="2111"/>
      <c r="H984" s="2111"/>
      <c r="I984" s="2112"/>
      <c r="J984" s="709">
        <v>1239</v>
      </c>
      <c r="K984" s="730">
        <v>37200</v>
      </c>
      <c r="L984" s="76">
        <f t="shared" si="67"/>
        <v>3.1</v>
      </c>
      <c r="M984" s="754" t="s">
        <v>977</v>
      </c>
      <c r="N984" s="130"/>
      <c r="O984" s="130"/>
      <c r="P984" s="755" t="s">
        <v>1165</v>
      </c>
      <c r="Q984" s="762">
        <f>(R984)*(1+R985)^R987</f>
        <v>1555.2303010035841</v>
      </c>
      <c r="R984" s="763">
        <v>1381</v>
      </c>
      <c r="S984" s="758" t="s">
        <v>1157</v>
      </c>
      <c r="T984" s="764"/>
      <c r="U984" s="130"/>
      <c r="V984" s="2107"/>
      <c r="W984" s="611">
        <v>37200</v>
      </c>
      <c r="X984" s="611">
        <v>37200</v>
      </c>
      <c r="Y984" s="611"/>
      <c r="Z984" s="611"/>
      <c r="AA984" s="611"/>
      <c r="AB984" s="611"/>
      <c r="AC984" s="611"/>
      <c r="AD984" s="611"/>
      <c r="AE984" s="611"/>
      <c r="AF984" s="611"/>
      <c r="AG984" s="611"/>
    </row>
    <row r="985" spans="1:33" s="56" customFormat="1" hidden="1" outlineLevel="1" x14ac:dyDescent="0.25">
      <c r="A985" s="724"/>
      <c r="B985" s="130"/>
      <c r="C985" s="616"/>
      <c r="D985" s="2101"/>
      <c r="E985" s="2104"/>
      <c r="F985" s="2110" t="str">
        <f>$E$806</f>
        <v>ASHP SEER 15 MF ER Replace ASHP: HVAC ER2</v>
      </c>
      <c r="G985" s="2111"/>
      <c r="H985" s="2111"/>
      <c r="I985" s="2112"/>
      <c r="J985" s="709" t="s">
        <v>1166</v>
      </c>
      <c r="K985" s="730">
        <v>37200</v>
      </c>
      <c r="L985" s="76">
        <f t="shared" si="67"/>
        <v>3.1</v>
      </c>
      <c r="M985" s="754" t="s">
        <v>977</v>
      </c>
      <c r="N985" s="130"/>
      <c r="O985" s="130"/>
      <c r="P985" s="755" t="s">
        <v>915</v>
      </c>
      <c r="Q985" s="762"/>
      <c r="R985" s="1653">
        <f>$Q$93</f>
        <v>0.02</v>
      </c>
      <c r="S985" s="758" t="s">
        <v>1167</v>
      </c>
      <c r="T985" s="760"/>
      <c r="U985" s="130"/>
      <c r="V985" s="2107"/>
      <c r="W985" s="611">
        <v>37200</v>
      </c>
      <c r="X985" s="611">
        <v>37200</v>
      </c>
      <c r="Y985" s="611"/>
      <c r="Z985" s="611"/>
      <c r="AA985" s="611"/>
      <c r="AB985" s="611"/>
      <c r="AC985" s="611"/>
      <c r="AD985" s="611"/>
      <c r="AE985" s="611"/>
      <c r="AF985" s="611"/>
      <c r="AG985" s="611"/>
    </row>
    <row r="986" spans="1:33" s="56" customFormat="1" hidden="1" outlineLevel="1" x14ac:dyDescent="0.25">
      <c r="A986" s="724"/>
      <c r="B986" s="130"/>
      <c r="C986" s="616"/>
      <c r="D986" s="2101"/>
      <c r="E986" s="2104"/>
      <c r="F986" s="2110" t="str">
        <f>$E$808</f>
        <v>ASHP SEER 15 MF ER Replace Elec Resist Furnace: HVAC ER1</v>
      </c>
      <c r="G986" s="2111"/>
      <c r="H986" s="2111"/>
      <c r="I986" s="2112"/>
      <c r="J986" s="709">
        <v>1266</v>
      </c>
      <c r="K986" s="730">
        <v>33600</v>
      </c>
      <c r="L986" s="76">
        <f t="shared" si="67"/>
        <v>2.8</v>
      </c>
      <c r="M986" s="754" t="s">
        <v>977</v>
      </c>
      <c r="N986" s="130"/>
      <c r="O986" s="130"/>
      <c r="P986" s="765" t="s">
        <v>916</v>
      </c>
      <c r="Q986" s="765"/>
      <c r="R986" s="1653">
        <f>$Q$94</f>
        <v>5.9499999999999997E-2</v>
      </c>
      <c r="S986" s="752" t="s">
        <v>1167</v>
      </c>
      <c r="T986" s="760"/>
      <c r="U986" s="130"/>
      <c r="V986" s="2107"/>
      <c r="W986" s="611">
        <v>33600</v>
      </c>
      <c r="X986" s="611">
        <v>33600</v>
      </c>
      <c r="Y986" s="611"/>
      <c r="Z986" s="611"/>
      <c r="AA986" s="611"/>
      <c r="AB986" s="611"/>
      <c r="AC986" s="611"/>
      <c r="AD986" s="611"/>
      <c r="AE986" s="611"/>
      <c r="AF986" s="611"/>
      <c r="AG986" s="611"/>
    </row>
    <row r="987" spans="1:33" s="56" customFormat="1" hidden="1" outlineLevel="1" x14ac:dyDescent="0.25">
      <c r="A987" s="724"/>
      <c r="B987" s="130"/>
      <c r="C987" s="616"/>
      <c r="D987" s="2101"/>
      <c r="E987" s="2104"/>
      <c r="F987" s="2110" t="str">
        <f>$E$810</f>
        <v>ASHP SEER 15 MF ER Replace Elec Resist Furnace: HVAC ER2</v>
      </c>
      <c r="G987" s="2111"/>
      <c r="H987" s="2111"/>
      <c r="I987" s="2112"/>
      <c r="J987" s="709" t="s">
        <v>1168</v>
      </c>
      <c r="K987" s="730">
        <v>33600</v>
      </c>
      <c r="L987" s="76">
        <f t="shared" si="67"/>
        <v>2.8</v>
      </c>
      <c r="M987" s="754" t="s">
        <v>977</v>
      </c>
      <c r="N987" s="130"/>
      <c r="O987" s="251"/>
      <c r="P987" s="115" t="s">
        <v>917</v>
      </c>
      <c r="Q987" s="115"/>
      <c r="R987" s="621">
        <v>6</v>
      </c>
      <c r="S987" s="752" t="s">
        <v>1169</v>
      </c>
      <c r="T987" s="760"/>
      <c r="U987" s="130"/>
      <c r="V987" s="2107"/>
      <c r="W987" s="611">
        <v>33600</v>
      </c>
      <c r="X987" s="611">
        <v>33600</v>
      </c>
      <c r="Y987" s="611"/>
      <c r="Z987" s="611"/>
      <c r="AA987" s="611"/>
      <c r="AB987" s="611"/>
      <c r="AC987" s="611"/>
      <c r="AD987" s="611"/>
      <c r="AE987" s="611"/>
      <c r="AF987" s="611"/>
      <c r="AG987" s="611"/>
    </row>
    <row r="988" spans="1:33" s="56" customFormat="1" hidden="1" outlineLevel="1" x14ac:dyDescent="0.25">
      <c r="A988" s="724"/>
      <c r="B988" s="130"/>
      <c r="C988" s="616"/>
      <c r="D988" s="2101"/>
      <c r="E988" s="2104"/>
      <c r="F988" s="2110" t="str">
        <f>$E$812</f>
        <v>ASHP SEER 15 MF Replace at Fail Elec Resist Furnace: HVAC</v>
      </c>
      <c r="G988" s="2111"/>
      <c r="H988" s="2111"/>
      <c r="I988" s="2112"/>
      <c r="J988" s="709">
        <v>1268</v>
      </c>
      <c r="K988" s="730">
        <v>31200</v>
      </c>
      <c r="L988" s="76">
        <f t="shared" si="67"/>
        <v>2.6</v>
      </c>
      <c r="M988" s="754" t="s">
        <v>977</v>
      </c>
      <c r="N988" s="130"/>
      <c r="O988" s="251"/>
      <c r="P988" s="766"/>
      <c r="Q988" s="767"/>
      <c r="R988" s="766"/>
      <c r="S988" s="752"/>
      <c r="T988" s="760"/>
      <c r="U988" s="130"/>
      <c r="V988" s="2107"/>
      <c r="W988" s="611">
        <v>31200</v>
      </c>
      <c r="X988" s="611">
        <v>31200</v>
      </c>
      <c r="Y988" s="611"/>
      <c r="Z988" s="611"/>
      <c r="AA988" s="611"/>
      <c r="AB988" s="611"/>
      <c r="AC988" s="611"/>
      <c r="AD988" s="611"/>
      <c r="AE988" s="611"/>
      <c r="AF988" s="611"/>
      <c r="AG988" s="611"/>
    </row>
    <row r="989" spans="1:33" s="56" customFormat="1" hidden="1" outlineLevel="1" x14ac:dyDescent="0.25">
      <c r="A989" s="724"/>
      <c r="B989" s="130"/>
      <c r="C989" s="616"/>
      <c r="D989" s="2101"/>
      <c r="E989" s="2104"/>
      <c r="F989" s="2110" t="str">
        <f>$E$814</f>
        <v>ASHP SEER 16 MF ER Replace ASHP: HVAC ER1</v>
      </c>
      <c r="G989" s="2111"/>
      <c r="H989" s="2111"/>
      <c r="I989" s="2112"/>
      <c r="J989" s="709">
        <v>1240</v>
      </c>
      <c r="K989" s="730">
        <v>39600</v>
      </c>
      <c r="L989" s="76">
        <f t="shared" si="67"/>
        <v>3.3</v>
      </c>
      <c r="M989" s="754" t="s">
        <v>977</v>
      </c>
      <c r="N989" s="130"/>
      <c r="O989" s="251"/>
      <c r="P989" s="766"/>
      <c r="Q989" s="767"/>
      <c r="R989" s="766"/>
      <c r="S989" s="752"/>
      <c r="T989" s="760"/>
      <c r="U989" s="130"/>
      <c r="V989" s="2107"/>
      <c r="W989" s="611">
        <v>39600</v>
      </c>
      <c r="X989" s="611">
        <v>39600</v>
      </c>
      <c r="Y989" s="611"/>
      <c r="Z989" s="611"/>
      <c r="AA989" s="611"/>
      <c r="AB989" s="611"/>
      <c r="AC989" s="611"/>
      <c r="AD989" s="611"/>
      <c r="AE989" s="611"/>
      <c r="AF989" s="611"/>
      <c r="AG989" s="611"/>
    </row>
    <row r="990" spans="1:33" s="56" customFormat="1" hidden="1" outlineLevel="1" x14ac:dyDescent="0.25">
      <c r="A990" s="724"/>
      <c r="B990" s="130"/>
      <c r="C990" s="616"/>
      <c r="D990" s="2101"/>
      <c r="E990" s="2104"/>
      <c r="F990" s="2110" t="str">
        <f>$E$816</f>
        <v>ASHP SEER 16 MF ER Replace ASHP: HVAC ER2</v>
      </c>
      <c r="G990" s="2111"/>
      <c r="H990" s="2111"/>
      <c r="I990" s="2112"/>
      <c r="J990" s="709" t="s">
        <v>1170</v>
      </c>
      <c r="K990" s="730">
        <v>39600</v>
      </c>
      <c r="L990" s="76">
        <f t="shared" si="67"/>
        <v>3.3</v>
      </c>
      <c r="M990" s="754" t="s">
        <v>977</v>
      </c>
      <c r="N990" s="130"/>
      <c r="O990" s="251"/>
      <c r="P990" s="766"/>
      <c r="Q990" s="767"/>
      <c r="R990" s="766"/>
      <c r="S990" s="752"/>
      <c r="T990" s="760"/>
      <c r="U990" s="130"/>
      <c r="V990" s="2107"/>
      <c r="W990" s="611">
        <v>39600</v>
      </c>
      <c r="X990" s="611">
        <v>39600</v>
      </c>
      <c r="Y990" s="611"/>
      <c r="Z990" s="611"/>
      <c r="AA990" s="611"/>
      <c r="AB990" s="611"/>
      <c r="AC990" s="611"/>
      <c r="AD990" s="611"/>
      <c r="AE990" s="611"/>
      <c r="AF990" s="611"/>
      <c r="AG990" s="611"/>
    </row>
    <row r="991" spans="1:33" s="56" customFormat="1" hidden="1" outlineLevel="1" x14ac:dyDescent="0.25">
      <c r="A991" s="724"/>
      <c r="B991" s="130"/>
      <c r="C991" s="616"/>
      <c r="D991" s="2101"/>
      <c r="E991" s="2104"/>
      <c r="F991" s="2110" t="str">
        <f>$E$818</f>
        <v>ASHP - SEER 16 - replace on fail MF</v>
      </c>
      <c r="G991" s="2111"/>
      <c r="H991" s="2111"/>
      <c r="I991" s="2112"/>
      <c r="J991" s="709">
        <v>1270</v>
      </c>
      <c r="K991" s="730">
        <v>39600</v>
      </c>
      <c r="L991" s="76">
        <f t="shared" si="67"/>
        <v>3.3</v>
      </c>
      <c r="M991" s="754" t="s">
        <v>977</v>
      </c>
      <c r="N991" s="130"/>
      <c r="O991" s="251"/>
      <c r="P991" s="766"/>
      <c r="Q991" s="767"/>
      <c r="R991" s="766"/>
      <c r="S991" s="752"/>
      <c r="T991" s="760"/>
      <c r="U991" s="130"/>
      <c r="V991" s="2107"/>
      <c r="W991" s="611">
        <v>39600</v>
      </c>
      <c r="X991" s="611">
        <v>39600</v>
      </c>
      <c r="Y991" s="611"/>
      <c r="Z991" s="611"/>
      <c r="AA991" s="611"/>
      <c r="AB991" s="611"/>
      <c r="AC991" s="611"/>
      <c r="AD991" s="611"/>
      <c r="AE991" s="611"/>
      <c r="AF991" s="611"/>
      <c r="AG991" s="611"/>
    </row>
    <row r="992" spans="1:33" s="56" customFormat="1" hidden="1" outlineLevel="1" x14ac:dyDescent="0.25">
      <c r="A992" s="724"/>
      <c r="B992" s="130"/>
      <c r="C992" s="616"/>
      <c r="D992" s="2101"/>
      <c r="E992" s="2104"/>
      <c r="F992" s="2110" t="str">
        <f>$E$820</f>
        <v>ASHP - SEER 16 - replace electric furnace / CAC MF</v>
      </c>
      <c r="G992" s="2111"/>
      <c r="H992" s="2111"/>
      <c r="I992" s="2112"/>
      <c r="J992" s="709">
        <v>1271</v>
      </c>
      <c r="K992" s="730">
        <v>38400</v>
      </c>
      <c r="L992" s="76">
        <f t="shared" si="67"/>
        <v>3.2</v>
      </c>
      <c r="M992" s="754" t="s">
        <v>977</v>
      </c>
      <c r="N992" s="130"/>
      <c r="O992" s="251"/>
      <c r="P992" s="766"/>
      <c r="Q992" s="767"/>
      <c r="R992" s="766"/>
      <c r="S992" s="752"/>
      <c r="T992" s="760"/>
      <c r="U992" s="130"/>
      <c r="V992" s="2107"/>
      <c r="W992" s="611">
        <v>38400</v>
      </c>
      <c r="X992" s="611">
        <v>38400</v>
      </c>
      <c r="Y992" s="611"/>
      <c r="Z992" s="611"/>
      <c r="AA992" s="611"/>
      <c r="AB992" s="611"/>
      <c r="AC992" s="611"/>
      <c r="AD992" s="611"/>
      <c r="AE992" s="611"/>
      <c r="AF992" s="611"/>
      <c r="AG992" s="611"/>
    </row>
    <row r="993" spans="1:33" s="56" customFormat="1" hidden="1" outlineLevel="1" x14ac:dyDescent="0.25">
      <c r="A993" s="724"/>
      <c r="B993" s="130"/>
      <c r="C993" s="616"/>
      <c r="D993" s="2101"/>
      <c r="E993" s="2104"/>
      <c r="F993" s="2110" t="str">
        <f>$E$822</f>
        <v>ASHP - SEER 16 - replace electric furnace / CAC - early replacement MF ER1</v>
      </c>
      <c r="G993" s="2111"/>
      <c r="H993" s="2111"/>
      <c r="I993" s="2112"/>
      <c r="J993" s="709">
        <v>1269</v>
      </c>
      <c r="K993" s="730">
        <v>37200</v>
      </c>
      <c r="L993" s="76">
        <f t="shared" si="67"/>
        <v>3.1</v>
      </c>
      <c r="M993" s="754" t="s">
        <v>977</v>
      </c>
      <c r="N993" s="130"/>
      <c r="O993" s="251"/>
      <c r="P993" s="766"/>
      <c r="Q993" s="767"/>
      <c r="R993" s="766"/>
      <c r="S993" s="752"/>
      <c r="T993" s="760"/>
      <c r="U993" s="130"/>
      <c r="V993" s="2107"/>
      <c r="W993" s="611">
        <v>37200</v>
      </c>
      <c r="X993" s="611">
        <v>37200</v>
      </c>
      <c r="Y993" s="611"/>
      <c r="Z993" s="611"/>
      <c r="AA993" s="611"/>
      <c r="AB993" s="611"/>
      <c r="AC993" s="611"/>
      <c r="AD993" s="611"/>
      <c r="AE993" s="611"/>
      <c r="AF993" s="611"/>
      <c r="AG993" s="611"/>
    </row>
    <row r="994" spans="1:33" s="56" customFormat="1" ht="15" hidden="1" customHeight="1" outlineLevel="1" x14ac:dyDescent="0.25">
      <c r="A994" s="724"/>
      <c r="B994" s="130"/>
      <c r="C994" s="616"/>
      <c r="D994" s="2101"/>
      <c r="E994" s="2104"/>
      <c r="F994" s="2110" t="str">
        <f>$E$824</f>
        <v>ASHP - SEER 16 - replace electric furnace / CAC - early replacement MF ER2</v>
      </c>
      <c r="G994" s="2111"/>
      <c r="H994" s="2111"/>
      <c r="I994" s="2112"/>
      <c r="J994" s="709" t="s">
        <v>1171</v>
      </c>
      <c r="K994" s="730">
        <v>37200</v>
      </c>
      <c r="L994" s="76">
        <f t="shared" si="67"/>
        <v>3.1</v>
      </c>
      <c r="M994" s="754" t="s">
        <v>977</v>
      </c>
      <c r="N994" s="130"/>
      <c r="O994" s="251"/>
      <c r="P994" s="766"/>
      <c r="Q994" s="767"/>
      <c r="R994" s="766"/>
      <c r="S994" s="752"/>
      <c r="T994" s="760"/>
      <c r="U994" s="130"/>
      <c r="V994" s="2107"/>
      <c r="W994" s="611">
        <v>37200</v>
      </c>
      <c r="X994" s="611">
        <v>37200</v>
      </c>
      <c r="Y994" s="611"/>
      <c r="Z994" s="611"/>
      <c r="AA994" s="611"/>
      <c r="AB994" s="611"/>
      <c r="AC994" s="611"/>
      <c r="AD994" s="611"/>
      <c r="AE994" s="611"/>
      <c r="AF994" s="611"/>
      <c r="AG994" s="611"/>
    </row>
    <row r="995" spans="1:33" s="56" customFormat="1" ht="15" hidden="1" customHeight="1" outlineLevel="1" x14ac:dyDescent="0.25">
      <c r="A995" s="724"/>
      <c r="B995" s="130"/>
      <c r="C995" s="616"/>
      <c r="D995" s="2101"/>
      <c r="E995" s="2104"/>
      <c r="F995" s="2110" t="str">
        <f>$E$826</f>
        <v>ASHP SEER 15 MF Replace at Fail ASHP: HVAC</v>
      </c>
      <c r="G995" s="2111"/>
      <c r="H995" s="2111"/>
      <c r="I995" s="2112"/>
      <c r="J995" s="709">
        <v>1267</v>
      </c>
      <c r="K995" s="730">
        <v>37200</v>
      </c>
      <c r="L995" s="76">
        <f t="shared" si="67"/>
        <v>3.1</v>
      </c>
      <c r="M995" s="754" t="s">
        <v>977</v>
      </c>
      <c r="N995" s="130"/>
      <c r="O995" s="251"/>
      <c r="P995" s="766"/>
      <c r="Q995" s="767"/>
      <c r="R995" s="766"/>
      <c r="S995" s="752"/>
      <c r="T995" s="760"/>
      <c r="U995" s="130"/>
      <c r="V995" s="2107"/>
      <c r="W995" s="611">
        <v>37200</v>
      </c>
      <c r="X995" s="611">
        <v>37200</v>
      </c>
      <c r="Y995" s="611"/>
      <c r="Z995" s="611"/>
      <c r="AA995" s="611"/>
      <c r="AB995" s="611"/>
      <c r="AC995" s="611"/>
      <c r="AD995" s="611"/>
      <c r="AE995" s="611"/>
      <c r="AF995" s="611"/>
      <c r="AG995" s="611"/>
    </row>
    <row r="996" spans="1:33" s="56" customFormat="1" hidden="1" outlineLevel="1" x14ac:dyDescent="0.25">
      <c r="A996" s="724"/>
      <c r="B996" s="130"/>
      <c r="C996" s="616"/>
      <c r="D996" s="2101"/>
      <c r="E996" s="2104"/>
      <c r="F996" s="2110" t="str">
        <f>$E$828</f>
        <v>ASHP - SEER 17 - replace electric furnace / CAC SF</v>
      </c>
      <c r="G996" s="2111"/>
      <c r="H996" s="2111"/>
      <c r="I996" s="2112"/>
      <c r="J996" s="709" t="s">
        <v>1172</v>
      </c>
      <c r="K996" s="730">
        <v>33600</v>
      </c>
      <c r="L996" s="76">
        <f t="shared" si="67"/>
        <v>2.8</v>
      </c>
      <c r="M996" s="754" t="s">
        <v>1173</v>
      </c>
      <c r="N996" s="130"/>
      <c r="O996" s="251"/>
      <c r="P996" s="766"/>
      <c r="Q996" s="767"/>
      <c r="R996" s="766"/>
      <c r="S996" s="752"/>
      <c r="T996" s="760"/>
      <c r="U996" s="130"/>
      <c r="V996" s="2107"/>
      <c r="W996" s="611">
        <v>33600</v>
      </c>
      <c r="X996" s="611">
        <v>33600</v>
      </c>
      <c r="Y996" s="611"/>
      <c r="Z996" s="611"/>
      <c r="AA996" s="611"/>
      <c r="AB996" s="611"/>
      <c r="AC996" s="611"/>
      <c r="AD996" s="611"/>
      <c r="AE996" s="611"/>
      <c r="AF996" s="611"/>
      <c r="AG996" s="611"/>
    </row>
    <row r="997" spans="1:33" s="56" customFormat="1" ht="15" hidden="1" customHeight="1" outlineLevel="1" x14ac:dyDescent="0.25">
      <c r="A997" s="724"/>
      <c r="B997" s="130"/>
      <c r="C997" s="616"/>
      <c r="D997" s="2101"/>
      <c r="E997" s="2104"/>
      <c r="F997" s="2110" t="str">
        <f>$E$830</f>
        <v>ASHP - SEER 17 - replace electric furnace / CAC MF</v>
      </c>
      <c r="G997" s="2111"/>
      <c r="H997" s="2111"/>
      <c r="I997" s="2112"/>
      <c r="J997" s="709" t="s">
        <v>1174</v>
      </c>
      <c r="K997" s="730">
        <v>33600</v>
      </c>
      <c r="L997" s="76">
        <f t="shared" si="67"/>
        <v>2.8</v>
      </c>
      <c r="M997" s="754" t="s">
        <v>1173</v>
      </c>
      <c r="N997" s="130"/>
      <c r="O997" s="251"/>
      <c r="P997" s="766"/>
      <c r="Q997" s="767"/>
      <c r="R997" s="766"/>
      <c r="S997" s="752"/>
      <c r="T997" s="760"/>
      <c r="U997" s="130"/>
      <c r="V997" s="2107"/>
      <c r="W997" s="611">
        <v>33600</v>
      </c>
      <c r="X997" s="611">
        <v>33600</v>
      </c>
      <c r="Y997" s="611"/>
      <c r="Z997" s="611"/>
      <c r="AA997" s="611"/>
      <c r="AB997" s="611"/>
      <c r="AC997" s="611"/>
      <c r="AD997" s="611"/>
      <c r="AE997" s="611"/>
      <c r="AF997" s="611"/>
      <c r="AG997" s="611"/>
    </row>
    <row r="998" spans="1:33" s="56" customFormat="1" ht="15" hidden="1" customHeight="1" outlineLevel="1" x14ac:dyDescent="0.25">
      <c r="A998" s="724"/>
      <c r="B998" s="130"/>
      <c r="C998" s="616"/>
      <c r="D998" s="2101"/>
      <c r="E998" s="2104"/>
      <c r="F998" s="2110" t="str">
        <f>$E$832</f>
        <v>ASHP - SEER 18 - replace electric furnace / CAC SF</v>
      </c>
      <c r="G998" s="2111"/>
      <c r="H998" s="2111"/>
      <c r="I998" s="2112"/>
      <c r="J998" s="709" t="s">
        <v>1175</v>
      </c>
      <c r="K998" s="730">
        <v>33600</v>
      </c>
      <c r="L998" s="76">
        <f t="shared" si="67"/>
        <v>2.8</v>
      </c>
      <c r="M998" s="754" t="s">
        <v>1173</v>
      </c>
      <c r="N998" s="130"/>
      <c r="O998" s="251"/>
      <c r="P998" s="766"/>
      <c r="Q998" s="767"/>
      <c r="R998" s="766"/>
      <c r="S998" s="752"/>
      <c r="T998" s="760"/>
      <c r="U998" s="130"/>
      <c r="V998" s="2107"/>
      <c r="W998" s="611">
        <v>33600</v>
      </c>
      <c r="X998" s="611">
        <v>33600</v>
      </c>
      <c r="Y998" s="611"/>
      <c r="Z998" s="611"/>
      <c r="AA998" s="611"/>
      <c r="AB998" s="611"/>
      <c r="AC998" s="611"/>
      <c r="AD998" s="611"/>
      <c r="AE998" s="611"/>
      <c r="AF998" s="611"/>
      <c r="AG998" s="611"/>
    </row>
    <row r="999" spans="1:33" s="56" customFormat="1" ht="15" hidden="1" customHeight="1" outlineLevel="1" x14ac:dyDescent="0.25">
      <c r="A999" s="724"/>
      <c r="B999" s="130"/>
      <c r="C999" s="616"/>
      <c r="D999" s="2101"/>
      <c r="E999" s="2104"/>
      <c r="F999" s="2110" t="str">
        <f>$E$834</f>
        <v>ASHP - SEER 18 - replace electric furnace / CAC MF</v>
      </c>
      <c r="G999" s="2111"/>
      <c r="H999" s="2111"/>
      <c r="I999" s="2112"/>
      <c r="J999" s="709" t="s">
        <v>1176</v>
      </c>
      <c r="K999" s="730">
        <v>33600</v>
      </c>
      <c r="L999" s="76">
        <f t="shared" si="67"/>
        <v>2.8</v>
      </c>
      <c r="M999" s="754" t="s">
        <v>1173</v>
      </c>
      <c r="N999" s="130"/>
      <c r="O999" s="251"/>
      <c r="P999" s="766"/>
      <c r="Q999" s="767"/>
      <c r="R999" s="766"/>
      <c r="S999" s="752"/>
      <c r="T999" s="760"/>
      <c r="U999" s="130"/>
      <c r="V999" s="2107"/>
      <c r="W999" s="611">
        <v>33600</v>
      </c>
      <c r="X999" s="611">
        <v>33600</v>
      </c>
      <c r="Y999" s="611"/>
      <c r="Z999" s="611"/>
      <c r="AA999" s="611"/>
      <c r="AB999" s="611"/>
      <c r="AC999" s="611"/>
      <c r="AD999" s="611"/>
      <c r="AE999" s="611"/>
      <c r="AF999" s="611"/>
      <c r="AG999" s="611"/>
    </row>
    <row r="1000" spans="1:33" s="56" customFormat="1" ht="15" hidden="1" customHeight="1" outlineLevel="1" x14ac:dyDescent="0.25">
      <c r="A1000" s="724"/>
      <c r="B1000" s="130"/>
      <c r="C1000" s="616"/>
      <c r="D1000" s="2101"/>
      <c r="E1000" s="2104"/>
      <c r="F1000" s="2110" t="str">
        <f>$E$836</f>
        <v>ASHP - SEER 19 - replace electric furnace / CAC SF</v>
      </c>
      <c r="G1000" s="2111"/>
      <c r="H1000" s="2111"/>
      <c r="I1000" s="2112"/>
      <c r="J1000" s="709" t="s">
        <v>1177</v>
      </c>
      <c r="K1000" s="730">
        <v>33600</v>
      </c>
      <c r="L1000" s="76">
        <f t="shared" si="67"/>
        <v>2.8</v>
      </c>
      <c r="M1000" s="754" t="s">
        <v>1173</v>
      </c>
      <c r="N1000" s="130"/>
      <c r="O1000" s="251"/>
      <c r="P1000" s="766"/>
      <c r="Q1000" s="767"/>
      <c r="R1000" s="766"/>
      <c r="S1000" s="752"/>
      <c r="T1000" s="760"/>
      <c r="U1000" s="130"/>
      <c r="V1000" s="2107"/>
      <c r="W1000" s="611">
        <v>33600</v>
      </c>
      <c r="X1000" s="611">
        <v>33600</v>
      </c>
      <c r="Y1000" s="611"/>
      <c r="Z1000" s="611"/>
      <c r="AA1000" s="611"/>
      <c r="AB1000" s="611"/>
      <c r="AC1000" s="611"/>
      <c r="AD1000" s="611"/>
      <c r="AE1000" s="611"/>
      <c r="AF1000" s="611"/>
      <c r="AG1000" s="611"/>
    </row>
    <row r="1001" spans="1:33" s="56" customFormat="1" ht="15" hidden="1" customHeight="1" outlineLevel="1" x14ac:dyDescent="0.25">
      <c r="A1001" s="724"/>
      <c r="B1001" s="130"/>
      <c r="C1001" s="616"/>
      <c r="D1001" s="2101"/>
      <c r="E1001" s="2104"/>
      <c r="F1001" s="2110" t="str">
        <f>$E$838</f>
        <v>ASHP - SEER 19 - replace electric furnace / CAC MF</v>
      </c>
      <c r="G1001" s="2111"/>
      <c r="H1001" s="2111"/>
      <c r="I1001" s="2112"/>
      <c r="J1001" s="709" t="s">
        <v>1178</v>
      </c>
      <c r="K1001" s="730">
        <v>33600</v>
      </c>
      <c r="L1001" s="76">
        <f t="shared" si="67"/>
        <v>2.8</v>
      </c>
      <c r="M1001" s="754" t="s">
        <v>1173</v>
      </c>
      <c r="N1001" s="130"/>
      <c r="O1001" s="251"/>
      <c r="P1001" s="766"/>
      <c r="Q1001" s="767"/>
      <c r="R1001" s="766"/>
      <c r="S1001" s="752"/>
      <c r="T1001" s="760"/>
      <c r="U1001" s="130"/>
      <c r="V1001" s="2107"/>
      <c r="W1001" s="611">
        <v>33600</v>
      </c>
      <c r="X1001" s="611">
        <v>33600</v>
      </c>
      <c r="Y1001" s="611"/>
      <c r="Z1001" s="611"/>
      <c r="AA1001" s="611"/>
      <c r="AB1001" s="611"/>
      <c r="AC1001" s="611"/>
      <c r="AD1001" s="611"/>
      <c r="AE1001" s="611"/>
      <c r="AF1001" s="611"/>
      <c r="AG1001" s="611"/>
    </row>
    <row r="1002" spans="1:33" s="56" customFormat="1" ht="15" hidden="1" customHeight="1" outlineLevel="1" x14ac:dyDescent="0.25">
      <c r="A1002" s="724"/>
      <c r="B1002" s="130"/>
      <c r="C1002" s="616"/>
      <c r="D1002" s="2101"/>
      <c r="E1002" s="2104"/>
      <c r="F1002" s="2110" t="str">
        <f>$E$840</f>
        <v>ASHP - SEER 20 - replace electric furnace / CAC - early replacement SF ER1</v>
      </c>
      <c r="G1002" s="2111"/>
      <c r="H1002" s="2111"/>
      <c r="I1002" s="2112"/>
      <c r="J1002" s="709" t="s">
        <v>1179</v>
      </c>
      <c r="K1002" s="730">
        <v>37200</v>
      </c>
      <c r="L1002" s="76">
        <f t="shared" si="67"/>
        <v>3.1</v>
      </c>
      <c r="M1002" s="754" t="s">
        <v>1173</v>
      </c>
      <c r="N1002" s="130"/>
      <c r="O1002" s="251"/>
      <c r="P1002" s="766"/>
      <c r="Q1002" s="767"/>
      <c r="R1002" s="766"/>
      <c r="S1002" s="752"/>
      <c r="T1002" s="760"/>
      <c r="U1002" s="130"/>
      <c r="V1002" s="2107"/>
      <c r="W1002" s="611">
        <v>37200</v>
      </c>
      <c r="X1002" s="611">
        <v>37200</v>
      </c>
      <c r="Y1002" s="611"/>
      <c r="Z1002" s="611"/>
      <c r="AA1002" s="611"/>
      <c r="AB1002" s="611"/>
      <c r="AC1002" s="611"/>
      <c r="AD1002" s="611"/>
      <c r="AE1002" s="611"/>
      <c r="AF1002" s="611"/>
      <c r="AG1002" s="611"/>
    </row>
    <row r="1003" spans="1:33" s="56" customFormat="1" ht="15" hidden="1" customHeight="1" outlineLevel="1" x14ac:dyDescent="0.25">
      <c r="A1003" s="724"/>
      <c r="B1003" s="130"/>
      <c r="C1003" s="616"/>
      <c r="D1003" s="2101"/>
      <c r="E1003" s="2104"/>
      <c r="F1003" s="2110" t="str">
        <f>$E$842</f>
        <v>ASHP - SEER 20 - replace electric furnace / CAC - early replacement SF ER2</v>
      </c>
      <c r="G1003" s="2111"/>
      <c r="H1003" s="2111"/>
      <c r="I1003" s="2112"/>
      <c r="J1003" s="709" t="s">
        <v>1180</v>
      </c>
      <c r="K1003" s="730">
        <v>37200</v>
      </c>
      <c r="L1003" s="76">
        <f t="shared" si="67"/>
        <v>3.1</v>
      </c>
      <c r="M1003" s="754" t="s">
        <v>1173</v>
      </c>
      <c r="N1003" s="130"/>
      <c r="O1003" s="251"/>
      <c r="P1003" s="766"/>
      <c r="Q1003" s="767"/>
      <c r="R1003" s="766"/>
      <c r="S1003" s="752"/>
      <c r="T1003" s="760"/>
      <c r="U1003" s="130"/>
      <c r="V1003" s="2107"/>
      <c r="W1003" s="611">
        <v>37200</v>
      </c>
      <c r="X1003" s="611">
        <v>37200</v>
      </c>
      <c r="Y1003" s="611"/>
      <c r="Z1003" s="611"/>
      <c r="AA1003" s="611"/>
      <c r="AB1003" s="611"/>
      <c r="AC1003" s="611"/>
      <c r="AD1003" s="611"/>
      <c r="AE1003" s="611"/>
      <c r="AF1003" s="611"/>
      <c r="AG1003" s="611"/>
    </row>
    <row r="1004" spans="1:33" s="56" customFormat="1" ht="15" hidden="1" customHeight="1" outlineLevel="1" x14ac:dyDescent="0.25">
      <c r="A1004" s="724"/>
      <c r="B1004" s="130"/>
      <c r="C1004" s="616"/>
      <c r="D1004" s="2101"/>
      <c r="E1004" s="2104"/>
      <c r="F1004" s="2110" t="str">
        <f>$E$844</f>
        <v>ASHP - SEER 20 - replace electric furnace / CAC SF</v>
      </c>
      <c r="G1004" s="2111"/>
      <c r="H1004" s="2111"/>
      <c r="I1004" s="2112"/>
      <c r="J1004" s="709" t="s">
        <v>1181</v>
      </c>
      <c r="K1004" s="730">
        <v>38400</v>
      </c>
      <c r="L1004" s="76">
        <f t="shared" si="67"/>
        <v>3.2</v>
      </c>
      <c r="M1004" s="754" t="s">
        <v>1173</v>
      </c>
      <c r="N1004" s="130"/>
      <c r="O1004" s="251"/>
      <c r="P1004" s="766"/>
      <c r="Q1004" s="767"/>
      <c r="R1004" s="766"/>
      <c r="S1004" s="752"/>
      <c r="T1004" s="760"/>
      <c r="U1004" s="130"/>
      <c r="V1004" s="2107"/>
      <c r="W1004" s="611">
        <v>38400</v>
      </c>
      <c r="X1004" s="611">
        <v>38400</v>
      </c>
      <c r="Y1004" s="611"/>
      <c r="Z1004" s="611"/>
      <c r="AA1004" s="611"/>
      <c r="AB1004" s="611"/>
      <c r="AC1004" s="611"/>
      <c r="AD1004" s="611"/>
      <c r="AE1004" s="611"/>
      <c r="AF1004" s="611"/>
      <c r="AG1004" s="611"/>
    </row>
    <row r="1005" spans="1:33" s="56" customFormat="1" ht="15" hidden="1" customHeight="1" outlineLevel="1" x14ac:dyDescent="0.25">
      <c r="A1005" s="724"/>
      <c r="B1005" s="130"/>
      <c r="C1005" s="616"/>
      <c r="D1005" s="2101"/>
      <c r="E1005" s="2104"/>
      <c r="F1005" s="2110" t="str">
        <f>$E$846</f>
        <v>ASHP - SEER 20 - replace electric furnace / CAC MF</v>
      </c>
      <c r="G1005" s="2111"/>
      <c r="H1005" s="2111"/>
      <c r="I1005" s="2112"/>
      <c r="J1005" s="709" t="s">
        <v>1182</v>
      </c>
      <c r="K1005" s="730">
        <v>38400</v>
      </c>
      <c r="L1005" s="76">
        <f t="shared" si="67"/>
        <v>3.2</v>
      </c>
      <c r="M1005" s="754" t="s">
        <v>1173</v>
      </c>
      <c r="N1005" s="130"/>
      <c r="O1005" s="251"/>
      <c r="P1005" s="766"/>
      <c r="Q1005" s="767"/>
      <c r="R1005" s="766"/>
      <c r="S1005" s="752"/>
      <c r="T1005" s="760"/>
      <c r="U1005" s="130"/>
      <c r="V1005" s="2107"/>
      <c r="W1005" s="611">
        <v>38400</v>
      </c>
      <c r="X1005" s="611">
        <v>38400</v>
      </c>
      <c r="Y1005" s="611"/>
      <c r="Z1005" s="611"/>
      <c r="AA1005" s="611"/>
      <c r="AB1005" s="611"/>
      <c r="AC1005" s="611"/>
      <c r="AD1005" s="611"/>
      <c r="AE1005" s="611"/>
      <c r="AF1005" s="611"/>
      <c r="AG1005" s="611"/>
    </row>
    <row r="1006" spans="1:33" s="56" customFormat="1" ht="15" hidden="1" customHeight="1" outlineLevel="1" x14ac:dyDescent="0.25">
      <c r="A1006" s="724"/>
      <c r="B1006" s="130"/>
      <c r="C1006" s="616"/>
      <c r="D1006" s="2101"/>
      <c r="E1006" s="2104"/>
      <c r="F1006" s="2110" t="str">
        <f>$E$848</f>
        <v>ASHP - SEER 21 - replace electric furnace / CAC - early replacement SF ER1</v>
      </c>
      <c r="G1006" s="2111"/>
      <c r="H1006" s="2111"/>
      <c r="I1006" s="2112"/>
      <c r="J1006" s="709" t="s">
        <v>1183</v>
      </c>
      <c r="K1006" s="730">
        <v>37200</v>
      </c>
      <c r="L1006" s="76">
        <f t="shared" si="67"/>
        <v>3.1</v>
      </c>
      <c r="M1006" s="754" t="s">
        <v>1173</v>
      </c>
      <c r="N1006" s="130"/>
      <c r="O1006" s="251"/>
      <c r="P1006" s="766"/>
      <c r="Q1006" s="767"/>
      <c r="R1006" s="766"/>
      <c r="S1006" s="752"/>
      <c r="T1006" s="760"/>
      <c r="U1006" s="130"/>
      <c r="V1006" s="2107"/>
      <c r="W1006" s="611">
        <v>37200</v>
      </c>
      <c r="X1006" s="611">
        <v>37200</v>
      </c>
      <c r="Y1006" s="611"/>
      <c r="Z1006" s="611"/>
      <c r="AA1006" s="611"/>
      <c r="AB1006" s="611"/>
      <c r="AC1006" s="611"/>
      <c r="AD1006" s="611"/>
      <c r="AE1006" s="611"/>
      <c r="AF1006" s="611"/>
      <c r="AG1006" s="611"/>
    </row>
    <row r="1007" spans="1:33" s="56" customFormat="1" ht="15" hidden="1" customHeight="1" outlineLevel="1" x14ac:dyDescent="0.25">
      <c r="A1007" s="724"/>
      <c r="B1007" s="130"/>
      <c r="C1007" s="616"/>
      <c r="D1007" s="2101"/>
      <c r="E1007" s="2104"/>
      <c r="F1007" s="2110" t="str">
        <f>$E$850</f>
        <v>ASHP - SEER 21 - replace electric furnace / CAC - early replacement SF ER2</v>
      </c>
      <c r="G1007" s="2111"/>
      <c r="H1007" s="2111"/>
      <c r="I1007" s="2112"/>
      <c r="J1007" s="709" t="s">
        <v>1184</v>
      </c>
      <c r="K1007" s="730">
        <v>37200</v>
      </c>
      <c r="L1007" s="76">
        <f t="shared" si="67"/>
        <v>3.1</v>
      </c>
      <c r="M1007" s="754" t="s">
        <v>1173</v>
      </c>
      <c r="N1007" s="130"/>
      <c r="O1007" s="251"/>
      <c r="P1007" s="766"/>
      <c r="Q1007" s="767"/>
      <c r="R1007" s="766"/>
      <c r="S1007" s="752"/>
      <c r="T1007" s="760"/>
      <c r="U1007" s="130"/>
      <c r="V1007" s="2107"/>
      <c r="W1007" s="611">
        <v>37200</v>
      </c>
      <c r="X1007" s="611">
        <v>37200</v>
      </c>
      <c r="Y1007" s="611"/>
      <c r="Z1007" s="611"/>
      <c r="AA1007" s="611"/>
      <c r="AB1007" s="611"/>
      <c r="AC1007" s="611"/>
      <c r="AD1007" s="611"/>
      <c r="AE1007" s="611"/>
      <c r="AF1007" s="611"/>
      <c r="AG1007" s="611"/>
    </row>
    <row r="1008" spans="1:33" s="56" customFormat="1" ht="15" hidden="1" customHeight="1" outlineLevel="1" x14ac:dyDescent="0.25">
      <c r="A1008" s="724"/>
      <c r="B1008" s="130"/>
      <c r="C1008" s="616"/>
      <c r="D1008" s="2101"/>
      <c r="E1008" s="2104"/>
      <c r="F1008" s="2110" t="str">
        <f>$E$852</f>
        <v>ASHP - SEER 21 - replace electric furnace / CAC - early replacement MF ER1</v>
      </c>
      <c r="G1008" s="2111"/>
      <c r="H1008" s="2111"/>
      <c r="I1008" s="2112"/>
      <c r="J1008" s="709" t="s">
        <v>1185</v>
      </c>
      <c r="K1008" s="730">
        <v>37200</v>
      </c>
      <c r="L1008" s="76">
        <f t="shared" si="67"/>
        <v>3.1</v>
      </c>
      <c r="M1008" s="754" t="s">
        <v>1173</v>
      </c>
      <c r="N1008" s="130"/>
      <c r="O1008" s="251"/>
      <c r="P1008" s="766"/>
      <c r="Q1008" s="767"/>
      <c r="R1008" s="766"/>
      <c r="S1008" s="752"/>
      <c r="T1008" s="760"/>
      <c r="U1008" s="130"/>
      <c r="V1008" s="2107"/>
      <c r="W1008" s="611">
        <v>37200</v>
      </c>
      <c r="X1008" s="611">
        <v>37200</v>
      </c>
      <c r="Y1008" s="611"/>
      <c r="Z1008" s="611"/>
      <c r="AA1008" s="611"/>
      <c r="AB1008" s="611"/>
      <c r="AC1008" s="611"/>
      <c r="AD1008" s="611"/>
      <c r="AE1008" s="611"/>
      <c r="AF1008" s="611"/>
      <c r="AG1008" s="611"/>
    </row>
    <row r="1009" spans="1:33" s="56" customFormat="1" ht="15" hidden="1" customHeight="1" outlineLevel="1" x14ac:dyDescent="0.25">
      <c r="A1009" s="724"/>
      <c r="B1009" s="130"/>
      <c r="C1009" s="616"/>
      <c r="D1009" s="2101"/>
      <c r="E1009" s="2104"/>
      <c r="F1009" s="2110" t="str">
        <f>$E$854</f>
        <v>ASHP - SEER 21 - replace electric furnace / CAC - early replacement MF ER2</v>
      </c>
      <c r="G1009" s="2111"/>
      <c r="H1009" s="2111"/>
      <c r="I1009" s="2112"/>
      <c r="J1009" s="709" t="s">
        <v>1186</v>
      </c>
      <c r="K1009" s="730">
        <v>37200</v>
      </c>
      <c r="L1009" s="76">
        <f t="shared" si="67"/>
        <v>3.1</v>
      </c>
      <c r="M1009" s="754" t="s">
        <v>1173</v>
      </c>
      <c r="N1009" s="130"/>
      <c r="O1009" s="251"/>
      <c r="P1009" s="766"/>
      <c r="Q1009" s="767"/>
      <c r="R1009" s="766"/>
      <c r="S1009" s="752"/>
      <c r="T1009" s="760"/>
      <c r="U1009" s="130"/>
      <c r="V1009" s="2107"/>
      <c r="W1009" s="611">
        <v>37200</v>
      </c>
      <c r="X1009" s="611">
        <v>37200</v>
      </c>
      <c r="Y1009" s="611"/>
      <c r="Z1009" s="611"/>
      <c r="AA1009" s="611"/>
      <c r="AB1009" s="611"/>
      <c r="AC1009" s="611"/>
      <c r="AD1009" s="611"/>
      <c r="AE1009" s="611"/>
      <c r="AF1009" s="611"/>
      <c r="AG1009" s="611"/>
    </row>
    <row r="1010" spans="1:33" s="56" customFormat="1" ht="15" hidden="1" customHeight="1" outlineLevel="1" x14ac:dyDescent="0.25">
      <c r="A1010" s="724"/>
      <c r="B1010" s="130"/>
      <c r="C1010" s="616"/>
      <c r="D1010" s="2101"/>
      <c r="E1010" s="2104"/>
      <c r="F1010" s="2110" t="str">
        <f>$E$856</f>
        <v>ASHP - SEER 21 - replace electric furnace / CAC SF</v>
      </c>
      <c r="G1010" s="2111"/>
      <c r="H1010" s="2111"/>
      <c r="I1010" s="2112"/>
      <c r="J1010" s="709" t="s">
        <v>1187</v>
      </c>
      <c r="K1010" s="730">
        <v>38400</v>
      </c>
      <c r="L1010" s="76">
        <f t="shared" si="67"/>
        <v>3.2</v>
      </c>
      <c r="M1010" s="754" t="s">
        <v>1173</v>
      </c>
      <c r="N1010" s="130"/>
      <c r="O1010" s="251"/>
      <c r="P1010" s="766"/>
      <c r="Q1010" s="767"/>
      <c r="R1010" s="766"/>
      <c r="S1010" s="752"/>
      <c r="T1010" s="760"/>
      <c r="U1010" s="130"/>
      <c r="V1010" s="2107"/>
      <c r="W1010" s="611">
        <v>38400</v>
      </c>
      <c r="X1010" s="611">
        <v>38400</v>
      </c>
      <c r="Y1010" s="611"/>
      <c r="Z1010" s="611"/>
      <c r="AA1010" s="611"/>
      <c r="AB1010" s="611"/>
      <c r="AC1010" s="611"/>
      <c r="AD1010" s="611"/>
      <c r="AE1010" s="611"/>
      <c r="AF1010" s="611"/>
      <c r="AG1010" s="611"/>
    </row>
    <row r="1011" spans="1:33" s="56" customFormat="1" ht="15" hidden="1" customHeight="1" outlineLevel="1" x14ac:dyDescent="0.25">
      <c r="A1011" s="597"/>
      <c r="B1011" s="130"/>
      <c r="C1011" s="616"/>
      <c r="D1011" s="2101"/>
      <c r="E1011" s="2104"/>
      <c r="F1011" s="2110" t="str">
        <f>$E$858</f>
        <v>ASHP-  SEER 21+ Replace at Fail Elec Resist Furnace: HVAC</v>
      </c>
      <c r="G1011" s="2111"/>
      <c r="H1011" s="2111"/>
      <c r="I1011" s="2112"/>
      <c r="J1011" s="709" t="s">
        <v>614</v>
      </c>
      <c r="K1011" s="730">
        <v>38400</v>
      </c>
      <c r="L1011" s="76">
        <f t="shared" si="67"/>
        <v>3.2</v>
      </c>
      <c r="M1011" s="754" t="s">
        <v>1173</v>
      </c>
      <c r="N1011" s="130"/>
      <c r="O1011" s="251"/>
      <c r="P1011" s="251"/>
      <c r="Q1011" s="251"/>
      <c r="R1011" s="251"/>
      <c r="S1011" s="130"/>
      <c r="T1011" s="130"/>
      <c r="U1011" s="130"/>
      <c r="V1011" s="2107"/>
      <c r="W1011" s="611">
        <v>38400</v>
      </c>
      <c r="X1011" s="611">
        <v>38400</v>
      </c>
      <c r="Y1011" s="611"/>
      <c r="Z1011" s="611"/>
      <c r="AA1011" s="611"/>
      <c r="AB1011" s="611"/>
      <c r="AC1011" s="611"/>
      <c r="AD1011" s="611"/>
      <c r="AE1011" s="611"/>
      <c r="AF1011" s="611"/>
      <c r="AG1011" s="611"/>
    </row>
    <row r="1012" spans="1:33" s="56" customFormat="1" ht="15" hidden="1" customHeight="1" outlineLevel="1" x14ac:dyDescent="0.25">
      <c r="A1012" s="597"/>
      <c r="B1012" s="130"/>
      <c r="C1012" s="616"/>
      <c r="D1012" s="2101"/>
      <c r="E1012" s="2104"/>
      <c r="F1012" s="2110" t="str">
        <f>$E$860</f>
        <v>ASHP SEER 17 replace ASHP - early replacement SF ER1</v>
      </c>
      <c r="G1012" s="2111"/>
      <c r="H1012" s="2111"/>
      <c r="I1012" s="2112"/>
      <c r="J1012" s="709" t="s">
        <v>1188</v>
      </c>
      <c r="K1012" s="730">
        <v>39600</v>
      </c>
      <c r="L1012" s="76">
        <f t="shared" si="67"/>
        <v>3.3</v>
      </c>
      <c r="M1012" s="754" t="s">
        <v>1173</v>
      </c>
      <c r="N1012" s="130"/>
      <c r="O1012" s="251"/>
      <c r="P1012" s="251"/>
      <c r="Q1012" s="251"/>
      <c r="R1012" s="251"/>
      <c r="S1012" s="130"/>
      <c r="T1012" s="130"/>
      <c r="U1012" s="130"/>
      <c r="V1012" s="2107"/>
      <c r="W1012" s="611">
        <v>39600</v>
      </c>
      <c r="X1012" s="611">
        <v>39600</v>
      </c>
      <c r="Y1012" s="611"/>
      <c r="Z1012" s="611"/>
      <c r="AA1012" s="611"/>
      <c r="AB1012" s="611"/>
      <c r="AC1012" s="611"/>
      <c r="AD1012" s="611"/>
      <c r="AE1012" s="611"/>
      <c r="AF1012" s="611"/>
      <c r="AG1012" s="611"/>
    </row>
    <row r="1013" spans="1:33" s="56" customFormat="1" ht="15" hidden="1" customHeight="1" outlineLevel="1" x14ac:dyDescent="0.25">
      <c r="A1013" s="597"/>
      <c r="B1013" s="130"/>
      <c r="C1013" s="616"/>
      <c r="D1013" s="2101"/>
      <c r="E1013" s="2104"/>
      <c r="F1013" s="2110" t="str">
        <f>$E$862</f>
        <v>ASHP SEER 17 replace ASHP - early replacement SF ER2</v>
      </c>
      <c r="G1013" s="2111"/>
      <c r="H1013" s="2111"/>
      <c r="I1013" s="2112"/>
      <c r="J1013" s="709" t="s">
        <v>1189</v>
      </c>
      <c r="K1013" s="730">
        <v>39600</v>
      </c>
      <c r="L1013" s="76">
        <f t="shared" si="67"/>
        <v>3.3</v>
      </c>
      <c r="M1013" s="754" t="s">
        <v>1173</v>
      </c>
      <c r="N1013" s="130"/>
      <c r="O1013" s="251"/>
      <c r="P1013" s="251"/>
      <c r="Q1013" s="251"/>
      <c r="R1013" s="251"/>
      <c r="S1013" s="130"/>
      <c r="T1013" s="130"/>
      <c r="U1013" s="130"/>
      <c r="V1013" s="2107"/>
      <c r="W1013" s="611">
        <v>39600</v>
      </c>
      <c r="X1013" s="611">
        <v>39600</v>
      </c>
      <c r="Y1013" s="611"/>
      <c r="Z1013" s="611"/>
      <c r="AA1013" s="611"/>
      <c r="AB1013" s="611"/>
      <c r="AC1013" s="611"/>
      <c r="AD1013" s="611"/>
      <c r="AE1013" s="611"/>
      <c r="AF1013" s="611"/>
      <c r="AG1013" s="611"/>
    </row>
    <row r="1014" spans="1:33" s="56" customFormat="1" ht="15" hidden="1" customHeight="1" outlineLevel="1" x14ac:dyDescent="0.25">
      <c r="A1014" s="724"/>
      <c r="B1014" s="130"/>
      <c r="C1014" s="616"/>
      <c r="D1014" s="2101"/>
      <c r="E1014" s="2104"/>
      <c r="F1014" s="2110" t="str">
        <f>$E$864</f>
        <v>ASHP SEER 17 replace ASHP - replace on fail SF</v>
      </c>
      <c r="G1014" s="2111"/>
      <c r="H1014" s="2111"/>
      <c r="I1014" s="2112"/>
      <c r="J1014" s="709" t="s">
        <v>1190</v>
      </c>
      <c r="K1014" s="730">
        <v>39600</v>
      </c>
      <c r="L1014" s="76">
        <f t="shared" si="67"/>
        <v>3.3</v>
      </c>
      <c r="M1014" s="754" t="s">
        <v>1173</v>
      </c>
      <c r="N1014" s="130"/>
      <c r="O1014" s="251"/>
      <c r="P1014" s="766"/>
      <c r="Q1014" s="767"/>
      <c r="R1014" s="766"/>
      <c r="S1014" s="752"/>
      <c r="T1014" s="760"/>
      <c r="U1014" s="130"/>
      <c r="V1014" s="2107"/>
      <c r="W1014" s="611">
        <v>39600</v>
      </c>
      <c r="X1014" s="611">
        <v>39600</v>
      </c>
      <c r="Y1014" s="611"/>
      <c r="Z1014" s="611"/>
      <c r="AA1014" s="611"/>
      <c r="AB1014" s="611"/>
      <c r="AC1014" s="611"/>
      <c r="AD1014" s="611"/>
      <c r="AE1014" s="611"/>
      <c r="AF1014" s="611"/>
      <c r="AG1014" s="611"/>
    </row>
    <row r="1015" spans="1:33" s="56" customFormat="1" ht="15" hidden="1" customHeight="1" outlineLevel="1" x14ac:dyDescent="0.25">
      <c r="A1015" s="597"/>
      <c r="B1015" s="130"/>
      <c r="C1015" s="616"/>
      <c r="D1015" s="2101"/>
      <c r="E1015" s="2104"/>
      <c r="F1015" s="2110" t="str">
        <f>$E$866</f>
        <v>ASHP SEER 18 replace ASHP - early replacement SF ER1</v>
      </c>
      <c r="G1015" s="2111"/>
      <c r="H1015" s="2111"/>
      <c r="I1015" s="2112"/>
      <c r="J1015" s="709" t="s">
        <v>1191</v>
      </c>
      <c r="K1015" s="730">
        <v>39600</v>
      </c>
      <c r="L1015" s="76">
        <f t="shared" si="67"/>
        <v>3.3</v>
      </c>
      <c r="M1015" s="754" t="s">
        <v>1173</v>
      </c>
      <c r="N1015" s="130"/>
      <c r="O1015" s="251"/>
      <c r="P1015" s="251"/>
      <c r="Q1015" s="251"/>
      <c r="R1015" s="251"/>
      <c r="S1015" s="130"/>
      <c r="T1015" s="130"/>
      <c r="U1015" s="130"/>
      <c r="V1015" s="2107"/>
      <c r="W1015" s="611">
        <v>39600</v>
      </c>
      <c r="X1015" s="611">
        <v>39600</v>
      </c>
      <c r="Y1015" s="611"/>
      <c r="Z1015" s="611"/>
      <c r="AA1015" s="611"/>
      <c r="AB1015" s="611"/>
      <c r="AC1015" s="611"/>
      <c r="AD1015" s="611"/>
      <c r="AE1015" s="611"/>
      <c r="AF1015" s="611"/>
      <c r="AG1015" s="611"/>
    </row>
    <row r="1016" spans="1:33" s="56" customFormat="1" ht="15" hidden="1" customHeight="1" outlineLevel="1" x14ac:dyDescent="0.25">
      <c r="A1016" s="724"/>
      <c r="B1016" s="130"/>
      <c r="C1016" s="616"/>
      <c r="D1016" s="2101"/>
      <c r="E1016" s="2104"/>
      <c r="F1016" s="2110" t="str">
        <f>$E$868</f>
        <v>ASHP SEER 18 replace ASHP - early replacement SF ER2</v>
      </c>
      <c r="G1016" s="2111"/>
      <c r="H1016" s="2111"/>
      <c r="I1016" s="2112"/>
      <c r="J1016" s="709" t="s">
        <v>1192</v>
      </c>
      <c r="K1016" s="730">
        <v>39600</v>
      </c>
      <c r="L1016" s="76">
        <f t="shared" si="67"/>
        <v>3.3</v>
      </c>
      <c r="M1016" s="754" t="s">
        <v>1173</v>
      </c>
      <c r="N1016" s="130"/>
      <c r="O1016" s="251"/>
      <c r="P1016" s="766"/>
      <c r="Q1016" s="767"/>
      <c r="R1016" s="766"/>
      <c r="S1016" s="752"/>
      <c r="T1016" s="760"/>
      <c r="U1016" s="130"/>
      <c r="V1016" s="2107"/>
      <c r="W1016" s="611">
        <v>39600</v>
      </c>
      <c r="X1016" s="611">
        <v>39600</v>
      </c>
      <c r="Y1016" s="611"/>
      <c r="Z1016" s="611"/>
      <c r="AA1016" s="611"/>
      <c r="AB1016" s="611"/>
      <c r="AC1016" s="611"/>
      <c r="AD1016" s="611"/>
      <c r="AE1016" s="611"/>
      <c r="AF1016" s="611"/>
      <c r="AG1016" s="611"/>
    </row>
    <row r="1017" spans="1:33" s="56" customFormat="1" ht="15" hidden="1" customHeight="1" outlineLevel="1" x14ac:dyDescent="0.25">
      <c r="A1017" s="597"/>
      <c r="B1017" s="130"/>
      <c r="C1017" s="616"/>
      <c r="D1017" s="2101"/>
      <c r="E1017" s="2104"/>
      <c r="F1017" s="2110" t="str">
        <f>$E$870</f>
        <v>ASHP SEER 18 replace ASHP - replace on fail SF</v>
      </c>
      <c r="G1017" s="2111"/>
      <c r="H1017" s="2111"/>
      <c r="I1017" s="2112"/>
      <c r="J1017" s="709" t="s">
        <v>1193</v>
      </c>
      <c r="K1017" s="730">
        <v>39600</v>
      </c>
      <c r="L1017" s="76">
        <f t="shared" si="67"/>
        <v>3.3</v>
      </c>
      <c r="M1017" s="754" t="s">
        <v>1173</v>
      </c>
      <c r="N1017" s="130"/>
      <c r="O1017" s="251"/>
      <c r="P1017" s="251"/>
      <c r="Q1017" s="251"/>
      <c r="R1017" s="251"/>
      <c r="S1017" s="130"/>
      <c r="T1017" s="130"/>
      <c r="U1017" s="130"/>
      <c r="V1017" s="2107"/>
      <c r="W1017" s="611">
        <v>39600</v>
      </c>
      <c r="X1017" s="611">
        <v>39600</v>
      </c>
      <c r="Y1017" s="611"/>
      <c r="Z1017" s="611"/>
      <c r="AA1017" s="611"/>
      <c r="AB1017" s="611"/>
      <c r="AC1017" s="611"/>
      <c r="AD1017" s="611"/>
      <c r="AE1017" s="611"/>
      <c r="AF1017" s="611"/>
      <c r="AG1017" s="611"/>
    </row>
    <row r="1018" spans="1:33" s="56" customFormat="1" ht="15" hidden="1" customHeight="1" outlineLevel="1" x14ac:dyDescent="0.25">
      <c r="A1018" s="597"/>
      <c r="B1018" s="130"/>
      <c r="C1018" s="616"/>
      <c r="D1018" s="2101"/>
      <c r="E1018" s="2104"/>
      <c r="F1018" s="2110" t="str">
        <f>$E$872</f>
        <v>ASHP - SEER 18 - replace on fail SF</v>
      </c>
      <c r="G1018" s="2111"/>
      <c r="H1018" s="2111"/>
      <c r="I1018" s="2112"/>
      <c r="J1018" s="709" t="s">
        <v>1194</v>
      </c>
      <c r="K1018" s="730">
        <v>39600</v>
      </c>
      <c r="L1018" s="76">
        <f t="shared" si="67"/>
        <v>3.3</v>
      </c>
      <c r="M1018" s="754" t="s">
        <v>1173</v>
      </c>
      <c r="N1018" s="130"/>
      <c r="O1018" s="251"/>
      <c r="P1018" s="251"/>
      <c r="Q1018" s="251"/>
      <c r="R1018" s="251"/>
      <c r="S1018" s="130"/>
      <c r="T1018" s="130"/>
      <c r="U1018" s="130"/>
      <c r="V1018" s="2107"/>
      <c r="W1018" s="611">
        <v>39600</v>
      </c>
      <c r="X1018" s="611">
        <v>39600</v>
      </c>
      <c r="Y1018" s="611"/>
      <c r="Z1018" s="611"/>
      <c r="AA1018" s="611"/>
      <c r="AB1018" s="611"/>
      <c r="AC1018" s="611"/>
      <c r="AD1018" s="611"/>
      <c r="AE1018" s="611"/>
      <c r="AF1018" s="611"/>
      <c r="AG1018" s="611"/>
    </row>
    <row r="1019" spans="1:33" s="56" customFormat="1" ht="15" hidden="1" customHeight="1" outlineLevel="1" x14ac:dyDescent="0.25">
      <c r="A1019" s="724"/>
      <c r="B1019" s="130"/>
      <c r="C1019" s="616"/>
      <c r="D1019" s="2101"/>
      <c r="E1019" s="2104"/>
      <c r="F1019" s="2110" t="str">
        <f>$E$874</f>
        <v>ASHP SEER 19 replace ASHP - early replacement SF ER1</v>
      </c>
      <c r="G1019" s="2111"/>
      <c r="H1019" s="2111"/>
      <c r="I1019" s="2112"/>
      <c r="J1019" s="709" t="s">
        <v>1195</v>
      </c>
      <c r="K1019" s="730">
        <v>39600</v>
      </c>
      <c r="L1019" s="76">
        <f t="shared" si="67"/>
        <v>3.3</v>
      </c>
      <c r="M1019" s="754" t="s">
        <v>1173</v>
      </c>
      <c r="N1019" s="130"/>
      <c r="O1019" s="251"/>
      <c r="P1019" s="766"/>
      <c r="Q1019" s="767"/>
      <c r="R1019" s="766"/>
      <c r="S1019" s="752"/>
      <c r="T1019" s="760"/>
      <c r="U1019" s="130"/>
      <c r="V1019" s="2107"/>
      <c r="W1019" s="611">
        <v>39600</v>
      </c>
      <c r="X1019" s="611">
        <v>39600</v>
      </c>
      <c r="Y1019" s="611"/>
      <c r="Z1019" s="611"/>
      <c r="AA1019" s="611"/>
      <c r="AB1019" s="611"/>
      <c r="AC1019" s="611"/>
      <c r="AD1019" s="611"/>
      <c r="AE1019" s="611"/>
      <c r="AF1019" s="611"/>
      <c r="AG1019" s="611"/>
    </row>
    <row r="1020" spans="1:33" s="56" customFormat="1" ht="15" hidden="1" customHeight="1" outlineLevel="1" x14ac:dyDescent="0.25">
      <c r="A1020" s="724"/>
      <c r="B1020" s="130"/>
      <c r="C1020" s="616"/>
      <c r="D1020" s="2101"/>
      <c r="E1020" s="2104"/>
      <c r="F1020" s="2110" t="str">
        <f>$E$876</f>
        <v>ASHP SEER 19 replace ASHP - early replacement SF ER2</v>
      </c>
      <c r="G1020" s="2111"/>
      <c r="H1020" s="2111"/>
      <c r="I1020" s="2112"/>
      <c r="J1020" s="709" t="s">
        <v>1196</v>
      </c>
      <c r="K1020" s="730">
        <v>39600</v>
      </c>
      <c r="L1020" s="76">
        <f t="shared" si="67"/>
        <v>3.3</v>
      </c>
      <c r="M1020" s="754" t="s">
        <v>1173</v>
      </c>
      <c r="N1020" s="130"/>
      <c r="O1020" s="251"/>
      <c r="P1020" s="766"/>
      <c r="Q1020" s="767"/>
      <c r="R1020" s="766"/>
      <c r="S1020" s="752"/>
      <c r="T1020" s="760"/>
      <c r="U1020" s="130"/>
      <c r="V1020" s="2107"/>
      <c r="W1020" s="611">
        <v>39600</v>
      </c>
      <c r="X1020" s="611">
        <v>39600</v>
      </c>
      <c r="Y1020" s="611"/>
      <c r="Z1020" s="611"/>
      <c r="AA1020" s="611"/>
      <c r="AB1020" s="611"/>
      <c r="AC1020" s="611"/>
      <c r="AD1020" s="611"/>
      <c r="AE1020" s="611"/>
      <c r="AF1020" s="611"/>
      <c r="AG1020" s="611"/>
    </row>
    <row r="1021" spans="1:33" s="56" customFormat="1" ht="15" hidden="1" customHeight="1" outlineLevel="1" x14ac:dyDescent="0.25">
      <c r="A1021" s="597"/>
      <c r="B1021" s="130"/>
      <c r="C1021" s="616"/>
      <c r="D1021" s="2101"/>
      <c r="E1021" s="2104"/>
      <c r="F1021" s="2110" t="str">
        <f>$E$878</f>
        <v>ASHP SEER 19 replace ASHP - replace on fail SF</v>
      </c>
      <c r="G1021" s="2111"/>
      <c r="H1021" s="2111"/>
      <c r="I1021" s="2112"/>
      <c r="J1021" s="709" t="s">
        <v>1197</v>
      </c>
      <c r="K1021" s="730">
        <v>39600</v>
      </c>
      <c r="L1021" s="76">
        <f t="shared" si="67"/>
        <v>3.3</v>
      </c>
      <c r="M1021" s="754" t="s">
        <v>1173</v>
      </c>
      <c r="N1021" s="130"/>
      <c r="O1021" s="251"/>
      <c r="P1021" s="251"/>
      <c r="Q1021" s="251"/>
      <c r="R1021" s="251"/>
      <c r="S1021" s="130"/>
      <c r="T1021" s="130"/>
      <c r="U1021" s="130"/>
      <c r="V1021" s="2107"/>
      <c r="W1021" s="611">
        <v>39600</v>
      </c>
      <c r="X1021" s="611">
        <v>39600</v>
      </c>
      <c r="Y1021" s="611"/>
      <c r="Z1021" s="611"/>
      <c r="AA1021" s="611"/>
      <c r="AB1021" s="611"/>
      <c r="AC1021" s="611"/>
      <c r="AD1021" s="611"/>
      <c r="AE1021" s="611"/>
      <c r="AF1021" s="611"/>
      <c r="AG1021" s="611"/>
    </row>
    <row r="1022" spans="1:33" s="56" customFormat="1" ht="15" hidden="1" customHeight="1" outlineLevel="1" x14ac:dyDescent="0.25">
      <c r="A1022" s="597"/>
      <c r="B1022" s="130"/>
      <c r="C1022" s="616"/>
      <c r="D1022" s="2101"/>
      <c r="E1022" s="2104"/>
      <c r="F1022" s="2110" t="str">
        <f>$E$880</f>
        <v>ASHP - SEER 17 - replace electric furnace / CAC - early replacement SF ER1</v>
      </c>
      <c r="G1022" s="2111"/>
      <c r="H1022" s="2111"/>
      <c r="I1022" s="2112"/>
      <c r="J1022" s="709"/>
      <c r="K1022" s="730">
        <v>37200</v>
      </c>
      <c r="L1022" s="76">
        <f t="shared" si="67"/>
        <v>3.1</v>
      </c>
      <c r="M1022" s="754"/>
      <c r="N1022" s="130"/>
      <c r="O1022" s="251"/>
      <c r="P1022" s="251"/>
      <c r="Q1022" s="251"/>
      <c r="R1022" s="251"/>
      <c r="S1022" s="130"/>
      <c r="T1022" s="130"/>
      <c r="U1022" s="130"/>
      <c r="V1022" s="2107"/>
      <c r="W1022" s="611">
        <v>37200</v>
      </c>
      <c r="X1022" s="611">
        <v>37200</v>
      </c>
      <c r="Y1022" s="611"/>
      <c r="Z1022" s="611"/>
      <c r="AA1022" s="611"/>
      <c r="AB1022" s="611"/>
      <c r="AC1022" s="611"/>
      <c r="AD1022" s="611"/>
      <c r="AE1022" s="611"/>
      <c r="AF1022" s="611"/>
      <c r="AG1022" s="611"/>
    </row>
    <row r="1023" spans="1:33" s="56" customFormat="1" ht="15" hidden="1" customHeight="1" outlineLevel="1" x14ac:dyDescent="0.25">
      <c r="A1023" s="597"/>
      <c r="B1023" s="130"/>
      <c r="C1023" s="616"/>
      <c r="D1023" s="2101"/>
      <c r="E1023" s="2104"/>
      <c r="F1023" s="2110" t="str">
        <f>$E$882</f>
        <v>ASHP - SEER 17 - replace electric furnace / CAC - early replacement SF ER2</v>
      </c>
      <c r="G1023" s="2111"/>
      <c r="H1023" s="2111"/>
      <c r="I1023" s="2112"/>
      <c r="J1023" s="709"/>
      <c r="K1023" s="730">
        <v>37200</v>
      </c>
      <c r="L1023" s="76">
        <f t="shared" si="67"/>
        <v>3.1</v>
      </c>
      <c r="M1023" s="754"/>
      <c r="N1023" s="130"/>
      <c r="O1023" s="251"/>
      <c r="P1023" s="251"/>
      <c r="Q1023" s="251"/>
      <c r="R1023" s="251"/>
      <c r="S1023" s="130"/>
      <c r="T1023" s="130"/>
      <c r="U1023" s="130"/>
      <c r="V1023" s="2107"/>
      <c r="W1023" s="611">
        <v>37200</v>
      </c>
      <c r="X1023" s="611">
        <v>37200</v>
      </c>
      <c r="Y1023" s="611"/>
      <c r="Z1023" s="611"/>
      <c r="AA1023" s="611"/>
      <c r="AB1023" s="611"/>
      <c r="AC1023" s="611"/>
      <c r="AD1023" s="611"/>
      <c r="AE1023" s="611"/>
      <c r="AF1023" s="611"/>
      <c r="AG1023" s="611"/>
    </row>
    <row r="1024" spans="1:33" s="56" customFormat="1" ht="15" hidden="1" customHeight="1" outlineLevel="1" x14ac:dyDescent="0.25">
      <c r="A1024" s="597"/>
      <c r="B1024" s="130"/>
      <c r="C1024" s="616"/>
      <c r="D1024" s="2101"/>
      <c r="E1024" s="2104"/>
      <c r="F1024" s="2110" t="str">
        <f>$E$884</f>
        <v>ASHP - SEER 17 - replace electric furnace / CAC - early replacement MF ER1</v>
      </c>
      <c r="G1024" s="2111"/>
      <c r="H1024" s="2111"/>
      <c r="I1024" s="2112"/>
      <c r="J1024" s="709"/>
      <c r="K1024" s="730">
        <v>37200</v>
      </c>
      <c r="L1024" s="76">
        <f t="shared" si="67"/>
        <v>3.1</v>
      </c>
      <c r="M1024" s="754"/>
      <c r="N1024" s="130"/>
      <c r="O1024" s="251"/>
      <c r="P1024" s="251"/>
      <c r="Q1024" s="251"/>
      <c r="R1024" s="251"/>
      <c r="S1024" s="130"/>
      <c r="T1024" s="130"/>
      <c r="U1024" s="130"/>
      <c r="V1024" s="2107"/>
      <c r="W1024" s="611">
        <v>37200</v>
      </c>
      <c r="X1024" s="611">
        <v>37200</v>
      </c>
      <c r="Y1024" s="611"/>
      <c r="Z1024" s="611"/>
      <c r="AA1024" s="611"/>
      <c r="AB1024" s="611"/>
      <c r="AC1024" s="611"/>
      <c r="AD1024" s="611"/>
      <c r="AE1024" s="611"/>
      <c r="AF1024" s="611"/>
      <c r="AG1024" s="611"/>
    </row>
    <row r="1025" spans="1:33" s="56" customFormat="1" ht="15" hidden="1" customHeight="1" outlineLevel="1" x14ac:dyDescent="0.25">
      <c r="A1025" s="597"/>
      <c r="B1025" s="130"/>
      <c r="C1025" s="616"/>
      <c r="D1025" s="2101"/>
      <c r="E1025" s="2104"/>
      <c r="F1025" s="2110" t="str">
        <f>$E$886</f>
        <v>ASHP - SEER 17 - replace electric furnace / CAC - early replacement MF ER2</v>
      </c>
      <c r="G1025" s="2111"/>
      <c r="H1025" s="2111"/>
      <c r="I1025" s="2112"/>
      <c r="J1025" s="709"/>
      <c r="K1025" s="730">
        <v>37200</v>
      </c>
      <c r="L1025" s="76">
        <f t="shared" si="67"/>
        <v>3.1</v>
      </c>
      <c r="M1025" s="754"/>
      <c r="N1025" s="130"/>
      <c r="O1025" s="251"/>
      <c r="P1025" s="251"/>
      <c r="Q1025" s="251"/>
      <c r="R1025" s="251"/>
      <c r="S1025" s="130"/>
      <c r="T1025" s="130"/>
      <c r="U1025" s="130"/>
      <c r="V1025" s="2107"/>
      <c r="W1025" s="611">
        <v>37200</v>
      </c>
      <c r="X1025" s="611">
        <v>37200</v>
      </c>
      <c r="Y1025" s="611"/>
      <c r="Z1025" s="611"/>
      <c r="AA1025" s="611"/>
      <c r="AB1025" s="611"/>
      <c r="AC1025" s="611"/>
      <c r="AD1025" s="611"/>
      <c r="AE1025" s="611"/>
      <c r="AF1025" s="611"/>
      <c r="AG1025" s="611"/>
    </row>
    <row r="1026" spans="1:33" s="56" customFormat="1" ht="15" hidden="1" customHeight="1" outlineLevel="1" x14ac:dyDescent="0.25">
      <c r="A1026" s="597"/>
      <c r="B1026" s="130"/>
      <c r="C1026" s="616"/>
      <c r="D1026" s="2101"/>
      <c r="E1026" s="2104"/>
      <c r="F1026" s="2110" t="str">
        <f>$E$888</f>
        <v>ASHP SEER 17 replace ASHP - early replacement MF ER1</v>
      </c>
      <c r="G1026" s="2111"/>
      <c r="H1026" s="2111"/>
      <c r="I1026" s="2112"/>
      <c r="J1026" s="709"/>
      <c r="K1026" s="730">
        <v>39600</v>
      </c>
      <c r="L1026" s="76">
        <f t="shared" si="67"/>
        <v>3.3</v>
      </c>
      <c r="M1026" s="754"/>
      <c r="N1026" s="130"/>
      <c r="O1026" s="251"/>
      <c r="P1026" s="251"/>
      <c r="Q1026" s="251"/>
      <c r="R1026" s="251"/>
      <c r="S1026" s="130"/>
      <c r="T1026" s="130"/>
      <c r="U1026" s="130"/>
      <c r="V1026" s="2107"/>
      <c r="W1026" s="611">
        <v>39600</v>
      </c>
      <c r="X1026" s="611">
        <v>39600</v>
      </c>
      <c r="Y1026" s="611"/>
      <c r="Z1026" s="611"/>
      <c r="AA1026" s="611"/>
      <c r="AB1026" s="611"/>
      <c r="AC1026" s="611"/>
      <c r="AD1026" s="611"/>
      <c r="AE1026" s="611"/>
      <c r="AF1026" s="611"/>
      <c r="AG1026" s="611"/>
    </row>
    <row r="1027" spans="1:33" s="56" customFormat="1" ht="15" hidden="1" customHeight="1" outlineLevel="1" x14ac:dyDescent="0.25">
      <c r="A1027" s="597"/>
      <c r="B1027" s="130"/>
      <c r="C1027" s="616"/>
      <c r="D1027" s="2101"/>
      <c r="E1027" s="2104"/>
      <c r="F1027" s="2110" t="str">
        <f>$E$890</f>
        <v>ASHP SEER 17 replace ASHP - early replacement MF ER2</v>
      </c>
      <c r="G1027" s="2111"/>
      <c r="H1027" s="2111"/>
      <c r="I1027" s="2112"/>
      <c r="J1027" s="709"/>
      <c r="K1027" s="730">
        <v>39600</v>
      </c>
      <c r="L1027" s="76">
        <f t="shared" si="67"/>
        <v>3.3</v>
      </c>
      <c r="M1027" s="754"/>
      <c r="N1027" s="130"/>
      <c r="O1027" s="251"/>
      <c r="P1027" s="251"/>
      <c r="Q1027" s="251"/>
      <c r="R1027" s="251"/>
      <c r="S1027" s="130"/>
      <c r="T1027" s="130"/>
      <c r="U1027" s="130"/>
      <c r="V1027" s="2107"/>
      <c r="W1027" s="611">
        <v>39600</v>
      </c>
      <c r="X1027" s="611">
        <v>39600</v>
      </c>
      <c r="Y1027" s="611"/>
      <c r="Z1027" s="611"/>
      <c r="AA1027" s="611"/>
      <c r="AB1027" s="611"/>
      <c r="AC1027" s="611"/>
      <c r="AD1027" s="611"/>
      <c r="AE1027" s="611"/>
      <c r="AF1027" s="611"/>
      <c r="AG1027" s="611"/>
    </row>
    <row r="1028" spans="1:33" s="56" customFormat="1" hidden="1" outlineLevel="1" x14ac:dyDescent="0.25">
      <c r="A1028" s="597"/>
      <c r="B1028" s="130"/>
      <c r="C1028" s="616"/>
      <c r="D1028" s="2101"/>
      <c r="E1028" s="2104"/>
      <c r="F1028" s="2110" t="str">
        <f>$E$892</f>
        <v>ASHP - SEER 18 - replace electric furnace / CAC - early replacement SF ER1</v>
      </c>
      <c r="G1028" s="2111"/>
      <c r="H1028" s="2111"/>
      <c r="I1028" s="2112"/>
      <c r="J1028" s="709"/>
      <c r="K1028" s="730">
        <v>37200</v>
      </c>
      <c r="L1028" s="76">
        <f t="shared" si="67"/>
        <v>3.1</v>
      </c>
      <c r="M1028" s="754"/>
      <c r="N1028" s="130"/>
      <c r="O1028" s="251"/>
      <c r="P1028" s="251"/>
      <c r="Q1028" s="251"/>
      <c r="R1028" s="251"/>
      <c r="S1028" s="130"/>
      <c r="T1028" s="130"/>
      <c r="U1028" s="130"/>
      <c r="V1028" s="2107"/>
      <c r="W1028" s="611">
        <v>37200</v>
      </c>
      <c r="X1028" s="611">
        <v>37200</v>
      </c>
      <c r="Y1028" s="611"/>
      <c r="Z1028" s="611"/>
      <c r="AA1028" s="611"/>
      <c r="AB1028" s="611"/>
      <c r="AC1028" s="611"/>
      <c r="AD1028" s="611"/>
      <c r="AE1028" s="611"/>
      <c r="AF1028" s="611"/>
      <c r="AG1028" s="611"/>
    </row>
    <row r="1029" spans="1:33" s="56" customFormat="1" ht="15" hidden="1" customHeight="1" outlineLevel="1" x14ac:dyDescent="0.25">
      <c r="A1029" s="597"/>
      <c r="B1029" s="130"/>
      <c r="C1029" s="616"/>
      <c r="D1029" s="2101"/>
      <c r="E1029" s="2104"/>
      <c r="F1029" s="2110" t="str">
        <f>$E$894</f>
        <v>ASHP - SEER 18 - replace electric furnace / CAC - early replacement SF ER2</v>
      </c>
      <c r="G1029" s="2111"/>
      <c r="H1029" s="2111"/>
      <c r="I1029" s="2112"/>
      <c r="J1029" s="709"/>
      <c r="K1029" s="730">
        <v>37200</v>
      </c>
      <c r="L1029" s="76">
        <f t="shared" si="67"/>
        <v>3.1</v>
      </c>
      <c r="M1029" s="754"/>
      <c r="N1029" s="130"/>
      <c r="O1029" s="251"/>
      <c r="P1029" s="251"/>
      <c r="Q1029" s="251"/>
      <c r="R1029" s="251"/>
      <c r="S1029" s="130"/>
      <c r="T1029" s="130"/>
      <c r="U1029" s="130"/>
      <c r="V1029" s="2107"/>
      <c r="W1029" s="611">
        <v>37200</v>
      </c>
      <c r="X1029" s="611">
        <v>37200</v>
      </c>
      <c r="Y1029" s="611"/>
      <c r="Z1029" s="611"/>
      <c r="AA1029" s="611"/>
      <c r="AB1029" s="611"/>
      <c r="AC1029" s="611"/>
      <c r="AD1029" s="611"/>
      <c r="AE1029" s="611"/>
      <c r="AF1029" s="611"/>
      <c r="AG1029" s="611"/>
    </row>
    <row r="1030" spans="1:33" s="56" customFormat="1" ht="15" hidden="1" customHeight="1" outlineLevel="1" x14ac:dyDescent="0.25">
      <c r="A1030" s="597"/>
      <c r="B1030" s="130"/>
      <c r="C1030" s="616"/>
      <c r="D1030" s="2101"/>
      <c r="E1030" s="2104"/>
      <c r="F1030" s="2110" t="str">
        <f>$E$896</f>
        <v>ASHP - SEER 18 - replace electric furnace / CAC - early replacement MF ER1</v>
      </c>
      <c r="G1030" s="2111"/>
      <c r="H1030" s="2111"/>
      <c r="I1030" s="2112"/>
      <c r="J1030" s="709"/>
      <c r="K1030" s="730">
        <v>37200</v>
      </c>
      <c r="L1030" s="76">
        <f t="shared" si="67"/>
        <v>3.1</v>
      </c>
      <c r="M1030" s="754"/>
      <c r="N1030" s="130"/>
      <c r="O1030" s="251"/>
      <c r="P1030" s="251"/>
      <c r="Q1030" s="251"/>
      <c r="R1030" s="251"/>
      <c r="S1030" s="130"/>
      <c r="T1030" s="130"/>
      <c r="U1030" s="130"/>
      <c r="V1030" s="2107"/>
      <c r="W1030" s="611">
        <v>37200</v>
      </c>
      <c r="X1030" s="611">
        <v>37200</v>
      </c>
      <c r="Y1030" s="611"/>
      <c r="Z1030" s="611"/>
      <c r="AA1030" s="611"/>
      <c r="AB1030" s="611"/>
      <c r="AC1030" s="611"/>
      <c r="AD1030" s="611"/>
      <c r="AE1030" s="611"/>
      <c r="AF1030" s="611"/>
      <c r="AG1030" s="611"/>
    </row>
    <row r="1031" spans="1:33" s="56" customFormat="1" ht="15" hidden="1" customHeight="1" outlineLevel="1" x14ac:dyDescent="0.25">
      <c r="A1031" s="597"/>
      <c r="B1031" s="130"/>
      <c r="C1031" s="616"/>
      <c r="D1031" s="2101"/>
      <c r="E1031" s="2104"/>
      <c r="F1031" s="2110" t="str">
        <f>$E$898</f>
        <v>ASHP - SEER 18 - replace electric furnace / CAC - early replacement MF ER2</v>
      </c>
      <c r="G1031" s="2111"/>
      <c r="H1031" s="2111"/>
      <c r="I1031" s="2112"/>
      <c r="J1031" s="709"/>
      <c r="K1031" s="730">
        <v>37200</v>
      </c>
      <c r="L1031" s="76">
        <f t="shared" si="67"/>
        <v>3.1</v>
      </c>
      <c r="M1031" s="754"/>
      <c r="N1031" s="130"/>
      <c r="O1031" s="251"/>
      <c r="P1031" s="251"/>
      <c r="Q1031" s="251"/>
      <c r="R1031" s="251"/>
      <c r="S1031" s="130"/>
      <c r="T1031" s="130"/>
      <c r="U1031" s="130"/>
      <c r="V1031" s="2107"/>
      <c r="W1031" s="611">
        <v>37200</v>
      </c>
      <c r="X1031" s="611">
        <v>37200</v>
      </c>
      <c r="Y1031" s="611"/>
      <c r="Z1031" s="611"/>
      <c r="AA1031" s="611"/>
      <c r="AB1031" s="611"/>
      <c r="AC1031" s="611"/>
      <c r="AD1031" s="611"/>
      <c r="AE1031" s="611"/>
      <c r="AF1031" s="611"/>
      <c r="AG1031" s="611"/>
    </row>
    <row r="1032" spans="1:33" s="56" customFormat="1" ht="15" hidden="1" customHeight="1" outlineLevel="1" x14ac:dyDescent="0.25">
      <c r="A1032" s="597"/>
      <c r="B1032" s="130"/>
      <c r="C1032" s="616"/>
      <c r="D1032" s="2101"/>
      <c r="E1032" s="2104"/>
      <c r="F1032" s="2110" t="str">
        <f>$E$900</f>
        <v>ASHP SEER 18 replace ASHP - early replacement MF ER1</v>
      </c>
      <c r="G1032" s="2111"/>
      <c r="H1032" s="2111"/>
      <c r="I1032" s="2112"/>
      <c r="J1032" s="709"/>
      <c r="K1032" s="730">
        <v>39600</v>
      </c>
      <c r="L1032" s="76">
        <f t="shared" si="67"/>
        <v>3.3</v>
      </c>
      <c r="M1032" s="754"/>
      <c r="N1032" s="130"/>
      <c r="O1032" s="251"/>
      <c r="P1032" s="251"/>
      <c r="Q1032" s="251"/>
      <c r="R1032" s="251"/>
      <c r="S1032" s="130"/>
      <c r="T1032" s="130"/>
      <c r="U1032" s="130"/>
      <c r="V1032" s="2107"/>
      <c r="W1032" s="611">
        <v>39600</v>
      </c>
      <c r="X1032" s="611">
        <v>39600</v>
      </c>
      <c r="Y1032" s="611"/>
      <c r="Z1032" s="611"/>
      <c r="AA1032" s="611"/>
      <c r="AB1032" s="611"/>
      <c r="AC1032" s="611"/>
      <c r="AD1032" s="611"/>
      <c r="AE1032" s="611"/>
      <c r="AF1032" s="611"/>
      <c r="AG1032" s="611"/>
    </row>
    <row r="1033" spans="1:33" s="56" customFormat="1" ht="15" hidden="1" customHeight="1" outlineLevel="1" x14ac:dyDescent="0.25">
      <c r="A1033" s="597"/>
      <c r="B1033" s="130"/>
      <c r="C1033" s="616"/>
      <c r="D1033" s="2101"/>
      <c r="E1033" s="2104"/>
      <c r="F1033" s="2110" t="str">
        <f>$E$902</f>
        <v>ASHP SEER 18 replace ASHP - early replacement MF ER2</v>
      </c>
      <c r="G1033" s="2111"/>
      <c r="H1033" s="2111"/>
      <c r="I1033" s="2112"/>
      <c r="J1033" s="709"/>
      <c r="K1033" s="730">
        <v>39600</v>
      </c>
      <c r="L1033" s="76">
        <f t="shared" si="67"/>
        <v>3.3</v>
      </c>
      <c r="M1033" s="754"/>
      <c r="N1033" s="130"/>
      <c r="O1033" s="251"/>
      <c r="P1033" s="251"/>
      <c r="Q1033" s="251"/>
      <c r="R1033" s="251"/>
      <c r="S1033" s="130"/>
      <c r="T1033" s="130"/>
      <c r="U1033" s="130"/>
      <c r="V1033" s="2107"/>
      <c r="W1033" s="611">
        <v>39600</v>
      </c>
      <c r="X1033" s="611">
        <v>39600</v>
      </c>
      <c r="Y1033" s="611"/>
      <c r="Z1033" s="611"/>
      <c r="AA1033" s="611"/>
      <c r="AB1033" s="611"/>
      <c r="AC1033" s="611"/>
      <c r="AD1033" s="611"/>
      <c r="AE1033" s="611"/>
      <c r="AF1033" s="611"/>
      <c r="AG1033" s="611"/>
    </row>
    <row r="1034" spans="1:33" s="56" customFormat="1" ht="15" hidden="1" customHeight="1" outlineLevel="1" x14ac:dyDescent="0.25">
      <c r="A1034" s="597"/>
      <c r="B1034" s="130"/>
      <c r="C1034" s="616"/>
      <c r="D1034" s="2101"/>
      <c r="E1034" s="2104"/>
      <c r="F1034" s="2110" t="str">
        <f>$E$904</f>
        <v>ASHP - SEER 19 - replace electric furnace / CAC - early replacement SF ER1</v>
      </c>
      <c r="G1034" s="2111"/>
      <c r="H1034" s="2111"/>
      <c r="I1034" s="2112"/>
      <c r="J1034" s="709"/>
      <c r="K1034" s="730">
        <v>37200</v>
      </c>
      <c r="L1034" s="76">
        <f t="shared" si="67"/>
        <v>3.1</v>
      </c>
      <c r="M1034" s="754"/>
      <c r="N1034" s="130"/>
      <c r="O1034" s="251"/>
      <c r="P1034" s="251"/>
      <c r="Q1034" s="251"/>
      <c r="R1034" s="251"/>
      <c r="S1034" s="130"/>
      <c r="T1034" s="130"/>
      <c r="U1034" s="130"/>
      <c r="V1034" s="2107"/>
      <c r="W1034" s="611">
        <v>37200</v>
      </c>
      <c r="X1034" s="611">
        <v>37200</v>
      </c>
      <c r="Y1034" s="611"/>
      <c r="Z1034" s="611"/>
      <c r="AA1034" s="611"/>
      <c r="AB1034" s="611"/>
      <c r="AC1034" s="611"/>
      <c r="AD1034" s="611"/>
      <c r="AE1034" s="611"/>
      <c r="AF1034" s="611"/>
      <c r="AG1034" s="611"/>
    </row>
    <row r="1035" spans="1:33" s="56" customFormat="1" ht="15" hidden="1" customHeight="1" outlineLevel="1" x14ac:dyDescent="0.25">
      <c r="A1035" s="597"/>
      <c r="B1035" s="130"/>
      <c r="C1035" s="616"/>
      <c r="D1035" s="2101"/>
      <c r="E1035" s="2104"/>
      <c r="F1035" s="2110" t="str">
        <f>$E$906</f>
        <v>ASHP - SEER 19 - replace electric furnace / CAC - early replacement SF ER2</v>
      </c>
      <c r="G1035" s="2111"/>
      <c r="H1035" s="2111"/>
      <c r="I1035" s="2112"/>
      <c r="J1035" s="709"/>
      <c r="K1035" s="730">
        <v>37200</v>
      </c>
      <c r="L1035" s="76">
        <f t="shared" si="67"/>
        <v>3.1</v>
      </c>
      <c r="M1035" s="754"/>
      <c r="N1035" s="130"/>
      <c r="O1035" s="251"/>
      <c r="P1035" s="251"/>
      <c r="Q1035" s="251"/>
      <c r="R1035" s="251"/>
      <c r="S1035" s="130"/>
      <c r="T1035" s="130"/>
      <c r="U1035" s="130"/>
      <c r="V1035" s="2107"/>
      <c r="W1035" s="611">
        <v>37200</v>
      </c>
      <c r="X1035" s="611">
        <v>37200</v>
      </c>
      <c r="Y1035" s="611"/>
      <c r="Z1035" s="611"/>
      <c r="AA1035" s="611"/>
      <c r="AB1035" s="611"/>
      <c r="AC1035" s="611"/>
      <c r="AD1035" s="611"/>
      <c r="AE1035" s="611"/>
      <c r="AF1035" s="611"/>
      <c r="AG1035" s="611"/>
    </row>
    <row r="1036" spans="1:33" s="56" customFormat="1" ht="15" hidden="1" customHeight="1" outlineLevel="1" x14ac:dyDescent="0.25">
      <c r="A1036" s="597"/>
      <c r="B1036" s="130"/>
      <c r="C1036" s="616"/>
      <c r="D1036" s="2101"/>
      <c r="E1036" s="2104"/>
      <c r="F1036" s="2110" t="str">
        <f>$E$908</f>
        <v>ASHP - SEER 19 - replace electric furnace / CAC - early replacement MF ER1</v>
      </c>
      <c r="G1036" s="2111"/>
      <c r="H1036" s="2111"/>
      <c r="I1036" s="2112"/>
      <c r="J1036" s="709"/>
      <c r="K1036" s="730">
        <v>37200</v>
      </c>
      <c r="L1036" s="76">
        <f t="shared" si="67"/>
        <v>3.1</v>
      </c>
      <c r="M1036" s="754"/>
      <c r="N1036" s="130"/>
      <c r="O1036" s="251"/>
      <c r="P1036" s="251"/>
      <c r="Q1036" s="251"/>
      <c r="R1036" s="251"/>
      <c r="S1036" s="130"/>
      <c r="T1036" s="130"/>
      <c r="U1036" s="130"/>
      <c r="V1036" s="2107"/>
      <c r="W1036" s="611">
        <v>37200</v>
      </c>
      <c r="X1036" s="611">
        <v>37200</v>
      </c>
      <c r="Y1036" s="611"/>
      <c r="Z1036" s="611"/>
      <c r="AA1036" s="611"/>
      <c r="AB1036" s="611"/>
      <c r="AC1036" s="611"/>
      <c r="AD1036" s="611"/>
      <c r="AE1036" s="611"/>
      <c r="AF1036" s="611"/>
      <c r="AG1036" s="611"/>
    </row>
    <row r="1037" spans="1:33" s="56" customFormat="1" ht="15" hidden="1" customHeight="1" outlineLevel="1" x14ac:dyDescent="0.25">
      <c r="A1037" s="597"/>
      <c r="B1037" s="130"/>
      <c r="C1037" s="616"/>
      <c r="D1037" s="2101"/>
      <c r="E1037" s="2104"/>
      <c r="F1037" s="2110" t="str">
        <f>$E$910</f>
        <v>ASHP - SEER 19 - replace electric furnace / CAC - early replacement MF ER2</v>
      </c>
      <c r="G1037" s="2111"/>
      <c r="H1037" s="2111"/>
      <c r="I1037" s="2112"/>
      <c r="J1037" s="709"/>
      <c r="K1037" s="730">
        <v>37200</v>
      </c>
      <c r="L1037" s="76">
        <f t="shared" ref="L1037:L1057" si="70">K1037/12000</f>
        <v>3.1</v>
      </c>
      <c r="M1037" s="754"/>
      <c r="N1037" s="130"/>
      <c r="O1037" s="251"/>
      <c r="P1037" s="251"/>
      <c r="Q1037" s="251"/>
      <c r="R1037" s="251"/>
      <c r="S1037" s="130"/>
      <c r="T1037" s="130"/>
      <c r="U1037" s="130"/>
      <c r="V1037" s="2107"/>
      <c r="W1037" s="611">
        <v>37200</v>
      </c>
      <c r="X1037" s="611">
        <v>37200</v>
      </c>
      <c r="Y1037" s="611"/>
      <c r="Z1037" s="611"/>
      <c r="AA1037" s="611"/>
      <c r="AB1037" s="611"/>
      <c r="AC1037" s="611"/>
      <c r="AD1037" s="611"/>
      <c r="AE1037" s="611"/>
      <c r="AF1037" s="611"/>
      <c r="AG1037" s="611"/>
    </row>
    <row r="1038" spans="1:33" s="56" customFormat="1" ht="15" hidden="1" customHeight="1" outlineLevel="1" x14ac:dyDescent="0.25">
      <c r="A1038" s="597"/>
      <c r="B1038" s="130"/>
      <c r="C1038" s="616"/>
      <c r="D1038" s="2101"/>
      <c r="E1038" s="2104"/>
      <c r="F1038" s="2110" t="str">
        <f>$E$912</f>
        <v>ASHP SEER 19 replace ASHP - early replacement MF ER1</v>
      </c>
      <c r="G1038" s="2111"/>
      <c r="H1038" s="2111"/>
      <c r="I1038" s="2112"/>
      <c r="J1038" s="709"/>
      <c r="K1038" s="730">
        <v>39600</v>
      </c>
      <c r="L1038" s="76">
        <f t="shared" si="70"/>
        <v>3.3</v>
      </c>
      <c r="M1038" s="754"/>
      <c r="N1038" s="130"/>
      <c r="O1038" s="251"/>
      <c r="P1038" s="251"/>
      <c r="Q1038" s="251"/>
      <c r="R1038" s="251"/>
      <c r="S1038" s="130"/>
      <c r="T1038" s="130"/>
      <c r="U1038" s="130"/>
      <c r="V1038" s="2107"/>
      <c r="W1038" s="611">
        <v>39600</v>
      </c>
      <c r="X1038" s="611">
        <v>39600</v>
      </c>
      <c r="Y1038" s="611"/>
      <c r="Z1038" s="611"/>
      <c r="AA1038" s="611"/>
      <c r="AB1038" s="611"/>
      <c r="AC1038" s="611"/>
      <c r="AD1038" s="611"/>
      <c r="AE1038" s="611"/>
      <c r="AF1038" s="611"/>
      <c r="AG1038" s="611"/>
    </row>
    <row r="1039" spans="1:33" s="56" customFormat="1" ht="15" hidden="1" customHeight="1" outlineLevel="1" x14ac:dyDescent="0.25">
      <c r="A1039" s="597"/>
      <c r="B1039" s="130"/>
      <c r="C1039" s="616"/>
      <c r="D1039" s="2101"/>
      <c r="E1039" s="2104"/>
      <c r="F1039" s="2110" t="str">
        <f>$E$914</f>
        <v>ASHP SEER 19 replace ASHP - early replacement MF ER2</v>
      </c>
      <c r="G1039" s="2111"/>
      <c r="H1039" s="2111"/>
      <c r="I1039" s="2112"/>
      <c r="J1039" s="709"/>
      <c r="K1039" s="730">
        <v>39600</v>
      </c>
      <c r="L1039" s="76">
        <f t="shared" si="70"/>
        <v>3.3</v>
      </c>
      <c r="M1039" s="754"/>
      <c r="N1039" s="130"/>
      <c r="O1039" s="251"/>
      <c r="P1039" s="251"/>
      <c r="Q1039" s="251"/>
      <c r="R1039" s="251"/>
      <c r="S1039" s="130"/>
      <c r="T1039" s="130"/>
      <c r="U1039" s="130"/>
      <c r="V1039" s="2107"/>
      <c r="W1039" s="611">
        <v>39600</v>
      </c>
      <c r="X1039" s="611">
        <v>39600</v>
      </c>
      <c r="Y1039" s="611"/>
      <c r="Z1039" s="611"/>
      <c r="AA1039" s="611"/>
      <c r="AB1039" s="611"/>
      <c r="AC1039" s="611"/>
      <c r="AD1039" s="611"/>
      <c r="AE1039" s="611"/>
      <c r="AF1039" s="611"/>
      <c r="AG1039" s="611"/>
    </row>
    <row r="1040" spans="1:33" s="56" customFormat="1" ht="15" hidden="1" customHeight="1" outlineLevel="1" x14ac:dyDescent="0.25">
      <c r="A1040" s="597"/>
      <c r="B1040" s="130"/>
      <c r="C1040" s="616"/>
      <c r="D1040" s="2101"/>
      <c r="E1040" s="2104"/>
      <c r="F1040" s="2110" t="str">
        <f>$E$916</f>
        <v>ASHP SEER 20 replace ASHP - early replacement SF ER1</v>
      </c>
      <c r="G1040" s="2111"/>
      <c r="H1040" s="2111"/>
      <c r="I1040" s="2112"/>
      <c r="J1040" s="709"/>
      <c r="K1040" s="730">
        <v>39600</v>
      </c>
      <c r="L1040" s="76">
        <f t="shared" si="70"/>
        <v>3.3</v>
      </c>
      <c r="M1040" s="754"/>
      <c r="N1040" s="130"/>
      <c r="O1040" s="251"/>
      <c r="P1040" s="251"/>
      <c r="Q1040" s="251"/>
      <c r="R1040" s="251"/>
      <c r="S1040" s="130"/>
      <c r="T1040" s="130"/>
      <c r="U1040" s="130"/>
      <c r="V1040" s="2107"/>
      <c r="W1040" s="611">
        <v>39600</v>
      </c>
      <c r="X1040" s="611">
        <v>39600</v>
      </c>
      <c r="Y1040" s="611"/>
      <c r="Z1040" s="611"/>
      <c r="AA1040" s="611"/>
      <c r="AB1040" s="611"/>
      <c r="AC1040" s="611"/>
      <c r="AD1040" s="611"/>
      <c r="AE1040" s="611"/>
      <c r="AF1040" s="611"/>
      <c r="AG1040" s="611"/>
    </row>
    <row r="1041" spans="1:33" s="56" customFormat="1" ht="15" hidden="1" customHeight="1" outlineLevel="1" x14ac:dyDescent="0.25">
      <c r="A1041" s="597"/>
      <c r="B1041" s="130"/>
      <c r="C1041" s="616"/>
      <c r="D1041" s="2101"/>
      <c r="E1041" s="2104"/>
      <c r="F1041" s="2110" t="str">
        <f>$E$918</f>
        <v>ASHP SEER 20 replace ASHP - early replacement SF ER2</v>
      </c>
      <c r="G1041" s="2111"/>
      <c r="H1041" s="2111"/>
      <c r="I1041" s="2112"/>
      <c r="J1041" s="709"/>
      <c r="K1041" s="730">
        <v>39600</v>
      </c>
      <c r="L1041" s="76">
        <f t="shared" si="70"/>
        <v>3.3</v>
      </c>
      <c r="M1041" s="754"/>
      <c r="N1041" s="130"/>
      <c r="O1041" s="251"/>
      <c r="P1041" s="251"/>
      <c r="Q1041" s="251"/>
      <c r="R1041" s="251"/>
      <c r="S1041" s="130"/>
      <c r="T1041" s="130"/>
      <c r="U1041" s="130"/>
      <c r="V1041" s="2107"/>
      <c r="W1041" s="611">
        <v>39600</v>
      </c>
      <c r="X1041" s="611">
        <v>39600</v>
      </c>
      <c r="Y1041" s="611"/>
      <c r="Z1041" s="611"/>
      <c r="AA1041" s="611"/>
      <c r="AB1041" s="611"/>
      <c r="AC1041" s="611"/>
      <c r="AD1041" s="611"/>
      <c r="AE1041" s="611"/>
      <c r="AF1041" s="611"/>
      <c r="AG1041" s="611"/>
    </row>
    <row r="1042" spans="1:33" s="56" customFormat="1" ht="15" hidden="1" customHeight="1" outlineLevel="1" x14ac:dyDescent="0.25">
      <c r="A1042" s="597"/>
      <c r="B1042" s="130"/>
      <c r="C1042" s="616"/>
      <c r="D1042" s="2101"/>
      <c r="E1042" s="2104"/>
      <c r="F1042" s="2110" t="str">
        <f>$E$920</f>
        <v>ASHP SEER 20 replace ASHP - replace on fail SF</v>
      </c>
      <c r="G1042" s="2111"/>
      <c r="H1042" s="2111"/>
      <c r="I1042" s="2112"/>
      <c r="J1042" s="709"/>
      <c r="K1042" s="730">
        <v>39600</v>
      </c>
      <c r="L1042" s="76">
        <f t="shared" si="70"/>
        <v>3.3</v>
      </c>
      <c r="M1042" s="754"/>
      <c r="N1042" s="130"/>
      <c r="O1042" s="251"/>
      <c r="P1042" s="251"/>
      <c r="Q1042" s="251"/>
      <c r="R1042" s="251"/>
      <c r="S1042" s="130"/>
      <c r="T1042" s="130"/>
      <c r="U1042" s="130"/>
      <c r="V1042" s="2107"/>
      <c r="W1042" s="611">
        <v>39600</v>
      </c>
      <c r="X1042" s="611">
        <v>39600</v>
      </c>
      <c r="Y1042" s="611"/>
      <c r="Z1042" s="611"/>
      <c r="AA1042" s="611"/>
      <c r="AB1042" s="611"/>
      <c r="AC1042" s="611"/>
      <c r="AD1042" s="611"/>
      <c r="AE1042" s="611"/>
      <c r="AF1042" s="611"/>
      <c r="AG1042" s="611"/>
    </row>
    <row r="1043" spans="1:33" s="56" customFormat="1" ht="15" hidden="1" customHeight="1" outlineLevel="1" x14ac:dyDescent="0.25">
      <c r="A1043" s="597"/>
      <c r="B1043" s="130"/>
      <c r="C1043" s="616"/>
      <c r="D1043" s="2101"/>
      <c r="E1043" s="2104"/>
      <c r="F1043" s="2110" t="str">
        <f>$E$922</f>
        <v>ASHP - SEER 20 - replace electric furnace / CAC - early replacement MF ER1</v>
      </c>
      <c r="G1043" s="2111"/>
      <c r="H1043" s="2111"/>
      <c r="I1043" s="2112"/>
      <c r="J1043" s="709"/>
      <c r="K1043" s="730">
        <v>37200</v>
      </c>
      <c r="L1043" s="76">
        <f t="shared" si="70"/>
        <v>3.1</v>
      </c>
      <c r="M1043" s="754"/>
      <c r="N1043" s="130"/>
      <c r="O1043" s="251"/>
      <c r="P1043" s="251"/>
      <c r="Q1043" s="251"/>
      <c r="R1043" s="251"/>
      <c r="S1043" s="130"/>
      <c r="T1043" s="130"/>
      <c r="U1043" s="130"/>
      <c r="V1043" s="2107"/>
      <c r="W1043" s="611">
        <v>37200</v>
      </c>
      <c r="X1043" s="611">
        <v>37200</v>
      </c>
      <c r="Y1043" s="611"/>
      <c r="Z1043" s="611"/>
      <c r="AA1043" s="611"/>
      <c r="AB1043" s="611"/>
      <c r="AC1043" s="611"/>
      <c r="AD1043" s="611"/>
      <c r="AE1043" s="611"/>
      <c r="AF1043" s="611"/>
      <c r="AG1043" s="611"/>
    </row>
    <row r="1044" spans="1:33" s="56" customFormat="1" ht="15" hidden="1" customHeight="1" outlineLevel="1" x14ac:dyDescent="0.25">
      <c r="A1044" s="597"/>
      <c r="B1044" s="130"/>
      <c r="C1044" s="616"/>
      <c r="D1044" s="2101"/>
      <c r="E1044" s="2104"/>
      <c r="F1044" s="2110" t="str">
        <f>$E$924</f>
        <v>ASHP - SEER 20 - replace electric furnace / CAC - early replacement MF ER2</v>
      </c>
      <c r="G1044" s="2111"/>
      <c r="H1044" s="2111"/>
      <c r="I1044" s="2112"/>
      <c r="J1044" s="709"/>
      <c r="K1044" s="730">
        <v>37200</v>
      </c>
      <c r="L1044" s="76">
        <f t="shared" si="70"/>
        <v>3.1</v>
      </c>
      <c r="M1044" s="754"/>
      <c r="N1044" s="130"/>
      <c r="O1044" s="251"/>
      <c r="P1044" s="251"/>
      <c r="Q1044" s="251"/>
      <c r="R1044" s="251"/>
      <c r="S1044" s="130"/>
      <c r="T1044" s="130"/>
      <c r="U1044" s="130"/>
      <c r="V1044" s="2107"/>
      <c r="W1044" s="611">
        <v>37200</v>
      </c>
      <c r="X1044" s="611">
        <v>37200</v>
      </c>
      <c r="Y1044" s="611"/>
      <c r="Z1044" s="611"/>
      <c r="AA1044" s="611"/>
      <c r="AB1044" s="611"/>
      <c r="AC1044" s="611"/>
      <c r="AD1044" s="611"/>
      <c r="AE1044" s="611"/>
      <c r="AF1044" s="611"/>
      <c r="AG1044" s="611"/>
    </row>
    <row r="1045" spans="1:33" s="56" customFormat="1" ht="15" hidden="1" customHeight="1" outlineLevel="1" x14ac:dyDescent="0.25">
      <c r="A1045" s="597"/>
      <c r="B1045" s="130"/>
      <c r="C1045" s="616"/>
      <c r="D1045" s="2101"/>
      <c r="E1045" s="2104"/>
      <c r="F1045" s="2110" t="str">
        <f>$E$926</f>
        <v>ASHP SEER 20 replace ASHP - early replacement MF ER1</v>
      </c>
      <c r="G1045" s="2111"/>
      <c r="H1045" s="2111"/>
      <c r="I1045" s="2112"/>
      <c r="J1045" s="709"/>
      <c r="K1045" s="730">
        <v>39600</v>
      </c>
      <c r="L1045" s="76">
        <f t="shared" si="70"/>
        <v>3.3</v>
      </c>
      <c r="M1045" s="754"/>
      <c r="N1045" s="130"/>
      <c r="O1045" s="251"/>
      <c r="P1045" s="251"/>
      <c r="Q1045" s="251"/>
      <c r="R1045" s="251"/>
      <c r="S1045" s="130"/>
      <c r="T1045" s="130"/>
      <c r="U1045" s="130"/>
      <c r="V1045" s="2107"/>
      <c r="W1045" s="611">
        <v>39600</v>
      </c>
      <c r="X1045" s="611">
        <v>39600</v>
      </c>
      <c r="Y1045" s="611"/>
      <c r="Z1045" s="611"/>
      <c r="AA1045" s="611"/>
      <c r="AB1045" s="611"/>
      <c r="AC1045" s="611"/>
      <c r="AD1045" s="611"/>
      <c r="AE1045" s="611"/>
      <c r="AF1045" s="611"/>
      <c r="AG1045" s="611"/>
    </row>
    <row r="1046" spans="1:33" s="56" customFormat="1" ht="15" hidden="1" customHeight="1" outlineLevel="1" x14ac:dyDescent="0.25">
      <c r="A1046" s="597"/>
      <c r="B1046" s="130"/>
      <c r="C1046" s="616"/>
      <c r="D1046" s="2101"/>
      <c r="E1046" s="2104"/>
      <c r="F1046" s="2110" t="str">
        <f>$E$928</f>
        <v>ASHP SEER 20 replace ASHP - early replacement MF ER2</v>
      </c>
      <c r="G1046" s="2111"/>
      <c r="H1046" s="2111"/>
      <c r="I1046" s="2112"/>
      <c r="J1046" s="709"/>
      <c r="K1046" s="730">
        <v>39600</v>
      </c>
      <c r="L1046" s="76">
        <f t="shared" si="70"/>
        <v>3.3</v>
      </c>
      <c r="M1046" s="754"/>
      <c r="N1046" s="130"/>
      <c r="O1046" s="251"/>
      <c r="P1046" s="251"/>
      <c r="Q1046" s="251"/>
      <c r="R1046" s="251"/>
      <c r="S1046" s="130"/>
      <c r="T1046" s="130"/>
      <c r="U1046" s="130"/>
      <c r="V1046" s="2107"/>
      <c r="W1046" s="611">
        <v>39600</v>
      </c>
      <c r="X1046" s="611">
        <v>39600</v>
      </c>
      <c r="Y1046" s="611"/>
      <c r="Z1046" s="611"/>
      <c r="AA1046" s="611"/>
      <c r="AB1046" s="611"/>
      <c r="AC1046" s="611"/>
      <c r="AD1046" s="611"/>
      <c r="AE1046" s="611"/>
      <c r="AF1046" s="611"/>
      <c r="AG1046" s="611"/>
    </row>
    <row r="1047" spans="1:33" s="56" customFormat="1" ht="15" hidden="1" customHeight="1" outlineLevel="1" x14ac:dyDescent="0.25">
      <c r="A1047" s="597"/>
      <c r="B1047" s="130"/>
      <c r="C1047" s="616"/>
      <c r="D1047" s="2101"/>
      <c r="E1047" s="2104"/>
      <c r="F1047" s="2110" t="str">
        <f>$E$930</f>
        <v>ASHP SEER 21 replace ASHP - early replacement SF ER1</v>
      </c>
      <c r="G1047" s="2111"/>
      <c r="H1047" s="2111"/>
      <c r="I1047" s="2112"/>
      <c r="J1047" s="709"/>
      <c r="K1047" s="730">
        <v>39600</v>
      </c>
      <c r="L1047" s="76">
        <f t="shared" si="70"/>
        <v>3.3</v>
      </c>
      <c r="M1047" s="754"/>
      <c r="N1047" s="130"/>
      <c r="O1047" s="251"/>
      <c r="P1047" s="251"/>
      <c r="Q1047" s="251"/>
      <c r="R1047" s="251"/>
      <c r="S1047" s="130"/>
      <c r="T1047" s="130"/>
      <c r="U1047" s="130"/>
      <c r="V1047" s="2107"/>
      <c r="W1047" s="611">
        <v>39600</v>
      </c>
      <c r="X1047" s="611">
        <v>39600</v>
      </c>
      <c r="Y1047" s="611"/>
      <c r="Z1047" s="611"/>
      <c r="AA1047" s="611"/>
      <c r="AB1047" s="611"/>
      <c r="AC1047" s="611"/>
      <c r="AD1047" s="611"/>
      <c r="AE1047" s="611"/>
      <c r="AF1047" s="611"/>
      <c r="AG1047" s="611"/>
    </row>
    <row r="1048" spans="1:33" s="56" customFormat="1" ht="15" hidden="1" customHeight="1" outlineLevel="1" x14ac:dyDescent="0.25">
      <c r="A1048" s="597"/>
      <c r="B1048" s="130"/>
      <c r="C1048" s="616"/>
      <c r="D1048" s="2101"/>
      <c r="E1048" s="2104"/>
      <c r="F1048" s="2110" t="str">
        <f>$E$932</f>
        <v>ASHP SEER 21 replace ASHP - early replacement SF ER2</v>
      </c>
      <c r="G1048" s="2111"/>
      <c r="H1048" s="2111"/>
      <c r="I1048" s="2112"/>
      <c r="J1048" s="709"/>
      <c r="K1048" s="730">
        <v>39600</v>
      </c>
      <c r="L1048" s="76">
        <f t="shared" si="70"/>
        <v>3.3</v>
      </c>
      <c r="M1048" s="754"/>
      <c r="N1048" s="130"/>
      <c r="O1048" s="251"/>
      <c r="P1048" s="251"/>
      <c r="Q1048" s="251"/>
      <c r="R1048" s="251"/>
      <c r="S1048" s="130"/>
      <c r="T1048" s="130"/>
      <c r="U1048" s="130"/>
      <c r="V1048" s="2107"/>
      <c r="W1048" s="611">
        <v>39600</v>
      </c>
      <c r="X1048" s="611">
        <v>39600</v>
      </c>
      <c r="Y1048" s="611"/>
      <c r="Z1048" s="611"/>
      <c r="AA1048" s="611"/>
      <c r="AB1048" s="611"/>
      <c r="AC1048" s="611"/>
      <c r="AD1048" s="611"/>
      <c r="AE1048" s="611"/>
      <c r="AF1048" s="611"/>
      <c r="AG1048" s="611"/>
    </row>
    <row r="1049" spans="1:33" s="56" customFormat="1" ht="15" hidden="1" customHeight="1" outlineLevel="1" x14ac:dyDescent="0.25">
      <c r="A1049" s="597"/>
      <c r="B1049" s="130"/>
      <c r="C1049" s="616"/>
      <c r="D1049" s="2101"/>
      <c r="E1049" s="2104"/>
      <c r="F1049" s="2110" t="str">
        <f>$E$934</f>
        <v>ASHP SEER 21 replace ASHP - replace on fail SF</v>
      </c>
      <c r="G1049" s="2111"/>
      <c r="H1049" s="2111"/>
      <c r="I1049" s="2112"/>
      <c r="J1049" s="709"/>
      <c r="K1049" s="730">
        <v>39600</v>
      </c>
      <c r="L1049" s="76">
        <f t="shared" si="70"/>
        <v>3.3</v>
      </c>
      <c r="M1049" s="754"/>
      <c r="N1049" s="130"/>
      <c r="O1049" s="251"/>
      <c r="P1049" s="251"/>
      <c r="Q1049" s="251"/>
      <c r="R1049" s="251"/>
      <c r="S1049" s="130"/>
      <c r="T1049" s="130"/>
      <c r="U1049" s="130"/>
      <c r="V1049" s="2107"/>
      <c r="W1049" s="611">
        <v>39600</v>
      </c>
      <c r="X1049" s="611">
        <v>39600</v>
      </c>
      <c r="Y1049" s="611"/>
      <c r="Z1049" s="611"/>
      <c r="AA1049" s="611"/>
      <c r="AB1049" s="611"/>
      <c r="AC1049" s="611"/>
      <c r="AD1049" s="611"/>
      <c r="AE1049" s="611"/>
      <c r="AF1049" s="611"/>
      <c r="AG1049" s="611"/>
    </row>
    <row r="1050" spans="1:33" s="56" customFormat="1" ht="15" hidden="1" customHeight="1" outlineLevel="1" x14ac:dyDescent="0.25">
      <c r="A1050" s="597"/>
      <c r="B1050" s="130"/>
      <c r="C1050" s="616"/>
      <c r="D1050" s="2101"/>
      <c r="E1050" s="2104"/>
      <c r="F1050" s="2110" t="str">
        <f>$E$936</f>
        <v>ASHP - SEER 21 - replace electric furnace / CAC MF</v>
      </c>
      <c r="G1050" s="2111"/>
      <c r="H1050" s="2111"/>
      <c r="I1050" s="2112"/>
      <c r="J1050" s="709"/>
      <c r="K1050" s="730">
        <v>33600</v>
      </c>
      <c r="L1050" s="76">
        <f t="shared" si="70"/>
        <v>2.8</v>
      </c>
      <c r="M1050" s="754"/>
      <c r="N1050" s="130"/>
      <c r="O1050" s="251"/>
      <c r="P1050" s="251"/>
      <c r="Q1050" s="251"/>
      <c r="R1050" s="251"/>
      <c r="S1050" s="130"/>
      <c r="T1050" s="130"/>
      <c r="U1050" s="130"/>
      <c r="V1050" s="2107"/>
      <c r="W1050" s="611">
        <v>33600</v>
      </c>
      <c r="X1050" s="611">
        <v>33600</v>
      </c>
      <c r="Y1050" s="611"/>
      <c r="Z1050" s="611"/>
      <c r="AA1050" s="611"/>
      <c r="AB1050" s="611"/>
      <c r="AC1050" s="611"/>
      <c r="AD1050" s="611"/>
      <c r="AE1050" s="611"/>
      <c r="AF1050" s="611"/>
      <c r="AG1050" s="611"/>
    </row>
    <row r="1051" spans="1:33" s="56" customFormat="1" ht="15" hidden="1" customHeight="1" outlineLevel="1" x14ac:dyDescent="0.25">
      <c r="A1051" s="597"/>
      <c r="B1051" s="130"/>
      <c r="C1051" s="616"/>
      <c r="D1051" s="2101"/>
      <c r="E1051" s="2104"/>
      <c r="F1051" s="2110" t="str">
        <f>$E$938</f>
        <v>ASHP SEER 21 replace ASHP - early replacement MF ER1</v>
      </c>
      <c r="G1051" s="2111"/>
      <c r="H1051" s="2111"/>
      <c r="I1051" s="2112"/>
      <c r="J1051" s="709"/>
      <c r="K1051" s="730">
        <v>39600</v>
      </c>
      <c r="L1051" s="76">
        <f t="shared" si="70"/>
        <v>3.3</v>
      </c>
      <c r="M1051" s="754"/>
      <c r="N1051" s="130"/>
      <c r="O1051" s="251"/>
      <c r="P1051" s="251"/>
      <c r="Q1051" s="251"/>
      <c r="R1051" s="251"/>
      <c r="S1051" s="130"/>
      <c r="T1051" s="130"/>
      <c r="U1051" s="130"/>
      <c r="V1051" s="2107"/>
      <c r="W1051" s="611">
        <v>39600</v>
      </c>
      <c r="X1051" s="611">
        <v>39600</v>
      </c>
      <c r="Y1051" s="611"/>
      <c r="Z1051" s="611"/>
      <c r="AA1051" s="611"/>
      <c r="AB1051" s="611"/>
      <c r="AC1051" s="611"/>
      <c r="AD1051" s="611"/>
      <c r="AE1051" s="611"/>
      <c r="AF1051" s="611"/>
      <c r="AG1051" s="611"/>
    </row>
    <row r="1052" spans="1:33" s="56" customFormat="1" ht="15" hidden="1" customHeight="1" outlineLevel="1" x14ac:dyDescent="0.25">
      <c r="A1052" s="597"/>
      <c r="B1052" s="130"/>
      <c r="C1052" s="616"/>
      <c r="D1052" s="2101"/>
      <c r="E1052" s="2104"/>
      <c r="F1052" s="2110" t="str">
        <f>$E$940</f>
        <v>ASHP SEER 21 replace ASHP - early replacement MF ER2</v>
      </c>
      <c r="G1052" s="2111"/>
      <c r="H1052" s="2111"/>
      <c r="I1052" s="2112"/>
      <c r="J1052" s="709"/>
      <c r="K1052" s="730">
        <v>39600</v>
      </c>
      <c r="L1052" s="76">
        <f t="shared" si="70"/>
        <v>3.3</v>
      </c>
      <c r="M1052" s="754"/>
      <c r="N1052" s="130"/>
      <c r="O1052" s="251"/>
      <c r="P1052" s="251"/>
      <c r="Q1052" s="251"/>
      <c r="R1052" s="251"/>
      <c r="S1052" s="130"/>
      <c r="T1052" s="130"/>
      <c r="U1052" s="130"/>
      <c r="V1052" s="2107"/>
      <c r="W1052" s="611">
        <v>39600</v>
      </c>
      <c r="X1052" s="611">
        <v>39600</v>
      </c>
      <c r="Y1052" s="611"/>
      <c r="Z1052" s="611"/>
      <c r="AA1052" s="611"/>
      <c r="AB1052" s="611"/>
      <c r="AC1052" s="611"/>
      <c r="AD1052" s="611"/>
      <c r="AE1052" s="611"/>
      <c r="AF1052" s="611"/>
      <c r="AG1052" s="611"/>
    </row>
    <row r="1053" spans="1:33" s="56" customFormat="1" ht="15" hidden="1" customHeight="1" outlineLevel="1" x14ac:dyDescent="0.25">
      <c r="A1053" s="597"/>
      <c r="B1053" s="130"/>
      <c r="C1053" s="616"/>
      <c r="D1053" s="2101"/>
      <c r="E1053" s="2104"/>
      <c r="F1053" s="2110" t="str">
        <f>$E$942</f>
        <v>ASHP - SEER 17 - replace on fail MF</v>
      </c>
      <c r="G1053" s="2111"/>
      <c r="H1053" s="2111"/>
      <c r="I1053" s="2112"/>
      <c r="J1053" s="709" t="s">
        <v>1198</v>
      </c>
      <c r="K1053" s="730">
        <v>39600</v>
      </c>
      <c r="L1053" s="76">
        <f t="shared" si="70"/>
        <v>3.3</v>
      </c>
      <c r="M1053" s="754" t="s">
        <v>1173</v>
      </c>
      <c r="N1053" s="130"/>
      <c r="O1053" s="251"/>
      <c r="P1053" s="251"/>
      <c r="Q1053" s="251"/>
      <c r="R1053" s="251"/>
      <c r="S1053" s="130"/>
      <c r="T1053" s="130"/>
      <c r="U1053" s="130"/>
      <c r="V1053" s="2107"/>
      <c r="W1053" s="611">
        <v>39600</v>
      </c>
      <c r="X1053" s="611">
        <v>39600</v>
      </c>
      <c r="Y1053" s="611"/>
      <c r="Z1053" s="611"/>
      <c r="AA1053" s="611"/>
      <c r="AB1053" s="611"/>
      <c r="AC1053" s="611"/>
      <c r="AD1053" s="611"/>
      <c r="AE1053" s="611"/>
      <c r="AF1053" s="611"/>
      <c r="AG1053" s="611"/>
    </row>
    <row r="1054" spans="1:33" s="56" customFormat="1" ht="15" hidden="1" customHeight="1" outlineLevel="1" x14ac:dyDescent="0.25">
      <c r="A1054" s="724"/>
      <c r="B1054" s="130"/>
      <c r="C1054" s="616"/>
      <c r="D1054" s="2101"/>
      <c r="E1054" s="2104"/>
      <c r="F1054" s="2110" t="str">
        <f>$E$944</f>
        <v>ASHP - SEER 18 - replace on fail MF</v>
      </c>
      <c r="G1054" s="2111"/>
      <c r="H1054" s="2111"/>
      <c r="I1054" s="2112"/>
      <c r="J1054" s="709" t="s">
        <v>1199</v>
      </c>
      <c r="K1054" s="730">
        <v>39600</v>
      </c>
      <c r="L1054" s="76">
        <f t="shared" si="70"/>
        <v>3.3</v>
      </c>
      <c r="M1054" s="754" t="s">
        <v>1173</v>
      </c>
      <c r="N1054" s="130"/>
      <c r="O1054" s="251"/>
      <c r="P1054" s="766"/>
      <c r="Q1054" s="767"/>
      <c r="R1054" s="766"/>
      <c r="S1054" s="752"/>
      <c r="T1054" s="760"/>
      <c r="U1054" s="130"/>
      <c r="V1054" s="2107"/>
      <c r="W1054" s="611">
        <v>39600</v>
      </c>
      <c r="X1054" s="611">
        <v>39600</v>
      </c>
      <c r="Y1054" s="611"/>
      <c r="Z1054" s="611"/>
      <c r="AA1054" s="611"/>
      <c r="AB1054" s="611"/>
      <c r="AC1054" s="611"/>
      <c r="AD1054" s="611"/>
      <c r="AE1054" s="611"/>
      <c r="AF1054" s="611"/>
      <c r="AG1054" s="611"/>
    </row>
    <row r="1055" spans="1:33" s="56" customFormat="1" ht="15" hidden="1" customHeight="1" outlineLevel="1" x14ac:dyDescent="0.25">
      <c r="A1055" s="724"/>
      <c r="B1055" s="130"/>
      <c r="C1055" s="616"/>
      <c r="D1055" s="2101"/>
      <c r="E1055" s="2104"/>
      <c r="F1055" s="2110" t="str">
        <f>$E$946</f>
        <v>ASHP - SEER 19 - replace on fail MF</v>
      </c>
      <c r="G1055" s="2111"/>
      <c r="H1055" s="2111"/>
      <c r="I1055" s="2112"/>
      <c r="J1055" s="709" t="s">
        <v>1200</v>
      </c>
      <c r="K1055" s="730">
        <v>39600</v>
      </c>
      <c r="L1055" s="76">
        <f t="shared" si="70"/>
        <v>3.3</v>
      </c>
      <c r="M1055" s="754" t="s">
        <v>1173</v>
      </c>
      <c r="N1055" s="130"/>
      <c r="O1055" s="251"/>
      <c r="P1055" s="766"/>
      <c r="Q1055" s="767"/>
      <c r="R1055" s="766"/>
      <c r="S1055" s="752"/>
      <c r="T1055" s="760"/>
      <c r="U1055" s="130"/>
      <c r="V1055" s="2107"/>
      <c r="W1055" s="611">
        <v>39600</v>
      </c>
      <c r="X1055" s="611">
        <v>39600</v>
      </c>
      <c r="Y1055" s="611"/>
      <c r="Z1055" s="611"/>
      <c r="AA1055" s="611"/>
      <c r="AB1055" s="611"/>
      <c r="AC1055" s="611"/>
      <c r="AD1055" s="611"/>
      <c r="AE1055" s="611"/>
      <c r="AF1055" s="611"/>
      <c r="AG1055" s="611"/>
    </row>
    <row r="1056" spans="1:33" s="56" customFormat="1" ht="15" hidden="1" customHeight="1" outlineLevel="1" x14ac:dyDescent="0.25">
      <c r="A1056" s="597"/>
      <c r="B1056" s="130"/>
      <c r="C1056" s="616"/>
      <c r="D1056" s="2101"/>
      <c r="E1056" s="2104"/>
      <c r="F1056" s="2110" t="str">
        <f>$E$948</f>
        <v>ASHP - SEER 20 - replace on fail MF</v>
      </c>
      <c r="G1056" s="2111"/>
      <c r="H1056" s="2111"/>
      <c r="I1056" s="2112"/>
      <c r="J1056" s="709" t="s">
        <v>1201</v>
      </c>
      <c r="K1056" s="730">
        <v>39600</v>
      </c>
      <c r="L1056" s="76">
        <f t="shared" si="70"/>
        <v>3.3</v>
      </c>
      <c r="M1056" s="754" t="s">
        <v>1173</v>
      </c>
      <c r="N1056" s="130"/>
      <c r="O1056" s="251"/>
      <c r="P1056" s="251"/>
      <c r="Q1056" s="251"/>
      <c r="R1056" s="251"/>
      <c r="S1056" s="130"/>
      <c r="T1056" s="130"/>
      <c r="U1056" s="130"/>
      <c r="V1056" s="2107"/>
      <c r="W1056" s="611">
        <v>39600</v>
      </c>
      <c r="X1056" s="611">
        <v>39600</v>
      </c>
      <c r="Y1056" s="611"/>
      <c r="Z1056" s="611"/>
      <c r="AA1056" s="611"/>
      <c r="AB1056" s="611"/>
      <c r="AC1056" s="611"/>
      <c r="AD1056" s="611"/>
      <c r="AE1056" s="611"/>
      <c r="AF1056" s="611"/>
      <c r="AG1056" s="611"/>
    </row>
    <row r="1057" spans="1:33" s="56" customFormat="1" ht="15.75" hidden="1" customHeight="1" outlineLevel="1" thickBot="1" x14ac:dyDescent="0.3">
      <c r="A1057" s="597"/>
      <c r="B1057" s="130"/>
      <c r="C1057" s="616"/>
      <c r="D1057" s="2102"/>
      <c r="E1057" s="2105"/>
      <c r="F1057" s="2110" t="str">
        <f>$E$950</f>
        <v>ASHP - SEER 21 - replace on fail MF</v>
      </c>
      <c r="G1057" s="2111"/>
      <c r="H1057" s="2111"/>
      <c r="I1057" s="2112"/>
      <c r="J1057" s="712" t="s">
        <v>1202</v>
      </c>
      <c r="K1057" s="622">
        <v>39600</v>
      </c>
      <c r="L1057" s="768">
        <f t="shared" si="70"/>
        <v>3.3</v>
      </c>
      <c r="M1057" s="769" t="s">
        <v>1173</v>
      </c>
      <c r="N1057" s="130"/>
      <c r="O1057" s="251"/>
      <c r="P1057" s="251"/>
      <c r="Q1057" s="251"/>
      <c r="R1057" s="251"/>
      <c r="S1057" s="130"/>
      <c r="T1057" s="130"/>
      <c r="U1057" s="130"/>
      <c r="V1057" s="2108"/>
      <c r="W1057" s="622">
        <v>39600</v>
      </c>
      <c r="X1057" s="622">
        <v>39600</v>
      </c>
      <c r="Y1057" s="622"/>
      <c r="Z1057" s="622"/>
      <c r="AA1057" s="622"/>
      <c r="AB1057" s="622"/>
      <c r="AC1057" s="622"/>
      <c r="AD1057" s="622"/>
      <c r="AE1057" s="622"/>
      <c r="AF1057" s="622"/>
      <c r="AG1057" s="622"/>
    </row>
    <row r="1058" spans="1:33" s="56" customFormat="1" ht="15" hidden="1" customHeight="1" outlineLevel="1" thickBot="1" x14ac:dyDescent="0.3">
      <c r="A1058" s="597"/>
      <c r="B1058" s="130"/>
      <c r="C1058" s="616"/>
      <c r="D1058" s="2100" t="s">
        <v>1031</v>
      </c>
      <c r="E1058" s="2103" t="s">
        <v>1032</v>
      </c>
      <c r="F1058" s="2109" t="str">
        <f>$E$780</f>
        <v>ASHP - SEER 15 ER Elec Resist Furnace: HVAC ER1</v>
      </c>
      <c r="G1058" s="2109"/>
      <c r="H1058" s="2109"/>
      <c r="I1058" s="2109"/>
      <c r="J1058" s="707">
        <v>919</v>
      </c>
      <c r="K1058" s="727">
        <v>1496</v>
      </c>
      <c r="L1058" s="660"/>
      <c r="M1058" s="1694" t="s">
        <v>1801</v>
      </c>
      <c r="N1058" s="130"/>
      <c r="O1058" s="251"/>
      <c r="P1058" s="251"/>
      <c r="Q1058" s="251"/>
      <c r="R1058" s="251"/>
      <c r="S1058" s="130"/>
      <c r="T1058" s="130"/>
      <c r="U1058" s="130"/>
      <c r="V1058" s="2106" t="s">
        <v>1031</v>
      </c>
      <c r="W1058" s="605">
        <v>2009</v>
      </c>
      <c r="X1058" s="624">
        <v>1496</v>
      </c>
      <c r="Y1058" s="605"/>
      <c r="Z1058" s="605"/>
      <c r="AA1058" s="605"/>
      <c r="AB1058" s="605"/>
      <c r="AC1058" s="605"/>
      <c r="AD1058" s="605"/>
      <c r="AE1058" s="605"/>
      <c r="AF1058" s="605"/>
      <c r="AG1058" s="605"/>
    </row>
    <row r="1059" spans="1:33" s="56" customFormat="1" ht="15" hidden="1" customHeight="1" outlineLevel="1" x14ac:dyDescent="0.25">
      <c r="A1059" s="597"/>
      <c r="B1059" s="130"/>
      <c r="C1059" s="616"/>
      <c r="D1059" s="2101"/>
      <c r="E1059" s="2104"/>
      <c r="F1059" s="2110" t="str">
        <f>$E$782</f>
        <v>ASHP - SEER 15 ER Elec Resist Furnace: HVAC ER2</v>
      </c>
      <c r="G1059" s="2111"/>
      <c r="H1059" s="2111"/>
      <c r="I1059" s="2112"/>
      <c r="J1059" s="709" t="s">
        <v>1156</v>
      </c>
      <c r="K1059" s="727">
        <v>1496</v>
      </c>
      <c r="L1059" s="669"/>
      <c r="M1059" s="1695"/>
      <c r="N1059" s="130"/>
      <c r="O1059" s="251"/>
      <c r="P1059" s="251"/>
      <c r="Q1059" s="251"/>
      <c r="R1059" s="251"/>
      <c r="S1059" s="130"/>
      <c r="T1059" s="130"/>
      <c r="U1059" s="130"/>
      <c r="V1059" s="2107"/>
      <c r="W1059" s="611">
        <v>2009</v>
      </c>
      <c r="X1059" s="624">
        <v>1496</v>
      </c>
      <c r="Y1059" s="611"/>
      <c r="Z1059" s="611"/>
      <c r="AA1059" s="611"/>
      <c r="AB1059" s="611"/>
      <c r="AC1059" s="611"/>
      <c r="AD1059" s="611"/>
      <c r="AE1059" s="611"/>
      <c r="AF1059" s="611"/>
      <c r="AG1059" s="611"/>
    </row>
    <row r="1060" spans="1:33" s="56" customFormat="1" ht="15" hidden="1" customHeight="1" outlineLevel="1" x14ac:dyDescent="0.25">
      <c r="A1060" s="597"/>
      <c r="B1060" s="130"/>
      <c r="C1060" s="616"/>
      <c r="D1060" s="2101"/>
      <c r="E1060" s="2104"/>
      <c r="F1060" s="2110" t="str">
        <f>$E$784</f>
        <v>ASHP - SEER 15 ER with ASHP: HVAC ER1</v>
      </c>
      <c r="G1060" s="2111"/>
      <c r="H1060" s="2111"/>
      <c r="I1060" s="2112"/>
      <c r="J1060" s="709">
        <v>920</v>
      </c>
      <c r="K1060" s="730">
        <v>1496</v>
      </c>
      <c r="L1060" s="669"/>
      <c r="M1060" s="1695"/>
      <c r="N1060" s="130"/>
      <c r="O1060" s="251"/>
      <c r="P1060" s="251"/>
      <c r="Q1060" s="251"/>
      <c r="R1060" s="251"/>
      <c r="S1060" s="130"/>
      <c r="T1060" s="130"/>
      <c r="U1060" s="130"/>
      <c r="V1060" s="2107"/>
      <c r="W1060" s="611">
        <v>2009</v>
      </c>
      <c r="X1060" s="614">
        <v>1496</v>
      </c>
      <c r="Y1060" s="611"/>
      <c r="Z1060" s="611"/>
      <c r="AA1060" s="611"/>
      <c r="AB1060" s="611"/>
      <c r="AC1060" s="611"/>
      <c r="AD1060" s="611"/>
      <c r="AE1060" s="611"/>
      <c r="AF1060" s="611"/>
      <c r="AG1060" s="611"/>
    </row>
    <row r="1061" spans="1:33" s="56" customFormat="1" ht="15" hidden="1" customHeight="1" outlineLevel="1" x14ac:dyDescent="0.25">
      <c r="A1061" s="724"/>
      <c r="B1061" s="130"/>
      <c r="C1061" s="616"/>
      <c r="D1061" s="2101"/>
      <c r="E1061" s="2104"/>
      <c r="F1061" s="2110" t="str">
        <f>$E$786</f>
        <v>ASHP - SEER 15 ER with ASHP: HVAC ER2</v>
      </c>
      <c r="G1061" s="2111"/>
      <c r="H1061" s="2111"/>
      <c r="I1061" s="2112"/>
      <c r="J1061" s="709" t="s">
        <v>1159</v>
      </c>
      <c r="K1061" s="730">
        <v>1496</v>
      </c>
      <c r="L1061" s="669"/>
      <c r="M1061" s="1695"/>
      <c r="N1061" s="130"/>
      <c r="O1061" s="251"/>
      <c r="P1061" s="766"/>
      <c r="Q1061" s="766"/>
      <c r="R1061" s="766"/>
      <c r="S1061" s="752"/>
      <c r="T1061" s="760"/>
      <c r="U1061" s="130"/>
      <c r="V1061" s="2107"/>
      <c r="W1061" s="611">
        <v>2009</v>
      </c>
      <c r="X1061" s="614">
        <v>1496</v>
      </c>
      <c r="Y1061" s="611"/>
      <c r="Z1061" s="611"/>
      <c r="AA1061" s="611"/>
      <c r="AB1061" s="611"/>
      <c r="AC1061" s="611"/>
      <c r="AD1061" s="611"/>
      <c r="AE1061" s="611"/>
      <c r="AF1061" s="611"/>
      <c r="AG1061" s="611"/>
    </row>
    <row r="1062" spans="1:33" s="56" customFormat="1" ht="15" hidden="1" customHeight="1" outlineLevel="1" x14ac:dyDescent="0.25">
      <c r="A1062" s="724"/>
      <c r="B1062" s="130"/>
      <c r="C1062" s="616"/>
      <c r="D1062" s="2101"/>
      <c r="E1062" s="2104"/>
      <c r="F1062" s="2110" t="str">
        <f>$E$788</f>
        <v>ASHP-  SEER 15 Replace at Fail Elec Resist Furnace: HVAC</v>
      </c>
      <c r="G1062" s="2111"/>
      <c r="H1062" s="2111"/>
      <c r="I1062" s="2112"/>
      <c r="J1062" s="709">
        <v>921</v>
      </c>
      <c r="K1062" s="730">
        <v>1496</v>
      </c>
      <c r="L1062" s="669"/>
      <c r="M1062" s="1695"/>
      <c r="N1062" s="130"/>
      <c r="O1062" s="251"/>
      <c r="P1062" s="766"/>
      <c r="Q1062" s="766"/>
      <c r="R1062" s="766"/>
      <c r="S1062" s="752"/>
      <c r="T1062" s="760"/>
      <c r="U1062" s="130"/>
      <c r="V1062" s="2107"/>
      <c r="W1062" s="611">
        <v>2009</v>
      </c>
      <c r="X1062" s="614">
        <v>1496</v>
      </c>
      <c r="Y1062" s="611"/>
      <c r="Z1062" s="611"/>
      <c r="AA1062" s="611"/>
      <c r="AB1062" s="611"/>
      <c r="AC1062" s="611"/>
      <c r="AD1062" s="611"/>
      <c r="AE1062" s="611"/>
      <c r="AF1062" s="611"/>
      <c r="AG1062" s="611"/>
    </row>
    <row r="1063" spans="1:33" s="56" customFormat="1" ht="15" hidden="1" customHeight="1" outlineLevel="1" x14ac:dyDescent="0.25">
      <c r="A1063" s="724"/>
      <c r="B1063" s="130"/>
      <c r="C1063" s="616"/>
      <c r="D1063" s="2101"/>
      <c r="E1063" s="2104"/>
      <c r="F1063" s="2110" t="str">
        <f>$E$790</f>
        <v>ASHP - SEER 15 Replace at Fail with ASHP: HVAC</v>
      </c>
      <c r="G1063" s="2111"/>
      <c r="H1063" s="2111"/>
      <c r="I1063" s="2112"/>
      <c r="J1063" s="709">
        <v>922</v>
      </c>
      <c r="K1063" s="730">
        <v>1496</v>
      </c>
      <c r="L1063" s="669"/>
      <c r="M1063" s="1695"/>
      <c r="N1063" s="130"/>
      <c r="O1063" s="251"/>
      <c r="P1063" s="766"/>
      <c r="Q1063" s="766"/>
      <c r="R1063" s="766"/>
      <c r="S1063" s="752"/>
      <c r="T1063" s="760"/>
      <c r="U1063" s="130"/>
      <c r="V1063" s="2107"/>
      <c r="W1063" s="611">
        <v>2009</v>
      </c>
      <c r="X1063" s="614">
        <v>1496</v>
      </c>
      <c r="Y1063" s="611"/>
      <c r="Z1063" s="611"/>
      <c r="AA1063" s="611"/>
      <c r="AB1063" s="611"/>
      <c r="AC1063" s="611"/>
      <c r="AD1063" s="611"/>
      <c r="AE1063" s="611"/>
      <c r="AF1063" s="611"/>
      <c r="AG1063" s="611"/>
    </row>
    <row r="1064" spans="1:33" s="56" customFormat="1" ht="15" hidden="1" customHeight="1" outlineLevel="1" x14ac:dyDescent="0.25">
      <c r="A1064" s="724"/>
      <c r="B1064" s="130"/>
      <c r="C1064" s="616"/>
      <c r="D1064" s="2101"/>
      <c r="E1064" s="2104"/>
      <c r="F1064" s="2110" t="str">
        <f>$E$792</f>
        <v>ASHP - SEER 16 - replace electric furnace / CAC - early replacement SF ER1</v>
      </c>
      <c r="G1064" s="2111"/>
      <c r="H1064" s="2111"/>
      <c r="I1064" s="2112"/>
      <c r="J1064" s="709">
        <v>923</v>
      </c>
      <c r="K1064" s="730">
        <v>1496</v>
      </c>
      <c r="L1064" s="669"/>
      <c r="M1064" s="1695"/>
      <c r="N1064" s="130"/>
      <c r="O1064" s="251"/>
      <c r="P1064" s="766"/>
      <c r="Q1064" s="766"/>
      <c r="R1064" s="766"/>
      <c r="S1064" s="752"/>
      <c r="T1064" s="760"/>
      <c r="U1064" s="130"/>
      <c r="V1064" s="2107"/>
      <c r="W1064" s="611">
        <v>2009</v>
      </c>
      <c r="X1064" s="614">
        <v>1496</v>
      </c>
      <c r="Y1064" s="611"/>
      <c r="Z1064" s="611"/>
      <c r="AA1064" s="611"/>
      <c r="AB1064" s="611"/>
      <c r="AC1064" s="611"/>
      <c r="AD1064" s="611"/>
      <c r="AE1064" s="611"/>
      <c r="AF1064" s="611"/>
      <c r="AG1064" s="611"/>
    </row>
    <row r="1065" spans="1:33" s="56" customFormat="1" ht="15" hidden="1" customHeight="1" outlineLevel="1" x14ac:dyDescent="0.25">
      <c r="A1065" s="597"/>
      <c r="B1065" s="130"/>
      <c r="C1065" s="616"/>
      <c r="D1065" s="2101"/>
      <c r="E1065" s="2104"/>
      <c r="F1065" s="2110" t="str">
        <f>$E$794</f>
        <v>ASHP - SEER 16 - replace electric furnace / CAC - early replacement SF ER2</v>
      </c>
      <c r="G1065" s="2111"/>
      <c r="H1065" s="2111"/>
      <c r="I1065" s="2112"/>
      <c r="J1065" s="709" t="s">
        <v>1161</v>
      </c>
      <c r="K1065" s="730">
        <v>1496</v>
      </c>
      <c r="L1065" s="669"/>
      <c r="M1065" s="1695"/>
      <c r="N1065" s="130"/>
      <c r="O1065" s="251"/>
      <c r="P1065" s="251"/>
      <c r="Q1065" s="251"/>
      <c r="R1065" s="251"/>
      <c r="S1065" s="130"/>
      <c r="T1065" s="130"/>
      <c r="U1065" s="130"/>
      <c r="V1065" s="2107"/>
      <c r="W1065" s="611">
        <v>2009</v>
      </c>
      <c r="X1065" s="614">
        <v>1496</v>
      </c>
      <c r="Y1065" s="611"/>
      <c r="Z1065" s="611"/>
      <c r="AA1065" s="611"/>
      <c r="AB1065" s="611"/>
      <c r="AC1065" s="611"/>
      <c r="AD1065" s="611"/>
      <c r="AE1065" s="611"/>
      <c r="AF1065" s="611"/>
      <c r="AG1065" s="611"/>
    </row>
    <row r="1066" spans="1:33" s="56" customFormat="1" ht="15" hidden="1" customHeight="1" outlineLevel="1" x14ac:dyDescent="0.25">
      <c r="A1066" s="597"/>
      <c r="B1066" s="130"/>
      <c r="C1066" s="616"/>
      <c r="D1066" s="2101"/>
      <c r="E1066" s="2104"/>
      <c r="F1066" s="2110" t="str">
        <f>$E$796</f>
        <v>ASHP SEER 16 replace ASHP - early replacement SF ER1</v>
      </c>
      <c r="G1066" s="2111"/>
      <c r="H1066" s="2111"/>
      <c r="I1066" s="2112"/>
      <c r="J1066" s="709">
        <v>924</v>
      </c>
      <c r="K1066" s="730">
        <v>1496</v>
      </c>
      <c r="L1066" s="669"/>
      <c r="M1066" s="1695"/>
      <c r="N1066" s="130"/>
      <c r="O1066" s="251"/>
      <c r="P1066" s="251"/>
      <c r="Q1066" s="251"/>
      <c r="R1066" s="251"/>
      <c r="S1066" s="130"/>
      <c r="T1066" s="130"/>
      <c r="U1066" s="130"/>
      <c r="V1066" s="2107"/>
      <c r="W1066" s="611">
        <v>2009</v>
      </c>
      <c r="X1066" s="614">
        <v>1496</v>
      </c>
      <c r="Y1066" s="611"/>
      <c r="Z1066" s="611"/>
      <c r="AA1066" s="611"/>
      <c r="AB1066" s="611"/>
      <c r="AC1066" s="611"/>
      <c r="AD1066" s="611"/>
      <c r="AE1066" s="611"/>
      <c r="AF1066" s="611"/>
      <c r="AG1066" s="611"/>
    </row>
    <row r="1067" spans="1:33" s="56" customFormat="1" ht="15" hidden="1" customHeight="1" outlineLevel="1" x14ac:dyDescent="0.25">
      <c r="A1067" s="597"/>
      <c r="B1067" s="130"/>
      <c r="C1067" s="616"/>
      <c r="D1067" s="2101"/>
      <c r="E1067" s="2104"/>
      <c r="F1067" s="2110" t="str">
        <f>$E$798</f>
        <v>ASHP SEER 16 replace ASHP - early replacement SF ER2</v>
      </c>
      <c r="G1067" s="2111"/>
      <c r="H1067" s="2111"/>
      <c r="I1067" s="2112"/>
      <c r="J1067" s="709" t="s">
        <v>1163</v>
      </c>
      <c r="K1067" s="730">
        <v>1496</v>
      </c>
      <c r="L1067" s="670"/>
      <c r="M1067" s="1695"/>
      <c r="N1067" s="130"/>
      <c r="O1067" s="251"/>
      <c r="P1067" s="251"/>
      <c r="Q1067" s="251"/>
      <c r="R1067" s="251"/>
      <c r="S1067" s="130"/>
      <c r="T1067" s="130"/>
      <c r="U1067" s="130"/>
      <c r="V1067" s="2107"/>
      <c r="W1067" s="611">
        <v>2009</v>
      </c>
      <c r="X1067" s="614">
        <v>1496</v>
      </c>
      <c r="Y1067" s="611"/>
      <c r="Z1067" s="611"/>
      <c r="AA1067" s="611"/>
      <c r="AB1067" s="611"/>
      <c r="AC1067" s="611"/>
      <c r="AD1067" s="611"/>
      <c r="AE1067" s="611"/>
      <c r="AF1067" s="611"/>
      <c r="AG1067" s="611"/>
    </row>
    <row r="1068" spans="1:33" s="56" customFormat="1" ht="15" hidden="1" customHeight="1" outlineLevel="1" x14ac:dyDescent="0.25">
      <c r="A1068" s="597"/>
      <c r="B1068" s="130"/>
      <c r="C1068" s="616"/>
      <c r="D1068" s="2101"/>
      <c r="E1068" s="2104"/>
      <c r="F1068" s="2110" t="str">
        <f>$E$800</f>
        <v>ASHP - SEER 16 - replace electric furnace / CAC SF</v>
      </c>
      <c r="G1068" s="2111"/>
      <c r="H1068" s="2111"/>
      <c r="I1068" s="2112"/>
      <c r="J1068" s="709">
        <v>925</v>
      </c>
      <c r="K1068" s="730">
        <v>1496</v>
      </c>
      <c r="L1068" s="670"/>
      <c r="M1068" s="1695"/>
      <c r="N1068" s="130"/>
      <c r="O1068" s="251"/>
      <c r="P1068" s="251"/>
      <c r="Q1068" s="251"/>
      <c r="R1068" s="251"/>
      <c r="S1068" s="130"/>
      <c r="T1068" s="130"/>
      <c r="U1068" s="130"/>
      <c r="V1068" s="2107"/>
      <c r="W1068" s="611">
        <v>2009</v>
      </c>
      <c r="X1068" s="614">
        <v>1496</v>
      </c>
      <c r="Y1068" s="611"/>
      <c r="Z1068" s="611"/>
      <c r="AA1068" s="611"/>
      <c r="AB1068" s="611"/>
      <c r="AC1068" s="611"/>
      <c r="AD1068" s="611"/>
      <c r="AE1068" s="611"/>
      <c r="AF1068" s="611"/>
      <c r="AG1068" s="611"/>
    </row>
    <row r="1069" spans="1:33" s="56" customFormat="1" ht="15" hidden="1" customHeight="1" outlineLevel="1" x14ac:dyDescent="0.25">
      <c r="A1069" s="597"/>
      <c r="B1069" s="130"/>
      <c r="C1069" s="616"/>
      <c r="D1069" s="2101"/>
      <c r="E1069" s="2104"/>
      <c r="F1069" s="2110" t="str">
        <f>$E$802</f>
        <v>ASHP SEER 16 replace ASHP - replace on fail SF</v>
      </c>
      <c r="G1069" s="2111"/>
      <c r="H1069" s="2111"/>
      <c r="I1069" s="2112"/>
      <c r="J1069" s="709">
        <v>926</v>
      </c>
      <c r="K1069" s="730">
        <v>1496</v>
      </c>
      <c r="L1069" s="670"/>
      <c r="M1069" s="1695"/>
      <c r="N1069" s="130"/>
      <c r="O1069" s="251"/>
      <c r="P1069" s="251"/>
      <c r="Q1069" s="251"/>
      <c r="R1069" s="251"/>
      <c r="S1069" s="130"/>
      <c r="T1069" s="130"/>
      <c r="U1069" s="130"/>
      <c r="V1069" s="2107"/>
      <c r="W1069" s="611">
        <v>2009</v>
      </c>
      <c r="X1069" s="614">
        <v>1496</v>
      </c>
      <c r="Y1069" s="611"/>
      <c r="Z1069" s="611"/>
      <c r="AA1069" s="611"/>
      <c r="AB1069" s="611"/>
      <c r="AC1069" s="611"/>
      <c r="AD1069" s="611"/>
      <c r="AE1069" s="611"/>
      <c r="AF1069" s="611"/>
      <c r="AG1069" s="611"/>
    </row>
    <row r="1070" spans="1:33" s="56" customFormat="1" ht="15" hidden="1" customHeight="1" outlineLevel="1" x14ac:dyDescent="0.25">
      <c r="A1070" s="597"/>
      <c r="B1070" s="130"/>
      <c r="C1070" s="616"/>
      <c r="D1070" s="2101"/>
      <c r="E1070" s="2104"/>
      <c r="F1070" s="2110" t="str">
        <f>$E$804</f>
        <v>ASHP SEER 15 MFMR / MFLI ER Replace ASHP: HVAC ER1</v>
      </c>
      <c r="G1070" s="2111"/>
      <c r="H1070" s="2111"/>
      <c r="I1070" s="2112"/>
      <c r="J1070" s="709">
        <v>1239</v>
      </c>
      <c r="K1070" s="730">
        <v>1496</v>
      </c>
      <c r="L1070" s="670"/>
      <c r="M1070" s="1695"/>
      <c r="N1070" s="130"/>
      <c r="O1070" s="251"/>
      <c r="P1070" s="251"/>
      <c r="Q1070" s="251"/>
      <c r="R1070" s="251"/>
      <c r="S1070" s="130"/>
      <c r="T1070" s="130"/>
      <c r="U1070" s="130"/>
      <c r="V1070" s="2107"/>
      <c r="W1070" s="611">
        <v>2009</v>
      </c>
      <c r="X1070" s="614">
        <v>1496</v>
      </c>
      <c r="Y1070" s="611"/>
      <c r="Z1070" s="611"/>
      <c r="AA1070" s="611"/>
      <c r="AB1070" s="611"/>
      <c r="AC1070" s="611"/>
      <c r="AD1070" s="611"/>
      <c r="AE1070" s="611"/>
      <c r="AF1070" s="611"/>
      <c r="AG1070" s="611"/>
    </row>
    <row r="1071" spans="1:33" s="56" customFormat="1" ht="15" hidden="1" customHeight="1" outlineLevel="1" x14ac:dyDescent="0.25">
      <c r="A1071" s="724"/>
      <c r="B1071" s="130"/>
      <c r="C1071" s="616"/>
      <c r="D1071" s="2101"/>
      <c r="E1071" s="2104"/>
      <c r="F1071" s="2110" t="str">
        <f>$E$806</f>
        <v>ASHP SEER 15 MF ER Replace ASHP: HVAC ER2</v>
      </c>
      <c r="G1071" s="2111"/>
      <c r="H1071" s="2111"/>
      <c r="I1071" s="2112"/>
      <c r="J1071" s="709" t="s">
        <v>1166</v>
      </c>
      <c r="K1071" s="730">
        <v>1496</v>
      </c>
      <c r="L1071" s="670"/>
      <c r="M1071" s="1695"/>
      <c r="N1071" s="130"/>
      <c r="O1071" s="251"/>
      <c r="P1071" s="766"/>
      <c r="Q1071" s="766"/>
      <c r="R1071" s="766"/>
      <c r="S1071" s="752"/>
      <c r="T1071" s="760"/>
      <c r="U1071" s="130"/>
      <c r="V1071" s="2107"/>
      <c r="W1071" s="611">
        <v>2009</v>
      </c>
      <c r="X1071" s="614">
        <v>1496</v>
      </c>
      <c r="Y1071" s="611"/>
      <c r="Z1071" s="611"/>
      <c r="AA1071" s="611"/>
      <c r="AB1071" s="611"/>
      <c r="AC1071" s="611"/>
      <c r="AD1071" s="611"/>
      <c r="AE1071" s="611"/>
      <c r="AF1071" s="611"/>
      <c r="AG1071" s="611"/>
    </row>
    <row r="1072" spans="1:33" s="56" customFormat="1" ht="15" hidden="1" customHeight="1" outlineLevel="1" x14ac:dyDescent="0.25">
      <c r="A1072" s="724"/>
      <c r="B1072" s="130"/>
      <c r="C1072" s="616"/>
      <c r="D1072" s="2101"/>
      <c r="E1072" s="2104"/>
      <c r="F1072" s="2110" t="str">
        <f>$E$808</f>
        <v>ASHP SEER 15 MF ER Replace Elec Resist Furnace: HVAC ER1</v>
      </c>
      <c r="G1072" s="2111"/>
      <c r="H1072" s="2111"/>
      <c r="I1072" s="2112"/>
      <c r="J1072" s="709">
        <v>1266</v>
      </c>
      <c r="K1072" s="730">
        <v>1496</v>
      </c>
      <c r="L1072" s="670"/>
      <c r="M1072" s="1695"/>
      <c r="N1072" s="130"/>
      <c r="O1072" s="251"/>
      <c r="P1072" s="766"/>
      <c r="Q1072" s="766"/>
      <c r="R1072" s="766"/>
      <c r="S1072" s="752"/>
      <c r="T1072" s="760"/>
      <c r="U1072" s="130"/>
      <c r="V1072" s="2107"/>
      <c r="W1072" s="611">
        <v>2009</v>
      </c>
      <c r="X1072" s="614">
        <v>1496</v>
      </c>
      <c r="Y1072" s="611"/>
      <c r="Z1072" s="611"/>
      <c r="AA1072" s="611"/>
      <c r="AB1072" s="611"/>
      <c r="AC1072" s="611"/>
      <c r="AD1072" s="611"/>
      <c r="AE1072" s="611"/>
      <c r="AF1072" s="611"/>
      <c r="AG1072" s="611"/>
    </row>
    <row r="1073" spans="1:33" s="56" customFormat="1" ht="15" hidden="1" customHeight="1" outlineLevel="1" x14ac:dyDescent="0.25">
      <c r="A1073" s="724"/>
      <c r="B1073" s="130"/>
      <c r="C1073" s="616"/>
      <c r="D1073" s="2101"/>
      <c r="E1073" s="2104"/>
      <c r="F1073" s="2110" t="str">
        <f>$E$810</f>
        <v>ASHP SEER 15 MF ER Replace Elec Resist Furnace: HVAC ER2</v>
      </c>
      <c r="G1073" s="2111"/>
      <c r="H1073" s="2111"/>
      <c r="I1073" s="2112"/>
      <c r="J1073" s="709" t="s">
        <v>1168</v>
      </c>
      <c r="K1073" s="730">
        <v>1496</v>
      </c>
      <c r="L1073" s="670"/>
      <c r="M1073" s="1695"/>
      <c r="N1073" s="130"/>
      <c r="O1073" s="251"/>
      <c r="P1073" s="766"/>
      <c r="Q1073" s="766"/>
      <c r="R1073" s="766"/>
      <c r="S1073" s="752"/>
      <c r="T1073" s="760"/>
      <c r="U1073" s="130"/>
      <c r="V1073" s="2107"/>
      <c r="W1073" s="611">
        <v>2009</v>
      </c>
      <c r="X1073" s="614">
        <v>1496</v>
      </c>
      <c r="Y1073" s="611"/>
      <c r="Z1073" s="611"/>
      <c r="AA1073" s="611"/>
      <c r="AB1073" s="611"/>
      <c r="AC1073" s="611"/>
      <c r="AD1073" s="611"/>
      <c r="AE1073" s="611"/>
      <c r="AF1073" s="611"/>
      <c r="AG1073" s="611"/>
    </row>
    <row r="1074" spans="1:33" s="56" customFormat="1" ht="15" hidden="1" customHeight="1" outlineLevel="1" x14ac:dyDescent="0.25">
      <c r="A1074" s="724"/>
      <c r="B1074" s="130"/>
      <c r="C1074" s="616"/>
      <c r="D1074" s="2101"/>
      <c r="E1074" s="2104"/>
      <c r="F1074" s="2110" t="str">
        <f>$E$812</f>
        <v>ASHP SEER 15 MF Replace at Fail Elec Resist Furnace: HVAC</v>
      </c>
      <c r="G1074" s="2111"/>
      <c r="H1074" s="2111"/>
      <c r="I1074" s="2112"/>
      <c r="J1074" s="709">
        <v>1268</v>
      </c>
      <c r="K1074" s="730">
        <v>1496</v>
      </c>
      <c r="L1074" s="670"/>
      <c r="M1074" s="1695"/>
      <c r="N1074" s="130"/>
      <c r="O1074" s="251"/>
      <c r="P1074" s="766"/>
      <c r="Q1074" s="766"/>
      <c r="R1074" s="766"/>
      <c r="S1074" s="752"/>
      <c r="T1074" s="760"/>
      <c r="U1074" s="130"/>
      <c r="V1074" s="2107"/>
      <c r="W1074" s="611">
        <v>2009</v>
      </c>
      <c r="X1074" s="614">
        <v>1496</v>
      </c>
      <c r="Y1074" s="611"/>
      <c r="Z1074" s="611"/>
      <c r="AA1074" s="611"/>
      <c r="AB1074" s="611"/>
      <c r="AC1074" s="611"/>
      <c r="AD1074" s="611"/>
      <c r="AE1074" s="611"/>
      <c r="AF1074" s="611"/>
      <c r="AG1074" s="611"/>
    </row>
    <row r="1075" spans="1:33" s="56" customFormat="1" ht="15" hidden="1" customHeight="1" outlineLevel="1" x14ac:dyDescent="0.25">
      <c r="A1075" s="724"/>
      <c r="B1075" s="130"/>
      <c r="C1075" s="616"/>
      <c r="D1075" s="2101"/>
      <c r="E1075" s="2104"/>
      <c r="F1075" s="2110" t="str">
        <f>$E$814</f>
        <v>ASHP SEER 16 MF ER Replace ASHP: HVAC ER1</v>
      </c>
      <c r="G1075" s="2111"/>
      <c r="H1075" s="2111"/>
      <c r="I1075" s="2112"/>
      <c r="J1075" s="709">
        <v>1240</v>
      </c>
      <c r="K1075" s="730">
        <v>1496</v>
      </c>
      <c r="L1075" s="670"/>
      <c r="M1075" s="1695"/>
      <c r="N1075" s="130"/>
      <c r="O1075" s="251"/>
      <c r="P1075" s="766"/>
      <c r="Q1075" s="766"/>
      <c r="R1075" s="766"/>
      <c r="S1075" s="752"/>
      <c r="T1075" s="760"/>
      <c r="U1075" s="130"/>
      <c r="V1075" s="2107"/>
      <c r="W1075" s="611">
        <v>2009</v>
      </c>
      <c r="X1075" s="614">
        <v>1496</v>
      </c>
      <c r="Y1075" s="611"/>
      <c r="Z1075" s="611"/>
      <c r="AA1075" s="611"/>
      <c r="AB1075" s="611"/>
      <c r="AC1075" s="611"/>
      <c r="AD1075" s="611"/>
      <c r="AE1075" s="611"/>
      <c r="AF1075" s="611"/>
      <c r="AG1075" s="611"/>
    </row>
    <row r="1076" spans="1:33" s="56" customFormat="1" ht="15" hidden="1" customHeight="1" outlineLevel="1" x14ac:dyDescent="0.25">
      <c r="A1076" s="724"/>
      <c r="B1076" s="130"/>
      <c r="C1076" s="616"/>
      <c r="D1076" s="2101"/>
      <c r="E1076" s="2104"/>
      <c r="F1076" s="2110" t="str">
        <f>$E$816</f>
        <v>ASHP SEER 16 MF ER Replace ASHP: HVAC ER2</v>
      </c>
      <c r="G1076" s="2111"/>
      <c r="H1076" s="2111"/>
      <c r="I1076" s="2112"/>
      <c r="J1076" s="709" t="s">
        <v>1170</v>
      </c>
      <c r="K1076" s="730">
        <v>1496</v>
      </c>
      <c r="L1076" s="670"/>
      <c r="M1076" s="1695"/>
      <c r="N1076" s="130"/>
      <c r="O1076" s="251"/>
      <c r="P1076" s="766"/>
      <c r="Q1076" s="766"/>
      <c r="R1076" s="766"/>
      <c r="S1076" s="752"/>
      <c r="T1076" s="760"/>
      <c r="U1076" s="130"/>
      <c r="V1076" s="2107"/>
      <c r="W1076" s="611">
        <v>2009</v>
      </c>
      <c r="X1076" s="614">
        <v>1496</v>
      </c>
      <c r="Y1076" s="611"/>
      <c r="Z1076" s="611"/>
      <c r="AA1076" s="611"/>
      <c r="AB1076" s="611"/>
      <c r="AC1076" s="611"/>
      <c r="AD1076" s="611"/>
      <c r="AE1076" s="611"/>
      <c r="AF1076" s="611"/>
      <c r="AG1076" s="611"/>
    </row>
    <row r="1077" spans="1:33" s="56" customFormat="1" ht="15" hidden="1" customHeight="1" outlineLevel="1" x14ac:dyDescent="0.25">
      <c r="A1077" s="724"/>
      <c r="B1077" s="130"/>
      <c r="C1077" s="616"/>
      <c r="D1077" s="2101"/>
      <c r="E1077" s="2104"/>
      <c r="F1077" s="2110" t="str">
        <f>$E$818</f>
        <v>ASHP - SEER 16 - replace on fail MF</v>
      </c>
      <c r="G1077" s="2111"/>
      <c r="H1077" s="2111"/>
      <c r="I1077" s="2112"/>
      <c r="J1077" s="709">
        <v>1270</v>
      </c>
      <c r="K1077" s="730">
        <v>1496</v>
      </c>
      <c r="L1077" s="670"/>
      <c r="M1077" s="1695"/>
      <c r="N1077" s="130"/>
      <c r="O1077" s="251"/>
      <c r="P1077" s="766"/>
      <c r="Q1077" s="766"/>
      <c r="R1077" s="766"/>
      <c r="S1077" s="752"/>
      <c r="T1077" s="760"/>
      <c r="U1077" s="130"/>
      <c r="V1077" s="2107"/>
      <c r="W1077" s="611">
        <v>2009</v>
      </c>
      <c r="X1077" s="614">
        <v>1496</v>
      </c>
      <c r="Y1077" s="611"/>
      <c r="Z1077" s="611"/>
      <c r="AA1077" s="611"/>
      <c r="AB1077" s="611"/>
      <c r="AC1077" s="611"/>
      <c r="AD1077" s="611"/>
      <c r="AE1077" s="611"/>
      <c r="AF1077" s="611"/>
      <c r="AG1077" s="611"/>
    </row>
    <row r="1078" spans="1:33" s="56" customFormat="1" ht="15" hidden="1" customHeight="1" outlineLevel="1" x14ac:dyDescent="0.25">
      <c r="A1078" s="724"/>
      <c r="B1078" s="130"/>
      <c r="C1078" s="616"/>
      <c r="D1078" s="2101"/>
      <c r="E1078" s="2104"/>
      <c r="F1078" s="2110" t="str">
        <f>$E$820</f>
        <v>ASHP - SEER 16 - replace electric furnace / CAC MF</v>
      </c>
      <c r="G1078" s="2111"/>
      <c r="H1078" s="2111"/>
      <c r="I1078" s="2112"/>
      <c r="J1078" s="709">
        <v>1271</v>
      </c>
      <c r="K1078" s="730">
        <v>1496</v>
      </c>
      <c r="L1078" s="670"/>
      <c r="M1078" s="1695"/>
      <c r="N1078" s="130"/>
      <c r="O1078" s="251"/>
      <c r="P1078" s="766"/>
      <c r="Q1078" s="766"/>
      <c r="R1078" s="766"/>
      <c r="S1078" s="752"/>
      <c r="T1078" s="760"/>
      <c r="U1078" s="130"/>
      <c r="V1078" s="2107"/>
      <c r="W1078" s="611">
        <v>2009</v>
      </c>
      <c r="X1078" s="614">
        <v>1496</v>
      </c>
      <c r="Y1078" s="611"/>
      <c r="Z1078" s="611"/>
      <c r="AA1078" s="611"/>
      <c r="AB1078" s="611"/>
      <c r="AC1078" s="611"/>
      <c r="AD1078" s="611"/>
      <c r="AE1078" s="611"/>
      <c r="AF1078" s="611"/>
      <c r="AG1078" s="611"/>
    </row>
    <row r="1079" spans="1:33" s="56" customFormat="1" ht="15" hidden="1" customHeight="1" outlineLevel="1" x14ac:dyDescent="0.25">
      <c r="A1079" s="724"/>
      <c r="B1079" s="130"/>
      <c r="C1079" s="616"/>
      <c r="D1079" s="2101"/>
      <c r="E1079" s="2104"/>
      <c r="F1079" s="2110" t="str">
        <f>$E$822</f>
        <v>ASHP - SEER 16 - replace electric furnace / CAC - early replacement MF ER1</v>
      </c>
      <c r="G1079" s="2111"/>
      <c r="H1079" s="2111"/>
      <c r="I1079" s="2112"/>
      <c r="J1079" s="709">
        <v>1269</v>
      </c>
      <c r="K1079" s="730">
        <v>1496</v>
      </c>
      <c r="L1079" s="670"/>
      <c r="M1079" s="1695"/>
      <c r="N1079" s="130"/>
      <c r="O1079" s="251"/>
      <c r="P1079" s="766"/>
      <c r="Q1079" s="766"/>
      <c r="R1079" s="766"/>
      <c r="S1079" s="752"/>
      <c r="T1079" s="760"/>
      <c r="U1079" s="130"/>
      <c r="V1079" s="2107"/>
      <c r="W1079" s="611">
        <v>2009</v>
      </c>
      <c r="X1079" s="614">
        <v>1496</v>
      </c>
      <c r="Y1079" s="611"/>
      <c r="Z1079" s="611"/>
      <c r="AA1079" s="611"/>
      <c r="AB1079" s="611"/>
      <c r="AC1079" s="611"/>
      <c r="AD1079" s="611"/>
      <c r="AE1079" s="611"/>
      <c r="AF1079" s="611"/>
      <c r="AG1079" s="611"/>
    </row>
    <row r="1080" spans="1:33" s="56" customFormat="1" ht="15" hidden="1" customHeight="1" outlineLevel="1" x14ac:dyDescent="0.25">
      <c r="A1080" s="724"/>
      <c r="B1080" s="130"/>
      <c r="C1080" s="616"/>
      <c r="D1080" s="2101"/>
      <c r="E1080" s="2104"/>
      <c r="F1080" s="2110" t="str">
        <f>$E$824</f>
        <v>ASHP - SEER 16 - replace electric furnace / CAC - early replacement MF ER2</v>
      </c>
      <c r="G1080" s="2111"/>
      <c r="H1080" s="2111"/>
      <c r="I1080" s="2112"/>
      <c r="J1080" s="709" t="s">
        <v>1171</v>
      </c>
      <c r="K1080" s="730">
        <v>1496</v>
      </c>
      <c r="L1080" s="670"/>
      <c r="M1080" s="1695"/>
      <c r="N1080" s="130"/>
      <c r="O1080" s="251"/>
      <c r="P1080" s="766"/>
      <c r="Q1080" s="766"/>
      <c r="R1080" s="766"/>
      <c r="S1080" s="752"/>
      <c r="T1080" s="760"/>
      <c r="U1080" s="130"/>
      <c r="V1080" s="2107"/>
      <c r="W1080" s="611">
        <v>2009</v>
      </c>
      <c r="X1080" s="614">
        <v>1496</v>
      </c>
      <c r="Y1080" s="611"/>
      <c r="Z1080" s="611"/>
      <c r="AA1080" s="611"/>
      <c r="AB1080" s="611"/>
      <c r="AC1080" s="611"/>
      <c r="AD1080" s="611"/>
      <c r="AE1080" s="611"/>
      <c r="AF1080" s="611"/>
      <c r="AG1080" s="611"/>
    </row>
    <row r="1081" spans="1:33" s="56" customFormat="1" ht="15" hidden="1" customHeight="1" outlineLevel="1" x14ac:dyDescent="0.25">
      <c r="A1081" s="724"/>
      <c r="B1081" s="130"/>
      <c r="C1081" s="616"/>
      <c r="D1081" s="2101"/>
      <c r="E1081" s="2104"/>
      <c r="F1081" s="2110" t="str">
        <f>$E$826</f>
        <v>ASHP SEER 15 MF Replace at Fail ASHP: HVAC</v>
      </c>
      <c r="G1081" s="2111"/>
      <c r="H1081" s="2111"/>
      <c r="I1081" s="2112"/>
      <c r="J1081" s="709">
        <v>1267</v>
      </c>
      <c r="K1081" s="730">
        <v>1496</v>
      </c>
      <c r="L1081" s="670"/>
      <c r="M1081" s="1695"/>
      <c r="N1081" s="130"/>
      <c r="O1081" s="251"/>
      <c r="P1081" s="766"/>
      <c r="Q1081" s="766"/>
      <c r="R1081" s="766"/>
      <c r="S1081" s="752"/>
      <c r="T1081" s="760"/>
      <c r="U1081" s="130"/>
      <c r="V1081" s="2107"/>
      <c r="W1081" s="611">
        <v>2009</v>
      </c>
      <c r="X1081" s="614">
        <v>1496</v>
      </c>
      <c r="Y1081" s="611"/>
      <c r="Z1081" s="611"/>
      <c r="AA1081" s="611"/>
      <c r="AB1081" s="611"/>
      <c r="AC1081" s="611"/>
      <c r="AD1081" s="611"/>
      <c r="AE1081" s="611"/>
      <c r="AF1081" s="611"/>
      <c r="AG1081" s="611"/>
    </row>
    <row r="1082" spans="1:33" s="56" customFormat="1" ht="15" hidden="1" customHeight="1" outlineLevel="1" x14ac:dyDescent="0.25">
      <c r="A1082" s="724"/>
      <c r="B1082" s="130"/>
      <c r="C1082" s="616"/>
      <c r="D1082" s="2101"/>
      <c r="E1082" s="2104"/>
      <c r="F1082" s="2110" t="str">
        <f>$E$828</f>
        <v>ASHP - SEER 17 - replace electric furnace / CAC SF</v>
      </c>
      <c r="G1082" s="2111"/>
      <c r="H1082" s="2111"/>
      <c r="I1082" s="2112"/>
      <c r="J1082" s="709" t="s">
        <v>1172</v>
      </c>
      <c r="K1082" s="730">
        <v>1496</v>
      </c>
      <c r="L1082" s="670"/>
      <c r="M1082" s="1695"/>
      <c r="N1082" s="130"/>
      <c r="O1082" s="251"/>
      <c r="P1082" s="766"/>
      <c r="Q1082" s="766"/>
      <c r="R1082" s="766"/>
      <c r="S1082" s="752"/>
      <c r="T1082" s="760"/>
      <c r="U1082" s="130"/>
      <c r="V1082" s="2107"/>
      <c r="W1082" s="611">
        <v>2009</v>
      </c>
      <c r="X1082" s="614">
        <v>1496</v>
      </c>
      <c r="Y1082" s="611"/>
      <c r="Z1082" s="611"/>
      <c r="AA1082" s="611"/>
      <c r="AB1082" s="611"/>
      <c r="AC1082" s="611"/>
      <c r="AD1082" s="611"/>
      <c r="AE1082" s="611"/>
      <c r="AF1082" s="611"/>
      <c r="AG1082" s="611"/>
    </row>
    <row r="1083" spans="1:33" s="56" customFormat="1" ht="15" hidden="1" customHeight="1" outlineLevel="1" x14ac:dyDescent="0.25">
      <c r="A1083" s="724"/>
      <c r="B1083" s="130"/>
      <c r="C1083" s="616"/>
      <c r="D1083" s="2101"/>
      <c r="E1083" s="2104"/>
      <c r="F1083" s="2110" t="str">
        <f>$E$830</f>
        <v>ASHP - SEER 17 - replace electric furnace / CAC MF</v>
      </c>
      <c r="G1083" s="2111"/>
      <c r="H1083" s="2111"/>
      <c r="I1083" s="2112"/>
      <c r="J1083" s="709" t="s">
        <v>1174</v>
      </c>
      <c r="K1083" s="730">
        <v>1496</v>
      </c>
      <c r="L1083" s="670"/>
      <c r="M1083" s="1695"/>
      <c r="N1083" s="130"/>
      <c r="O1083" s="251"/>
      <c r="P1083" s="766"/>
      <c r="Q1083" s="766"/>
      <c r="R1083" s="766"/>
      <c r="S1083" s="752"/>
      <c r="T1083" s="760"/>
      <c r="U1083" s="130"/>
      <c r="V1083" s="2107"/>
      <c r="W1083" s="611">
        <v>2009</v>
      </c>
      <c r="X1083" s="614">
        <v>1496</v>
      </c>
      <c r="Y1083" s="611"/>
      <c r="Z1083" s="611"/>
      <c r="AA1083" s="611"/>
      <c r="AB1083" s="611"/>
      <c r="AC1083" s="611"/>
      <c r="AD1083" s="611"/>
      <c r="AE1083" s="611"/>
      <c r="AF1083" s="611"/>
      <c r="AG1083" s="611"/>
    </row>
    <row r="1084" spans="1:33" s="56" customFormat="1" ht="15" hidden="1" customHeight="1" outlineLevel="1" x14ac:dyDescent="0.25">
      <c r="A1084" s="724"/>
      <c r="B1084" s="130"/>
      <c r="C1084" s="616"/>
      <c r="D1084" s="2101"/>
      <c r="E1084" s="2104"/>
      <c r="F1084" s="2110" t="str">
        <f>$E$832</f>
        <v>ASHP - SEER 18 - replace electric furnace / CAC SF</v>
      </c>
      <c r="G1084" s="2111"/>
      <c r="H1084" s="2111"/>
      <c r="I1084" s="2112"/>
      <c r="J1084" s="709" t="s">
        <v>1175</v>
      </c>
      <c r="K1084" s="730">
        <v>1496</v>
      </c>
      <c r="L1084" s="670"/>
      <c r="M1084" s="1695"/>
      <c r="N1084" s="130"/>
      <c r="O1084" s="251"/>
      <c r="P1084" s="766"/>
      <c r="Q1084" s="766"/>
      <c r="R1084" s="766"/>
      <c r="S1084" s="752"/>
      <c r="T1084" s="760"/>
      <c r="U1084" s="130"/>
      <c r="V1084" s="2107"/>
      <c r="W1084" s="611">
        <v>2009</v>
      </c>
      <c r="X1084" s="614">
        <v>1496</v>
      </c>
      <c r="Y1084" s="611"/>
      <c r="Z1084" s="611"/>
      <c r="AA1084" s="611"/>
      <c r="AB1084" s="611"/>
      <c r="AC1084" s="611"/>
      <c r="AD1084" s="611"/>
      <c r="AE1084" s="611"/>
      <c r="AF1084" s="611"/>
      <c r="AG1084" s="611"/>
    </row>
    <row r="1085" spans="1:33" s="56" customFormat="1" ht="15" hidden="1" customHeight="1" outlineLevel="1" x14ac:dyDescent="0.25">
      <c r="A1085" s="724"/>
      <c r="B1085" s="130"/>
      <c r="C1085" s="616"/>
      <c r="D1085" s="2101"/>
      <c r="E1085" s="2104"/>
      <c r="F1085" s="2110" t="str">
        <f>$E$834</f>
        <v>ASHP - SEER 18 - replace electric furnace / CAC MF</v>
      </c>
      <c r="G1085" s="2111"/>
      <c r="H1085" s="2111"/>
      <c r="I1085" s="2112"/>
      <c r="J1085" s="709" t="s">
        <v>1176</v>
      </c>
      <c r="K1085" s="730">
        <v>1496</v>
      </c>
      <c r="L1085" s="670"/>
      <c r="M1085" s="1695"/>
      <c r="N1085" s="130"/>
      <c r="O1085" s="251"/>
      <c r="P1085" s="766"/>
      <c r="Q1085" s="766"/>
      <c r="R1085" s="766"/>
      <c r="S1085" s="752"/>
      <c r="T1085" s="760"/>
      <c r="U1085" s="130"/>
      <c r="V1085" s="2107"/>
      <c r="W1085" s="611">
        <v>2009</v>
      </c>
      <c r="X1085" s="614">
        <v>1496</v>
      </c>
      <c r="Y1085" s="611"/>
      <c r="Z1085" s="611"/>
      <c r="AA1085" s="611"/>
      <c r="AB1085" s="611"/>
      <c r="AC1085" s="611"/>
      <c r="AD1085" s="611"/>
      <c r="AE1085" s="611"/>
      <c r="AF1085" s="611"/>
      <c r="AG1085" s="611"/>
    </row>
    <row r="1086" spans="1:33" s="56" customFormat="1" ht="15" hidden="1" customHeight="1" outlineLevel="1" x14ac:dyDescent="0.25">
      <c r="A1086" s="724"/>
      <c r="B1086" s="130"/>
      <c r="C1086" s="616"/>
      <c r="D1086" s="2101"/>
      <c r="E1086" s="2104"/>
      <c r="F1086" s="2110" t="str">
        <f>$E$836</f>
        <v>ASHP - SEER 19 - replace electric furnace / CAC SF</v>
      </c>
      <c r="G1086" s="2111"/>
      <c r="H1086" s="2111"/>
      <c r="I1086" s="2112"/>
      <c r="J1086" s="709" t="s">
        <v>1177</v>
      </c>
      <c r="K1086" s="730">
        <v>1496</v>
      </c>
      <c r="L1086" s="670"/>
      <c r="M1086" s="1695"/>
      <c r="N1086" s="130"/>
      <c r="O1086" s="251"/>
      <c r="P1086" s="766"/>
      <c r="Q1086" s="766"/>
      <c r="R1086" s="766"/>
      <c r="S1086" s="752"/>
      <c r="T1086" s="760"/>
      <c r="U1086" s="130"/>
      <c r="V1086" s="2107"/>
      <c r="W1086" s="611">
        <v>2009</v>
      </c>
      <c r="X1086" s="614">
        <v>1496</v>
      </c>
      <c r="Y1086" s="611"/>
      <c r="Z1086" s="611"/>
      <c r="AA1086" s="611"/>
      <c r="AB1086" s="611"/>
      <c r="AC1086" s="611"/>
      <c r="AD1086" s="611"/>
      <c r="AE1086" s="611"/>
      <c r="AF1086" s="611"/>
      <c r="AG1086" s="611"/>
    </row>
    <row r="1087" spans="1:33" s="56" customFormat="1" ht="15" hidden="1" customHeight="1" outlineLevel="1" x14ac:dyDescent="0.25">
      <c r="A1087" s="724"/>
      <c r="B1087" s="130"/>
      <c r="C1087" s="616"/>
      <c r="D1087" s="2101"/>
      <c r="E1087" s="2104"/>
      <c r="F1087" s="2110" t="str">
        <f>$E$838</f>
        <v>ASHP - SEER 19 - replace electric furnace / CAC MF</v>
      </c>
      <c r="G1087" s="2111"/>
      <c r="H1087" s="2111"/>
      <c r="I1087" s="2112"/>
      <c r="J1087" s="709" t="s">
        <v>1178</v>
      </c>
      <c r="K1087" s="730">
        <v>1496</v>
      </c>
      <c r="L1087" s="670"/>
      <c r="M1087" s="1695"/>
      <c r="N1087" s="130"/>
      <c r="O1087" s="251"/>
      <c r="P1087" s="766"/>
      <c r="Q1087" s="766"/>
      <c r="R1087" s="766"/>
      <c r="S1087" s="752"/>
      <c r="T1087" s="760"/>
      <c r="U1087" s="130"/>
      <c r="V1087" s="2107"/>
      <c r="W1087" s="611">
        <v>2009</v>
      </c>
      <c r="X1087" s="614">
        <v>1496</v>
      </c>
      <c r="Y1087" s="611"/>
      <c r="Z1087" s="611"/>
      <c r="AA1087" s="611"/>
      <c r="AB1087" s="611"/>
      <c r="AC1087" s="611"/>
      <c r="AD1087" s="611"/>
      <c r="AE1087" s="611"/>
      <c r="AF1087" s="611"/>
      <c r="AG1087" s="611"/>
    </row>
    <row r="1088" spans="1:33" s="56" customFormat="1" ht="15" hidden="1" customHeight="1" outlineLevel="1" x14ac:dyDescent="0.25">
      <c r="A1088" s="724"/>
      <c r="B1088" s="130"/>
      <c r="C1088" s="616"/>
      <c r="D1088" s="2101"/>
      <c r="E1088" s="2104"/>
      <c r="F1088" s="2110" t="str">
        <f>$E$840</f>
        <v>ASHP - SEER 20 - replace electric furnace / CAC - early replacement SF ER1</v>
      </c>
      <c r="G1088" s="2111"/>
      <c r="H1088" s="2111"/>
      <c r="I1088" s="2112"/>
      <c r="J1088" s="709" t="s">
        <v>1179</v>
      </c>
      <c r="K1088" s="730">
        <v>1496</v>
      </c>
      <c r="L1088" s="670"/>
      <c r="M1088" s="1695"/>
      <c r="N1088" s="130"/>
      <c r="O1088" s="251"/>
      <c r="P1088" s="766"/>
      <c r="Q1088" s="766"/>
      <c r="R1088" s="766"/>
      <c r="S1088" s="752"/>
      <c r="T1088" s="760"/>
      <c r="U1088" s="130"/>
      <c r="V1088" s="2107"/>
      <c r="W1088" s="611">
        <v>2009</v>
      </c>
      <c r="X1088" s="614">
        <v>1496</v>
      </c>
      <c r="Y1088" s="611"/>
      <c r="Z1088" s="611"/>
      <c r="AA1088" s="611"/>
      <c r="AB1088" s="611"/>
      <c r="AC1088" s="611"/>
      <c r="AD1088" s="611"/>
      <c r="AE1088" s="611"/>
      <c r="AF1088" s="611"/>
      <c r="AG1088" s="611"/>
    </row>
    <row r="1089" spans="1:33" s="56" customFormat="1" ht="15" hidden="1" customHeight="1" outlineLevel="1" x14ac:dyDescent="0.25">
      <c r="A1089" s="724"/>
      <c r="B1089" s="130"/>
      <c r="C1089" s="616"/>
      <c r="D1089" s="2101"/>
      <c r="E1089" s="2104"/>
      <c r="F1089" s="2110" t="str">
        <f>$E$842</f>
        <v>ASHP - SEER 20 - replace electric furnace / CAC - early replacement SF ER2</v>
      </c>
      <c r="G1089" s="2111"/>
      <c r="H1089" s="2111"/>
      <c r="I1089" s="2112"/>
      <c r="J1089" s="709" t="s">
        <v>1180</v>
      </c>
      <c r="K1089" s="730">
        <v>1496</v>
      </c>
      <c r="L1089" s="670"/>
      <c r="M1089" s="1695"/>
      <c r="N1089" s="130"/>
      <c r="O1089" s="251"/>
      <c r="P1089" s="766"/>
      <c r="Q1089" s="766"/>
      <c r="R1089" s="766"/>
      <c r="S1089" s="752"/>
      <c r="T1089" s="760"/>
      <c r="U1089" s="130"/>
      <c r="V1089" s="2107"/>
      <c r="W1089" s="611">
        <v>2009</v>
      </c>
      <c r="X1089" s="614">
        <v>1496</v>
      </c>
      <c r="Y1089" s="611"/>
      <c r="Z1089" s="611"/>
      <c r="AA1089" s="611"/>
      <c r="AB1089" s="611"/>
      <c r="AC1089" s="611"/>
      <c r="AD1089" s="611"/>
      <c r="AE1089" s="611"/>
      <c r="AF1089" s="611"/>
      <c r="AG1089" s="611"/>
    </row>
    <row r="1090" spans="1:33" s="56" customFormat="1" ht="15" hidden="1" customHeight="1" outlineLevel="1" x14ac:dyDescent="0.25">
      <c r="A1090" s="724"/>
      <c r="B1090" s="130"/>
      <c r="C1090" s="616"/>
      <c r="D1090" s="2101"/>
      <c r="E1090" s="2104"/>
      <c r="F1090" s="2110" t="str">
        <f>$E$844</f>
        <v>ASHP - SEER 20 - replace electric furnace / CAC SF</v>
      </c>
      <c r="G1090" s="2111"/>
      <c r="H1090" s="2111"/>
      <c r="I1090" s="2112"/>
      <c r="J1090" s="709" t="s">
        <v>1181</v>
      </c>
      <c r="K1090" s="730">
        <v>1496</v>
      </c>
      <c r="L1090" s="670"/>
      <c r="M1090" s="1695"/>
      <c r="N1090" s="130"/>
      <c r="O1090" s="251"/>
      <c r="P1090" s="766"/>
      <c r="Q1090" s="766"/>
      <c r="R1090" s="766"/>
      <c r="S1090" s="752"/>
      <c r="T1090" s="760"/>
      <c r="U1090" s="130"/>
      <c r="V1090" s="2107"/>
      <c r="W1090" s="611">
        <v>2009</v>
      </c>
      <c r="X1090" s="614">
        <v>1496</v>
      </c>
      <c r="Y1090" s="611"/>
      <c r="Z1090" s="611"/>
      <c r="AA1090" s="611"/>
      <c r="AB1090" s="611"/>
      <c r="AC1090" s="611"/>
      <c r="AD1090" s="611"/>
      <c r="AE1090" s="611"/>
      <c r="AF1090" s="611"/>
      <c r="AG1090" s="611"/>
    </row>
    <row r="1091" spans="1:33" s="56" customFormat="1" ht="15" hidden="1" customHeight="1" outlineLevel="1" x14ac:dyDescent="0.25">
      <c r="A1091" s="724"/>
      <c r="B1091" s="130"/>
      <c r="C1091" s="616"/>
      <c r="D1091" s="2101"/>
      <c r="E1091" s="2104"/>
      <c r="F1091" s="2110" t="str">
        <f>$E$846</f>
        <v>ASHP - SEER 20 - replace electric furnace / CAC MF</v>
      </c>
      <c r="G1091" s="2111"/>
      <c r="H1091" s="2111"/>
      <c r="I1091" s="2112"/>
      <c r="J1091" s="709" t="s">
        <v>1182</v>
      </c>
      <c r="K1091" s="730">
        <v>1496</v>
      </c>
      <c r="L1091" s="670"/>
      <c r="M1091" s="1695"/>
      <c r="N1091" s="130"/>
      <c r="O1091" s="251"/>
      <c r="P1091" s="766"/>
      <c r="Q1091" s="766"/>
      <c r="R1091" s="766"/>
      <c r="S1091" s="752"/>
      <c r="T1091" s="760"/>
      <c r="U1091" s="130"/>
      <c r="V1091" s="2107"/>
      <c r="W1091" s="611">
        <v>2009</v>
      </c>
      <c r="X1091" s="614">
        <v>1496</v>
      </c>
      <c r="Y1091" s="611"/>
      <c r="Z1091" s="611"/>
      <c r="AA1091" s="611"/>
      <c r="AB1091" s="611"/>
      <c r="AC1091" s="611"/>
      <c r="AD1091" s="611"/>
      <c r="AE1091" s="611"/>
      <c r="AF1091" s="611"/>
      <c r="AG1091" s="611"/>
    </row>
    <row r="1092" spans="1:33" s="56" customFormat="1" ht="15" hidden="1" customHeight="1" outlineLevel="1" x14ac:dyDescent="0.25">
      <c r="A1092" s="724"/>
      <c r="B1092" s="130"/>
      <c r="C1092" s="616"/>
      <c r="D1092" s="2101"/>
      <c r="E1092" s="2104"/>
      <c r="F1092" s="2110" t="str">
        <f>$E$848</f>
        <v>ASHP - SEER 21 - replace electric furnace / CAC - early replacement SF ER1</v>
      </c>
      <c r="G1092" s="2111"/>
      <c r="H1092" s="2111"/>
      <c r="I1092" s="2112"/>
      <c r="J1092" s="709" t="s">
        <v>1183</v>
      </c>
      <c r="K1092" s="730">
        <v>1496</v>
      </c>
      <c r="L1092" s="670"/>
      <c r="M1092" s="1695"/>
      <c r="N1092" s="130"/>
      <c r="O1092" s="251"/>
      <c r="P1092" s="766"/>
      <c r="Q1092" s="766"/>
      <c r="R1092" s="766"/>
      <c r="S1092" s="752"/>
      <c r="T1092" s="760"/>
      <c r="U1092" s="130"/>
      <c r="V1092" s="2107"/>
      <c r="W1092" s="611">
        <v>2009</v>
      </c>
      <c r="X1092" s="614">
        <v>1496</v>
      </c>
      <c r="Y1092" s="611"/>
      <c r="Z1092" s="611"/>
      <c r="AA1092" s="611"/>
      <c r="AB1092" s="611"/>
      <c r="AC1092" s="611"/>
      <c r="AD1092" s="611"/>
      <c r="AE1092" s="611"/>
      <c r="AF1092" s="611"/>
      <c r="AG1092" s="611"/>
    </row>
    <row r="1093" spans="1:33" s="56" customFormat="1" ht="15" hidden="1" customHeight="1" outlineLevel="1" x14ac:dyDescent="0.25">
      <c r="A1093" s="724"/>
      <c r="B1093" s="130"/>
      <c r="C1093" s="616"/>
      <c r="D1093" s="2101"/>
      <c r="E1093" s="2104"/>
      <c r="F1093" s="2110" t="str">
        <f>$E$850</f>
        <v>ASHP - SEER 21 - replace electric furnace / CAC - early replacement SF ER2</v>
      </c>
      <c r="G1093" s="2111"/>
      <c r="H1093" s="2111"/>
      <c r="I1093" s="2112"/>
      <c r="J1093" s="709" t="s">
        <v>1184</v>
      </c>
      <c r="K1093" s="730">
        <v>1496</v>
      </c>
      <c r="L1093" s="670"/>
      <c r="M1093" s="1695"/>
      <c r="N1093" s="130"/>
      <c r="O1093" s="251"/>
      <c r="P1093" s="766"/>
      <c r="Q1093" s="767"/>
      <c r="R1093" s="766"/>
      <c r="S1093" s="752"/>
      <c r="T1093" s="760"/>
      <c r="U1093" s="130"/>
      <c r="V1093" s="2107"/>
      <c r="W1093" s="611">
        <v>2009</v>
      </c>
      <c r="X1093" s="614">
        <v>1496</v>
      </c>
      <c r="Y1093" s="611"/>
      <c r="Z1093" s="611"/>
      <c r="AA1093" s="611"/>
      <c r="AB1093" s="611"/>
      <c r="AC1093" s="611"/>
      <c r="AD1093" s="611"/>
      <c r="AE1093" s="611"/>
      <c r="AF1093" s="611"/>
      <c r="AG1093" s="611"/>
    </row>
    <row r="1094" spans="1:33" s="56" customFormat="1" ht="15" hidden="1" customHeight="1" outlineLevel="1" x14ac:dyDescent="0.25">
      <c r="A1094" s="724"/>
      <c r="B1094" s="130"/>
      <c r="C1094" s="616"/>
      <c r="D1094" s="2101"/>
      <c r="E1094" s="2104"/>
      <c r="F1094" s="2110" t="str">
        <f>$E$852</f>
        <v>ASHP - SEER 21 - replace electric furnace / CAC - early replacement MF ER1</v>
      </c>
      <c r="G1094" s="2111"/>
      <c r="H1094" s="2111"/>
      <c r="I1094" s="2112"/>
      <c r="J1094" s="709" t="s">
        <v>1185</v>
      </c>
      <c r="K1094" s="730">
        <v>1496</v>
      </c>
      <c r="L1094" s="670"/>
      <c r="M1094" s="1695"/>
      <c r="N1094" s="130"/>
      <c r="O1094" s="251"/>
      <c r="P1094" s="766"/>
      <c r="Q1094" s="767"/>
      <c r="R1094" s="766"/>
      <c r="S1094" s="752"/>
      <c r="T1094" s="760"/>
      <c r="U1094" s="130"/>
      <c r="V1094" s="2107"/>
      <c r="W1094" s="611">
        <v>2009</v>
      </c>
      <c r="X1094" s="614">
        <v>1496</v>
      </c>
      <c r="Y1094" s="611"/>
      <c r="Z1094" s="611"/>
      <c r="AA1094" s="611"/>
      <c r="AB1094" s="611"/>
      <c r="AC1094" s="611"/>
      <c r="AD1094" s="611"/>
      <c r="AE1094" s="611"/>
      <c r="AF1094" s="611"/>
      <c r="AG1094" s="611"/>
    </row>
    <row r="1095" spans="1:33" s="56" customFormat="1" ht="15" hidden="1" customHeight="1" outlineLevel="1" x14ac:dyDescent="0.25">
      <c r="A1095" s="724"/>
      <c r="B1095" s="130"/>
      <c r="C1095" s="616"/>
      <c r="D1095" s="2101"/>
      <c r="E1095" s="2104"/>
      <c r="F1095" s="2110" t="str">
        <f>$E$854</f>
        <v>ASHP - SEER 21 - replace electric furnace / CAC - early replacement MF ER2</v>
      </c>
      <c r="G1095" s="2111"/>
      <c r="H1095" s="2111"/>
      <c r="I1095" s="2112"/>
      <c r="J1095" s="709" t="s">
        <v>1186</v>
      </c>
      <c r="K1095" s="730">
        <v>1496</v>
      </c>
      <c r="L1095" s="670"/>
      <c r="M1095" s="1695"/>
      <c r="N1095" s="130"/>
      <c r="O1095" s="251"/>
      <c r="P1095" s="766"/>
      <c r="Q1095" s="767"/>
      <c r="R1095" s="766"/>
      <c r="S1095" s="752"/>
      <c r="T1095" s="760"/>
      <c r="U1095" s="130"/>
      <c r="V1095" s="2107"/>
      <c r="W1095" s="611">
        <v>2009</v>
      </c>
      <c r="X1095" s="614">
        <v>1496</v>
      </c>
      <c r="Y1095" s="611"/>
      <c r="Z1095" s="611"/>
      <c r="AA1095" s="611"/>
      <c r="AB1095" s="611"/>
      <c r="AC1095" s="611"/>
      <c r="AD1095" s="611"/>
      <c r="AE1095" s="611"/>
      <c r="AF1095" s="611"/>
      <c r="AG1095" s="611"/>
    </row>
    <row r="1096" spans="1:33" s="56" customFormat="1" ht="15" hidden="1" customHeight="1" outlineLevel="1" x14ac:dyDescent="0.25">
      <c r="A1096" s="724"/>
      <c r="B1096" s="130"/>
      <c r="C1096" s="616"/>
      <c r="D1096" s="2101"/>
      <c r="E1096" s="2104"/>
      <c r="F1096" s="2110" t="str">
        <f>$E$856</f>
        <v>ASHP - SEER 21 - replace electric furnace / CAC SF</v>
      </c>
      <c r="G1096" s="2111"/>
      <c r="H1096" s="2111"/>
      <c r="I1096" s="2112"/>
      <c r="J1096" s="709" t="s">
        <v>1187</v>
      </c>
      <c r="K1096" s="730">
        <v>1496</v>
      </c>
      <c r="L1096" s="670"/>
      <c r="M1096" s="1695"/>
      <c r="N1096" s="130"/>
      <c r="O1096" s="251"/>
      <c r="P1096" s="766"/>
      <c r="Q1096" s="767"/>
      <c r="R1096" s="766"/>
      <c r="S1096" s="752"/>
      <c r="T1096" s="760"/>
      <c r="U1096" s="130"/>
      <c r="V1096" s="2107"/>
      <c r="W1096" s="611">
        <v>2009</v>
      </c>
      <c r="X1096" s="614">
        <v>1496</v>
      </c>
      <c r="Y1096" s="611"/>
      <c r="Z1096" s="611"/>
      <c r="AA1096" s="611"/>
      <c r="AB1096" s="611"/>
      <c r="AC1096" s="611"/>
      <c r="AD1096" s="611"/>
      <c r="AE1096" s="611"/>
      <c r="AF1096" s="611"/>
      <c r="AG1096" s="611"/>
    </row>
    <row r="1097" spans="1:33" s="56" customFormat="1" ht="15" hidden="1" customHeight="1" outlineLevel="1" x14ac:dyDescent="0.25">
      <c r="A1097" s="724"/>
      <c r="B1097" s="130"/>
      <c r="C1097" s="616"/>
      <c r="D1097" s="2101"/>
      <c r="E1097" s="2104"/>
      <c r="F1097" s="2110" t="str">
        <f>$E$858</f>
        <v>ASHP-  SEER 21+ Replace at Fail Elec Resist Furnace: HVAC</v>
      </c>
      <c r="G1097" s="2111"/>
      <c r="H1097" s="2111"/>
      <c r="I1097" s="2112"/>
      <c r="J1097" s="709" t="s">
        <v>614</v>
      </c>
      <c r="K1097" s="730">
        <v>1496</v>
      </c>
      <c r="L1097" s="670"/>
      <c r="M1097" s="1695"/>
      <c r="N1097" s="130"/>
      <c r="O1097" s="251"/>
      <c r="P1097" s="766"/>
      <c r="Q1097" s="767"/>
      <c r="R1097" s="766"/>
      <c r="S1097" s="752"/>
      <c r="T1097" s="760"/>
      <c r="U1097" s="130"/>
      <c r="V1097" s="2107"/>
      <c r="W1097" s="611">
        <v>2009</v>
      </c>
      <c r="X1097" s="614">
        <v>1496</v>
      </c>
      <c r="Y1097" s="611"/>
      <c r="Z1097" s="611"/>
      <c r="AA1097" s="611"/>
      <c r="AB1097" s="611"/>
      <c r="AC1097" s="611"/>
      <c r="AD1097" s="611"/>
      <c r="AE1097" s="611"/>
      <c r="AF1097" s="611"/>
      <c r="AG1097" s="611"/>
    </row>
    <row r="1098" spans="1:33" s="56" customFormat="1" ht="15" hidden="1" customHeight="1" outlineLevel="1" x14ac:dyDescent="0.25">
      <c r="A1098" s="724"/>
      <c r="B1098" s="130"/>
      <c r="C1098" s="616"/>
      <c r="D1098" s="2101"/>
      <c r="E1098" s="2104"/>
      <c r="F1098" s="2110" t="str">
        <f>$E$860</f>
        <v>ASHP SEER 17 replace ASHP - early replacement SF ER1</v>
      </c>
      <c r="G1098" s="2111"/>
      <c r="H1098" s="2111"/>
      <c r="I1098" s="2112"/>
      <c r="J1098" s="709" t="s">
        <v>1188</v>
      </c>
      <c r="K1098" s="730">
        <v>1496</v>
      </c>
      <c r="L1098" s="670"/>
      <c r="M1098" s="1695"/>
      <c r="N1098" s="130"/>
      <c r="O1098" s="251"/>
      <c r="P1098" s="766"/>
      <c r="Q1098" s="767"/>
      <c r="R1098" s="766"/>
      <c r="S1098" s="752"/>
      <c r="T1098" s="760"/>
      <c r="U1098" s="130"/>
      <c r="V1098" s="2107"/>
      <c r="W1098" s="611">
        <v>2009</v>
      </c>
      <c r="X1098" s="614">
        <v>1496</v>
      </c>
      <c r="Y1098" s="611"/>
      <c r="Z1098" s="611"/>
      <c r="AA1098" s="611"/>
      <c r="AB1098" s="611"/>
      <c r="AC1098" s="611"/>
      <c r="AD1098" s="611"/>
      <c r="AE1098" s="611"/>
      <c r="AF1098" s="611"/>
      <c r="AG1098" s="611"/>
    </row>
    <row r="1099" spans="1:33" s="56" customFormat="1" ht="15" hidden="1" customHeight="1" outlineLevel="1" x14ac:dyDescent="0.25">
      <c r="A1099" s="597"/>
      <c r="B1099" s="130"/>
      <c r="C1099" s="616"/>
      <c r="D1099" s="2101"/>
      <c r="E1099" s="2104"/>
      <c r="F1099" s="2110" t="str">
        <f>$E$862</f>
        <v>ASHP SEER 17 replace ASHP - early replacement SF ER2</v>
      </c>
      <c r="G1099" s="2111"/>
      <c r="H1099" s="2111"/>
      <c r="I1099" s="2112"/>
      <c r="J1099" s="709" t="s">
        <v>1189</v>
      </c>
      <c r="K1099" s="730">
        <v>1496</v>
      </c>
      <c r="L1099" s="670"/>
      <c r="M1099" s="1695"/>
      <c r="N1099" s="130"/>
      <c r="O1099" s="251"/>
      <c r="P1099" s="251"/>
      <c r="Q1099" s="251"/>
      <c r="R1099" s="251"/>
      <c r="S1099" s="130"/>
      <c r="T1099" s="130"/>
      <c r="U1099" s="130"/>
      <c r="V1099" s="2107"/>
      <c r="W1099" s="611">
        <v>2009</v>
      </c>
      <c r="X1099" s="614">
        <v>1496</v>
      </c>
      <c r="Y1099" s="611"/>
      <c r="Z1099" s="611"/>
      <c r="AA1099" s="611"/>
      <c r="AB1099" s="611"/>
      <c r="AC1099" s="611"/>
      <c r="AD1099" s="611"/>
      <c r="AE1099" s="611"/>
      <c r="AF1099" s="611"/>
      <c r="AG1099" s="611"/>
    </row>
    <row r="1100" spans="1:33" s="56" customFormat="1" ht="15" hidden="1" customHeight="1" outlineLevel="1" x14ac:dyDescent="0.25">
      <c r="A1100" s="724"/>
      <c r="B1100" s="130"/>
      <c r="C1100" s="616"/>
      <c r="D1100" s="2101"/>
      <c r="E1100" s="2104"/>
      <c r="F1100" s="2110" t="str">
        <f>$E$864</f>
        <v>ASHP SEER 17 replace ASHP - replace on fail SF</v>
      </c>
      <c r="G1100" s="2111"/>
      <c r="H1100" s="2111"/>
      <c r="I1100" s="2112"/>
      <c r="J1100" s="709" t="s">
        <v>1190</v>
      </c>
      <c r="K1100" s="730">
        <v>1496</v>
      </c>
      <c r="L1100" s="670"/>
      <c r="M1100" s="1695"/>
      <c r="N1100" s="130"/>
      <c r="O1100" s="251"/>
      <c r="P1100" s="766"/>
      <c r="Q1100" s="767"/>
      <c r="R1100" s="766"/>
      <c r="S1100" s="752"/>
      <c r="T1100" s="760"/>
      <c r="U1100" s="130"/>
      <c r="V1100" s="2107"/>
      <c r="W1100" s="611">
        <v>2009</v>
      </c>
      <c r="X1100" s="614">
        <v>1496</v>
      </c>
      <c r="Y1100" s="611"/>
      <c r="Z1100" s="611"/>
      <c r="AA1100" s="611"/>
      <c r="AB1100" s="611"/>
      <c r="AC1100" s="611"/>
      <c r="AD1100" s="611"/>
      <c r="AE1100" s="611"/>
      <c r="AF1100" s="611"/>
      <c r="AG1100" s="611"/>
    </row>
    <row r="1101" spans="1:33" s="56" customFormat="1" ht="15" hidden="1" customHeight="1" outlineLevel="1" x14ac:dyDescent="0.25">
      <c r="A1101" s="597"/>
      <c r="B1101" s="130"/>
      <c r="C1101" s="616"/>
      <c r="D1101" s="2101"/>
      <c r="E1101" s="2104"/>
      <c r="F1101" s="2110" t="str">
        <f>$E$866</f>
        <v>ASHP SEER 18 replace ASHP - early replacement SF ER1</v>
      </c>
      <c r="G1101" s="2111"/>
      <c r="H1101" s="2111"/>
      <c r="I1101" s="2112"/>
      <c r="J1101" s="709" t="s">
        <v>1191</v>
      </c>
      <c r="K1101" s="730">
        <v>1496</v>
      </c>
      <c r="L1101" s="670"/>
      <c r="M1101" s="1695"/>
      <c r="N1101" s="130"/>
      <c r="O1101" s="251"/>
      <c r="P1101" s="251"/>
      <c r="Q1101" s="251"/>
      <c r="R1101" s="251"/>
      <c r="S1101" s="130"/>
      <c r="T1101" s="130"/>
      <c r="U1101" s="130"/>
      <c r="V1101" s="2107"/>
      <c r="W1101" s="611">
        <v>2009</v>
      </c>
      <c r="X1101" s="614">
        <v>1496</v>
      </c>
      <c r="Y1101" s="611"/>
      <c r="Z1101" s="611"/>
      <c r="AA1101" s="611"/>
      <c r="AB1101" s="611"/>
      <c r="AC1101" s="611"/>
      <c r="AD1101" s="611"/>
      <c r="AE1101" s="611"/>
      <c r="AF1101" s="611"/>
      <c r="AG1101" s="611"/>
    </row>
    <row r="1102" spans="1:33" s="56" customFormat="1" ht="15" hidden="1" customHeight="1" outlineLevel="1" x14ac:dyDescent="0.25">
      <c r="A1102" s="724"/>
      <c r="B1102" s="130"/>
      <c r="C1102" s="616"/>
      <c r="D1102" s="2101"/>
      <c r="E1102" s="2104"/>
      <c r="F1102" s="2110" t="str">
        <f>$E$868</f>
        <v>ASHP SEER 18 replace ASHP - early replacement SF ER2</v>
      </c>
      <c r="G1102" s="2111"/>
      <c r="H1102" s="2111"/>
      <c r="I1102" s="2112"/>
      <c r="J1102" s="709" t="s">
        <v>1192</v>
      </c>
      <c r="K1102" s="730">
        <v>1496</v>
      </c>
      <c r="L1102" s="670"/>
      <c r="M1102" s="1695"/>
      <c r="N1102" s="130"/>
      <c r="O1102" s="251"/>
      <c r="P1102" s="766"/>
      <c r="Q1102" s="767"/>
      <c r="R1102" s="766"/>
      <c r="S1102" s="752"/>
      <c r="T1102" s="760"/>
      <c r="U1102" s="130"/>
      <c r="V1102" s="2107"/>
      <c r="W1102" s="611">
        <v>2009</v>
      </c>
      <c r="X1102" s="614">
        <v>1496</v>
      </c>
      <c r="Y1102" s="611"/>
      <c r="Z1102" s="611"/>
      <c r="AA1102" s="611"/>
      <c r="AB1102" s="611"/>
      <c r="AC1102" s="611"/>
      <c r="AD1102" s="611"/>
      <c r="AE1102" s="611"/>
      <c r="AF1102" s="611"/>
      <c r="AG1102" s="611"/>
    </row>
    <row r="1103" spans="1:33" s="56" customFormat="1" ht="15" hidden="1" customHeight="1" outlineLevel="1" x14ac:dyDescent="0.25">
      <c r="A1103" s="597"/>
      <c r="B1103" s="130"/>
      <c r="C1103" s="616"/>
      <c r="D1103" s="2101"/>
      <c r="E1103" s="2104"/>
      <c r="F1103" s="2110" t="str">
        <f>$E$870</f>
        <v>ASHP SEER 18 replace ASHP - replace on fail SF</v>
      </c>
      <c r="G1103" s="2111"/>
      <c r="H1103" s="2111"/>
      <c r="I1103" s="2112"/>
      <c r="J1103" s="709" t="s">
        <v>1193</v>
      </c>
      <c r="K1103" s="730">
        <v>1496</v>
      </c>
      <c r="L1103" s="670"/>
      <c r="M1103" s="1695"/>
      <c r="N1103" s="130"/>
      <c r="O1103" s="251"/>
      <c r="P1103" s="251"/>
      <c r="Q1103" s="251"/>
      <c r="R1103" s="251"/>
      <c r="S1103" s="130"/>
      <c r="T1103" s="130"/>
      <c r="U1103" s="130"/>
      <c r="V1103" s="2107"/>
      <c r="W1103" s="611">
        <v>2009</v>
      </c>
      <c r="X1103" s="614">
        <v>1496</v>
      </c>
      <c r="Y1103" s="611"/>
      <c r="Z1103" s="611"/>
      <c r="AA1103" s="611"/>
      <c r="AB1103" s="611"/>
      <c r="AC1103" s="611"/>
      <c r="AD1103" s="611"/>
      <c r="AE1103" s="611"/>
      <c r="AF1103" s="611"/>
      <c r="AG1103" s="611"/>
    </row>
    <row r="1104" spans="1:33" s="56" customFormat="1" ht="15" hidden="1" customHeight="1" outlineLevel="1" x14ac:dyDescent="0.25">
      <c r="A1104" s="597"/>
      <c r="B1104" s="130"/>
      <c r="C1104" s="616"/>
      <c r="D1104" s="2101"/>
      <c r="E1104" s="2104"/>
      <c r="F1104" s="2110" t="str">
        <f>$E$872</f>
        <v>ASHP - SEER 18 - replace on fail SF</v>
      </c>
      <c r="G1104" s="2111"/>
      <c r="H1104" s="2111"/>
      <c r="I1104" s="2112"/>
      <c r="J1104" s="709" t="s">
        <v>1194</v>
      </c>
      <c r="K1104" s="730">
        <v>1496</v>
      </c>
      <c r="L1104" s="670"/>
      <c r="M1104" s="1695"/>
      <c r="N1104" s="130"/>
      <c r="O1104" s="251"/>
      <c r="P1104" s="251"/>
      <c r="Q1104" s="251"/>
      <c r="R1104" s="251"/>
      <c r="S1104" s="130"/>
      <c r="T1104" s="130"/>
      <c r="U1104" s="130"/>
      <c r="V1104" s="2107"/>
      <c r="W1104" s="611">
        <v>2009</v>
      </c>
      <c r="X1104" s="614">
        <v>1496</v>
      </c>
      <c r="Y1104" s="611"/>
      <c r="Z1104" s="611"/>
      <c r="AA1104" s="611"/>
      <c r="AB1104" s="611"/>
      <c r="AC1104" s="611"/>
      <c r="AD1104" s="611"/>
      <c r="AE1104" s="611"/>
      <c r="AF1104" s="611"/>
      <c r="AG1104" s="611"/>
    </row>
    <row r="1105" spans="1:33" s="56" customFormat="1" ht="15" hidden="1" customHeight="1" outlineLevel="1" x14ac:dyDescent="0.25">
      <c r="A1105" s="724"/>
      <c r="B1105" s="130"/>
      <c r="C1105" s="616"/>
      <c r="D1105" s="2101"/>
      <c r="E1105" s="2104"/>
      <c r="F1105" s="2110" t="str">
        <f>$E$874</f>
        <v>ASHP SEER 19 replace ASHP - early replacement SF ER1</v>
      </c>
      <c r="G1105" s="2111"/>
      <c r="H1105" s="2111"/>
      <c r="I1105" s="2112"/>
      <c r="J1105" s="709" t="s">
        <v>1195</v>
      </c>
      <c r="K1105" s="730">
        <v>1496</v>
      </c>
      <c r="L1105" s="670"/>
      <c r="M1105" s="1695"/>
      <c r="N1105" s="130"/>
      <c r="O1105" s="251"/>
      <c r="P1105" s="766"/>
      <c r="Q1105" s="767"/>
      <c r="R1105" s="766"/>
      <c r="S1105" s="752"/>
      <c r="T1105" s="760"/>
      <c r="U1105" s="130"/>
      <c r="V1105" s="2107"/>
      <c r="W1105" s="611">
        <v>2009</v>
      </c>
      <c r="X1105" s="614">
        <v>1496</v>
      </c>
      <c r="Y1105" s="611"/>
      <c r="Z1105" s="611"/>
      <c r="AA1105" s="611"/>
      <c r="AB1105" s="611"/>
      <c r="AC1105" s="611"/>
      <c r="AD1105" s="611"/>
      <c r="AE1105" s="611"/>
      <c r="AF1105" s="611"/>
      <c r="AG1105" s="611"/>
    </row>
    <row r="1106" spans="1:33" s="56" customFormat="1" ht="15" hidden="1" customHeight="1" outlineLevel="1" x14ac:dyDescent="0.25">
      <c r="A1106" s="724"/>
      <c r="B1106" s="130"/>
      <c r="C1106" s="616"/>
      <c r="D1106" s="2101"/>
      <c r="E1106" s="2104"/>
      <c r="F1106" s="2110" t="str">
        <f>$E$876</f>
        <v>ASHP SEER 19 replace ASHP - early replacement SF ER2</v>
      </c>
      <c r="G1106" s="2111"/>
      <c r="H1106" s="2111"/>
      <c r="I1106" s="2112"/>
      <c r="J1106" s="709" t="s">
        <v>1196</v>
      </c>
      <c r="K1106" s="730">
        <v>1496</v>
      </c>
      <c r="L1106" s="670"/>
      <c r="M1106" s="1695"/>
      <c r="N1106" s="130"/>
      <c r="O1106" s="251"/>
      <c r="P1106" s="766"/>
      <c r="Q1106" s="767"/>
      <c r="R1106" s="766"/>
      <c r="S1106" s="752"/>
      <c r="T1106" s="760"/>
      <c r="U1106" s="130"/>
      <c r="V1106" s="2107"/>
      <c r="W1106" s="611">
        <v>2009</v>
      </c>
      <c r="X1106" s="614">
        <v>1496</v>
      </c>
      <c r="Y1106" s="611"/>
      <c r="Z1106" s="611"/>
      <c r="AA1106" s="611"/>
      <c r="AB1106" s="611"/>
      <c r="AC1106" s="611"/>
      <c r="AD1106" s="611"/>
      <c r="AE1106" s="611"/>
      <c r="AF1106" s="611"/>
      <c r="AG1106" s="611"/>
    </row>
    <row r="1107" spans="1:33" s="56" customFormat="1" ht="15" hidden="1" customHeight="1" outlineLevel="1" x14ac:dyDescent="0.25">
      <c r="A1107" s="597"/>
      <c r="B1107" s="130"/>
      <c r="C1107" s="616"/>
      <c r="D1107" s="2101"/>
      <c r="E1107" s="2104"/>
      <c r="F1107" s="2110" t="str">
        <f>$E$878</f>
        <v>ASHP SEER 19 replace ASHP - replace on fail SF</v>
      </c>
      <c r="G1107" s="2111"/>
      <c r="H1107" s="2111"/>
      <c r="I1107" s="2112"/>
      <c r="J1107" s="709" t="s">
        <v>1197</v>
      </c>
      <c r="K1107" s="730">
        <v>1496</v>
      </c>
      <c r="L1107" s="670"/>
      <c r="M1107" s="1695"/>
      <c r="N1107" s="130"/>
      <c r="O1107" s="251"/>
      <c r="P1107" s="251"/>
      <c r="Q1107" s="251"/>
      <c r="R1107" s="251"/>
      <c r="S1107" s="130"/>
      <c r="T1107" s="130"/>
      <c r="U1107" s="130"/>
      <c r="V1107" s="2107"/>
      <c r="W1107" s="611">
        <v>2009</v>
      </c>
      <c r="X1107" s="614">
        <v>1496</v>
      </c>
      <c r="Y1107" s="611"/>
      <c r="Z1107" s="611"/>
      <c r="AA1107" s="611"/>
      <c r="AB1107" s="611"/>
      <c r="AC1107" s="611"/>
      <c r="AD1107" s="611"/>
      <c r="AE1107" s="611"/>
      <c r="AF1107" s="611"/>
      <c r="AG1107" s="611"/>
    </row>
    <row r="1108" spans="1:33" s="56" customFormat="1" ht="15" hidden="1" customHeight="1" outlineLevel="1" x14ac:dyDescent="0.25">
      <c r="A1108" s="597"/>
      <c r="B1108" s="130"/>
      <c r="C1108" s="616"/>
      <c r="D1108" s="2101"/>
      <c r="E1108" s="2104"/>
      <c r="F1108" s="2110" t="str">
        <f>$E$880</f>
        <v>ASHP - SEER 17 - replace electric furnace / CAC - early replacement SF ER1</v>
      </c>
      <c r="G1108" s="2111"/>
      <c r="H1108" s="2111"/>
      <c r="I1108" s="2112"/>
      <c r="J1108" s="709"/>
      <c r="K1108" s="730">
        <v>1496</v>
      </c>
      <c r="L1108" s="670"/>
      <c r="M1108" s="1695"/>
      <c r="N1108" s="130"/>
      <c r="O1108" s="251"/>
      <c r="P1108" s="251"/>
      <c r="Q1108" s="251"/>
      <c r="R1108" s="251"/>
      <c r="S1108" s="130"/>
      <c r="T1108" s="130"/>
      <c r="U1108" s="130"/>
      <c r="V1108" s="2107"/>
      <c r="W1108" s="611">
        <v>2009</v>
      </c>
      <c r="X1108" s="614">
        <v>1496</v>
      </c>
      <c r="Y1108" s="611"/>
      <c r="Z1108" s="611"/>
      <c r="AA1108" s="611"/>
      <c r="AB1108" s="611"/>
      <c r="AC1108" s="611"/>
      <c r="AD1108" s="611"/>
      <c r="AE1108" s="611"/>
      <c r="AF1108" s="611"/>
      <c r="AG1108" s="611"/>
    </row>
    <row r="1109" spans="1:33" s="56" customFormat="1" ht="15" hidden="1" customHeight="1" outlineLevel="1" x14ac:dyDescent="0.25">
      <c r="A1109" s="597"/>
      <c r="B1109" s="130"/>
      <c r="C1109" s="616"/>
      <c r="D1109" s="2101"/>
      <c r="E1109" s="2104"/>
      <c r="F1109" s="2110" t="str">
        <f>$E$882</f>
        <v>ASHP - SEER 17 - replace electric furnace / CAC - early replacement SF ER2</v>
      </c>
      <c r="G1109" s="2111"/>
      <c r="H1109" s="2111"/>
      <c r="I1109" s="2112"/>
      <c r="J1109" s="709"/>
      <c r="K1109" s="730">
        <v>1496</v>
      </c>
      <c r="L1109" s="670"/>
      <c r="M1109" s="1695"/>
      <c r="N1109" s="130"/>
      <c r="O1109" s="251"/>
      <c r="P1109" s="251"/>
      <c r="Q1109" s="251"/>
      <c r="R1109" s="251"/>
      <c r="S1109" s="130"/>
      <c r="T1109" s="130"/>
      <c r="U1109" s="130"/>
      <c r="V1109" s="2107"/>
      <c r="W1109" s="611">
        <v>2009</v>
      </c>
      <c r="X1109" s="614">
        <v>1496</v>
      </c>
      <c r="Y1109" s="611"/>
      <c r="Z1109" s="611"/>
      <c r="AA1109" s="611"/>
      <c r="AB1109" s="611"/>
      <c r="AC1109" s="611"/>
      <c r="AD1109" s="611"/>
      <c r="AE1109" s="611"/>
      <c r="AF1109" s="611"/>
      <c r="AG1109" s="611"/>
    </row>
    <row r="1110" spans="1:33" s="56" customFormat="1" ht="15" hidden="1" customHeight="1" outlineLevel="1" x14ac:dyDescent="0.25">
      <c r="A1110" s="597"/>
      <c r="B1110" s="130"/>
      <c r="C1110" s="616"/>
      <c r="D1110" s="2101"/>
      <c r="E1110" s="2104"/>
      <c r="F1110" s="2110" t="str">
        <f>$E$884</f>
        <v>ASHP - SEER 17 - replace electric furnace / CAC - early replacement MF ER1</v>
      </c>
      <c r="G1110" s="2111"/>
      <c r="H1110" s="2111"/>
      <c r="I1110" s="2112"/>
      <c r="J1110" s="709"/>
      <c r="K1110" s="730">
        <v>1496</v>
      </c>
      <c r="L1110" s="670"/>
      <c r="M1110" s="1695"/>
      <c r="N1110" s="130"/>
      <c r="O1110" s="251"/>
      <c r="P1110" s="251"/>
      <c r="Q1110" s="251"/>
      <c r="R1110" s="251"/>
      <c r="S1110" s="130"/>
      <c r="T1110" s="130"/>
      <c r="U1110" s="130"/>
      <c r="V1110" s="2107"/>
      <c r="W1110" s="611">
        <v>2009</v>
      </c>
      <c r="X1110" s="614">
        <v>1496</v>
      </c>
      <c r="Y1110" s="611"/>
      <c r="Z1110" s="611"/>
      <c r="AA1110" s="611"/>
      <c r="AB1110" s="611"/>
      <c r="AC1110" s="611"/>
      <c r="AD1110" s="611"/>
      <c r="AE1110" s="611"/>
      <c r="AF1110" s="611"/>
      <c r="AG1110" s="611"/>
    </row>
    <row r="1111" spans="1:33" s="56" customFormat="1" ht="15" hidden="1" customHeight="1" outlineLevel="1" x14ac:dyDescent="0.25">
      <c r="A1111" s="597"/>
      <c r="B1111" s="130"/>
      <c r="C1111" s="616"/>
      <c r="D1111" s="2101"/>
      <c r="E1111" s="2104"/>
      <c r="F1111" s="2110" t="str">
        <f>$E$886</f>
        <v>ASHP - SEER 17 - replace electric furnace / CAC - early replacement MF ER2</v>
      </c>
      <c r="G1111" s="2111"/>
      <c r="H1111" s="2111"/>
      <c r="I1111" s="2112"/>
      <c r="J1111" s="709"/>
      <c r="K1111" s="730">
        <v>1496</v>
      </c>
      <c r="L1111" s="670"/>
      <c r="M1111" s="1695"/>
      <c r="N1111" s="130"/>
      <c r="O1111" s="251"/>
      <c r="P1111" s="251"/>
      <c r="Q1111" s="251"/>
      <c r="R1111" s="251"/>
      <c r="S1111" s="130"/>
      <c r="T1111" s="130"/>
      <c r="U1111" s="130"/>
      <c r="V1111" s="2107"/>
      <c r="W1111" s="611">
        <v>2009</v>
      </c>
      <c r="X1111" s="614">
        <v>1496</v>
      </c>
      <c r="Y1111" s="611"/>
      <c r="Z1111" s="611"/>
      <c r="AA1111" s="611"/>
      <c r="AB1111" s="611"/>
      <c r="AC1111" s="611"/>
      <c r="AD1111" s="611"/>
      <c r="AE1111" s="611"/>
      <c r="AF1111" s="611"/>
      <c r="AG1111" s="611"/>
    </row>
    <row r="1112" spans="1:33" s="56" customFormat="1" ht="15" hidden="1" customHeight="1" outlineLevel="1" x14ac:dyDescent="0.25">
      <c r="A1112" s="597"/>
      <c r="B1112" s="130"/>
      <c r="C1112" s="616"/>
      <c r="D1112" s="2101"/>
      <c r="E1112" s="2104"/>
      <c r="F1112" s="2110" t="str">
        <f>$E$888</f>
        <v>ASHP SEER 17 replace ASHP - early replacement MF ER1</v>
      </c>
      <c r="G1112" s="2111"/>
      <c r="H1112" s="2111"/>
      <c r="I1112" s="2112"/>
      <c r="J1112" s="709"/>
      <c r="K1112" s="730">
        <v>1496</v>
      </c>
      <c r="L1112" s="670"/>
      <c r="M1112" s="1695"/>
      <c r="N1112" s="130"/>
      <c r="O1112" s="251"/>
      <c r="P1112" s="251"/>
      <c r="Q1112" s="251"/>
      <c r="R1112" s="251"/>
      <c r="S1112" s="130"/>
      <c r="T1112" s="130"/>
      <c r="U1112" s="130"/>
      <c r="V1112" s="2107"/>
      <c r="W1112" s="611">
        <v>2009</v>
      </c>
      <c r="X1112" s="614">
        <v>1496</v>
      </c>
      <c r="Y1112" s="611"/>
      <c r="Z1112" s="611"/>
      <c r="AA1112" s="611"/>
      <c r="AB1112" s="611"/>
      <c r="AC1112" s="611"/>
      <c r="AD1112" s="611"/>
      <c r="AE1112" s="611"/>
      <c r="AF1112" s="611"/>
      <c r="AG1112" s="611"/>
    </row>
    <row r="1113" spans="1:33" s="56" customFormat="1" ht="15" hidden="1" customHeight="1" outlineLevel="1" x14ac:dyDescent="0.25">
      <c r="A1113" s="597"/>
      <c r="B1113" s="130"/>
      <c r="C1113" s="616"/>
      <c r="D1113" s="2101"/>
      <c r="E1113" s="2104"/>
      <c r="F1113" s="2110" t="str">
        <f>$E$890</f>
        <v>ASHP SEER 17 replace ASHP - early replacement MF ER2</v>
      </c>
      <c r="G1113" s="2111"/>
      <c r="H1113" s="2111"/>
      <c r="I1113" s="2112"/>
      <c r="J1113" s="709"/>
      <c r="K1113" s="730">
        <v>1496</v>
      </c>
      <c r="L1113" s="670"/>
      <c r="M1113" s="1695"/>
      <c r="N1113" s="130"/>
      <c r="O1113" s="251"/>
      <c r="P1113" s="251"/>
      <c r="Q1113" s="251"/>
      <c r="R1113" s="251"/>
      <c r="S1113" s="130"/>
      <c r="T1113" s="130"/>
      <c r="U1113" s="130"/>
      <c r="V1113" s="2107"/>
      <c r="W1113" s="611">
        <v>2009</v>
      </c>
      <c r="X1113" s="614">
        <v>1496</v>
      </c>
      <c r="Y1113" s="611"/>
      <c r="Z1113" s="611"/>
      <c r="AA1113" s="611"/>
      <c r="AB1113" s="611"/>
      <c r="AC1113" s="611"/>
      <c r="AD1113" s="611"/>
      <c r="AE1113" s="611"/>
      <c r="AF1113" s="611"/>
      <c r="AG1113" s="611"/>
    </row>
    <row r="1114" spans="1:33" s="56" customFormat="1" hidden="1" outlineLevel="1" x14ac:dyDescent="0.25">
      <c r="A1114" s="597"/>
      <c r="B1114" s="130"/>
      <c r="C1114" s="616"/>
      <c r="D1114" s="2101"/>
      <c r="E1114" s="2104"/>
      <c r="F1114" s="2110" t="str">
        <f>$E$892</f>
        <v>ASHP - SEER 18 - replace electric furnace / CAC - early replacement SF ER1</v>
      </c>
      <c r="G1114" s="2111"/>
      <c r="H1114" s="2111"/>
      <c r="I1114" s="2112"/>
      <c r="J1114" s="709"/>
      <c r="K1114" s="730">
        <v>1496</v>
      </c>
      <c r="L1114" s="670"/>
      <c r="M1114" s="1695"/>
      <c r="N1114" s="130"/>
      <c r="O1114" s="251"/>
      <c r="P1114" s="251"/>
      <c r="Q1114" s="251"/>
      <c r="R1114" s="251"/>
      <c r="S1114" s="130"/>
      <c r="T1114" s="130"/>
      <c r="U1114" s="130"/>
      <c r="V1114" s="2107"/>
      <c r="W1114" s="611">
        <v>2009</v>
      </c>
      <c r="X1114" s="614">
        <v>1496</v>
      </c>
      <c r="Y1114" s="611"/>
      <c r="Z1114" s="611"/>
      <c r="AA1114" s="611"/>
      <c r="AB1114" s="611"/>
      <c r="AC1114" s="611"/>
      <c r="AD1114" s="611"/>
      <c r="AE1114" s="611"/>
      <c r="AF1114" s="611"/>
      <c r="AG1114" s="611"/>
    </row>
    <row r="1115" spans="1:33" s="56" customFormat="1" hidden="1" outlineLevel="1" x14ac:dyDescent="0.25">
      <c r="A1115" s="597"/>
      <c r="B1115" s="130"/>
      <c r="C1115" s="616"/>
      <c r="D1115" s="2101"/>
      <c r="E1115" s="2104"/>
      <c r="F1115" s="2110" t="str">
        <f>$E$894</f>
        <v>ASHP - SEER 18 - replace electric furnace / CAC - early replacement SF ER2</v>
      </c>
      <c r="G1115" s="2111"/>
      <c r="H1115" s="2111"/>
      <c r="I1115" s="2112"/>
      <c r="J1115" s="709"/>
      <c r="K1115" s="730">
        <v>1496</v>
      </c>
      <c r="L1115" s="670"/>
      <c r="M1115" s="1695"/>
      <c r="N1115" s="130"/>
      <c r="O1115" s="251"/>
      <c r="P1115" s="251"/>
      <c r="Q1115" s="251"/>
      <c r="R1115" s="251"/>
      <c r="S1115" s="130"/>
      <c r="T1115" s="130"/>
      <c r="U1115" s="130"/>
      <c r="V1115" s="2107"/>
      <c r="W1115" s="611">
        <v>2009</v>
      </c>
      <c r="X1115" s="614">
        <v>1496</v>
      </c>
      <c r="Y1115" s="611"/>
      <c r="Z1115" s="611"/>
      <c r="AA1115" s="611"/>
      <c r="AB1115" s="611"/>
      <c r="AC1115" s="611"/>
      <c r="AD1115" s="611"/>
      <c r="AE1115" s="611"/>
      <c r="AF1115" s="611"/>
      <c r="AG1115" s="611"/>
    </row>
    <row r="1116" spans="1:33" s="56" customFormat="1" hidden="1" outlineLevel="1" x14ac:dyDescent="0.25">
      <c r="A1116" s="597"/>
      <c r="B1116" s="130"/>
      <c r="C1116" s="616"/>
      <c r="D1116" s="2101"/>
      <c r="E1116" s="2104"/>
      <c r="F1116" s="2110" t="str">
        <f>$E$896</f>
        <v>ASHP - SEER 18 - replace electric furnace / CAC - early replacement MF ER1</v>
      </c>
      <c r="G1116" s="2111"/>
      <c r="H1116" s="2111"/>
      <c r="I1116" s="2112"/>
      <c r="J1116" s="709"/>
      <c r="K1116" s="730">
        <v>1496</v>
      </c>
      <c r="L1116" s="670"/>
      <c r="M1116" s="1695"/>
      <c r="N1116" s="130"/>
      <c r="O1116" s="251"/>
      <c r="P1116" s="251"/>
      <c r="Q1116" s="251"/>
      <c r="R1116" s="251"/>
      <c r="S1116" s="130"/>
      <c r="T1116" s="130"/>
      <c r="U1116" s="130"/>
      <c r="V1116" s="2107"/>
      <c r="W1116" s="611">
        <v>2009</v>
      </c>
      <c r="X1116" s="614">
        <v>1496</v>
      </c>
      <c r="Y1116" s="611"/>
      <c r="Z1116" s="611"/>
      <c r="AA1116" s="611"/>
      <c r="AB1116" s="611"/>
      <c r="AC1116" s="611"/>
      <c r="AD1116" s="611"/>
      <c r="AE1116" s="611"/>
      <c r="AF1116" s="611"/>
      <c r="AG1116" s="611"/>
    </row>
    <row r="1117" spans="1:33" s="56" customFormat="1" hidden="1" outlineLevel="1" x14ac:dyDescent="0.25">
      <c r="A1117" s="597"/>
      <c r="B1117" s="130"/>
      <c r="C1117" s="616"/>
      <c r="D1117" s="2101"/>
      <c r="E1117" s="2104"/>
      <c r="F1117" s="2110" t="str">
        <f>$E$898</f>
        <v>ASHP - SEER 18 - replace electric furnace / CAC - early replacement MF ER2</v>
      </c>
      <c r="G1117" s="2111"/>
      <c r="H1117" s="2111"/>
      <c r="I1117" s="2112"/>
      <c r="J1117" s="709"/>
      <c r="K1117" s="730">
        <v>1496</v>
      </c>
      <c r="L1117" s="670"/>
      <c r="M1117" s="1695"/>
      <c r="N1117" s="130"/>
      <c r="O1117" s="251"/>
      <c r="P1117" s="251"/>
      <c r="Q1117" s="251"/>
      <c r="R1117" s="251"/>
      <c r="S1117" s="130"/>
      <c r="T1117" s="130"/>
      <c r="U1117" s="130"/>
      <c r="V1117" s="2107"/>
      <c r="W1117" s="611">
        <v>2009</v>
      </c>
      <c r="X1117" s="614">
        <v>1496</v>
      </c>
      <c r="Y1117" s="611"/>
      <c r="Z1117" s="611"/>
      <c r="AA1117" s="611"/>
      <c r="AB1117" s="611"/>
      <c r="AC1117" s="611"/>
      <c r="AD1117" s="611"/>
      <c r="AE1117" s="611"/>
      <c r="AF1117" s="611"/>
      <c r="AG1117" s="611"/>
    </row>
    <row r="1118" spans="1:33" s="56" customFormat="1" hidden="1" outlineLevel="1" x14ac:dyDescent="0.25">
      <c r="A1118" s="597"/>
      <c r="B1118" s="130"/>
      <c r="C1118" s="616"/>
      <c r="D1118" s="2101"/>
      <c r="E1118" s="2104"/>
      <c r="F1118" s="2110" t="str">
        <f>$E$900</f>
        <v>ASHP SEER 18 replace ASHP - early replacement MF ER1</v>
      </c>
      <c r="G1118" s="2111"/>
      <c r="H1118" s="2111"/>
      <c r="I1118" s="2112"/>
      <c r="J1118" s="709"/>
      <c r="K1118" s="730">
        <v>1496</v>
      </c>
      <c r="L1118" s="670"/>
      <c r="M1118" s="1695"/>
      <c r="N1118" s="130"/>
      <c r="O1118" s="251"/>
      <c r="P1118" s="251"/>
      <c r="Q1118" s="251"/>
      <c r="R1118" s="251"/>
      <c r="S1118" s="130"/>
      <c r="T1118" s="130"/>
      <c r="U1118" s="130"/>
      <c r="V1118" s="2107"/>
      <c r="W1118" s="611">
        <v>2009</v>
      </c>
      <c r="X1118" s="614">
        <v>1496</v>
      </c>
      <c r="Y1118" s="611"/>
      <c r="Z1118" s="611"/>
      <c r="AA1118" s="611"/>
      <c r="AB1118" s="611"/>
      <c r="AC1118" s="611"/>
      <c r="AD1118" s="611"/>
      <c r="AE1118" s="611"/>
      <c r="AF1118" s="611"/>
      <c r="AG1118" s="611"/>
    </row>
    <row r="1119" spans="1:33" s="56" customFormat="1" hidden="1" outlineLevel="1" x14ac:dyDescent="0.25">
      <c r="A1119" s="597"/>
      <c r="B1119" s="130"/>
      <c r="C1119" s="616"/>
      <c r="D1119" s="2101"/>
      <c r="E1119" s="2104"/>
      <c r="F1119" s="2110" t="str">
        <f>$E$902</f>
        <v>ASHP SEER 18 replace ASHP - early replacement MF ER2</v>
      </c>
      <c r="G1119" s="2111"/>
      <c r="H1119" s="2111"/>
      <c r="I1119" s="2112"/>
      <c r="J1119" s="709"/>
      <c r="K1119" s="730">
        <v>1496</v>
      </c>
      <c r="L1119" s="670"/>
      <c r="M1119" s="1695"/>
      <c r="N1119" s="130"/>
      <c r="O1119" s="251"/>
      <c r="P1119" s="251"/>
      <c r="Q1119" s="251"/>
      <c r="R1119" s="251"/>
      <c r="S1119" s="130"/>
      <c r="T1119" s="130"/>
      <c r="U1119" s="130"/>
      <c r="V1119" s="2107"/>
      <c r="W1119" s="611">
        <v>2009</v>
      </c>
      <c r="X1119" s="614">
        <v>1496</v>
      </c>
      <c r="Y1119" s="611"/>
      <c r="Z1119" s="611"/>
      <c r="AA1119" s="611"/>
      <c r="AB1119" s="611"/>
      <c r="AC1119" s="611"/>
      <c r="AD1119" s="611"/>
      <c r="AE1119" s="611"/>
      <c r="AF1119" s="611"/>
      <c r="AG1119" s="611"/>
    </row>
    <row r="1120" spans="1:33" s="56" customFormat="1" hidden="1" outlineLevel="1" x14ac:dyDescent="0.25">
      <c r="A1120" s="597"/>
      <c r="B1120" s="130"/>
      <c r="C1120" s="616"/>
      <c r="D1120" s="2101"/>
      <c r="E1120" s="2104"/>
      <c r="F1120" s="2110" t="str">
        <f>$E$904</f>
        <v>ASHP - SEER 19 - replace electric furnace / CAC - early replacement SF ER1</v>
      </c>
      <c r="G1120" s="2111"/>
      <c r="H1120" s="2111"/>
      <c r="I1120" s="2112"/>
      <c r="J1120" s="709"/>
      <c r="K1120" s="730">
        <v>1496</v>
      </c>
      <c r="L1120" s="670"/>
      <c r="M1120" s="1695"/>
      <c r="N1120" s="130"/>
      <c r="O1120" s="251"/>
      <c r="P1120" s="251"/>
      <c r="Q1120" s="251"/>
      <c r="R1120" s="251"/>
      <c r="S1120" s="130"/>
      <c r="T1120" s="130"/>
      <c r="U1120" s="130"/>
      <c r="V1120" s="2107"/>
      <c r="W1120" s="611">
        <v>2009</v>
      </c>
      <c r="X1120" s="614">
        <v>1496</v>
      </c>
      <c r="Y1120" s="611"/>
      <c r="Z1120" s="611"/>
      <c r="AA1120" s="611"/>
      <c r="AB1120" s="611"/>
      <c r="AC1120" s="611"/>
      <c r="AD1120" s="611"/>
      <c r="AE1120" s="611"/>
      <c r="AF1120" s="611"/>
      <c r="AG1120" s="611"/>
    </row>
    <row r="1121" spans="1:33" s="56" customFormat="1" hidden="1" outlineLevel="1" x14ac:dyDescent="0.25">
      <c r="A1121" s="597"/>
      <c r="B1121" s="130"/>
      <c r="C1121" s="616"/>
      <c r="D1121" s="2101"/>
      <c r="E1121" s="2104"/>
      <c r="F1121" s="2110" t="str">
        <f>$E$906</f>
        <v>ASHP - SEER 19 - replace electric furnace / CAC - early replacement SF ER2</v>
      </c>
      <c r="G1121" s="2111"/>
      <c r="H1121" s="2111"/>
      <c r="I1121" s="2112"/>
      <c r="J1121" s="709"/>
      <c r="K1121" s="730">
        <v>1496</v>
      </c>
      <c r="L1121" s="670"/>
      <c r="M1121" s="1695"/>
      <c r="N1121" s="130"/>
      <c r="O1121" s="251"/>
      <c r="P1121" s="251"/>
      <c r="Q1121" s="251"/>
      <c r="R1121" s="251"/>
      <c r="S1121" s="130"/>
      <c r="T1121" s="130"/>
      <c r="U1121" s="130"/>
      <c r="V1121" s="2107"/>
      <c r="W1121" s="611">
        <v>2009</v>
      </c>
      <c r="X1121" s="614">
        <v>1496</v>
      </c>
      <c r="Y1121" s="611"/>
      <c r="Z1121" s="611"/>
      <c r="AA1121" s="611"/>
      <c r="AB1121" s="611"/>
      <c r="AC1121" s="611"/>
      <c r="AD1121" s="611"/>
      <c r="AE1121" s="611"/>
      <c r="AF1121" s="611"/>
      <c r="AG1121" s="611"/>
    </row>
    <row r="1122" spans="1:33" s="56" customFormat="1" hidden="1" outlineLevel="1" x14ac:dyDescent="0.25">
      <c r="A1122" s="597"/>
      <c r="B1122" s="130"/>
      <c r="C1122" s="616"/>
      <c r="D1122" s="2101"/>
      <c r="E1122" s="2104"/>
      <c r="F1122" s="2110" t="str">
        <f>$E$908</f>
        <v>ASHP - SEER 19 - replace electric furnace / CAC - early replacement MF ER1</v>
      </c>
      <c r="G1122" s="2111"/>
      <c r="H1122" s="2111"/>
      <c r="I1122" s="2112"/>
      <c r="J1122" s="709"/>
      <c r="K1122" s="730">
        <v>1496</v>
      </c>
      <c r="L1122" s="670"/>
      <c r="M1122" s="1695"/>
      <c r="N1122" s="130"/>
      <c r="O1122" s="251"/>
      <c r="P1122" s="251"/>
      <c r="Q1122" s="251"/>
      <c r="R1122" s="251"/>
      <c r="S1122" s="130"/>
      <c r="T1122" s="130"/>
      <c r="U1122" s="130"/>
      <c r="V1122" s="2107"/>
      <c r="W1122" s="611">
        <v>2009</v>
      </c>
      <c r="X1122" s="614">
        <v>1496</v>
      </c>
      <c r="Y1122" s="611"/>
      <c r="Z1122" s="611"/>
      <c r="AA1122" s="611"/>
      <c r="AB1122" s="611"/>
      <c r="AC1122" s="611"/>
      <c r="AD1122" s="611"/>
      <c r="AE1122" s="611"/>
      <c r="AF1122" s="611"/>
      <c r="AG1122" s="611"/>
    </row>
    <row r="1123" spans="1:33" s="56" customFormat="1" hidden="1" outlineLevel="1" x14ac:dyDescent="0.25">
      <c r="A1123" s="597"/>
      <c r="B1123" s="130"/>
      <c r="C1123" s="616"/>
      <c r="D1123" s="2101"/>
      <c r="E1123" s="2104"/>
      <c r="F1123" s="2110" t="str">
        <f>$E$910</f>
        <v>ASHP - SEER 19 - replace electric furnace / CAC - early replacement MF ER2</v>
      </c>
      <c r="G1123" s="2111"/>
      <c r="H1123" s="2111"/>
      <c r="I1123" s="2112"/>
      <c r="J1123" s="709"/>
      <c r="K1123" s="730">
        <v>1496</v>
      </c>
      <c r="L1123" s="670"/>
      <c r="M1123" s="1695"/>
      <c r="N1123" s="130"/>
      <c r="O1123" s="251"/>
      <c r="P1123" s="251"/>
      <c r="Q1123" s="251"/>
      <c r="R1123" s="251"/>
      <c r="S1123" s="130"/>
      <c r="T1123" s="130"/>
      <c r="U1123" s="130"/>
      <c r="V1123" s="2107"/>
      <c r="W1123" s="611">
        <v>2009</v>
      </c>
      <c r="X1123" s="614">
        <v>1496</v>
      </c>
      <c r="Y1123" s="611"/>
      <c r="Z1123" s="611"/>
      <c r="AA1123" s="611"/>
      <c r="AB1123" s="611"/>
      <c r="AC1123" s="611"/>
      <c r="AD1123" s="611"/>
      <c r="AE1123" s="611"/>
      <c r="AF1123" s="611"/>
      <c r="AG1123" s="611"/>
    </row>
    <row r="1124" spans="1:33" s="56" customFormat="1" hidden="1" outlineLevel="1" x14ac:dyDescent="0.25">
      <c r="A1124" s="597"/>
      <c r="B1124" s="130"/>
      <c r="C1124" s="616"/>
      <c r="D1124" s="2101"/>
      <c r="E1124" s="2104"/>
      <c r="F1124" s="2110" t="str">
        <f>$E$912</f>
        <v>ASHP SEER 19 replace ASHP - early replacement MF ER1</v>
      </c>
      <c r="G1124" s="2111"/>
      <c r="H1124" s="2111"/>
      <c r="I1124" s="2112"/>
      <c r="J1124" s="709"/>
      <c r="K1124" s="730">
        <v>1496</v>
      </c>
      <c r="L1124" s="670"/>
      <c r="M1124" s="1695"/>
      <c r="N1124" s="130"/>
      <c r="O1124" s="251"/>
      <c r="P1124" s="251"/>
      <c r="Q1124" s="251"/>
      <c r="R1124" s="251"/>
      <c r="S1124" s="130"/>
      <c r="T1124" s="130"/>
      <c r="U1124" s="130"/>
      <c r="V1124" s="2107"/>
      <c r="W1124" s="611">
        <v>2009</v>
      </c>
      <c r="X1124" s="614">
        <v>1496</v>
      </c>
      <c r="Y1124" s="611"/>
      <c r="Z1124" s="611"/>
      <c r="AA1124" s="611"/>
      <c r="AB1124" s="611"/>
      <c r="AC1124" s="611"/>
      <c r="AD1124" s="611"/>
      <c r="AE1124" s="611"/>
      <c r="AF1124" s="611"/>
      <c r="AG1124" s="611"/>
    </row>
    <row r="1125" spans="1:33" s="56" customFormat="1" hidden="1" outlineLevel="1" x14ac:dyDescent="0.25">
      <c r="A1125" s="597"/>
      <c r="B1125" s="130"/>
      <c r="C1125" s="616"/>
      <c r="D1125" s="2101"/>
      <c r="E1125" s="2104"/>
      <c r="F1125" s="2110" t="str">
        <f>$E$914</f>
        <v>ASHP SEER 19 replace ASHP - early replacement MF ER2</v>
      </c>
      <c r="G1125" s="2111"/>
      <c r="H1125" s="2111"/>
      <c r="I1125" s="2112"/>
      <c r="J1125" s="709"/>
      <c r="K1125" s="730">
        <v>1496</v>
      </c>
      <c r="L1125" s="670"/>
      <c r="M1125" s="1695"/>
      <c r="N1125" s="130"/>
      <c r="O1125" s="251"/>
      <c r="P1125" s="251"/>
      <c r="Q1125" s="251"/>
      <c r="R1125" s="251"/>
      <c r="S1125" s="130"/>
      <c r="T1125" s="130"/>
      <c r="U1125" s="130"/>
      <c r="V1125" s="2107"/>
      <c r="W1125" s="611">
        <v>2009</v>
      </c>
      <c r="X1125" s="614">
        <v>1496</v>
      </c>
      <c r="Y1125" s="611"/>
      <c r="Z1125" s="611"/>
      <c r="AA1125" s="611"/>
      <c r="AB1125" s="611"/>
      <c r="AC1125" s="611"/>
      <c r="AD1125" s="611"/>
      <c r="AE1125" s="611"/>
      <c r="AF1125" s="611"/>
      <c r="AG1125" s="611"/>
    </row>
    <row r="1126" spans="1:33" s="56" customFormat="1" hidden="1" outlineLevel="1" x14ac:dyDescent="0.25">
      <c r="A1126" s="597"/>
      <c r="B1126" s="130"/>
      <c r="C1126" s="616"/>
      <c r="D1126" s="2101"/>
      <c r="E1126" s="2104"/>
      <c r="F1126" s="2110" t="str">
        <f>$E$916</f>
        <v>ASHP SEER 20 replace ASHP - early replacement SF ER1</v>
      </c>
      <c r="G1126" s="2111"/>
      <c r="H1126" s="2111"/>
      <c r="I1126" s="2112"/>
      <c r="J1126" s="709"/>
      <c r="K1126" s="730">
        <v>1496</v>
      </c>
      <c r="L1126" s="670"/>
      <c r="M1126" s="1695"/>
      <c r="N1126" s="130"/>
      <c r="O1126" s="251"/>
      <c r="P1126" s="251"/>
      <c r="Q1126" s="251"/>
      <c r="R1126" s="251"/>
      <c r="S1126" s="130"/>
      <c r="T1126" s="130"/>
      <c r="U1126" s="130"/>
      <c r="V1126" s="2107"/>
      <c r="W1126" s="611">
        <v>2009</v>
      </c>
      <c r="X1126" s="614">
        <v>1496</v>
      </c>
      <c r="Y1126" s="611"/>
      <c r="Z1126" s="611"/>
      <c r="AA1126" s="611"/>
      <c r="AB1126" s="611"/>
      <c r="AC1126" s="611"/>
      <c r="AD1126" s="611"/>
      <c r="AE1126" s="611"/>
      <c r="AF1126" s="611"/>
      <c r="AG1126" s="611"/>
    </row>
    <row r="1127" spans="1:33" s="56" customFormat="1" hidden="1" outlineLevel="1" x14ac:dyDescent="0.25">
      <c r="A1127" s="597"/>
      <c r="B1127" s="130"/>
      <c r="C1127" s="616"/>
      <c r="D1127" s="2101"/>
      <c r="E1127" s="2104"/>
      <c r="F1127" s="2110" t="str">
        <f>$E$918</f>
        <v>ASHP SEER 20 replace ASHP - early replacement SF ER2</v>
      </c>
      <c r="G1127" s="2111"/>
      <c r="H1127" s="2111"/>
      <c r="I1127" s="2112"/>
      <c r="J1127" s="709"/>
      <c r="K1127" s="730">
        <v>1496</v>
      </c>
      <c r="L1127" s="670"/>
      <c r="M1127" s="1695"/>
      <c r="N1127" s="130"/>
      <c r="O1127" s="251"/>
      <c r="P1127" s="251"/>
      <c r="Q1127" s="251"/>
      <c r="R1127" s="251"/>
      <c r="S1127" s="130"/>
      <c r="T1127" s="130"/>
      <c r="U1127" s="130"/>
      <c r="V1127" s="2107"/>
      <c r="W1127" s="611">
        <v>2009</v>
      </c>
      <c r="X1127" s="614">
        <v>1496</v>
      </c>
      <c r="Y1127" s="611"/>
      <c r="Z1127" s="611"/>
      <c r="AA1127" s="611"/>
      <c r="AB1127" s="611"/>
      <c r="AC1127" s="611"/>
      <c r="AD1127" s="611"/>
      <c r="AE1127" s="611"/>
      <c r="AF1127" s="611"/>
      <c r="AG1127" s="611"/>
    </row>
    <row r="1128" spans="1:33" s="56" customFormat="1" hidden="1" outlineLevel="1" x14ac:dyDescent="0.25">
      <c r="A1128" s="597"/>
      <c r="B1128" s="130"/>
      <c r="C1128" s="616"/>
      <c r="D1128" s="2101"/>
      <c r="E1128" s="2104"/>
      <c r="F1128" s="2110" t="str">
        <f>$E$920</f>
        <v>ASHP SEER 20 replace ASHP - replace on fail SF</v>
      </c>
      <c r="G1128" s="2111"/>
      <c r="H1128" s="2111"/>
      <c r="I1128" s="2112"/>
      <c r="J1128" s="709"/>
      <c r="K1128" s="730">
        <v>1496</v>
      </c>
      <c r="L1128" s="670"/>
      <c r="M1128" s="1695"/>
      <c r="N1128" s="130"/>
      <c r="O1128" s="251"/>
      <c r="P1128" s="251"/>
      <c r="Q1128" s="251"/>
      <c r="R1128" s="251"/>
      <c r="S1128" s="130"/>
      <c r="T1128" s="130"/>
      <c r="U1128" s="130"/>
      <c r="V1128" s="2107"/>
      <c r="W1128" s="611">
        <v>2009</v>
      </c>
      <c r="X1128" s="614">
        <v>1496</v>
      </c>
      <c r="Y1128" s="611"/>
      <c r="Z1128" s="611"/>
      <c r="AA1128" s="611"/>
      <c r="AB1128" s="611"/>
      <c r="AC1128" s="611"/>
      <c r="AD1128" s="611"/>
      <c r="AE1128" s="611"/>
      <c r="AF1128" s="611"/>
      <c r="AG1128" s="611"/>
    </row>
    <row r="1129" spans="1:33" s="56" customFormat="1" hidden="1" outlineLevel="1" x14ac:dyDescent="0.25">
      <c r="A1129" s="597"/>
      <c r="B1129" s="130"/>
      <c r="C1129" s="616"/>
      <c r="D1129" s="2101"/>
      <c r="E1129" s="2104"/>
      <c r="F1129" s="2110" t="str">
        <f>$E$922</f>
        <v>ASHP - SEER 20 - replace electric furnace / CAC - early replacement MF ER1</v>
      </c>
      <c r="G1129" s="2111"/>
      <c r="H1129" s="2111"/>
      <c r="I1129" s="2112"/>
      <c r="J1129" s="709"/>
      <c r="K1129" s="730">
        <v>1496</v>
      </c>
      <c r="L1129" s="670"/>
      <c r="M1129" s="1695"/>
      <c r="N1129" s="130"/>
      <c r="O1129" s="251"/>
      <c r="P1129" s="251"/>
      <c r="Q1129" s="251"/>
      <c r="R1129" s="251"/>
      <c r="S1129" s="130"/>
      <c r="T1129" s="130"/>
      <c r="U1129" s="130"/>
      <c r="V1129" s="2107"/>
      <c r="W1129" s="611">
        <v>2009</v>
      </c>
      <c r="X1129" s="614">
        <v>1496</v>
      </c>
      <c r="Y1129" s="611"/>
      <c r="Z1129" s="611"/>
      <c r="AA1129" s="611"/>
      <c r="AB1129" s="611"/>
      <c r="AC1129" s="611"/>
      <c r="AD1129" s="611"/>
      <c r="AE1129" s="611"/>
      <c r="AF1129" s="611"/>
      <c r="AG1129" s="611"/>
    </row>
    <row r="1130" spans="1:33" s="56" customFormat="1" hidden="1" outlineLevel="1" x14ac:dyDescent="0.25">
      <c r="A1130" s="597"/>
      <c r="B1130" s="130"/>
      <c r="C1130" s="616"/>
      <c r="D1130" s="2101"/>
      <c r="E1130" s="2104"/>
      <c r="F1130" s="2110" t="str">
        <f>$E$924</f>
        <v>ASHP - SEER 20 - replace electric furnace / CAC - early replacement MF ER2</v>
      </c>
      <c r="G1130" s="2111"/>
      <c r="H1130" s="2111"/>
      <c r="I1130" s="2112"/>
      <c r="J1130" s="709"/>
      <c r="K1130" s="730">
        <v>1496</v>
      </c>
      <c r="L1130" s="670"/>
      <c r="M1130" s="1695"/>
      <c r="N1130" s="130"/>
      <c r="O1130" s="251"/>
      <c r="P1130" s="251"/>
      <c r="Q1130" s="251"/>
      <c r="R1130" s="251"/>
      <c r="S1130" s="130"/>
      <c r="T1130" s="130"/>
      <c r="U1130" s="130"/>
      <c r="V1130" s="2107"/>
      <c r="W1130" s="611">
        <v>2009</v>
      </c>
      <c r="X1130" s="614">
        <v>1496</v>
      </c>
      <c r="Y1130" s="611"/>
      <c r="Z1130" s="611"/>
      <c r="AA1130" s="611"/>
      <c r="AB1130" s="611"/>
      <c r="AC1130" s="611"/>
      <c r="AD1130" s="611"/>
      <c r="AE1130" s="611"/>
      <c r="AF1130" s="611"/>
      <c r="AG1130" s="611"/>
    </row>
    <row r="1131" spans="1:33" s="56" customFormat="1" hidden="1" outlineLevel="1" x14ac:dyDescent="0.25">
      <c r="A1131" s="597"/>
      <c r="B1131" s="130"/>
      <c r="C1131" s="616"/>
      <c r="D1131" s="2101"/>
      <c r="E1131" s="2104"/>
      <c r="F1131" s="2110" t="str">
        <f>$E$926</f>
        <v>ASHP SEER 20 replace ASHP - early replacement MF ER1</v>
      </c>
      <c r="G1131" s="2111"/>
      <c r="H1131" s="2111"/>
      <c r="I1131" s="2112"/>
      <c r="J1131" s="709"/>
      <c r="K1131" s="730">
        <v>1496</v>
      </c>
      <c r="L1131" s="670"/>
      <c r="M1131" s="1695"/>
      <c r="N1131" s="130"/>
      <c r="O1131" s="251"/>
      <c r="P1131" s="251"/>
      <c r="Q1131" s="251"/>
      <c r="R1131" s="251"/>
      <c r="S1131" s="130"/>
      <c r="T1131" s="130"/>
      <c r="U1131" s="130"/>
      <c r="V1131" s="2107"/>
      <c r="W1131" s="611">
        <v>2009</v>
      </c>
      <c r="X1131" s="614">
        <v>1496</v>
      </c>
      <c r="Y1131" s="611"/>
      <c r="Z1131" s="611"/>
      <c r="AA1131" s="611"/>
      <c r="AB1131" s="611"/>
      <c r="AC1131" s="611"/>
      <c r="AD1131" s="611"/>
      <c r="AE1131" s="611"/>
      <c r="AF1131" s="611"/>
      <c r="AG1131" s="611"/>
    </row>
    <row r="1132" spans="1:33" s="56" customFormat="1" hidden="1" outlineLevel="1" x14ac:dyDescent="0.25">
      <c r="A1132" s="597"/>
      <c r="B1132" s="130"/>
      <c r="C1132" s="616"/>
      <c r="D1132" s="2101"/>
      <c r="E1132" s="2104"/>
      <c r="F1132" s="2110" t="str">
        <f>$E$928</f>
        <v>ASHP SEER 20 replace ASHP - early replacement MF ER2</v>
      </c>
      <c r="G1132" s="2111"/>
      <c r="H1132" s="2111"/>
      <c r="I1132" s="2112"/>
      <c r="J1132" s="709"/>
      <c r="K1132" s="730">
        <v>1496</v>
      </c>
      <c r="L1132" s="670"/>
      <c r="M1132" s="1695"/>
      <c r="N1132" s="130"/>
      <c r="O1132" s="251"/>
      <c r="P1132" s="251"/>
      <c r="Q1132" s="251"/>
      <c r="R1132" s="251"/>
      <c r="S1132" s="130"/>
      <c r="T1132" s="130"/>
      <c r="U1132" s="130"/>
      <c r="V1132" s="2107"/>
      <c r="W1132" s="611">
        <v>2009</v>
      </c>
      <c r="X1132" s="614">
        <v>1496</v>
      </c>
      <c r="Y1132" s="611"/>
      <c r="Z1132" s="611"/>
      <c r="AA1132" s="611"/>
      <c r="AB1132" s="611"/>
      <c r="AC1132" s="611"/>
      <c r="AD1132" s="611"/>
      <c r="AE1132" s="611"/>
      <c r="AF1132" s="611"/>
      <c r="AG1132" s="611"/>
    </row>
    <row r="1133" spans="1:33" s="56" customFormat="1" hidden="1" outlineLevel="1" x14ac:dyDescent="0.25">
      <c r="A1133" s="597"/>
      <c r="B1133" s="130"/>
      <c r="C1133" s="616"/>
      <c r="D1133" s="2101"/>
      <c r="E1133" s="2104"/>
      <c r="F1133" s="2110" t="str">
        <f>$E$930</f>
        <v>ASHP SEER 21 replace ASHP - early replacement SF ER1</v>
      </c>
      <c r="G1133" s="2111"/>
      <c r="H1133" s="2111"/>
      <c r="I1133" s="2112"/>
      <c r="J1133" s="709"/>
      <c r="K1133" s="730">
        <v>1496</v>
      </c>
      <c r="L1133" s="670"/>
      <c r="M1133" s="1695"/>
      <c r="N1133" s="130"/>
      <c r="O1133" s="251"/>
      <c r="P1133" s="251"/>
      <c r="Q1133" s="251"/>
      <c r="R1133" s="251"/>
      <c r="S1133" s="130"/>
      <c r="T1133" s="130"/>
      <c r="U1133" s="130"/>
      <c r="V1133" s="2107"/>
      <c r="W1133" s="611">
        <v>2009</v>
      </c>
      <c r="X1133" s="614">
        <v>1496</v>
      </c>
      <c r="Y1133" s="611"/>
      <c r="Z1133" s="611"/>
      <c r="AA1133" s="611"/>
      <c r="AB1133" s="611"/>
      <c r="AC1133" s="611"/>
      <c r="AD1133" s="611"/>
      <c r="AE1133" s="611"/>
      <c r="AF1133" s="611"/>
      <c r="AG1133" s="611"/>
    </row>
    <row r="1134" spans="1:33" s="56" customFormat="1" hidden="1" outlineLevel="1" x14ac:dyDescent="0.25">
      <c r="A1134" s="597"/>
      <c r="B1134" s="130"/>
      <c r="C1134" s="616"/>
      <c r="D1134" s="2101"/>
      <c r="E1134" s="2104"/>
      <c r="F1134" s="2110" t="str">
        <f>$E$932</f>
        <v>ASHP SEER 21 replace ASHP - early replacement SF ER2</v>
      </c>
      <c r="G1134" s="2111"/>
      <c r="H1134" s="2111"/>
      <c r="I1134" s="2112"/>
      <c r="J1134" s="709"/>
      <c r="K1134" s="730">
        <v>1496</v>
      </c>
      <c r="L1134" s="670"/>
      <c r="M1134" s="1695"/>
      <c r="N1134" s="130"/>
      <c r="O1134" s="251"/>
      <c r="P1134" s="251"/>
      <c r="Q1134" s="251"/>
      <c r="R1134" s="251"/>
      <c r="S1134" s="130"/>
      <c r="T1134" s="130"/>
      <c r="U1134" s="130"/>
      <c r="V1134" s="2107"/>
      <c r="W1134" s="611">
        <v>2009</v>
      </c>
      <c r="X1134" s="614">
        <v>1496</v>
      </c>
      <c r="Y1134" s="611"/>
      <c r="Z1134" s="611"/>
      <c r="AA1134" s="611"/>
      <c r="AB1134" s="611"/>
      <c r="AC1134" s="611"/>
      <c r="AD1134" s="611"/>
      <c r="AE1134" s="611"/>
      <c r="AF1134" s="611"/>
      <c r="AG1134" s="611"/>
    </row>
    <row r="1135" spans="1:33" s="56" customFormat="1" hidden="1" outlineLevel="1" x14ac:dyDescent="0.25">
      <c r="A1135" s="597"/>
      <c r="B1135" s="130"/>
      <c r="C1135" s="616"/>
      <c r="D1135" s="2101"/>
      <c r="E1135" s="2104"/>
      <c r="F1135" s="2110" t="str">
        <f>$E$934</f>
        <v>ASHP SEER 21 replace ASHP - replace on fail SF</v>
      </c>
      <c r="G1135" s="2111"/>
      <c r="H1135" s="2111"/>
      <c r="I1135" s="2112"/>
      <c r="J1135" s="709"/>
      <c r="K1135" s="730">
        <v>1496</v>
      </c>
      <c r="L1135" s="670"/>
      <c r="M1135" s="1695"/>
      <c r="N1135" s="130"/>
      <c r="O1135" s="251"/>
      <c r="P1135" s="251"/>
      <c r="Q1135" s="251"/>
      <c r="R1135" s="251"/>
      <c r="S1135" s="130"/>
      <c r="T1135" s="130"/>
      <c r="U1135" s="130"/>
      <c r="V1135" s="2107"/>
      <c r="W1135" s="611">
        <v>2009</v>
      </c>
      <c r="X1135" s="614">
        <v>1496</v>
      </c>
      <c r="Y1135" s="611"/>
      <c r="Z1135" s="611"/>
      <c r="AA1135" s="611"/>
      <c r="AB1135" s="611"/>
      <c r="AC1135" s="611"/>
      <c r="AD1135" s="611"/>
      <c r="AE1135" s="611"/>
      <c r="AF1135" s="611"/>
      <c r="AG1135" s="611"/>
    </row>
    <row r="1136" spans="1:33" s="56" customFormat="1" hidden="1" outlineLevel="1" x14ac:dyDescent="0.25">
      <c r="A1136" s="597"/>
      <c r="B1136" s="130"/>
      <c r="C1136" s="616"/>
      <c r="D1136" s="2101"/>
      <c r="E1136" s="2104"/>
      <c r="F1136" s="2110" t="str">
        <f>$E$936</f>
        <v>ASHP - SEER 21 - replace electric furnace / CAC MF</v>
      </c>
      <c r="G1136" s="2111"/>
      <c r="H1136" s="2111"/>
      <c r="I1136" s="2112"/>
      <c r="J1136" s="709"/>
      <c r="K1136" s="730">
        <v>1496</v>
      </c>
      <c r="L1136" s="670"/>
      <c r="M1136" s="1695"/>
      <c r="N1136" s="130"/>
      <c r="O1136" s="251"/>
      <c r="P1136" s="251"/>
      <c r="Q1136" s="251"/>
      <c r="R1136" s="251"/>
      <c r="S1136" s="130"/>
      <c r="T1136" s="130"/>
      <c r="U1136" s="130"/>
      <c r="V1136" s="2107"/>
      <c r="W1136" s="611">
        <v>2009</v>
      </c>
      <c r="X1136" s="614">
        <v>1496</v>
      </c>
      <c r="Y1136" s="611"/>
      <c r="Z1136" s="611"/>
      <c r="AA1136" s="611"/>
      <c r="AB1136" s="611"/>
      <c r="AC1136" s="611"/>
      <c r="AD1136" s="611"/>
      <c r="AE1136" s="611"/>
      <c r="AF1136" s="611"/>
      <c r="AG1136" s="611"/>
    </row>
    <row r="1137" spans="1:33" s="56" customFormat="1" hidden="1" outlineLevel="1" x14ac:dyDescent="0.25">
      <c r="A1137" s="597"/>
      <c r="B1137" s="130"/>
      <c r="C1137" s="616"/>
      <c r="D1137" s="2101"/>
      <c r="E1137" s="2104"/>
      <c r="F1137" s="2110" t="str">
        <f>$E$938</f>
        <v>ASHP SEER 21 replace ASHP - early replacement MF ER1</v>
      </c>
      <c r="G1137" s="2111"/>
      <c r="H1137" s="2111"/>
      <c r="I1137" s="2112"/>
      <c r="J1137" s="709"/>
      <c r="K1137" s="730">
        <v>1496</v>
      </c>
      <c r="L1137" s="670"/>
      <c r="M1137" s="1695"/>
      <c r="N1137" s="130"/>
      <c r="O1137" s="251"/>
      <c r="P1137" s="251"/>
      <c r="Q1137" s="251"/>
      <c r="R1137" s="251"/>
      <c r="S1137" s="130"/>
      <c r="T1137" s="130"/>
      <c r="U1137" s="130"/>
      <c r="V1137" s="2107"/>
      <c r="W1137" s="611">
        <v>2009</v>
      </c>
      <c r="X1137" s="614">
        <v>1496</v>
      </c>
      <c r="Y1137" s="611"/>
      <c r="Z1137" s="611"/>
      <c r="AA1137" s="611"/>
      <c r="AB1137" s="611"/>
      <c r="AC1137" s="611"/>
      <c r="AD1137" s="611"/>
      <c r="AE1137" s="611"/>
      <c r="AF1137" s="611"/>
      <c r="AG1137" s="611"/>
    </row>
    <row r="1138" spans="1:33" s="56" customFormat="1" hidden="1" outlineLevel="1" x14ac:dyDescent="0.25">
      <c r="A1138" s="597"/>
      <c r="B1138" s="130"/>
      <c r="C1138" s="616"/>
      <c r="D1138" s="2101"/>
      <c r="E1138" s="2104"/>
      <c r="F1138" s="2110" t="str">
        <f>$E$940</f>
        <v>ASHP SEER 21 replace ASHP - early replacement MF ER2</v>
      </c>
      <c r="G1138" s="2111"/>
      <c r="H1138" s="2111"/>
      <c r="I1138" s="2112"/>
      <c r="J1138" s="709"/>
      <c r="K1138" s="730">
        <v>1496</v>
      </c>
      <c r="L1138" s="670"/>
      <c r="M1138" s="1695"/>
      <c r="N1138" s="130"/>
      <c r="O1138" s="251"/>
      <c r="P1138" s="251"/>
      <c r="Q1138" s="251"/>
      <c r="R1138" s="251"/>
      <c r="S1138" s="130"/>
      <c r="T1138" s="130"/>
      <c r="U1138" s="130"/>
      <c r="V1138" s="2107"/>
      <c r="W1138" s="611">
        <v>2009</v>
      </c>
      <c r="X1138" s="614">
        <v>1496</v>
      </c>
      <c r="Y1138" s="611"/>
      <c r="Z1138" s="611"/>
      <c r="AA1138" s="611"/>
      <c r="AB1138" s="611"/>
      <c r="AC1138" s="611"/>
      <c r="AD1138" s="611"/>
      <c r="AE1138" s="611"/>
      <c r="AF1138" s="611"/>
      <c r="AG1138" s="611"/>
    </row>
    <row r="1139" spans="1:33" s="56" customFormat="1" ht="15" hidden="1" customHeight="1" outlineLevel="1" x14ac:dyDescent="0.25">
      <c r="A1139" s="597"/>
      <c r="B1139" s="130"/>
      <c r="C1139" s="616"/>
      <c r="D1139" s="2101"/>
      <c r="E1139" s="2104"/>
      <c r="F1139" s="2110" t="str">
        <f>$E$942</f>
        <v>ASHP - SEER 17 - replace on fail MF</v>
      </c>
      <c r="G1139" s="2111"/>
      <c r="H1139" s="2111"/>
      <c r="I1139" s="2112"/>
      <c r="J1139" s="709" t="s">
        <v>1198</v>
      </c>
      <c r="K1139" s="730">
        <v>1496</v>
      </c>
      <c r="L1139" s="670"/>
      <c r="M1139" s="1695"/>
      <c r="N1139" s="130"/>
      <c r="O1139" s="251"/>
      <c r="P1139" s="251"/>
      <c r="Q1139" s="251"/>
      <c r="R1139" s="251"/>
      <c r="S1139" s="130"/>
      <c r="T1139" s="130"/>
      <c r="U1139" s="130"/>
      <c r="V1139" s="2107"/>
      <c r="W1139" s="611">
        <v>2009</v>
      </c>
      <c r="X1139" s="614">
        <v>1496</v>
      </c>
      <c r="Y1139" s="611"/>
      <c r="Z1139" s="611"/>
      <c r="AA1139" s="611"/>
      <c r="AB1139" s="611"/>
      <c r="AC1139" s="611"/>
      <c r="AD1139" s="611"/>
      <c r="AE1139" s="611"/>
      <c r="AF1139" s="611"/>
      <c r="AG1139" s="611"/>
    </row>
    <row r="1140" spans="1:33" s="56" customFormat="1" ht="15" hidden="1" customHeight="1" outlineLevel="1" x14ac:dyDescent="0.25">
      <c r="A1140" s="724"/>
      <c r="B1140" s="130"/>
      <c r="C1140" s="616"/>
      <c r="D1140" s="2101"/>
      <c r="E1140" s="2104"/>
      <c r="F1140" s="2110" t="str">
        <f>$E$944</f>
        <v>ASHP - SEER 18 - replace on fail MF</v>
      </c>
      <c r="G1140" s="2111"/>
      <c r="H1140" s="2111"/>
      <c r="I1140" s="2112"/>
      <c r="J1140" s="709" t="s">
        <v>1199</v>
      </c>
      <c r="K1140" s="730">
        <v>1496</v>
      </c>
      <c r="L1140" s="670"/>
      <c r="M1140" s="1695"/>
      <c r="N1140" s="130"/>
      <c r="O1140" s="251"/>
      <c r="P1140" s="766"/>
      <c r="Q1140" s="767"/>
      <c r="R1140" s="766"/>
      <c r="S1140" s="752"/>
      <c r="T1140" s="760"/>
      <c r="U1140" s="130"/>
      <c r="V1140" s="2107"/>
      <c r="W1140" s="611">
        <v>2009</v>
      </c>
      <c r="X1140" s="614">
        <v>1496</v>
      </c>
      <c r="Y1140" s="611"/>
      <c r="Z1140" s="611"/>
      <c r="AA1140" s="611"/>
      <c r="AB1140" s="611"/>
      <c r="AC1140" s="611"/>
      <c r="AD1140" s="611"/>
      <c r="AE1140" s="611"/>
      <c r="AF1140" s="611"/>
      <c r="AG1140" s="611"/>
    </row>
    <row r="1141" spans="1:33" s="56" customFormat="1" ht="15" hidden="1" customHeight="1" outlineLevel="1" x14ac:dyDescent="0.25">
      <c r="A1141" s="724"/>
      <c r="B1141" s="130"/>
      <c r="C1141" s="616"/>
      <c r="D1141" s="2101"/>
      <c r="E1141" s="2104"/>
      <c r="F1141" s="2110" t="str">
        <f>$E$946</f>
        <v>ASHP - SEER 19 - replace on fail MF</v>
      </c>
      <c r="G1141" s="2111"/>
      <c r="H1141" s="2111"/>
      <c r="I1141" s="2112"/>
      <c r="J1141" s="709" t="s">
        <v>1200</v>
      </c>
      <c r="K1141" s="730">
        <v>1496</v>
      </c>
      <c r="L1141" s="670"/>
      <c r="M1141" s="1695"/>
      <c r="N1141" s="130"/>
      <c r="O1141" s="251"/>
      <c r="P1141" s="766"/>
      <c r="Q1141" s="767"/>
      <c r="R1141" s="766"/>
      <c r="S1141" s="752"/>
      <c r="T1141" s="760"/>
      <c r="U1141" s="130"/>
      <c r="V1141" s="2107"/>
      <c r="W1141" s="611">
        <v>2009</v>
      </c>
      <c r="X1141" s="614">
        <v>1496</v>
      </c>
      <c r="Y1141" s="611"/>
      <c r="Z1141" s="611"/>
      <c r="AA1141" s="611"/>
      <c r="AB1141" s="611"/>
      <c r="AC1141" s="611"/>
      <c r="AD1141" s="611"/>
      <c r="AE1141" s="611"/>
      <c r="AF1141" s="611"/>
      <c r="AG1141" s="611"/>
    </row>
    <row r="1142" spans="1:33" s="56" customFormat="1" ht="15" hidden="1" customHeight="1" outlineLevel="1" x14ac:dyDescent="0.25">
      <c r="A1142" s="597"/>
      <c r="B1142" s="130"/>
      <c r="C1142" s="616"/>
      <c r="D1142" s="2101"/>
      <c r="E1142" s="2104"/>
      <c r="F1142" s="2110" t="str">
        <f>$E$948</f>
        <v>ASHP - SEER 20 - replace on fail MF</v>
      </c>
      <c r="G1142" s="2111"/>
      <c r="H1142" s="2111"/>
      <c r="I1142" s="2112"/>
      <c r="J1142" s="709" t="s">
        <v>1201</v>
      </c>
      <c r="K1142" s="730">
        <v>1496</v>
      </c>
      <c r="L1142" s="670"/>
      <c r="M1142" s="1695"/>
      <c r="N1142" s="130"/>
      <c r="O1142" s="251"/>
      <c r="P1142" s="251"/>
      <c r="Q1142" s="251"/>
      <c r="R1142" s="251"/>
      <c r="S1142" s="130"/>
      <c r="T1142" s="130"/>
      <c r="U1142" s="130"/>
      <c r="V1142" s="2107"/>
      <c r="W1142" s="611">
        <v>2009</v>
      </c>
      <c r="X1142" s="614">
        <v>1496</v>
      </c>
      <c r="Y1142" s="611"/>
      <c r="Z1142" s="611"/>
      <c r="AA1142" s="611"/>
      <c r="AB1142" s="611"/>
      <c r="AC1142" s="611"/>
      <c r="AD1142" s="611"/>
      <c r="AE1142" s="611"/>
      <c r="AF1142" s="611"/>
      <c r="AG1142" s="611"/>
    </row>
    <row r="1143" spans="1:33" s="56" customFormat="1" ht="15.75" hidden="1" customHeight="1" outlineLevel="1" thickBot="1" x14ac:dyDescent="0.3">
      <c r="A1143" s="597"/>
      <c r="B1143" s="130"/>
      <c r="C1143" s="616"/>
      <c r="D1143" s="2102"/>
      <c r="E1143" s="2105"/>
      <c r="F1143" s="2110" t="str">
        <f>$E$950</f>
        <v>ASHP - SEER 21 - replace on fail MF</v>
      </c>
      <c r="G1143" s="2111"/>
      <c r="H1143" s="2111"/>
      <c r="I1143" s="2112"/>
      <c r="J1143" s="712" t="s">
        <v>1202</v>
      </c>
      <c r="K1143" s="622">
        <v>1496</v>
      </c>
      <c r="L1143" s="771"/>
      <c r="M1143" s="1696"/>
      <c r="N1143" s="130"/>
      <c r="O1143" s="251"/>
      <c r="P1143" s="251"/>
      <c r="Q1143" s="251"/>
      <c r="R1143" s="251"/>
      <c r="S1143" s="130"/>
      <c r="T1143" s="130"/>
      <c r="U1143" s="130"/>
      <c r="V1143" s="2108"/>
      <c r="W1143" s="622">
        <v>2009</v>
      </c>
      <c r="X1143" s="679">
        <v>1496</v>
      </c>
      <c r="Y1143" s="622"/>
      <c r="Z1143" s="622"/>
      <c r="AA1143" s="622"/>
      <c r="AB1143" s="622"/>
      <c r="AC1143" s="622"/>
      <c r="AD1143" s="622"/>
      <c r="AE1143" s="622"/>
      <c r="AF1143" s="622"/>
      <c r="AG1143" s="622"/>
    </row>
    <row r="1144" spans="1:33" s="56" customFormat="1" ht="15" hidden="1" customHeight="1" outlineLevel="1" x14ac:dyDescent="0.25">
      <c r="A1144" s="724"/>
      <c r="B1144" s="130"/>
      <c r="C1144" s="616"/>
      <c r="D1144" s="2100" t="s">
        <v>1033</v>
      </c>
      <c r="E1144" s="2103" t="s">
        <v>1034</v>
      </c>
      <c r="F1144" s="2109" t="str">
        <f>$E$780</f>
        <v>ASHP - SEER 15 ER Elec Resist Furnace: HVAC ER1</v>
      </c>
      <c r="G1144" s="2109"/>
      <c r="H1144" s="2109"/>
      <c r="I1144" s="2109"/>
      <c r="J1144" s="707">
        <v>919</v>
      </c>
      <c r="K1144" s="727">
        <v>3.41</v>
      </c>
      <c r="L1144" s="660"/>
      <c r="M1144" s="613" t="s">
        <v>1841</v>
      </c>
      <c r="N1144" s="130"/>
      <c r="O1144" s="251"/>
      <c r="P1144" s="766"/>
      <c r="Q1144" s="766"/>
      <c r="R1144" s="766"/>
      <c r="S1144" s="752"/>
      <c r="T1144" s="760"/>
      <c r="U1144" s="130"/>
      <c r="V1144" s="2106" t="s">
        <v>1033</v>
      </c>
      <c r="W1144" s="605">
        <v>3.41</v>
      </c>
      <c r="X1144" s="605">
        <v>3.41</v>
      </c>
      <c r="Y1144" s="605"/>
      <c r="Z1144" s="605"/>
      <c r="AA1144" s="605"/>
      <c r="AB1144" s="605"/>
      <c r="AC1144" s="605"/>
      <c r="AD1144" s="605"/>
      <c r="AE1144" s="605"/>
      <c r="AF1144" s="605"/>
      <c r="AG1144" s="605"/>
    </row>
    <row r="1145" spans="1:33" s="56" customFormat="1" ht="15" hidden="1" customHeight="1" outlineLevel="1" x14ac:dyDescent="0.25">
      <c r="A1145" s="724"/>
      <c r="B1145" s="130"/>
      <c r="C1145" s="616"/>
      <c r="D1145" s="2101"/>
      <c r="E1145" s="2104"/>
      <c r="F1145" s="2110" t="str">
        <f>$E$782</f>
        <v>ASHP - SEER 15 ER Elec Resist Furnace: HVAC ER2</v>
      </c>
      <c r="G1145" s="2111"/>
      <c r="H1145" s="2111"/>
      <c r="I1145" s="2112"/>
      <c r="J1145" s="709" t="s">
        <v>1156</v>
      </c>
      <c r="K1145" s="730">
        <v>3.41</v>
      </c>
      <c r="L1145" s="669"/>
      <c r="M1145" s="613" t="s">
        <v>1841</v>
      </c>
      <c r="N1145" s="130"/>
      <c r="O1145" s="251"/>
      <c r="P1145" s="766"/>
      <c r="Q1145" s="766"/>
      <c r="R1145" s="766"/>
      <c r="S1145" s="752"/>
      <c r="T1145" s="760"/>
      <c r="U1145" s="130"/>
      <c r="V1145" s="2107"/>
      <c r="W1145" s="611">
        <v>3.41</v>
      </c>
      <c r="X1145" s="611">
        <v>3.41</v>
      </c>
      <c r="Y1145" s="611"/>
      <c r="Z1145" s="611"/>
      <c r="AA1145" s="611"/>
      <c r="AB1145" s="611"/>
      <c r="AC1145" s="611"/>
      <c r="AD1145" s="611"/>
      <c r="AE1145" s="611"/>
      <c r="AF1145" s="611"/>
      <c r="AG1145" s="611"/>
    </row>
    <row r="1146" spans="1:33" s="56" customFormat="1" ht="15" hidden="1" customHeight="1" outlineLevel="1" x14ac:dyDescent="0.25">
      <c r="A1146" s="724"/>
      <c r="B1146" s="130"/>
      <c r="C1146" s="616"/>
      <c r="D1146" s="2101"/>
      <c r="E1146" s="2104"/>
      <c r="F1146" s="2110" t="str">
        <f>$E$784</f>
        <v>ASHP - SEER 15 ER with ASHP: HVAC ER1</v>
      </c>
      <c r="G1146" s="2111"/>
      <c r="H1146" s="2111"/>
      <c r="I1146" s="2112"/>
      <c r="J1146" s="709">
        <v>920</v>
      </c>
      <c r="K1146" s="730">
        <v>6.58</v>
      </c>
      <c r="L1146" s="669"/>
      <c r="M1146" s="613" t="s">
        <v>1793</v>
      </c>
      <c r="N1146" s="130"/>
      <c r="O1146" s="251"/>
      <c r="P1146" s="766"/>
      <c r="Q1146" s="766"/>
      <c r="R1146" s="766"/>
      <c r="S1146" s="752"/>
      <c r="T1146" s="760"/>
      <c r="U1146" s="130"/>
      <c r="V1146" s="2107"/>
      <c r="W1146" s="611">
        <v>5.44</v>
      </c>
      <c r="X1146" s="611">
        <v>5.44</v>
      </c>
      <c r="Y1146" s="611"/>
      <c r="Z1146" s="611"/>
      <c r="AA1146" s="611"/>
      <c r="AB1146" s="611"/>
      <c r="AC1146" s="611"/>
      <c r="AD1146" s="611"/>
      <c r="AE1146" s="611"/>
      <c r="AF1146" s="611"/>
      <c r="AG1146" s="611"/>
    </row>
    <row r="1147" spans="1:33" s="56" customFormat="1" ht="15" hidden="1" customHeight="1" outlineLevel="1" x14ac:dyDescent="0.25">
      <c r="A1147" s="724"/>
      <c r="B1147" s="130"/>
      <c r="C1147" s="616"/>
      <c r="D1147" s="2101"/>
      <c r="E1147" s="2104"/>
      <c r="F1147" s="2110" t="str">
        <f>$E$786</f>
        <v>ASHP - SEER 15 ER with ASHP: HVAC ER2</v>
      </c>
      <c r="G1147" s="2111"/>
      <c r="H1147" s="2111"/>
      <c r="I1147" s="2112"/>
      <c r="J1147" s="709" t="s">
        <v>1159</v>
      </c>
      <c r="K1147" s="730">
        <v>8.1999999999999993</v>
      </c>
      <c r="L1147" s="669"/>
      <c r="M1147" s="613" t="s">
        <v>1841</v>
      </c>
      <c r="N1147" s="130"/>
      <c r="O1147" s="251"/>
      <c r="P1147" s="766"/>
      <c r="Q1147" s="766"/>
      <c r="R1147" s="766"/>
      <c r="S1147" s="752"/>
      <c r="T1147" s="760"/>
      <c r="U1147" s="130"/>
      <c r="V1147" s="2107"/>
      <c r="W1147" s="611">
        <v>8.1999999999999993</v>
      </c>
      <c r="X1147" s="611">
        <v>8.1999999999999993</v>
      </c>
      <c r="Y1147" s="611"/>
      <c r="Z1147" s="611"/>
      <c r="AA1147" s="611"/>
      <c r="AB1147" s="611"/>
      <c r="AC1147" s="611"/>
      <c r="AD1147" s="611"/>
      <c r="AE1147" s="611"/>
      <c r="AF1147" s="611"/>
      <c r="AG1147" s="611"/>
    </row>
    <row r="1148" spans="1:33" s="56" customFormat="1" ht="15" hidden="1" customHeight="1" outlineLevel="1" x14ac:dyDescent="0.25">
      <c r="A1148" s="724"/>
      <c r="B1148" s="130"/>
      <c r="C1148" s="616"/>
      <c r="D1148" s="2101"/>
      <c r="E1148" s="2104"/>
      <c r="F1148" s="2110" t="str">
        <f>$E$788</f>
        <v>ASHP-  SEER 15 Replace at Fail Elec Resist Furnace: HVAC</v>
      </c>
      <c r="G1148" s="2111"/>
      <c r="H1148" s="2111"/>
      <c r="I1148" s="2112"/>
      <c r="J1148" s="709">
        <v>921</v>
      </c>
      <c r="K1148" s="730">
        <v>3.41</v>
      </c>
      <c r="L1148" s="669"/>
      <c r="M1148" s="613" t="s">
        <v>1842</v>
      </c>
      <c r="N1148" s="130"/>
      <c r="O1148" s="251"/>
      <c r="P1148" s="766"/>
      <c r="Q1148" s="766"/>
      <c r="R1148" s="766"/>
      <c r="S1148" s="752"/>
      <c r="T1148" s="760"/>
      <c r="U1148" s="130"/>
      <c r="V1148" s="2107"/>
      <c r="W1148" s="611">
        <v>3.41</v>
      </c>
      <c r="X1148" s="611">
        <v>3.41</v>
      </c>
      <c r="Y1148" s="611"/>
      <c r="Z1148" s="611"/>
      <c r="AA1148" s="611"/>
      <c r="AB1148" s="611"/>
      <c r="AC1148" s="611"/>
      <c r="AD1148" s="611"/>
      <c r="AE1148" s="611"/>
      <c r="AF1148" s="611"/>
      <c r="AG1148" s="611"/>
    </row>
    <row r="1149" spans="1:33" s="56" customFormat="1" ht="15" hidden="1" customHeight="1" outlineLevel="1" x14ac:dyDescent="0.25">
      <c r="A1149" s="724"/>
      <c r="B1149" s="130"/>
      <c r="C1149" s="616"/>
      <c r="D1149" s="2101"/>
      <c r="E1149" s="2104"/>
      <c r="F1149" s="2110" t="str">
        <f>$E$790</f>
        <v>ASHP - SEER 15 Replace at Fail with ASHP: HVAC</v>
      </c>
      <c r="G1149" s="2111"/>
      <c r="H1149" s="2111"/>
      <c r="I1149" s="2112"/>
      <c r="J1149" s="709">
        <v>922</v>
      </c>
      <c r="K1149" s="730">
        <v>8.1999999999999993</v>
      </c>
      <c r="L1149" s="669"/>
      <c r="M1149" s="613" t="s">
        <v>1843</v>
      </c>
      <c r="N1149" s="130"/>
      <c r="O1149" s="251"/>
      <c r="P1149" s="766"/>
      <c r="Q1149" s="766"/>
      <c r="R1149" s="766"/>
      <c r="S1149" s="752"/>
      <c r="T1149" s="760"/>
      <c r="U1149" s="130"/>
      <c r="V1149" s="2107"/>
      <c r="W1149" s="611">
        <v>8.1999999999999993</v>
      </c>
      <c r="X1149" s="611">
        <v>8.1999999999999993</v>
      </c>
      <c r="Y1149" s="611"/>
      <c r="Z1149" s="611"/>
      <c r="AA1149" s="611"/>
      <c r="AB1149" s="611"/>
      <c r="AC1149" s="611"/>
      <c r="AD1149" s="611"/>
      <c r="AE1149" s="611"/>
      <c r="AF1149" s="611"/>
      <c r="AG1149" s="611"/>
    </row>
    <row r="1150" spans="1:33" s="56" customFormat="1" ht="15" hidden="1" customHeight="1" outlineLevel="1" x14ac:dyDescent="0.25">
      <c r="A1150" s="724"/>
      <c r="B1150" s="130"/>
      <c r="C1150" s="616"/>
      <c r="D1150" s="2101"/>
      <c r="E1150" s="2104"/>
      <c r="F1150" s="2110" t="str">
        <f>$E$792</f>
        <v>ASHP - SEER 16 - replace electric furnace / CAC - early replacement SF ER1</v>
      </c>
      <c r="G1150" s="2111"/>
      <c r="H1150" s="2111"/>
      <c r="I1150" s="2112"/>
      <c r="J1150" s="709">
        <v>923</v>
      </c>
      <c r="K1150" s="730">
        <v>3.41</v>
      </c>
      <c r="L1150" s="669"/>
      <c r="M1150" s="613" t="s">
        <v>1844</v>
      </c>
      <c r="N1150" s="130"/>
      <c r="O1150" s="251"/>
      <c r="P1150" s="766"/>
      <c r="Q1150" s="766"/>
      <c r="R1150" s="766"/>
      <c r="S1150" s="752"/>
      <c r="T1150" s="760"/>
      <c r="U1150" s="130"/>
      <c r="V1150" s="2107"/>
      <c r="W1150" s="611">
        <v>3.41</v>
      </c>
      <c r="X1150" s="611">
        <v>3.41</v>
      </c>
      <c r="Y1150" s="611"/>
      <c r="Z1150" s="611"/>
      <c r="AA1150" s="611"/>
      <c r="AB1150" s="611"/>
      <c r="AC1150" s="611"/>
      <c r="AD1150" s="611"/>
      <c r="AE1150" s="611"/>
      <c r="AF1150" s="611"/>
      <c r="AG1150" s="611"/>
    </row>
    <row r="1151" spans="1:33" s="56" customFormat="1" ht="15" hidden="1" customHeight="1" outlineLevel="1" x14ac:dyDescent="0.25">
      <c r="A1151" s="724"/>
      <c r="B1151" s="130"/>
      <c r="C1151" s="616"/>
      <c r="D1151" s="2101"/>
      <c r="E1151" s="2104"/>
      <c r="F1151" s="2110" t="str">
        <f>$E$794</f>
        <v>ASHP - SEER 16 - replace electric furnace / CAC - early replacement SF ER2</v>
      </c>
      <c r="G1151" s="2111"/>
      <c r="H1151" s="2111"/>
      <c r="I1151" s="2112"/>
      <c r="J1151" s="709" t="s">
        <v>1161</v>
      </c>
      <c r="K1151" s="730">
        <v>3.41</v>
      </c>
      <c r="L1151" s="669"/>
      <c r="M1151" s="613" t="s">
        <v>1845</v>
      </c>
      <c r="N1151" s="130"/>
      <c r="O1151" s="251"/>
      <c r="P1151" s="766"/>
      <c r="Q1151" s="766"/>
      <c r="R1151" s="766"/>
      <c r="S1151" s="752"/>
      <c r="T1151" s="760"/>
      <c r="U1151" s="130"/>
      <c r="V1151" s="2107"/>
      <c r="W1151" s="611">
        <v>3.41</v>
      </c>
      <c r="X1151" s="611">
        <v>3.41</v>
      </c>
      <c r="Y1151" s="611"/>
      <c r="Z1151" s="611"/>
      <c r="AA1151" s="611"/>
      <c r="AB1151" s="611"/>
      <c r="AC1151" s="611"/>
      <c r="AD1151" s="611"/>
      <c r="AE1151" s="611"/>
      <c r="AF1151" s="611"/>
      <c r="AG1151" s="611"/>
    </row>
    <row r="1152" spans="1:33" s="56" customFormat="1" ht="15" hidden="1" customHeight="1" outlineLevel="1" x14ac:dyDescent="0.25">
      <c r="A1152" s="724"/>
      <c r="B1152" s="130"/>
      <c r="C1152" s="616"/>
      <c r="D1152" s="2101"/>
      <c r="E1152" s="2104"/>
      <c r="F1152" s="2110" t="str">
        <f>$E$796</f>
        <v>ASHP SEER 16 replace ASHP - early replacement SF ER1</v>
      </c>
      <c r="G1152" s="2111"/>
      <c r="H1152" s="2111"/>
      <c r="I1152" s="2112"/>
      <c r="J1152" s="709">
        <v>924</v>
      </c>
      <c r="K1152" s="730">
        <v>6.58</v>
      </c>
      <c r="L1152" s="669"/>
      <c r="M1152" s="613" t="s">
        <v>1793</v>
      </c>
      <c r="N1152" s="130"/>
      <c r="O1152" s="251"/>
      <c r="P1152" s="766"/>
      <c r="Q1152" s="766"/>
      <c r="R1152" s="766"/>
      <c r="S1152" s="752"/>
      <c r="T1152" s="760"/>
      <c r="U1152" s="130"/>
      <c r="V1152" s="2107"/>
      <c r="W1152" s="611">
        <v>5.44</v>
      </c>
      <c r="X1152" s="611">
        <v>5.44</v>
      </c>
      <c r="Y1152" s="611"/>
      <c r="Z1152" s="611"/>
      <c r="AA1152" s="611"/>
      <c r="AB1152" s="611"/>
      <c r="AC1152" s="611"/>
      <c r="AD1152" s="611"/>
      <c r="AE1152" s="611"/>
      <c r="AF1152" s="611"/>
      <c r="AG1152" s="611"/>
    </row>
    <row r="1153" spans="1:33" s="56" customFormat="1" ht="15" hidden="1" customHeight="1" outlineLevel="1" x14ac:dyDescent="0.25">
      <c r="A1153" s="597"/>
      <c r="B1153" s="130"/>
      <c r="C1153" s="616"/>
      <c r="D1153" s="2101"/>
      <c r="E1153" s="2104"/>
      <c r="F1153" s="2110" t="str">
        <f>$E$798</f>
        <v>ASHP SEER 16 replace ASHP - early replacement SF ER2</v>
      </c>
      <c r="G1153" s="2111"/>
      <c r="H1153" s="2111"/>
      <c r="I1153" s="2112"/>
      <c r="J1153" s="709" t="s">
        <v>1163</v>
      </c>
      <c r="K1153" s="730">
        <v>8.1999999999999993</v>
      </c>
      <c r="L1153" s="670"/>
      <c r="M1153" s="613" t="s">
        <v>1841</v>
      </c>
      <c r="N1153" s="130"/>
      <c r="O1153" s="251"/>
      <c r="P1153" s="766"/>
      <c r="Q1153" s="766"/>
      <c r="R1153" s="766"/>
      <c r="S1153" s="752"/>
      <c r="T1153" s="760"/>
      <c r="U1153" s="130"/>
      <c r="V1153" s="2107"/>
      <c r="W1153" s="611">
        <v>8.1999999999999993</v>
      </c>
      <c r="X1153" s="611">
        <v>8.1999999999999993</v>
      </c>
      <c r="Y1153" s="611"/>
      <c r="Z1153" s="611"/>
      <c r="AA1153" s="611"/>
      <c r="AB1153" s="611"/>
      <c r="AC1153" s="611"/>
      <c r="AD1153" s="611"/>
      <c r="AE1153" s="611"/>
      <c r="AF1153" s="611"/>
      <c r="AG1153" s="611"/>
    </row>
    <row r="1154" spans="1:33" s="56" customFormat="1" ht="15" hidden="1" customHeight="1" outlineLevel="1" x14ac:dyDescent="0.25">
      <c r="A1154" s="724"/>
      <c r="B1154" s="130"/>
      <c r="C1154" s="616"/>
      <c r="D1154" s="2101"/>
      <c r="E1154" s="2104"/>
      <c r="F1154" s="2110" t="str">
        <f>$E$800</f>
        <v>ASHP - SEER 16 - replace electric furnace / CAC SF</v>
      </c>
      <c r="G1154" s="2111"/>
      <c r="H1154" s="2111"/>
      <c r="I1154" s="2112"/>
      <c r="J1154" s="709">
        <v>925</v>
      </c>
      <c r="K1154" s="730">
        <v>3.41</v>
      </c>
      <c r="L1154" s="670"/>
      <c r="M1154" s="613" t="s">
        <v>1842</v>
      </c>
      <c r="N1154" s="130"/>
      <c r="O1154" s="251"/>
      <c r="P1154" s="766"/>
      <c r="Q1154" s="766"/>
      <c r="R1154" s="766"/>
      <c r="S1154" s="752"/>
      <c r="T1154" s="760"/>
      <c r="U1154" s="130"/>
      <c r="V1154" s="2107"/>
      <c r="W1154" s="611">
        <v>3.41</v>
      </c>
      <c r="X1154" s="611">
        <v>3.41</v>
      </c>
      <c r="Y1154" s="611"/>
      <c r="Z1154" s="611"/>
      <c r="AA1154" s="611"/>
      <c r="AB1154" s="611"/>
      <c r="AC1154" s="611"/>
      <c r="AD1154" s="611"/>
      <c r="AE1154" s="611"/>
      <c r="AF1154" s="611"/>
      <c r="AG1154" s="611"/>
    </row>
    <row r="1155" spans="1:33" s="56" customFormat="1" ht="15" hidden="1" customHeight="1" outlineLevel="1" x14ac:dyDescent="0.25">
      <c r="A1155" s="724"/>
      <c r="B1155" s="130"/>
      <c r="C1155" s="616"/>
      <c r="D1155" s="2101"/>
      <c r="E1155" s="2104"/>
      <c r="F1155" s="2110" t="str">
        <f>$E$802</f>
        <v>ASHP SEER 16 replace ASHP - replace on fail SF</v>
      </c>
      <c r="G1155" s="2111"/>
      <c r="H1155" s="2111"/>
      <c r="I1155" s="2112"/>
      <c r="J1155" s="709">
        <v>926</v>
      </c>
      <c r="K1155" s="730">
        <v>8.1999999999999993</v>
      </c>
      <c r="L1155" s="670"/>
      <c r="M1155" s="613" t="s">
        <v>1843</v>
      </c>
      <c r="N1155" s="130"/>
      <c r="O1155" s="251"/>
      <c r="P1155" s="766"/>
      <c r="Q1155" s="766"/>
      <c r="R1155" s="766"/>
      <c r="S1155" s="752"/>
      <c r="T1155" s="760"/>
      <c r="U1155" s="130"/>
      <c r="V1155" s="2107"/>
      <c r="W1155" s="611">
        <v>8.1999999999999993</v>
      </c>
      <c r="X1155" s="611">
        <v>8.1999999999999993</v>
      </c>
      <c r="Y1155" s="611"/>
      <c r="Z1155" s="611"/>
      <c r="AA1155" s="611"/>
      <c r="AB1155" s="611"/>
      <c r="AC1155" s="611"/>
      <c r="AD1155" s="611"/>
      <c r="AE1155" s="611"/>
      <c r="AF1155" s="611"/>
      <c r="AG1155" s="611"/>
    </row>
    <row r="1156" spans="1:33" s="56" customFormat="1" ht="15" hidden="1" customHeight="1" outlineLevel="1" x14ac:dyDescent="0.25">
      <c r="A1156" s="724"/>
      <c r="B1156" s="130"/>
      <c r="C1156" s="616"/>
      <c r="D1156" s="2101"/>
      <c r="E1156" s="2104"/>
      <c r="F1156" s="2110" t="str">
        <f>$E$804</f>
        <v>ASHP SEER 15 MFMR / MFLI ER Replace ASHP: HVAC ER1</v>
      </c>
      <c r="G1156" s="2111"/>
      <c r="H1156" s="2111"/>
      <c r="I1156" s="2112"/>
      <c r="J1156" s="709">
        <v>1239</v>
      </c>
      <c r="K1156" s="730">
        <v>5.44</v>
      </c>
      <c r="L1156" s="670"/>
      <c r="M1156" s="613" t="s">
        <v>1844</v>
      </c>
      <c r="N1156" s="130"/>
      <c r="O1156" s="251"/>
      <c r="P1156" s="766"/>
      <c r="Q1156" s="766"/>
      <c r="R1156" s="766"/>
      <c r="S1156" s="752"/>
      <c r="T1156" s="760"/>
      <c r="U1156" s="130"/>
      <c r="V1156" s="2107"/>
      <c r="W1156" s="611">
        <v>5.44</v>
      </c>
      <c r="X1156" s="611">
        <v>5.44</v>
      </c>
      <c r="Y1156" s="611"/>
      <c r="Z1156" s="611"/>
      <c r="AA1156" s="611"/>
      <c r="AB1156" s="611"/>
      <c r="AC1156" s="611"/>
      <c r="AD1156" s="611"/>
      <c r="AE1156" s="611"/>
      <c r="AF1156" s="611"/>
      <c r="AG1156" s="611"/>
    </row>
    <row r="1157" spans="1:33" s="56" customFormat="1" ht="15" hidden="1" customHeight="1" outlineLevel="1" x14ac:dyDescent="0.25">
      <c r="A1157" s="724"/>
      <c r="B1157" s="130"/>
      <c r="C1157" s="616"/>
      <c r="D1157" s="2101"/>
      <c r="E1157" s="2104"/>
      <c r="F1157" s="2110" t="str">
        <f>$E$806</f>
        <v>ASHP SEER 15 MF ER Replace ASHP: HVAC ER2</v>
      </c>
      <c r="G1157" s="2111"/>
      <c r="H1157" s="2111"/>
      <c r="I1157" s="2112"/>
      <c r="J1157" s="709" t="s">
        <v>1166</v>
      </c>
      <c r="K1157" s="730">
        <v>8.1999999999999993</v>
      </c>
      <c r="L1157" s="670"/>
      <c r="M1157" s="613" t="s">
        <v>1845</v>
      </c>
      <c r="N1157" s="130"/>
      <c r="O1157" s="251"/>
      <c r="P1157" s="766"/>
      <c r="Q1157" s="766"/>
      <c r="R1157" s="766"/>
      <c r="S1157" s="752"/>
      <c r="T1157" s="760"/>
      <c r="U1157" s="130"/>
      <c r="V1157" s="2107"/>
      <c r="W1157" s="611">
        <v>8.1999999999999993</v>
      </c>
      <c r="X1157" s="611">
        <v>8.1999999999999993</v>
      </c>
      <c r="Y1157" s="611"/>
      <c r="Z1157" s="611"/>
      <c r="AA1157" s="611"/>
      <c r="AB1157" s="611"/>
      <c r="AC1157" s="611"/>
      <c r="AD1157" s="611"/>
      <c r="AE1157" s="611"/>
      <c r="AF1157" s="611"/>
      <c r="AG1157" s="611"/>
    </row>
    <row r="1158" spans="1:33" s="56" customFormat="1" ht="15" hidden="1" customHeight="1" outlineLevel="1" x14ac:dyDescent="0.25">
      <c r="A1158" s="597"/>
      <c r="B1158" s="130"/>
      <c r="C1158" s="616"/>
      <c r="D1158" s="2101"/>
      <c r="E1158" s="2104"/>
      <c r="F1158" s="2110" t="str">
        <f>$E$808</f>
        <v>ASHP SEER 15 MF ER Replace Elec Resist Furnace: HVAC ER1</v>
      </c>
      <c r="G1158" s="2111"/>
      <c r="H1158" s="2111"/>
      <c r="I1158" s="2112"/>
      <c r="J1158" s="709">
        <v>1266</v>
      </c>
      <c r="K1158" s="730">
        <v>3.41</v>
      </c>
      <c r="L1158" s="670"/>
      <c r="M1158" s="613" t="s">
        <v>1846</v>
      </c>
      <c r="N1158" s="130"/>
      <c r="O1158" s="251"/>
      <c r="P1158" s="766"/>
      <c r="Q1158" s="766"/>
      <c r="R1158" s="766"/>
      <c r="S1158" s="752"/>
      <c r="T1158" s="760"/>
      <c r="U1158" s="130"/>
      <c r="V1158" s="2107"/>
      <c r="W1158" s="611">
        <v>3.41</v>
      </c>
      <c r="X1158" s="611">
        <v>3.41</v>
      </c>
      <c r="Y1158" s="611"/>
      <c r="Z1158" s="611"/>
      <c r="AA1158" s="611"/>
      <c r="AB1158" s="611"/>
      <c r="AC1158" s="611"/>
      <c r="AD1158" s="611"/>
      <c r="AE1158" s="611"/>
      <c r="AF1158" s="611"/>
      <c r="AG1158" s="611"/>
    </row>
    <row r="1159" spans="1:33" s="56" customFormat="1" ht="15" hidden="1" customHeight="1" outlineLevel="1" x14ac:dyDescent="0.25">
      <c r="A1159" s="724"/>
      <c r="B1159" s="130"/>
      <c r="C1159" s="616"/>
      <c r="D1159" s="2101"/>
      <c r="E1159" s="2104"/>
      <c r="F1159" s="2110" t="str">
        <f>$E$810</f>
        <v>ASHP SEER 15 MF ER Replace Elec Resist Furnace: HVAC ER2</v>
      </c>
      <c r="G1159" s="2111"/>
      <c r="H1159" s="2111"/>
      <c r="I1159" s="2112"/>
      <c r="J1159" s="709" t="s">
        <v>1168</v>
      </c>
      <c r="K1159" s="730">
        <v>3.41</v>
      </c>
      <c r="L1159" s="670"/>
      <c r="M1159" s="613" t="s">
        <v>1847</v>
      </c>
      <c r="N1159" s="130"/>
      <c r="O1159" s="251"/>
      <c r="P1159" s="766"/>
      <c r="Q1159" s="766"/>
      <c r="R1159" s="766"/>
      <c r="S1159" s="752"/>
      <c r="T1159" s="760"/>
      <c r="U1159" s="130"/>
      <c r="V1159" s="2107"/>
      <c r="W1159" s="611">
        <v>3.41</v>
      </c>
      <c r="X1159" s="611">
        <v>3.41</v>
      </c>
      <c r="Y1159" s="611"/>
      <c r="Z1159" s="611"/>
      <c r="AA1159" s="611"/>
      <c r="AB1159" s="611"/>
      <c r="AC1159" s="611"/>
      <c r="AD1159" s="611"/>
      <c r="AE1159" s="611"/>
      <c r="AF1159" s="611"/>
      <c r="AG1159" s="611"/>
    </row>
    <row r="1160" spans="1:33" s="56" customFormat="1" ht="15" hidden="1" customHeight="1" outlineLevel="1" x14ac:dyDescent="0.25">
      <c r="A1160" s="724"/>
      <c r="B1160" s="130"/>
      <c r="C1160" s="616"/>
      <c r="D1160" s="2101"/>
      <c r="E1160" s="2104"/>
      <c r="F1160" s="2110" t="str">
        <f>$E$812</f>
        <v>ASHP SEER 15 MF Replace at Fail Elec Resist Furnace: HVAC</v>
      </c>
      <c r="G1160" s="2111"/>
      <c r="H1160" s="2111"/>
      <c r="I1160" s="2112"/>
      <c r="J1160" s="709">
        <v>1268</v>
      </c>
      <c r="K1160" s="730">
        <v>3.41</v>
      </c>
      <c r="L1160" s="670"/>
      <c r="M1160" s="613" t="s">
        <v>1848</v>
      </c>
      <c r="N1160" s="130"/>
      <c r="O1160" s="251"/>
      <c r="P1160" s="766"/>
      <c r="Q1160" s="766"/>
      <c r="R1160" s="766"/>
      <c r="S1160" s="752"/>
      <c r="T1160" s="760"/>
      <c r="U1160" s="130"/>
      <c r="V1160" s="2107"/>
      <c r="W1160" s="611">
        <v>3.41</v>
      </c>
      <c r="X1160" s="611">
        <v>3.41</v>
      </c>
      <c r="Y1160" s="611"/>
      <c r="Z1160" s="611"/>
      <c r="AA1160" s="611"/>
      <c r="AB1160" s="611"/>
      <c r="AC1160" s="611"/>
      <c r="AD1160" s="611"/>
      <c r="AE1160" s="611"/>
      <c r="AF1160" s="611"/>
      <c r="AG1160" s="611"/>
    </row>
    <row r="1161" spans="1:33" s="56" customFormat="1" ht="15" hidden="1" customHeight="1" outlineLevel="1" x14ac:dyDescent="0.25">
      <c r="A1161" s="724"/>
      <c r="B1161" s="130"/>
      <c r="C1161" s="616"/>
      <c r="D1161" s="2101"/>
      <c r="E1161" s="2104"/>
      <c r="F1161" s="2110" t="str">
        <f>$E$814</f>
        <v>ASHP SEER 16 MF ER Replace ASHP: HVAC ER1</v>
      </c>
      <c r="G1161" s="2111"/>
      <c r="H1161" s="2111"/>
      <c r="I1161" s="2112"/>
      <c r="J1161" s="709">
        <v>1240</v>
      </c>
      <c r="K1161" s="730">
        <v>6.58</v>
      </c>
      <c r="L1161" s="669"/>
      <c r="M1161" s="613" t="s">
        <v>1793</v>
      </c>
      <c r="N1161" s="130"/>
      <c r="O1161" s="251"/>
      <c r="P1161" s="766"/>
      <c r="Q1161" s="766"/>
      <c r="R1161" s="766"/>
      <c r="S1161" s="752"/>
      <c r="T1161" s="760"/>
      <c r="U1161" s="130"/>
      <c r="V1161" s="2107"/>
      <c r="W1161" s="611">
        <v>5.44</v>
      </c>
      <c r="X1161" s="611">
        <v>5.44</v>
      </c>
      <c r="Y1161" s="611"/>
      <c r="Z1161" s="611"/>
      <c r="AA1161" s="611"/>
      <c r="AB1161" s="611"/>
      <c r="AC1161" s="611"/>
      <c r="AD1161" s="611"/>
      <c r="AE1161" s="611"/>
      <c r="AF1161" s="611"/>
      <c r="AG1161" s="611"/>
    </row>
    <row r="1162" spans="1:33" s="56" customFormat="1" ht="15" hidden="1" customHeight="1" outlineLevel="1" x14ac:dyDescent="0.25">
      <c r="A1162" s="724"/>
      <c r="B1162" s="130"/>
      <c r="C1162" s="616"/>
      <c r="D1162" s="2101"/>
      <c r="E1162" s="2104"/>
      <c r="F1162" s="2110" t="str">
        <f>$E$816</f>
        <v>ASHP SEER 16 MF ER Replace ASHP: HVAC ER2</v>
      </c>
      <c r="G1162" s="2111"/>
      <c r="H1162" s="2111"/>
      <c r="I1162" s="2112"/>
      <c r="J1162" s="709" t="s">
        <v>1170</v>
      </c>
      <c r="K1162" s="730">
        <v>8.1999999999999993</v>
      </c>
      <c r="L1162" s="670"/>
      <c r="M1162" s="613" t="s">
        <v>1841</v>
      </c>
      <c r="N1162" s="130"/>
      <c r="O1162" s="251"/>
      <c r="P1162" s="766"/>
      <c r="Q1162" s="766"/>
      <c r="R1162" s="766"/>
      <c r="S1162" s="752"/>
      <c r="T1162" s="760"/>
      <c r="U1162" s="130"/>
      <c r="V1162" s="2107"/>
      <c r="W1162" s="611">
        <v>8.1999999999999993</v>
      </c>
      <c r="X1162" s="611">
        <v>8.1999999999999993</v>
      </c>
      <c r="Y1162" s="611"/>
      <c r="Z1162" s="611"/>
      <c r="AA1162" s="611"/>
      <c r="AB1162" s="611"/>
      <c r="AC1162" s="611"/>
      <c r="AD1162" s="611"/>
      <c r="AE1162" s="611"/>
      <c r="AF1162" s="611"/>
      <c r="AG1162" s="611"/>
    </row>
    <row r="1163" spans="1:33" s="56" customFormat="1" ht="15" hidden="1" customHeight="1" outlineLevel="1" x14ac:dyDescent="0.25">
      <c r="A1163" s="724"/>
      <c r="B1163" s="130"/>
      <c r="C1163" s="616"/>
      <c r="D1163" s="2101"/>
      <c r="E1163" s="2104"/>
      <c r="F1163" s="2110" t="str">
        <f>$E$818</f>
        <v>ASHP - SEER 16 - replace on fail MF</v>
      </c>
      <c r="G1163" s="2111"/>
      <c r="H1163" s="2111"/>
      <c r="I1163" s="2112"/>
      <c r="J1163" s="709">
        <v>1270</v>
      </c>
      <c r="K1163" s="730">
        <v>8.1999999999999993</v>
      </c>
      <c r="L1163" s="670"/>
      <c r="M1163" s="613" t="s">
        <v>1841</v>
      </c>
      <c r="N1163" s="130"/>
      <c r="O1163" s="251"/>
      <c r="P1163" s="766"/>
      <c r="Q1163" s="766"/>
      <c r="R1163" s="766"/>
      <c r="S1163" s="752"/>
      <c r="T1163" s="760"/>
      <c r="U1163" s="130"/>
      <c r="V1163" s="2107"/>
      <c r="W1163" s="611">
        <v>8.1999999999999993</v>
      </c>
      <c r="X1163" s="611">
        <v>8.1999999999999993</v>
      </c>
      <c r="Y1163" s="611"/>
      <c r="Z1163" s="611"/>
      <c r="AA1163" s="611"/>
      <c r="AB1163" s="611"/>
      <c r="AC1163" s="611"/>
      <c r="AD1163" s="611"/>
      <c r="AE1163" s="611"/>
      <c r="AF1163" s="611"/>
      <c r="AG1163" s="611"/>
    </row>
    <row r="1164" spans="1:33" s="56" customFormat="1" ht="15" hidden="1" customHeight="1" outlineLevel="1" x14ac:dyDescent="0.25">
      <c r="A1164" s="724"/>
      <c r="B1164" s="130"/>
      <c r="C1164" s="616"/>
      <c r="D1164" s="2101"/>
      <c r="E1164" s="2104"/>
      <c r="F1164" s="2110" t="str">
        <f>$E$820</f>
        <v>ASHP - SEER 16 - replace electric furnace / CAC MF</v>
      </c>
      <c r="G1164" s="2111"/>
      <c r="H1164" s="2111"/>
      <c r="I1164" s="2112"/>
      <c r="J1164" s="709">
        <v>1271</v>
      </c>
      <c r="K1164" s="730">
        <v>3.41</v>
      </c>
      <c r="L1164" s="670"/>
      <c r="M1164" s="613" t="s">
        <v>1841</v>
      </c>
      <c r="N1164" s="130"/>
      <c r="O1164" s="251"/>
      <c r="P1164" s="766"/>
      <c r="Q1164" s="766"/>
      <c r="R1164" s="766"/>
      <c r="S1164" s="752"/>
      <c r="T1164" s="760"/>
      <c r="U1164" s="130"/>
      <c r="V1164" s="2107"/>
      <c r="W1164" s="611">
        <v>3.41</v>
      </c>
      <c r="X1164" s="611">
        <v>3.41</v>
      </c>
      <c r="Y1164" s="611"/>
      <c r="Z1164" s="611"/>
      <c r="AA1164" s="611"/>
      <c r="AB1164" s="611"/>
      <c r="AC1164" s="611"/>
      <c r="AD1164" s="611"/>
      <c r="AE1164" s="611"/>
      <c r="AF1164" s="611"/>
      <c r="AG1164" s="611"/>
    </row>
    <row r="1165" spans="1:33" s="56" customFormat="1" ht="15" hidden="1" customHeight="1" outlineLevel="1" x14ac:dyDescent="0.25">
      <c r="A1165" s="724"/>
      <c r="B1165" s="130"/>
      <c r="C1165" s="616"/>
      <c r="D1165" s="2101"/>
      <c r="E1165" s="2104"/>
      <c r="F1165" s="2110" t="str">
        <f>$E$822</f>
        <v>ASHP - SEER 16 - replace electric furnace / CAC - early replacement MF ER1</v>
      </c>
      <c r="G1165" s="2111"/>
      <c r="H1165" s="2111"/>
      <c r="I1165" s="2112"/>
      <c r="J1165" s="709">
        <v>1269</v>
      </c>
      <c r="K1165" s="730">
        <v>3.41</v>
      </c>
      <c r="L1165" s="670"/>
      <c r="M1165" s="613" t="s">
        <v>1841</v>
      </c>
      <c r="N1165" s="130"/>
      <c r="O1165" s="251"/>
      <c r="P1165" s="766"/>
      <c r="Q1165" s="766"/>
      <c r="R1165" s="766"/>
      <c r="S1165" s="752"/>
      <c r="T1165" s="760"/>
      <c r="U1165" s="130"/>
      <c r="V1165" s="2107"/>
      <c r="W1165" s="611">
        <v>3.41</v>
      </c>
      <c r="X1165" s="611">
        <v>3.41</v>
      </c>
      <c r="Y1165" s="611"/>
      <c r="Z1165" s="611"/>
      <c r="AA1165" s="611"/>
      <c r="AB1165" s="611"/>
      <c r="AC1165" s="611"/>
      <c r="AD1165" s="611"/>
      <c r="AE1165" s="611"/>
      <c r="AF1165" s="611"/>
      <c r="AG1165" s="611"/>
    </row>
    <row r="1166" spans="1:33" s="56" customFormat="1" ht="15" hidden="1" customHeight="1" outlineLevel="1" x14ac:dyDescent="0.25">
      <c r="A1166" s="724"/>
      <c r="B1166" s="130"/>
      <c r="C1166" s="616"/>
      <c r="D1166" s="2101"/>
      <c r="E1166" s="2104"/>
      <c r="F1166" s="2110" t="str">
        <f>$E$824</f>
        <v>ASHP - SEER 16 - replace electric furnace / CAC - early replacement MF ER2</v>
      </c>
      <c r="G1166" s="2111"/>
      <c r="H1166" s="2111"/>
      <c r="I1166" s="2112"/>
      <c r="J1166" s="709" t="s">
        <v>1171</v>
      </c>
      <c r="K1166" s="730">
        <v>3.41</v>
      </c>
      <c r="L1166" s="670"/>
      <c r="M1166" s="613" t="s">
        <v>1841</v>
      </c>
      <c r="N1166" s="130"/>
      <c r="O1166" s="251"/>
      <c r="P1166" s="766"/>
      <c r="Q1166" s="766"/>
      <c r="R1166" s="766"/>
      <c r="S1166" s="752"/>
      <c r="T1166" s="760"/>
      <c r="U1166" s="130"/>
      <c r="V1166" s="2107"/>
      <c r="W1166" s="611">
        <v>3.41</v>
      </c>
      <c r="X1166" s="611">
        <v>3.41</v>
      </c>
      <c r="Y1166" s="611"/>
      <c r="Z1166" s="611"/>
      <c r="AA1166" s="611"/>
      <c r="AB1166" s="611"/>
      <c r="AC1166" s="611"/>
      <c r="AD1166" s="611"/>
      <c r="AE1166" s="611"/>
      <c r="AF1166" s="611"/>
      <c r="AG1166" s="611"/>
    </row>
    <row r="1167" spans="1:33" s="56" customFormat="1" ht="15" hidden="1" customHeight="1" outlineLevel="1" x14ac:dyDescent="0.25">
      <c r="A1167" s="724"/>
      <c r="B1167" s="130"/>
      <c r="C1167" s="616"/>
      <c r="D1167" s="2101"/>
      <c r="E1167" s="2104"/>
      <c r="F1167" s="2110" t="str">
        <f>$E$826</f>
        <v>ASHP SEER 15 MF Replace at Fail ASHP: HVAC</v>
      </c>
      <c r="G1167" s="2111"/>
      <c r="H1167" s="2111"/>
      <c r="I1167" s="2112"/>
      <c r="J1167" s="709">
        <v>1267</v>
      </c>
      <c r="K1167" s="730">
        <v>8.1999999999999993</v>
      </c>
      <c r="L1167" s="670"/>
      <c r="M1167" s="613" t="s">
        <v>1842</v>
      </c>
      <c r="N1167" s="130"/>
      <c r="O1167" s="251"/>
      <c r="P1167" s="766"/>
      <c r="Q1167" s="766"/>
      <c r="R1167" s="766"/>
      <c r="S1167" s="752"/>
      <c r="T1167" s="760"/>
      <c r="U1167" s="130"/>
      <c r="V1167" s="2107"/>
      <c r="W1167" s="611">
        <v>8.1999999999999993</v>
      </c>
      <c r="X1167" s="611">
        <v>8.1999999999999993</v>
      </c>
      <c r="Y1167" s="611"/>
      <c r="Z1167" s="611"/>
      <c r="AA1167" s="611"/>
      <c r="AB1167" s="611"/>
      <c r="AC1167" s="611"/>
      <c r="AD1167" s="611"/>
      <c r="AE1167" s="611"/>
      <c r="AF1167" s="611"/>
      <c r="AG1167" s="611"/>
    </row>
    <row r="1168" spans="1:33" s="56" customFormat="1" ht="15" hidden="1" customHeight="1" outlineLevel="1" x14ac:dyDescent="0.25">
      <c r="A1168" s="724"/>
      <c r="B1168" s="130"/>
      <c r="C1168" s="616"/>
      <c r="D1168" s="2101"/>
      <c r="E1168" s="2104"/>
      <c r="F1168" s="2110" t="str">
        <f>$E$828</f>
        <v>ASHP - SEER 17 - replace electric furnace / CAC SF</v>
      </c>
      <c r="G1168" s="2111"/>
      <c r="H1168" s="2111"/>
      <c r="I1168" s="2112"/>
      <c r="J1168" s="709" t="s">
        <v>1172</v>
      </c>
      <c r="K1168" s="730">
        <v>3.41</v>
      </c>
      <c r="L1168" s="670"/>
      <c r="M1168" s="613" t="s">
        <v>1843</v>
      </c>
      <c r="N1168" s="130"/>
      <c r="O1168" s="251"/>
      <c r="P1168" s="766"/>
      <c r="Q1168" s="766"/>
      <c r="R1168" s="766"/>
      <c r="S1168" s="752"/>
      <c r="T1168" s="760"/>
      <c r="U1168" s="130"/>
      <c r="V1168" s="2107"/>
      <c r="W1168" s="611">
        <v>3.41</v>
      </c>
      <c r="X1168" s="611">
        <v>3.41</v>
      </c>
      <c r="Y1168" s="611"/>
      <c r="Z1168" s="611"/>
      <c r="AA1168" s="611"/>
      <c r="AB1168" s="611"/>
      <c r="AC1168" s="611"/>
      <c r="AD1168" s="611"/>
      <c r="AE1168" s="611"/>
      <c r="AF1168" s="611"/>
      <c r="AG1168" s="611"/>
    </row>
    <row r="1169" spans="1:33" s="56" customFormat="1" ht="15" hidden="1" customHeight="1" outlineLevel="1" x14ac:dyDescent="0.25">
      <c r="A1169" s="724"/>
      <c r="B1169" s="130"/>
      <c r="C1169" s="616"/>
      <c r="D1169" s="2101"/>
      <c r="E1169" s="2104"/>
      <c r="F1169" s="2110" t="str">
        <f>$E$830</f>
        <v>ASHP - SEER 17 - replace electric furnace / CAC MF</v>
      </c>
      <c r="G1169" s="2111"/>
      <c r="H1169" s="2111"/>
      <c r="I1169" s="2112"/>
      <c r="J1169" s="709" t="s">
        <v>1174</v>
      </c>
      <c r="K1169" s="730">
        <v>3.41</v>
      </c>
      <c r="L1169" s="670"/>
      <c r="M1169" s="613" t="s">
        <v>1844</v>
      </c>
      <c r="N1169" s="130"/>
      <c r="O1169" s="251"/>
      <c r="P1169" s="766"/>
      <c r="Q1169" s="766"/>
      <c r="R1169" s="766"/>
      <c r="S1169" s="752"/>
      <c r="T1169" s="760"/>
      <c r="U1169" s="130"/>
      <c r="V1169" s="2107"/>
      <c r="W1169" s="611">
        <v>3.41</v>
      </c>
      <c r="X1169" s="611">
        <v>3.41</v>
      </c>
      <c r="Y1169" s="611"/>
      <c r="Z1169" s="611"/>
      <c r="AA1169" s="611"/>
      <c r="AB1169" s="611"/>
      <c r="AC1169" s="611"/>
      <c r="AD1169" s="611"/>
      <c r="AE1169" s="611"/>
      <c r="AF1169" s="611"/>
      <c r="AG1169" s="611"/>
    </row>
    <row r="1170" spans="1:33" s="56" customFormat="1" ht="15" hidden="1" customHeight="1" outlineLevel="1" x14ac:dyDescent="0.25">
      <c r="A1170" s="724"/>
      <c r="B1170" s="130"/>
      <c r="C1170" s="616"/>
      <c r="D1170" s="2101"/>
      <c r="E1170" s="2104"/>
      <c r="F1170" s="2110" t="str">
        <f>$E$832</f>
        <v>ASHP - SEER 18 - replace electric furnace / CAC SF</v>
      </c>
      <c r="G1170" s="2111"/>
      <c r="H1170" s="2111"/>
      <c r="I1170" s="2112"/>
      <c r="J1170" s="709" t="s">
        <v>1175</v>
      </c>
      <c r="K1170" s="730">
        <v>3.41</v>
      </c>
      <c r="L1170" s="670"/>
      <c r="M1170" s="613" t="s">
        <v>1845</v>
      </c>
      <c r="N1170" s="130"/>
      <c r="O1170" s="251"/>
      <c r="P1170" s="766"/>
      <c r="Q1170" s="766"/>
      <c r="R1170" s="766"/>
      <c r="S1170" s="752"/>
      <c r="T1170" s="760"/>
      <c r="U1170" s="130"/>
      <c r="V1170" s="2107"/>
      <c r="W1170" s="611">
        <v>3.41</v>
      </c>
      <c r="X1170" s="611">
        <v>3.41</v>
      </c>
      <c r="Y1170" s="611"/>
      <c r="Z1170" s="611"/>
      <c r="AA1170" s="611"/>
      <c r="AB1170" s="611"/>
      <c r="AC1170" s="611"/>
      <c r="AD1170" s="611"/>
      <c r="AE1170" s="611"/>
      <c r="AF1170" s="611"/>
      <c r="AG1170" s="611"/>
    </row>
    <row r="1171" spans="1:33" s="56" customFormat="1" ht="15" hidden="1" customHeight="1" outlineLevel="1" x14ac:dyDescent="0.25">
      <c r="A1171" s="724"/>
      <c r="B1171" s="130"/>
      <c r="C1171" s="616"/>
      <c r="D1171" s="2101"/>
      <c r="E1171" s="2104"/>
      <c r="F1171" s="2110" t="str">
        <f>$E$834</f>
        <v>ASHP - SEER 18 - replace electric furnace / CAC MF</v>
      </c>
      <c r="G1171" s="2111"/>
      <c r="H1171" s="2111"/>
      <c r="I1171" s="2112"/>
      <c r="J1171" s="709" t="s">
        <v>1176</v>
      </c>
      <c r="K1171" s="730">
        <v>3.41</v>
      </c>
      <c r="L1171" s="670"/>
      <c r="M1171" s="613" t="s">
        <v>1846</v>
      </c>
      <c r="N1171" s="130"/>
      <c r="O1171" s="251"/>
      <c r="P1171" s="766"/>
      <c r="Q1171" s="766"/>
      <c r="R1171" s="766"/>
      <c r="S1171" s="752"/>
      <c r="T1171" s="760"/>
      <c r="U1171" s="130"/>
      <c r="V1171" s="2107"/>
      <c r="W1171" s="611">
        <v>3.41</v>
      </c>
      <c r="X1171" s="611">
        <v>3.41</v>
      </c>
      <c r="Y1171" s="611"/>
      <c r="Z1171" s="611"/>
      <c r="AA1171" s="611"/>
      <c r="AB1171" s="611"/>
      <c r="AC1171" s="611"/>
      <c r="AD1171" s="611"/>
      <c r="AE1171" s="611"/>
      <c r="AF1171" s="611"/>
      <c r="AG1171" s="611"/>
    </row>
    <row r="1172" spans="1:33" s="56" customFormat="1" ht="15" hidden="1" customHeight="1" outlineLevel="1" x14ac:dyDescent="0.25">
      <c r="A1172" s="724"/>
      <c r="B1172" s="130"/>
      <c r="C1172" s="616"/>
      <c r="D1172" s="2101"/>
      <c r="E1172" s="2104"/>
      <c r="F1172" s="2110" t="str">
        <f>$E$836</f>
        <v>ASHP - SEER 19 - replace electric furnace / CAC SF</v>
      </c>
      <c r="G1172" s="2111"/>
      <c r="H1172" s="2111"/>
      <c r="I1172" s="2112"/>
      <c r="J1172" s="709" t="s">
        <v>1177</v>
      </c>
      <c r="K1172" s="730">
        <v>3.41</v>
      </c>
      <c r="L1172" s="670"/>
      <c r="M1172" s="613" t="s">
        <v>1847</v>
      </c>
      <c r="N1172" s="130"/>
      <c r="O1172" s="251"/>
      <c r="P1172" s="766"/>
      <c r="Q1172" s="766"/>
      <c r="R1172" s="766"/>
      <c r="S1172" s="752"/>
      <c r="T1172" s="760"/>
      <c r="U1172" s="130"/>
      <c r="V1172" s="2107"/>
      <c r="W1172" s="611">
        <v>3.41</v>
      </c>
      <c r="X1172" s="611">
        <v>3.41</v>
      </c>
      <c r="Y1172" s="611"/>
      <c r="Z1172" s="611"/>
      <c r="AA1172" s="611"/>
      <c r="AB1172" s="611"/>
      <c r="AC1172" s="611"/>
      <c r="AD1172" s="611"/>
      <c r="AE1172" s="611"/>
      <c r="AF1172" s="611"/>
      <c r="AG1172" s="611"/>
    </row>
    <row r="1173" spans="1:33" s="56" customFormat="1" ht="15" hidden="1" customHeight="1" outlineLevel="1" x14ac:dyDescent="0.25">
      <c r="A1173" s="724"/>
      <c r="B1173" s="130"/>
      <c r="C1173" s="616"/>
      <c r="D1173" s="2101"/>
      <c r="E1173" s="2104"/>
      <c r="F1173" s="2110" t="str">
        <f>$E$838</f>
        <v>ASHP - SEER 19 - replace electric furnace / CAC MF</v>
      </c>
      <c r="G1173" s="2111"/>
      <c r="H1173" s="2111"/>
      <c r="I1173" s="2112"/>
      <c r="J1173" s="709" t="s">
        <v>1178</v>
      </c>
      <c r="K1173" s="730">
        <v>3.41</v>
      </c>
      <c r="L1173" s="670"/>
      <c r="M1173" s="613" t="s">
        <v>1848</v>
      </c>
      <c r="N1173" s="130"/>
      <c r="O1173" s="251"/>
      <c r="P1173" s="766"/>
      <c r="Q1173" s="766"/>
      <c r="R1173" s="766"/>
      <c r="S1173" s="752"/>
      <c r="T1173" s="760"/>
      <c r="U1173" s="130"/>
      <c r="V1173" s="2107"/>
      <c r="W1173" s="611">
        <v>3.41</v>
      </c>
      <c r="X1173" s="611">
        <v>3.41</v>
      </c>
      <c r="Y1173" s="611"/>
      <c r="Z1173" s="611"/>
      <c r="AA1173" s="611"/>
      <c r="AB1173" s="611"/>
      <c r="AC1173" s="611"/>
      <c r="AD1173" s="611"/>
      <c r="AE1173" s="611"/>
      <c r="AF1173" s="611"/>
      <c r="AG1173" s="611"/>
    </row>
    <row r="1174" spans="1:33" s="56" customFormat="1" ht="15" hidden="1" customHeight="1" outlineLevel="1" x14ac:dyDescent="0.25">
      <c r="A1174" s="724"/>
      <c r="B1174" s="130"/>
      <c r="C1174" s="616"/>
      <c r="D1174" s="2101"/>
      <c r="E1174" s="2104"/>
      <c r="F1174" s="2110" t="str">
        <f>$E$840</f>
        <v>ASHP - SEER 20 - replace electric furnace / CAC - early replacement SF ER1</v>
      </c>
      <c r="G1174" s="2111"/>
      <c r="H1174" s="2111"/>
      <c r="I1174" s="2112"/>
      <c r="J1174" s="709" t="s">
        <v>1179</v>
      </c>
      <c r="K1174" s="730">
        <v>3.41</v>
      </c>
      <c r="L1174" s="670"/>
      <c r="M1174" s="613" t="s">
        <v>1849</v>
      </c>
      <c r="N1174" s="130"/>
      <c r="O1174" s="251"/>
      <c r="P1174" s="766"/>
      <c r="Q1174" s="766"/>
      <c r="R1174" s="766"/>
      <c r="S1174" s="752"/>
      <c r="T1174" s="760"/>
      <c r="U1174" s="130"/>
      <c r="V1174" s="2107"/>
      <c r="W1174" s="611">
        <v>3.41</v>
      </c>
      <c r="X1174" s="611">
        <v>3.41</v>
      </c>
      <c r="Y1174" s="611"/>
      <c r="Z1174" s="611"/>
      <c r="AA1174" s="611"/>
      <c r="AB1174" s="611"/>
      <c r="AC1174" s="611"/>
      <c r="AD1174" s="611"/>
      <c r="AE1174" s="611"/>
      <c r="AF1174" s="611"/>
      <c r="AG1174" s="611"/>
    </row>
    <row r="1175" spans="1:33" s="56" customFormat="1" ht="15" hidden="1" customHeight="1" outlineLevel="1" x14ac:dyDescent="0.25">
      <c r="A1175" s="724"/>
      <c r="B1175" s="130"/>
      <c r="C1175" s="616"/>
      <c r="D1175" s="2101"/>
      <c r="E1175" s="2104"/>
      <c r="F1175" s="2110" t="str">
        <f>$E$842</f>
        <v>ASHP - SEER 20 - replace electric furnace / CAC - early replacement SF ER2</v>
      </c>
      <c r="G1175" s="2111"/>
      <c r="H1175" s="2111"/>
      <c r="I1175" s="2112"/>
      <c r="J1175" s="709" t="s">
        <v>1180</v>
      </c>
      <c r="K1175" s="730">
        <v>3.41</v>
      </c>
      <c r="L1175" s="670"/>
      <c r="M1175" s="613" t="s">
        <v>1850</v>
      </c>
      <c r="N1175" s="130"/>
      <c r="O1175" s="251"/>
      <c r="P1175" s="766"/>
      <c r="Q1175" s="766"/>
      <c r="R1175" s="766"/>
      <c r="S1175" s="752"/>
      <c r="T1175" s="760"/>
      <c r="U1175" s="130"/>
      <c r="V1175" s="2107"/>
      <c r="W1175" s="611">
        <v>3.41</v>
      </c>
      <c r="X1175" s="611">
        <v>3.41</v>
      </c>
      <c r="Y1175" s="611"/>
      <c r="Z1175" s="611"/>
      <c r="AA1175" s="611"/>
      <c r="AB1175" s="611"/>
      <c r="AC1175" s="611"/>
      <c r="AD1175" s="611"/>
      <c r="AE1175" s="611"/>
      <c r="AF1175" s="611"/>
      <c r="AG1175" s="611"/>
    </row>
    <row r="1176" spans="1:33" s="56" customFormat="1" ht="15" hidden="1" customHeight="1" outlineLevel="1" x14ac:dyDescent="0.25">
      <c r="A1176" s="724"/>
      <c r="B1176" s="130"/>
      <c r="C1176" s="616"/>
      <c r="D1176" s="2101"/>
      <c r="E1176" s="2104"/>
      <c r="F1176" s="2110" t="str">
        <f>$E$844</f>
        <v>ASHP - SEER 20 - replace electric furnace / CAC SF</v>
      </c>
      <c r="G1176" s="2111"/>
      <c r="H1176" s="2111"/>
      <c r="I1176" s="2112"/>
      <c r="J1176" s="709" t="s">
        <v>1181</v>
      </c>
      <c r="K1176" s="730">
        <v>3.41</v>
      </c>
      <c r="L1176" s="670"/>
      <c r="M1176" s="613" t="s">
        <v>1851</v>
      </c>
      <c r="N1176" s="130"/>
      <c r="O1176" s="251"/>
      <c r="P1176" s="766"/>
      <c r="Q1176" s="766"/>
      <c r="R1176" s="766"/>
      <c r="S1176" s="752"/>
      <c r="T1176" s="760"/>
      <c r="U1176" s="130"/>
      <c r="V1176" s="2107"/>
      <c r="W1176" s="611">
        <v>3.41</v>
      </c>
      <c r="X1176" s="611">
        <v>3.41</v>
      </c>
      <c r="Y1176" s="611"/>
      <c r="Z1176" s="611"/>
      <c r="AA1176" s="611"/>
      <c r="AB1176" s="611"/>
      <c r="AC1176" s="611"/>
      <c r="AD1176" s="611"/>
      <c r="AE1176" s="611"/>
      <c r="AF1176" s="611"/>
      <c r="AG1176" s="611"/>
    </row>
    <row r="1177" spans="1:33" s="56" customFormat="1" ht="15" hidden="1" customHeight="1" outlineLevel="1" x14ac:dyDescent="0.25">
      <c r="A1177" s="724"/>
      <c r="B1177" s="130"/>
      <c r="C1177" s="616"/>
      <c r="D1177" s="2101"/>
      <c r="E1177" s="2104"/>
      <c r="F1177" s="2110" t="str">
        <f>$E$846</f>
        <v>ASHP - SEER 20 - replace electric furnace / CAC MF</v>
      </c>
      <c r="G1177" s="2111"/>
      <c r="H1177" s="2111"/>
      <c r="I1177" s="2112"/>
      <c r="J1177" s="709" t="s">
        <v>1182</v>
      </c>
      <c r="K1177" s="730">
        <v>3.41</v>
      </c>
      <c r="L1177" s="670"/>
      <c r="M1177" s="613" t="s">
        <v>1852</v>
      </c>
      <c r="N1177" s="130"/>
      <c r="O1177" s="251"/>
      <c r="P1177" s="766"/>
      <c r="Q1177" s="766"/>
      <c r="R1177" s="766"/>
      <c r="S1177" s="752"/>
      <c r="T1177" s="760"/>
      <c r="U1177" s="130"/>
      <c r="V1177" s="2107"/>
      <c r="W1177" s="611">
        <v>3.41</v>
      </c>
      <c r="X1177" s="611">
        <v>3.41</v>
      </c>
      <c r="Y1177" s="611"/>
      <c r="Z1177" s="611"/>
      <c r="AA1177" s="611"/>
      <c r="AB1177" s="611"/>
      <c r="AC1177" s="611"/>
      <c r="AD1177" s="611"/>
      <c r="AE1177" s="611"/>
      <c r="AF1177" s="611"/>
      <c r="AG1177" s="611"/>
    </row>
    <row r="1178" spans="1:33" s="56" customFormat="1" ht="15" hidden="1" customHeight="1" outlineLevel="1" x14ac:dyDescent="0.25">
      <c r="A1178" s="724"/>
      <c r="B1178" s="130"/>
      <c r="C1178" s="616"/>
      <c r="D1178" s="2101"/>
      <c r="E1178" s="2104"/>
      <c r="F1178" s="2110" t="str">
        <f>$E$848</f>
        <v>ASHP - SEER 21 - replace electric furnace / CAC - early replacement SF ER1</v>
      </c>
      <c r="G1178" s="2111"/>
      <c r="H1178" s="2111"/>
      <c r="I1178" s="2112"/>
      <c r="J1178" s="709" t="s">
        <v>1183</v>
      </c>
      <c r="K1178" s="730">
        <v>3.41</v>
      </c>
      <c r="L1178" s="670"/>
      <c r="M1178" s="613" t="s">
        <v>1841</v>
      </c>
      <c r="N1178" s="130"/>
      <c r="O1178" s="251"/>
      <c r="P1178" s="766"/>
      <c r="Q1178" s="767"/>
      <c r="R1178" s="766"/>
      <c r="S1178" s="752"/>
      <c r="T1178" s="760"/>
      <c r="U1178" s="130"/>
      <c r="V1178" s="2107"/>
      <c r="W1178" s="611">
        <v>3.41</v>
      </c>
      <c r="X1178" s="611">
        <v>3.41</v>
      </c>
      <c r="Y1178" s="611"/>
      <c r="Z1178" s="611"/>
      <c r="AA1178" s="611"/>
      <c r="AB1178" s="611"/>
      <c r="AC1178" s="611"/>
      <c r="AD1178" s="611"/>
      <c r="AE1178" s="611"/>
      <c r="AF1178" s="611"/>
      <c r="AG1178" s="611"/>
    </row>
    <row r="1179" spans="1:33" s="56" customFormat="1" ht="15" hidden="1" customHeight="1" outlineLevel="1" x14ac:dyDescent="0.25">
      <c r="A1179" s="724"/>
      <c r="B1179" s="130"/>
      <c r="C1179" s="616"/>
      <c r="D1179" s="2101"/>
      <c r="E1179" s="2104"/>
      <c r="F1179" s="2110" t="str">
        <f>$E$850</f>
        <v>ASHP - SEER 21 - replace electric furnace / CAC - early replacement SF ER2</v>
      </c>
      <c r="G1179" s="2111"/>
      <c r="H1179" s="2111"/>
      <c r="I1179" s="2112"/>
      <c r="J1179" s="709" t="s">
        <v>1184</v>
      </c>
      <c r="K1179" s="730">
        <v>3.41</v>
      </c>
      <c r="L1179" s="670"/>
      <c r="M1179" s="613" t="s">
        <v>1841</v>
      </c>
      <c r="N1179" s="130"/>
      <c r="O1179" s="251"/>
      <c r="P1179" s="766"/>
      <c r="Q1179" s="767"/>
      <c r="R1179" s="766"/>
      <c r="S1179" s="752"/>
      <c r="T1179" s="760"/>
      <c r="U1179" s="130"/>
      <c r="V1179" s="2107"/>
      <c r="W1179" s="611">
        <v>3.41</v>
      </c>
      <c r="X1179" s="611">
        <v>3.41</v>
      </c>
      <c r="Y1179" s="611"/>
      <c r="Z1179" s="611"/>
      <c r="AA1179" s="611"/>
      <c r="AB1179" s="611"/>
      <c r="AC1179" s="611"/>
      <c r="AD1179" s="611"/>
      <c r="AE1179" s="611"/>
      <c r="AF1179" s="611"/>
      <c r="AG1179" s="611"/>
    </row>
    <row r="1180" spans="1:33" s="56" customFormat="1" ht="15" hidden="1" customHeight="1" outlineLevel="1" x14ac:dyDescent="0.25">
      <c r="A1180" s="724"/>
      <c r="B1180" s="130"/>
      <c r="C1180" s="616"/>
      <c r="D1180" s="2101"/>
      <c r="E1180" s="2104"/>
      <c r="F1180" s="2110" t="str">
        <f>$E$852</f>
        <v>ASHP - SEER 21 - replace electric furnace / CAC - early replacement MF ER1</v>
      </c>
      <c r="G1180" s="2111"/>
      <c r="H1180" s="2111"/>
      <c r="I1180" s="2112"/>
      <c r="J1180" s="709" t="s">
        <v>1185</v>
      </c>
      <c r="K1180" s="730">
        <v>3.41</v>
      </c>
      <c r="L1180" s="670"/>
      <c r="M1180" s="613" t="s">
        <v>1841</v>
      </c>
      <c r="N1180" s="130"/>
      <c r="O1180" s="251"/>
      <c r="P1180" s="766"/>
      <c r="Q1180" s="767"/>
      <c r="R1180" s="766"/>
      <c r="S1180" s="752"/>
      <c r="T1180" s="760"/>
      <c r="U1180" s="130"/>
      <c r="V1180" s="2107"/>
      <c r="W1180" s="611">
        <v>3.41</v>
      </c>
      <c r="X1180" s="611">
        <v>3.41</v>
      </c>
      <c r="Y1180" s="611"/>
      <c r="Z1180" s="611"/>
      <c r="AA1180" s="611"/>
      <c r="AB1180" s="611"/>
      <c r="AC1180" s="611"/>
      <c r="AD1180" s="611"/>
      <c r="AE1180" s="611"/>
      <c r="AF1180" s="611"/>
      <c r="AG1180" s="611"/>
    </row>
    <row r="1181" spans="1:33" s="56" customFormat="1" ht="15" hidden="1" customHeight="1" outlineLevel="1" x14ac:dyDescent="0.25">
      <c r="A1181" s="724"/>
      <c r="B1181" s="130"/>
      <c r="C1181" s="616"/>
      <c r="D1181" s="2101"/>
      <c r="E1181" s="2104"/>
      <c r="F1181" s="2110" t="str">
        <f>$E$854</f>
        <v>ASHP - SEER 21 - replace electric furnace / CAC - early replacement MF ER2</v>
      </c>
      <c r="G1181" s="2111"/>
      <c r="H1181" s="2111"/>
      <c r="I1181" s="2112"/>
      <c r="J1181" s="709" t="s">
        <v>1186</v>
      </c>
      <c r="K1181" s="730">
        <v>3.41</v>
      </c>
      <c r="L1181" s="670"/>
      <c r="M1181" s="613" t="s">
        <v>1841</v>
      </c>
      <c r="N1181" s="130"/>
      <c r="O1181" s="251"/>
      <c r="P1181" s="766"/>
      <c r="Q1181" s="767"/>
      <c r="R1181" s="766"/>
      <c r="S1181" s="752"/>
      <c r="T1181" s="760"/>
      <c r="U1181" s="130"/>
      <c r="V1181" s="2107"/>
      <c r="W1181" s="611">
        <v>3.41</v>
      </c>
      <c r="X1181" s="611">
        <v>3.41</v>
      </c>
      <c r="Y1181" s="611"/>
      <c r="Z1181" s="611"/>
      <c r="AA1181" s="611"/>
      <c r="AB1181" s="611"/>
      <c r="AC1181" s="611"/>
      <c r="AD1181" s="611"/>
      <c r="AE1181" s="611"/>
      <c r="AF1181" s="611"/>
      <c r="AG1181" s="611"/>
    </row>
    <row r="1182" spans="1:33" s="56" customFormat="1" ht="15" hidden="1" customHeight="1" outlineLevel="1" x14ac:dyDescent="0.25">
      <c r="A1182" s="724"/>
      <c r="B1182" s="130"/>
      <c r="C1182" s="616"/>
      <c r="D1182" s="2101"/>
      <c r="E1182" s="2104"/>
      <c r="F1182" s="2110" t="str">
        <f>$E$856</f>
        <v>ASHP - SEER 21 - replace electric furnace / CAC SF</v>
      </c>
      <c r="G1182" s="2111"/>
      <c r="H1182" s="2111"/>
      <c r="I1182" s="2112"/>
      <c r="J1182" s="709" t="s">
        <v>1187</v>
      </c>
      <c r="K1182" s="730">
        <v>3.41</v>
      </c>
      <c r="L1182" s="670"/>
      <c r="M1182" s="613" t="s">
        <v>1841</v>
      </c>
      <c r="N1182" s="130"/>
      <c r="O1182" s="251"/>
      <c r="P1182" s="766"/>
      <c r="Q1182" s="767"/>
      <c r="R1182" s="766"/>
      <c r="S1182" s="752"/>
      <c r="T1182" s="760"/>
      <c r="U1182" s="130"/>
      <c r="V1182" s="2107"/>
      <c r="W1182" s="611">
        <v>3.41</v>
      </c>
      <c r="X1182" s="611">
        <v>3.41</v>
      </c>
      <c r="Y1182" s="611"/>
      <c r="Z1182" s="611"/>
      <c r="AA1182" s="611"/>
      <c r="AB1182" s="611"/>
      <c r="AC1182" s="611"/>
      <c r="AD1182" s="611"/>
      <c r="AE1182" s="611"/>
      <c r="AF1182" s="611"/>
      <c r="AG1182" s="611"/>
    </row>
    <row r="1183" spans="1:33" s="56" customFormat="1" ht="15" hidden="1" customHeight="1" outlineLevel="1" x14ac:dyDescent="0.25">
      <c r="A1183" s="724"/>
      <c r="B1183" s="130"/>
      <c r="C1183" s="616"/>
      <c r="D1183" s="2101"/>
      <c r="E1183" s="2104"/>
      <c r="F1183" s="2110" t="str">
        <f>$E$858</f>
        <v>ASHP-  SEER 21+ Replace at Fail Elec Resist Furnace: HVAC</v>
      </c>
      <c r="G1183" s="2111"/>
      <c r="H1183" s="2111"/>
      <c r="I1183" s="2112"/>
      <c r="J1183" s="709" t="s">
        <v>614</v>
      </c>
      <c r="K1183" s="730">
        <v>3.41</v>
      </c>
      <c r="L1183" s="670"/>
      <c r="M1183" s="613" t="s">
        <v>1841</v>
      </c>
      <c r="N1183" s="130"/>
      <c r="O1183" s="251"/>
      <c r="P1183" s="766"/>
      <c r="Q1183" s="767"/>
      <c r="R1183" s="766"/>
      <c r="S1183" s="752"/>
      <c r="T1183" s="760"/>
      <c r="U1183" s="130"/>
      <c r="V1183" s="2107"/>
      <c r="W1183" s="611">
        <v>3.41</v>
      </c>
      <c r="X1183" s="611">
        <v>3.41</v>
      </c>
      <c r="Y1183" s="611"/>
      <c r="Z1183" s="611"/>
      <c r="AA1183" s="611"/>
      <c r="AB1183" s="611"/>
      <c r="AC1183" s="611"/>
      <c r="AD1183" s="611"/>
      <c r="AE1183" s="611"/>
      <c r="AF1183" s="611"/>
      <c r="AG1183" s="611"/>
    </row>
    <row r="1184" spans="1:33" s="56" customFormat="1" ht="15" hidden="1" customHeight="1" outlineLevel="1" x14ac:dyDescent="0.25">
      <c r="A1184" s="597"/>
      <c r="B1184" s="130"/>
      <c r="C1184" s="616"/>
      <c r="D1184" s="2101"/>
      <c r="E1184" s="2104"/>
      <c r="F1184" s="2110" t="str">
        <f>$E$860</f>
        <v>ASHP SEER 17 replace ASHP - early replacement SF ER1</v>
      </c>
      <c r="G1184" s="2111"/>
      <c r="H1184" s="2111"/>
      <c r="I1184" s="2112"/>
      <c r="J1184" s="709" t="s">
        <v>1188</v>
      </c>
      <c r="K1184" s="730">
        <v>6.58</v>
      </c>
      <c r="L1184" s="669"/>
      <c r="M1184" s="613" t="s">
        <v>1793</v>
      </c>
      <c r="N1184" s="130"/>
      <c r="O1184" s="251"/>
      <c r="P1184" s="251"/>
      <c r="Q1184" s="251"/>
      <c r="R1184" s="251"/>
      <c r="S1184" s="130"/>
      <c r="T1184" s="130"/>
      <c r="U1184" s="130"/>
      <c r="V1184" s="2107"/>
      <c r="W1184" s="611">
        <v>5.44</v>
      </c>
      <c r="X1184" s="611">
        <v>5.44</v>
      </c>
      <c r="Y1184" s="611"/>
      <c r="Z1184" s="611"/>
      <c r="AA1184" s="611"/>
      <c r="AB1184" s="611"/>
      <c r="AC1184" s="611"/>
      <c r="AD1184" s="611"/>
      <c r="AE1184" s="611"/>
      <c r="AF1184" s="611"/>
      <c r="AG1184" s="611"/>
    </row>
    <row r="1185" spans="1:33" s="56" customFormat="1" ht="15" hidden="1" customHeight="1" outlineLevel="1" x14ac:dyDescent="0.25">
      <c r="A1185" s="724"/>
      <c r="B1185" s="130"/>
      <c r="C1185" s="616"/>
      <c r="D1185" s="2101"/>
      <c r="E1185" s="2104"/>
      <c r="F1185" s="2110" t="str">
        <f>$E$862</f>
        <v>ASHP SEER 17 replace ASHP - early replacement SF ER2</v>
      </c>
      <c r="G1185" s="2111"/>
      <c r="H1185" s="2111"/>
      <c r="I1185" s="2112"/>
      <c r="J1185" s="709" t="s">
        <v>1189</v>
      </c>
      <c r="K1185" s="730">
        <v>8.1999999999999993</v>
      </c>
      <c r="L1185" s="670"/>
      <c r="M1185" s="613" t="s">
        <v>1841</v>
      </c>
      <c r="N1185" s="130"/>
      <c r="O1185" s="251"/>
      <c r="P1185" s="766"/>
      <c r="Q1185" s="767"/>
      <c r="R1185" s="766"/>
      <c r="S1185" s="752"/>
      <c r="T1185" s="760"/>
      <c r="U1185" s="130"/>
      <c r="V1185" s="2107"/>
      <c r="W1185" s="611">
        <v>8.1999999999999993</v>
      </c>
      <c r="X1185" s="611">
        <v>8.1999999999999993</v>
      </c>
      <c r="Y1185" s="611"/>
      <c r="Z1185" s="611"/>
      <c r="AA1185" s="611"/>
      <c r="AB1185" s="611"/>
      <c r="AC1185" s="611"/>
      <c r="AD1185" s="611"/>
      <c r="AE1185" s="611"/>
      <c r="AF1185" s="611"/>
      <c r="AG1185" s="611"/>
    </row>
    <row r="1186" spans="1:33" s="56" customFormat="1" ht="15" hidden="1" customHeight="1" outlineLevel="1" x14ac:dyDescent="0.25">
      <c r="A1186" s="597"/>
      <c r="B1186" s="130"/>
      <c r="C1186" s="616"/>
      <c r="D1186" s="2101"/>
      <c r="E1186" s="2104"/>
      <c r="F1186" s="2110" t="str">
        <f>$E$864</f>
        <v>ASHP SEER 17 replace ASHP - replace on fail SF</v>
      </c>
      <c r="G1186" s="2111"/>
      <c r="H1186" s="2111"/>
      <c r="I1186" s="2112"/>
      <c r="J1186" s="709" t="s">
        <v>1190</v>
      </c>
      <c r="K1186" s="730">
        <v>8.1999999999999993</v>
      </c>
      <c r="L1186" s="670"/>
      <c r="M1186" s="613" t="s">
        <v>1841</v>
      </c>
      <c r="N1186" s="130"/>
      <c r="O1186" s="251"/>
      <c r="P1186" s="251"/>
      <c r="Q1186" s="251"/>
      <c r="R1186" s="251"/>
      <c r="S1186" s="130"/>
      <c r="T1186" s="130"/>
      <c r="U1186" s="130"/>
      <c r="V1186" s="2107"/>
      <c r="W1186" s="611">
        <v>8.1999999999999993</v>
      </c>
      <c r="X1186" s="611">
        <v>8.1999999999999993</v>
      </c>
      <c r="Y1186" s="611"/>
      <c r="Z1186" s="611"/>
      <c r="AA1186" s="611"/>
      <c r="AB1186" s="611"/>
      <c r="AC1186" s="611"/>
      <c r="AD1186" s="611"/>
      <c r="AE1186" s="611"/>
      <c r="AF1186" s="611"/>
      <c r="AG1186" s="611"/>
    </row>
    <row r="1187" spans="1:33" s="56" customFormat="1" ht="15" hidden="1" customHeight="1" outlineLevel="1" x14ac:dyDescent="0.25">
      <c r="A1187" s="724"/>
      <c r="B1187" s="130"/>
      <c r="C1187" s="616"/>
      <c r="D1187" s="2101"/>
      <c r="E1187" s="2104"/>
      <c r="F1187" s="2110" t="str">
        <f>$E$866</f>
        <v>ASHP SEER 18 replace ASHP - early replacement SF ER1</v>
      </c>
      <c r="G1187" s="2111"/>
      <c r="H1187" s="2111"/>
      <c r="I1187" s="2112"/>
      <c r="J1187" s="709" t="s">
        <v>1191</v>
      </c>
      <c r="K1187" s="730">
        <v>6.58</v>
      </c>
      <c r="L1187" s="669"/>
      <c r="M1187" s="613" t="s">
        <v>1793</v>
      </c>
      <c r="N1187" s="130"/>
      <c r="O1187" s="251"/>
      <c r="P1187" s="766"/>
      <c r="Q1187" s="767"/>
      <c r="R1187" s="766"/>
      <c r="S1187" s="752"/>
      <c r="T1187" s="760"/>
      <c r="U1187" s="130"/>
      <c r="V1187" s="2107"/>
      <c r="W1187" s="611">
        <v>5.44</v>
      </c>
      <c r="X1187" s="611">
        <v>5.44</v>
      </c>
      <c r="Y1187" s="611"/>
      <c r="Z1187" s="611"/>
      <c r="AA1187" s="611"/>
      <c r="AB1187" s="611"/>
      <c r="AC1187" s="611"/>
      <c r="AD1187" s="611"/>
      <c r="AE1187" s="611"/>
      <c r="AF1187" s="611"/>
      <c r="AG1187" s="611"/>
    </row>
    <row r="1188" spans="1:33" s="56" customFormat="1" ht="15" hidden="1" customHeight="1" outlineLevel="1" x14ac:dyDescent="0.25">
      <c r="A1188" s="597"/>
      <c r="B1188" s="130"/>
      <c r="C1188" s="616"/>
      <c r="D1188" s="2101"/>
      <c r="E1188" s="2104"/>
      <c r="F1188" s="2110" t="str">
        <f>$E$868</f>
        <v>ASHP SEER 18 replace ASHP - early replacement SF ER2</v>
      </c>
      <c r="G1188" s="2111"/>
      <c r="H1188" s="2111"/>
      <c r="I1188" s="2112"/>
      <c r="J1188" s="709" t="s">
        <v>1192</v>
      </c>
      <c r="K1188" s="730">
        <v>8.1999999999999993</v>
      </c>
      <c r="L1188" s="669"/>
      <c r="M1188" s="613" t="s">
        <v>1841</v>
      </c>
      <c r="N1188" s="130"/>
      <c r="O1188" s="251"/>
      <c r="P1188" s="251"/>
      <c r="Q1188" s="251"/>
      <c r="R1188" s="251"/>
      <c r="S1188" s="130"/>
      <c r="T1188" s="130"/>
      <c r="U1188" s="130"/>
      <c r="V1188" s="2107"/>
      <c r="W1188" s="611">
        <v>8.1999999999999993</v>
      </c>
      <c r="X1188" s="611">
        <v>8.1999999999999993</v>
      </c>
      <c r="Y1188" s="611"/>
      <c r="Z1188" s="611"/>
      <c r="AA1188" s="611"/>
      <c r="AB1188" s="611"/>
      <c r="AC1188" s="611"/>
      <c r="AD1188" s="611"/>
      <c r="AE1188" s="611"/>
      <c r="AF1188" s="611"/>
      <c r="AG1188" s="611"/>
    </row>
    <row r="1189" spans="1:33" s="56" customFormat="1" ht="15" hidden="1" customHeight="1" outlineLevel="1" x14ac:dyDescent="0.25">
      <c r="A1189" s="597"/>
      <c r="B1189" s="130"/>
      <c r="C1189" s="616"/>
      <c r="D1189" s="2101"/>
      <c r="E1189" s="2104"/>
      <c r="F1189" s="2110" t="str">
        <f>$E$870</f>
        <v>ASHP SEER 18 replace ASHP - replace on fail SF</v>
      </c>
      <c r="G1189" s="2111"/>
      <c r="H1189" s="2111"/>
      <c r="I1189" s="2112"/>
      <c r="J1189" s="709" t="s">
        <v>1193</v>
      </c>
      <c r="K1189" s="730">
        <v>8.1999999999999993</v>
      </c>
      <c r="L1189" s="670"/>
      <c r="M1189" s="613" t="s">
        <v>1842</v>
      </c>
      <c r="N1189" s="130"/>
      <c r="O1189" s="251"/>
      <c r="P1189" s="251"/>
      <c r="Q1189" s="251"/>
      <c r="R1189" s="251"/>
      <c r="S1189" s="130"/>
      <c r="T1189" s="130"/>
      <c r="U1189" s="130"/>
      <c r="V1189" s="2107"/>
      <c r="W1189" s="611">
        <v>8.1999999999999993</v>
      </c>
      <c r="X1189" s="611">
        <v>8.1999999999999993</v>
      </c>
      <c r="Y1189" s="611"/>
      <c r="Z1189" s="611"/>
      <c r="AA1189" s="611"/>
      <c r="AB1189" s="611"/>
      <c r="AC1189" s="611"/>
      <c r="AD1189" s="611"/>
      <c r="AE1189" s="611"/>
      <c r="AF1189" s="611"/>
      <c r="AG1189" s="611"/>
    </row>
    <row r="1190" spans="1:33" s="56" customFormat="1" ht="15" hidden="1" customHeight="1" outlineLevel="1" x14ac:dyDescent="0.25">
      <c r="A1190" s="724"/>
      <c r="B1190" s="130"/>
      <c r="C1190" s="616"/>
      <c r="D1190" s="2101"/>
      <c r="E1190" s="2104"/>
      <c r="F1190" s="2110" t="str">
        <f>$E$872</f>
        <v>ASHP - SEER 18 - replace on fail SF</v>
      </c>
      <c r="G1190" s="2111"/>
      <c r="H1190" s="2111"/>
      <c r="I1190" s="2112"/>
      <c r="J1190" s="709" t="s">
        <v>1194</v>
      </c>
      <c r="K1190" s="730">
        <v>8.1999999999999993</v>
      </c>
      <c r="L1190" s="670"/>
      <c r="M1190" s="613" t="s">
        <v>1843</v>
      </c>
      <c r="N1190" s="130"/>
      <c r="O1190" s="251"/>
      <c r="P1190" s="766"/>
      <c r="Q1190" s="767"/>
      <c r="R1190" s="766"/>
      <c r="S1190" s="752"/>
      <c r="T1190" s="760"/>
      <c r="U1190" s="130"/>
      <c r="V1190" s="2107"/>
      <c r="W1190" s="611">
        <v>8.1999999999999993</v>
      </c>
      <c r="X1190" s="611">
        <v>8.1999999999999993</v>
      </c>
      <c r="Y1190" s="611"/>
      <c r="Z1190" s="611"/>
      <c r="AA1190" s="611"/>
      <c r="AB1190" s="611"/>
      <c r="AC1190" s="611"/>
      <c r="AD1190" s="611"/>
      <c r="AE1190" s="611"/>
      <c r="AF1190" s="611"/>
      <c r="AG1190" s="611"/>
    </row>
    <row r="1191" spans="1:33" s="56" customFormat="1" ht="15" hidden="1" customHeight="1" outlineLevel="1" x14ac:dyDescent="0.25">
      <c r="A1191" s="724"/>
      <c r="B1191" s="130"/>
      <c r="C1191" s="616"/>
      <c r="D1191" s="2101"/>
      <c r="E1191" s="2104"/>
      <c r="F1191" s="2110" t="str">
        <f>$E$874</f>
        <v>ASHP SEER 19 replace ASHP - early replacement SF ER1</v>
      </c>
      <c r="G1191" s="2111"/>
      <c r="H1191" s="2111"/>
      <c r="I1191" s="2112"/>
      <c r="J1191" s="709" t="s">
        <v>1195</v>
      </c>
      <c r="K1191" s="730">
        <v>6.58</v>
      </c>
      <c r="L1191" s="669"/>
      <c r="M1191" s="613" t="s">
        <v>1793</v>
      </c>
      <c r="N1191" s="130"/>
      <c r="O1191" s="251"/>
      <c r="P1191" s="766"/>
      <c r="Q1191" s="767"/>
      <c r="R1191" s="766"/>
      <c r="S1191" s="752"/>
      <c r="T1191" s="760"/>
      <c r="U1191" s="130"/>
      <c r="V1191" s="2107"/>
      <c r="W1191" s="611">
        <v>5.44</v>
      </c>
      <c r="X1191" s="611">
        <v>5.44</v>
      </c>
      <c r="Y1191" s="611"/>
      <c r="Z1191" s="611"/>
      <c r="AA1191" s="611"/>
      <c r="AB1191" s="611"/>
      <c r="AC1191" s="611"/>
      <c r="AD1191" s="611"/>
      <c r="AE1191" s="611"/>
      <c r="AF1191" s="611"/>
      <c r="AG1191" s="611"/>
    </row>
    <row r="1192" spans="1:33" s="56" customFormat="1" ht="15" hidden="1" customHeight="1" outlineLevel="1" x14ac:dyDescent="0.25">
      <c r="A1192" s="597"/>
      <c r="B1192" s="130"/>
      <c r="C1192" s="616"/>
      <c r="D1192" s="2101"/>
      <c r="E1192" s="2104"/>
      <c r="F1192" s="2110" t="str">
        <f>$E$876</f>
        <v>ASHP SEER 19 replace ASHP - early replacement SF ER2</v>
      </c>
      <c r="G1192" s="2111"/>
      <c r="H1192" s="2111"/>
      <c r="I1192" s="2112"/>
      <c r="J1192" s="709" t="s">
        <v>1196</v>
      </c>
      <c r="K1192" s="730">
        <v>8.1999999999999993</v>
      </c>
      <c r="L1192" s="669"/>
      <c r="M1192" s="613" t="s">
        <v>1841</v>
      </c>
      <c r="N1192" s="130"/>
      <c r="O1192" s="251"/>
      <c r="P1192" s="251"/>
      <c r="Q1192" s="251"/>
      <c r="R1192" s="251"/>
      <c r="S1192" s="130"/>
      <c r="T1192" s="130"/>
      <c r="U1192" s="130"/>
      <c r="V1192" s="2107"/>
      <c r="W1192" s="611">
        <v>8.1999999999999993</v>
      </c>
      <c r="X1192" s="611">
        <v>8.1999999999999993</v>
      </c>
      <c r="Y1192" s="611"/>
      <c r="Z1192" s="611"/>
      <c r="AA1192" s="611"/>
      <c r="AB1192" s="611"/>
      <c r="AC1192" s="611"/>
      <c r="AD1192" s="611"/>
      <c r="AE1192" s="611"/>
      <c r="AF1192" s="611"/>
      <c r="AG1192" s="611"/>
    </row>
    <row r="1193" spans="1:33" s="56" customFormat="1" ht="15" hidden="1" customHeight="1" outlineLevel="1" x14ac:dyDescent="0.25">
      <c r="A1193" s="597"/>
      <c r="B1193" s="130"/>
      <c r="C1193" s="616"/>
      <c r="D1193" s="2101"/>
      <c r="E1193" s="2104"/>
      <c r="F1193" s="2110" t="str">
        <f>$E$878</f>
        <v>ASHP SEER 19 replace ASHP - replace on fail SF</v>
      </c>
      <c r="G1193" s="2111"/>
      <c r="H1193" s="2111"/>
      <c r="I1193" s="2112"/>
      <c r="J1193" s="709" t="s">
        <v>1197</v>
      </c>
      <c r="K1193" s="730">
        <v>8.1999999999999993</v>
      </c>
      <c r="L1193" s="670"/>
      <c r="M1193" s="613" t="s">
        <v>1842</v>
      </c>
      <c r="N1193" s="130"/>
      <c r="O1193" s="251"/>
      <c r="P1193" s="251"/>
      <c r="Q1193" s="251"/>
      <c r="R1193" s="251"/>
      <c r="S1193" s="130"/>
      <c r="T1193" s="130"/>
      <c r="U1193" s="130"/>
      <c r="V1193" s="2107"/>
      <c r="W1193" s="611">
        <v>8.1999999999999993</v>
      </c>
      <c r="X1193" s="611">
        <v>8.1999999999999993</v>
      </c>
      <c r="Y1193" s="611"/>
      <c r="Z1193" s="611"/>
      <c r="AA1193" s="611"/>
      <c r="AB1193" s="611"/>
      <c r="AC1193" s="611"/>
      <c r="AD1193" s="611"/>
      <c r="AE1193" s="611"/>
      <c r="AF1193" s="611"/>
      <c r="AG1193" s="611"/>
    </row>
    <row r="1194" spans="1:33" s="56" customFormat="1" ht="15" hidden="1" customHeight="1" outlineLevel="1" x14ac:dyDescent="0.25">
      <c r="A1194" s="597"/>
      <c r="B1194" s="130"/>
      <c r="C1194" s="616"/>
      <c r="D1194" s="2101"/>
      <c r="E1194" s="2104"/>
      <c r="F1194" s="2110" t="str">
        <f>$E$880</f>
        <v>ASHP - SEER 17 - replace electric furnace / CAC - early replacement SF ER1</v>
      </c>
      <c r="G1194" s="2111"/>
      <c r="H1194" s="2111"/>
      <c r="I1194" s="2112"/>
      <c r="J1194" s="709"/>
      <c r="K1194" s="730">
        <v>3.41</v>
      </c>
      <c r="L1194" s="670"/>
      <c r="M1194" s="613" t="s">
        <v>1843</v>
      </c>
      <c r="N1194" s="130"/>
      <c r="O1194" s="251"/>
      <c r="P1194" s="251"/>
      <c r="Q1194" s="251"/>
      <c r="R1194" s="251"/>
      <c r="S1194" s="130"/>
      <c r="T1194" s="130"/>
      <c r="U1194" s="130"/>
      <c r="V1194" s="2107"/>
      <c r="W1194" s="611">
        <v>3.41</v>
      </c>
      <c r="X1194" s="611">
        <v>3.41</v>
      </c>
      <c r="Y1194" s="611"/>
      <c r="Z1194" s="611"/>
      <c r="AA1194" s="611"/>
      <c r="AB1194" s="611"/>
      <c r="AC1194" s="611"/>
      <c r="AD1194" s="611"/>
      <c r="AE1194" s="611"/>
      <c r="AF1194" s="611"/>
      <c r="AG1194" s="611"/>
    </row>
    <row r="1195" spans="1:33" s="56" customFormat="1" ht="15" hidden="1" customHeight="1" outlineLevel="1" x14ac:dyDescent="0.25">
      <c r="A1195" s="597"/>
      <c r="B1195" s="130"/>
      <c r="C1195" s="616"/>
      <c r="D1195" s="2101"/>
      <c r="E1195" s="2104"/>
      <c r="F1195" s="2110" t="str">
        <f>$E$882</f>
        <v>ASHP - SEER 17 - replace electric furnace / CAC - early replacement SF ER2</v>
      </c>
      <c r="G1195" s="2111"/>
      <c r="H1195" s="2111"/>
      <c r="I1195" s="2112"/>
      <c r="J1195" s="709"/>
      <c r="K1195" s="730">
        <v>3.41</v>
      </c>
      <c r="L1195" s="670"/>
      <c r="M1195" s="613" t="s">
        <v>1844</v>
      </c>
      <c r="N1195" s="130"/>
      <c r="O1195" s="251"/>
      <c r="P1195" s="251"/>
      <c r="Q1195" s="251"/>
      <c r="R1195" s="251"/>
      <c r="S1195" s="130"/>
      <c r="T1195" s="130"/>
      <c r="U1195" s="130"/>
      <c r="V1195" s="2107"/>
      <c r="W1195" s="611">
        <v>3.41</v>
      </c>
      <c r="X1195" s="611">
        <v>3.41</v>
      </c>
      <c r="Y1195" s="611"/>
      <c r="Z1195" s="611"/>
      <c r="AA1195" s="611"/>
      <c r="AB1195" s="611"/>
      <c r="AC1195" s="611"/>
      <c r="AD1195" s="611"/>
      <c r="AE1195" s="611"/>
      <c r="AF1195" s="611"/>
      <c r="AG1195" s="611"/>
    </row>
    <row r="1196" spans="1:33" s="56" customFormat="1" ht="15" hidden="1" customHeight="1" outlineLevel="1" x14ac:dyDescent="0.25">
      <c r="A1196" s="597"/>
      <c r="B1196" s="130"/>
      <c r="C1196" s="616"/>
      <c r="D1196" s="2101"/>
      <c r="E1196" s="2104"/>
      <c r="F1196" s="2110" t="str">
        <f>$E$884</f>
        <v>ASHP - SEER 17 - replace electric furnace / CAC - early replacement MF ER1</v>
      </c>
      <c r="G1196" s="2111"/>
      <c r="H1196" s="2111"/>
      <c r="I1196" s="2112"/>
      <c r="J1196" s="709"/>
      <c r="K1196" s="730">
        <v>3.41</v>
      </c>
      <c r="L1196" s="670"/>
      <c r="M1196" s="613" t="s">
        <v>1845</v>
      </c>
      <c r="N1196" s="130"/>
      <c r="O1196" s="251"/>
      <c r="P1196" s="251"/>
      <c r="Q1196" s="251"/>
      <c r="R1196" s="251"/>
      <c r="S1196" s="130"/>
      <c r="T1196" s="130"/>
      <c r="U1196" s="130"/>
      <c r="V1196" s="2107"/>
      <c r="W1196" s="611">
        <v>3.41</v>
      </c>
      <c r="X1196" s="611">
        <v>3.41</v>
      </c>
      <c r="Y1196" s="611"/>
      <c r="Z1196" s="611"/>
      <c r="AA1196" s="611"/>
      <c r="AB1196" s="611"/>
      <c r="AC1196" s="611"/>
      <c r="AD1196" s="611"/>
      <c r="AE1196" s="611"/>
      <c r="AF1196" s="611"/>
      <c r="AG1196" s="611"/>
    </row>
    <row r="1197" spans="1:33" s="56" customFormat="1" ht="15" hidden="1" customHeight="1" outlineLevel="1" x14ac:dyDescent="0.25">
      <c r="A1197" s="597"/>
      <c r="B1197" s="130"/>
      <c r="C1197" s="616"/>
      <c r="D1197" s="2101"/>
      <c r="E1197" s="2104"/>
      <c r="F1197" s="2110" t="str">
        <f>$E$886</f>
        <v>ASHP - SEER 17 - replace electric furnace / CAC - early replacement MF ER2</v>
      </c>
      <c r="G1197" s="2111"/>
      <c r="H1197" s="2111"/>
      <c r="I1197" s="2112"/>
      <c r="J1197" s="709"/>
      <c r="K1197" s="730">
        <v>3.41</v>
      </c>
      <c r="L1197" s="670"/>
      <c r="M1197" s="613" t="s">
        <v>1846</v>
      </c>
      <c r="N1197" s="130"/>
      <c r="O1197" s="251"/>
      <c r="P1197" s="251"/>
      <c r="Q1197" s="251"/>
      <c r="R1197" s="251"/>
      <c r="S1197" s="130"/>
      <c r="T1197" s="130"/>
      <c r="U1197" s="130"/>
      <c r="V1197" s="2107"/>
      <c r="W1197" s="611">
        <v>3.41</v>
      </c>
      <c r="X1197" s="611">
        <v>3.41</v>
      </c>
      <c r="Y1197" s="611"/>
      <c r="Z1197" s="611"/>
      <c r="AA1197" s="611"/>
      <c r="AB1197" s="611"/>
      <c r="AC1197" s="611"/>
      <c r="AD1197" s="611"/>
      <c r="AE1197" s="611"/>
      <c r="AF1197" s="611"/>
      <c r="AG1197" s="611"/>
    </row>
    <row r="1198" spans="1:33" s="56" customFormat="1" ht="15" hidden="1" customHeight="1" outlineLevel="1" x14ac:dyDescent="0.25">
      <c r="A1198" s="597"/>
      <c r="B1198" s="130"/>
      <c r="C1198" s="616"/>
      <c r="D1198" s="2101"/>
      <c r="E1198" s="2104"/>
      <c r="F1198" s="2110" t="str">
        <f>$E$888</f>
        <v>ASHP SEER 17 replace ASHP - early replacement MF ER1</v>
      </c>
      <c r="G1198" s="2111"/>
      <c r="H1198" s="2111"/>
      <c r="I1198" s="2112"/>
      <c r="J1198" s="709"/>
      <c r="K1198" s="730">
        <v>6.58</v>
      </c>
      <c r="L1198" s="669"/>
      <c r="M1198" s="613" t="s">
        <v>1793</v>
      </c>
      <c r="N1198" s="130"/>
      <c r="O1198" s="251"/>
      <c r="P1198" s="251"/>
      <c r="Q1198" s="251"/>
      <c r="R1198" s="251"/>
      <c r="S1198" s="130"/>
      <c r="T1198" s="130"/>
      <c r="U1198" s="130"/>
      <c r="V1198" s="2107"/>
      <c r="W1198" s="611">
        <v>5.44</v>
      </c>
      <c r="X1198" s="611">
        <v>5.44</v>
      </c>
      <c r="Y1198" s="611"/>
      <c r="Z1198" s="611"/>
      <c r="AA1198" s="611"/>
      <c r="AB1198" s="611"/>
      <c r="AC1198" s="611"/>
      <c r="AD1198" s="611"/>
      <c r="AE1198" s="611"/>
      <c r="AF1198" s="611"/>
      <c r="AG1198" s="611"/>
    </row>
    <row r="1199" spans="1:33" s="56" customFormat="1" ht="15" hidden="1" customHeight="1" outlineLevel="1" x14ac:dyDescent="0.25">
      <c r="A1199" s="597"/>
      <c r="B1199" s="130"/>
      <c r="C1199" s="616"/>
      <c r="D1199" s="2101"/>
      <c r="E1199" s="2104"/>
      <c r="F1199" s="2110" t="str">
        <f>$E$890</f>
        <v>ASHP SEER 17 replace ASHP - early replacement MF ER2</v>
      </c>
      <c r="G1199" s="2111"/>
      <c r="H1199" s="2111"/>
      <c r="I1199" s="2112"/>
      <c r="J1199" s="709"/>
      <c r="K1199" s="730">
        <v>8.1999999999999993</v>
      </c>
      <c r="L1199" s="669"/>
      <c r="M1199" s="613" t="s">
        <v>1841</v>
      </c>
      <c r="N1199" s="130"/>
      <c r="O1199" s="251"/>
      <c r="P1199" s="251"/>
      <c r="Q1199" s="251"/>
      <c r="R1199" s="251"/>
      <c r="S1199" s="130"/>
      <c r="T1199" s="130"/>
      <c r="U1199" s="130"/>
      <c r="V1199" s="2107"/>
      <c r="W1199" s="611">
        <v>8.1999999999999993</v>
      </c>
      <c r="X1199" s="611">
        <v>8.1999999999999993</v>
      </c>
      <c r="Y1199" s="611"/>
      <c r="Z1199" s="611"/>
      <c r="AA1199" s="611"/>
      <c r="AB1199" s="611"/>
      <c r="AC1199" s="611"/>
      <c r="AD1199" s="611"/>
      <c r="AE1199" s="611"/>
      <c r="AF1199" s="611"/>
      <c r="AG1199" s="611"/>
    </row>
    <row r="1200" spans="1:33" s="56" customFormat="1" hidden="1" outlineLevel="1" x14ac:dyDescent="0.25">
      <c r="A1200" s="597"/>
      <c r="B1200" s="130"/>
      <c r="C1200" s="616"/>
      <c r="D1200" s="2101"/>
      <c r="E1200" s="2104"/>
      <c r="F1200" s="2110" t="str">
        <f>$E$892</f>
        <v>ASHP - SEER 18 - replace electric furnace / CAC - early replacement SF ER1</v>
      </c>
      <c r="G1200" s="2111"/>
      <c r="H1200" s="2111"/>
      <c r="I1200" s="2112"/>
      <c r="J1200" s="709"/>
      <c r="K1200" s="730">
        <v>3.41</v>
      </c>
      <c r="L1200" s="670"/>
      <c r="M1200" s="613" t="s">
        <v>1841</v>
      </c>
      <c r="N1200" s="130"/>
      <c r="O1200" s="251"/>
      <c r="P1200" s="251"/>
      <c r="Q1200" s="251"/>
      <c r="R1200" s="251"/>
      <c r="S1200" s="130"/>
      <c r="T1200" s="130"/>
      <c r="U1200" s="130"/>
      <c r="V1200" s="2107"/>
      <c r="W1200" s="611">
        <v>3.41</v>
      </c>
      <c r="X1200" s="611">
        <v>3.41</v>
      </c>
      <c r="Y1200" s="611"/>
      <c r="Z1200" s="611"/>
      <c r="AA1200" s="611"/>
      <c r="AB1200" s="611"/>
      <c r="AC1200" s="611"/>
      <c r="AD1200" s="611"/>
      <c r="AE1200" s="611"/>
      <c r="AF1200" s="611"/>
      <c r="AG1200" s="611"/>
    </row>
    <row r="1201" spans="1:33" s="56" customFormat="1" hidden="1" outlineLevel="1" x14ac:dyDescent="0.25">
      <c r="A1201" s="597"/>
      <c r="B1201" s="130"/>
      <c r="C1201" s="616"/>
      <c r="D1201" s="2101"/>
      <c r="E1201" s="2104"/>
      <c r="F1201" s="2110" t="str">
        <f>$E$894</f>
        <v>ASHP - SEER 18 - replace electric furnace / CAC - early replacement SF ER2</v>
      </c>
      <c r="G1201" s="2111"/>
      <c r="H1201" s="2111"/>
      <c r="I1201" s="2112"/>
      <c r="J1201" s="709"/>
      <c r="K1201" s="730">
        <v>3.41</v>
      </c>
      <c r="L1201" s="670"/>
      <c r="M1201" s="613" t="s">
        <v>1841</v>
      </c>
      <c r="N1201" s="130"/>
      <c r="O1201" s="251"/>
      <c r="P1201" s="251"/>
      <c r="Q1201" s="251"/>
      <c r="R1201" s="251"/>
      <c r="S1201" s="130"/>
      <c r="T1201" s="130"/>
      <c r="U1201" s="130"/>
      <c r="V1201" s="2107"/>
      <c r="W1201" s="611">
        <v>3.41</v>
      </c>
      <c r="X1201" s="611">
        <v>3.41</v>
      </c>
      <c r="Y1201" s="611"/>
      <c r="Z1201" s="611"/>
      <c r="AA1201" s="611"/>
      <c r="AB1201" s="611"/>
      <c r="AC1201" s="611"/>
      <c r="AD1201" s="611"/>
      <c r="AE1201" s="611"/>
      <c r="AF1201" s="611"/>
      <c r="AG1201" s="611"/>
    </row>
    <row r="1202" spans="1:33" s="56" customFormat="1" hidden="1" outlineLevel="1" x14ac:dyDescent="0.25">
      <c r="A1202" s="597"/>
      <c r="B1202" s="130"/>
      <c r="C1202" s="616"/>
      <c r="D1202" s="2101"/>
      <c r="E1202" s="2104"/>
      <c r="F1202" s="2110" t="str">
        <f>$E$896</f>
        <v>ASHP - SEER 18 - replace electric furnace / CAC - early replacement MF ER1</v>
      </c>
      <c r="G1202" s="2111"/>
      <c r="H1202" s="2111"/>
      <c r="I1202" s="2112"/>
      <c r="J1202" s="709"/>
      <c r="K1202" s="730">
        <v>3.41</v>
      </c>
      <c r="L1202" s="670"/>
      <c r="M1202" s="613" t="s">
        <v>1842</v>
      </c>
      <c r="N1202" s="130"/>
      <c r="O1202" s="251"/>
      <c r="P1202" s="251"/>
      <c r="Q1202" s="251"/>
      <c r="R1202" s="251"/>
      <c r="S1202" s="130"/>
      <c r="T1202" s="130"/>
      <c r="U1202" s="130"/>
      <c r="V1202" s="2107"/>
      <c r="W1202" s="611">
        <v>3.41</v>
      </c>
      <c r="X1202" s="611">
        <v>3.41</v>
      </c>
      <c r="Y1202" s="611"/>
      <c r="Z1202" s="611"/>
      <c r="AA1202" s="611"/>
      <c r="AB1202" s="611"/>
      <c r="AC1202" s="611"/>
      <c r="AD1202" s="611"/>
      <c r="AE1202" s="611"/>
      <c r="AF1202" s="611"/>
      <c r="AG1202" s="611"/>
    </row>
    <row r="1203" spans="1:33" s="56" customFormat="1" hidden="1" outlineLevel="1" x14ac:dyDescent="0.25">
      <c r="A1203" s="597"/>
      <c r="B1203" s="130"/>
      <c r="C1203" s="616"/>
      <c r="D1203" s="2101"/>
      <c r="E1203" s="2104"/>
      <c r="F1203" s="2110" t="str">
        <f>$E$898</f>
        <v>ASHP - SEER 18 - replace electric furnace / CAC - early replacement MF ER2</v>
      </c>
      <c r="G1203" s="2111"/>
      <c r="H1203" s="2111"/>
      <c r="I1203" s="2112"/>
      <c r="J1203" s="709"/>
      <c r="K1203" s="730">
        <v>3.41</v>
      </c>
      <c r="L1203" s="670"/>
      <c r="M1203" s="613" t="s">
        <v>1843</v>
      </c>
      <c r="N1203" s="130"/>
      <c r="O1203" s="251"/>
      <c r="P1203" s="251"/>
      <c r="Q1203" s="251"/>
      <c r="R1203" s="251"/>
      <c r="S1203" s="130"/>
      <c r="T1203" s="130"/>
      <c r="U1203" s="130"/>
      <c r="V1203" s="2107"/>
      <c r="W1203" s="611">
        <v>3.41</v>
      </c>
      <c r="X1203" s="611">
        <v>3.41</v>
      </c>
      <c r="Y1203" s="611"/>
      <c r="Z1203" s="611"/>
      <c r="AA1203" s="611"/>
      <c r="AB1203" s="611"/>
      <c r="AC1203" s="611"/>
      <c r="AD1203" s="611"/>
      <c r="AE1203" s="611"/>
      <c r="AF1203" s="611"/>
      <c r="AG1203" s="611"/>
    </row>
    <row r="1204" spans="1:33" s="56" customFormat="1" hidden="1" outlineLevel="1" x14ac:dyDescent="0.25">
      <c r="A1204" s="597"/>
      <c r="B1204" s="130"/>
      <c r="C1204" s="616"/>
      <c r="D1204" s="2101"/>
      <c r="E1204" s="2104"/>
      <c r="F1204" s="2110" t="str">
        <f>$E$900</f>
        <v>ASHP SEER 18 replace ASHP - early replacement MF ER1</v>
      </c>
      <c r="G1204" s="2111"/>
      <c r="H1204" s="2111"/>
      <c r="I1204" s="2112"/>
      <c r="J1204" s="709"/>
      <c r="K1204" s="730">
        <v>6.58</v>
      </c>
      <c r="L1204" s="669"/>
      <c r="M1204" s="613" t="s">
        <v>1793</v>
      </c>
      <c r="N1204" s="130"/>
      <c r="O1204" s="251"/>
      <c r="P1204" s="251"/>
      <c r="Q1204" s="251"/>
      <c r="R1204" s="251"/>
      <c r="S1204" s="130"/>
      <c r="T1204" s="130"/>
      <c r="U1204" s="130"/>
      <c r="V1204" s="2107"/>
      <c r="W1204" s="611">
        <v>5.44</v>
      </c>
      <c r="X1204" s="611">
        <v>5.44</v>
      </c>
      <c r="Y1204" s="611"/>
      <c r="Z1204" s="611"/>
      <c r="AA1204" s="611"/>
      <c r="AB1204" s="611"/>
      <c r="AC1204" s="611"/>
      <c r="AD1204" s="611"/>
      <c r="AE1204" s="611"/>
      <c r="AF1204" s="611"/>
      <c r="AG1204" s="611"/>
    </row>
    <row r="1205" spans="1:33" s="56" customFormat="1" hidden="1" outlineLevel="1" x14ac:dyDescent="0.25">
      <c r="A1205" s="597"/>
      <c r="B1205" s="130"/>
      <c r="C1205" s="616"/>
      <c r="D1205" s="2101"/>
      <c r="E1205" s="2104"/>
      <c r="F1205" s="2110" t="str">
        <f>$E$902</f>
        <v>ASHP SEER 18 replace ASHP - early replacement MF ER2</v>
      </c>
      <c r="G1205" s="2111"/>
      <c r="H1205" s="2111"/>
      <c r="I1205" s="2112"/>
      <c r="J1205" s="709"/>
      <c r="K1205" s="730">
        <v>8.1999999999999993</v>
      </c>
      <c r="L1205" s="669"/>
      <c r="M1205" s="613" t="s">
        <v>1841</v>
      </c>
      <c r="N1205" s="130"/>
      <c r="O1205" s="251"/>
      <c r="P1205" s="251"/>
      <c r="Q1205" s="251"/>
      <c r="R1205" s="251"/>
      <c r="S1205" s="130"/>
      <c r="T1205" s="130"/>
      <c r="U1205" s="130"/>
      <c r="V1205" s="2107"/>
      <c r="W1205" s="611">
        <v>8.1999999999999993</v>
      </c>
      <c r="X1205" s="611">
        <v>8.1999999999999993</v>
      </c>
      <c r="Y1205" s="611"/>
      <c r="Z1205" s="611"/>
      <c r="AA1205" s="611"/>
      <c r="AB1205" s="611"/>
      <c r="AC1205" s="611"/>
      <c r="AD1205" s="611"/>
      <c r="AE1205" s="611"/>
      <c r="AF1205" s="611"/>
      <c r="AG1205" s="611"/>
    </row>
    <row r="1206" spans="1:33" s="56" customFormat="1" hidden="1" outlineLevel="1" x14ac:dyDescent="0.25">
      <c r="A1206" s="597"/>
      <c r="B1206" s="130"/>
      <c r="C1206" s="616"/>
      <c r="D1206" s="2101"/>
      <c r="E1206" s="2104"/>
      <c r="F1206" s="2110" t="str">
        <f>$E$904</f>
        <v>ASHP - SEER 19 - replace electric furnace / CAC - early replacement SF ER1</v>
      </c>
      <c r="G1206" s="2111"/>
      <c r="H1206" s="2111"/>
      <c r="I1206" s="2112"/>
      <c r="J1206" s="709"/>
      <c r="K1206" s="730">
        <v>3.41</v>
      </c>
      <c r="L1206" s="670"/>
      <c r="M1206" s="613" t="s">
        <v>1841</v>
      </c>
      <c r="N1206" s="130"/>
      <c r="O1206" s="251"/>
      <c r="P1206" s="251"/>
      <c r="Q1206" s="251"/>
      <c r="R1206" s="251"/>
      <c r="S1206" s="130"/>
      <c r="T1206" s="130"/>
      <c r="U1206" s="130"/>
      <c r="V1206" s="2107"/>
      <c r="W1206" s="611">
        <v>3.41</v>
      </c>
      <c r="X1206" s="611">
        <v>3.41</v>
      </c>
      <c r="Y1206" s="611"/>
      <c r="Z1206" s="611"/>
      <c r="AA1206" s="611"/>
      <c r="AB1206" s="611"/>
      <c r="AC1206" s="611"/>
      <c r="AD1206" s="611"/>
      <c r="AE1206" s="611"/>
      <c r="AF1206" s="611"/>
      <c r="AG1206" s="611"/>
    </row>
    <row r="1207" spans="1:33" s="56" customFormat="1" hidden="1" outlineLevel="1" x14ac:dyDescent="0.25">
      <c r="A1207" s="597"/>
      <c r="B1207" s="130"/>
      <c r="C1207" s="616"/>
      <c r="D1207" s="2101"/>
      <c r="E1207" s="2104"/>
      <c r="F1207" s="2110" t="str">
        <f>$E$906</f>
        <v>ASHP - SEER 19 - replace electric furnace / CAC - early replacement SF ER2</v>
      </c>
      <c r="G1207" s="2111"/>
      <c r="H1207" s="2111"/>
      <c r="I1207" s="2112"/>
      <c r="J1207" s="709"/>
      <c r="K1207" s="730">
        <v>3.41</v>
      </c>
      <c r="L1207" s="670"/>
      <c r="M1207" s="613" t="s">
        <v>1841</v>
      </c>
      <c r="N1207" s="130"/>
      <c r="O1207" s="251"/>
      <c r="P1207" s="251"/>
      <c r="Q1207" s="251"/>
      <c r="R1207" s="251"/>
      <c r="S1207" s="130"/>
      <c r="T1207" s="130"/>
      <c r="U1207" s="130"/>
      <c r="V1207" s="2107"/>
      <c r="W1207" s="611">
        <v>3.41</v>
      </c>
      <c r="X1207" s="611">
        <v>3.41</v>
      </c>
      <c r="Y1207" s="611"/>
      <c r="Z1207" s="611"/>
      <c r="AA1207" s="611"/>
      <c r="AB1207" s="611"/>
      <c r="AC1207" s="611"/>
      <c r="AD1207" s="611"/>
      <c r="AE1207" s="611"/>
      <c r="AF1207" s="611"/>
      <c r="AG1207" s="611"/>
    </row>
    <row r="1208" spans="1:33" s="56" customFormat="1" hidden="1" outlineLevel="1" x14ac:dyDescent="0.25">
      <c r="A1208" s="597"/>
      <c r="B1208" s="130"/>
      <c r="C1208" s="616"/>
      <c r="D1208" s="2101"/>
      <c r="E1208" s="2104"/>
      <c r="F1208" s="2110" t="str">
        <f>$E$908</f>
        <v>ASHP - SEER 19 - replace electric furnace / CAC - early replacement MF ER1</v>
      </c>
      <c r="G1208" s="2111"/>
      <c r="H1208" s="2111"/>
      <c r="I1208" s="2112"/>
      <c r="J1208" s="709"/>
      <c r="K1208" s="730">
        <v>3.41</v>
      </c>
      <c r="L1208" s="670"/>
      <c r="M1208" s="613" t="s">
        <v>1842</v>
      </c>
      <c r="N1208" s="130"/>
      <c r="O1208" s="251"/>
      <c r="P1208" s="251"/>
      <c r="Q1208" s="251"/>
      <c r="R1208" s="251"/>
      <c r="S1208" s="130"/>
      <c r="T1208" s="130"/>
      <c r="U1208" s="130"/>
      <c r="V1208" s="2107"/>
      <c r="W1208" s="611">
        <v>3.41</v>
      </c>
      <c r="X1208" s="611">
        <v>3.41</v>
      </c>
      <c r="Y1208" s="611"/>
      <c r="Z1208" s="611"/>
      <c r="AA1208" s="611"/>
      <c r="AB1208" s="611"/>
      <c r="AC1208" s="611"/>
      <c r="AD1208" s="611"/>
      <c r="AE1208" s="611"/>
      <c r="AF1208" s="611"/>
      <c r="AG1208" s="611"/>
    </row>
    <row r="1209" spans="1:33" s="56" customFormat="1" hidden="1" outlineLevel="1" x14ac:dyDescent="0.25">
      <c r="A1209" s="597"/>
      <c r="B1209" s="130"/>
      <c r="C1209" s="616"/>
      <c r="D1209" s="2101"/>
      <c r="E1209" s="2104"/>
      <c r="F1209" s="2110" t="str">
        <f>$E$910</f>
        <v>ASHP - SEER 19 - replace electric furnace / CAC - early replacement MF ER2</v>
      </c>
      <c r="G1209" s="2111"/>
      <c r="H1209" s="2111"/>
      <c r="I1209" s="2112"/>
      <c r="J1209" s="709"/>
      <c r="K1209" s="730">
        <v>3.41</v>
      </c>
      <c r="L1209" s="670"/>
      <c r="M1209" s="613" t="s">
        <v>1843</v>
      </c>
      <c r="N1209" s="130"/>
      <c r="O1209" s="251"/>
      <c r="P1209" s="251"/>
      <c r="Q1209" s="251"/>
      <c r="R1209" s="251"/>
      <c r="S1209" s="130"/>
      <c r="T1209" s="130"/>
      <c r="U1209" s="130"/>
      <c r="V1209" s="2107"/>
      <c r="W1209" s="611">
        <v>3.41</v>
      </c>
      <c r="X1209" s="611">
        <v>3.41</v>
      </c>
      <c r="Y1209" s="611"/>
      <c r="Z1209" s="611"/>
      <c r="AA1209" s="611"/>
      <c r="AB1209" s="611"/>
      <c r="AC1209" s="611"/>
      <c r="AD1209" s="611"/>
      <c r="AE1209" s="611"/>
      <c r="AF1209" s="611"/>
      <c r="AG1209" s="611"/>
    </row>
    <row r="1210" spans="1:33" s="56" customFormat="1" hidden="1" outlineLevel="1" x14ac:dyDescent="0.25">
      <c r="A1210" s="597"/>
      <c r="B1210" s="130"/>
      <c r="C1210" s="616"/>
      <c r="D1210" s="2101"/>
      <c r="E1210" s="2104"/>
      <c r="F1210" s="2110" t="str">
        <f>$E$912</f>
        <v>ASHP SEER 19 replace ASHP - early replacement MF ER1</v>
      </c>
      <c r="G1210" s="2111"/>
      <c r="H1210" s="2111"/>
      <c r="I1210" s="2112"/>
      <c r="J1210" s="709"/>
      <c r="K1210" s="730">
        <v>6.58</v>
      </c>
      <c r="L1210" s="669"/>
      <c r="M1210" s="613" t="s">
        <v>1793</v>
      </c>
      <c r="N1210" s="130"/>
      <c r="O1210" s="251"/>
      <c r="P1210" s="251"/>
      <c r="Q1210" s="251"/>
      <c r="R1210" s="251"/>
      <c r="S1210" s="130"/>
      <c r="T1210" s="130"/>
      <c r="U1210" s="130"/>
      <c r="V1210" s="2107"/>
      <c r="W1210" s="611">
        <v>5.44</v>
      </c>
      <c r="X1210" s="611">
        <v>5.44</v>
      </c>
      <c r="Y1210" s="611"/>
      <c r="Z1210" s="611"/>
      <c r="AA1210" s="611"/>
      <c r="AB1210" s="611"/>
      <c r="AC1210" s="611"/>
      <c r="AD1210" s="611"/>
      <c r="AE1210" s="611"/>
      <c r="AF1210" s="611"/>
      <c r="AG1210" s="611"/>
    </row>
    <row r="1211" spans="1:33" s="56" customFormat="1" hidden="1" outlineLevel="1" x14ac:dyDescent="0.25">
      <c r="A1211" s="597"/>
      <c r="B1211" s="130"/>
      <c r="C1211" s="616"/>
      <c r="D1211" s="2101"/>
      <c r="E1211" s="2104"/>
      <c r="F1211" s="2110" t="str">
        <f>$E$914</f>
        <v>ASHP SEER 19 replace ASHP - early replacement MF ER2</v>
      </c>
      <c r="G1211" s="2111"/>
      <c r="H1211" s="2111"/>
      <c r="I1211" s="2112"/>
      <c r="J1211" s="709"/>
      <c r="K1211" s="730">
        <v>8.1999999999999993</v>
      </c>
      <c r="L1211" s="669"/>
      <c r="M1211" s="613" t="s">
        <v>1841</v>
      </c>
      <c r="N1211" s="130"/>
      <c r="O1211" s="251"/>
      <c r="P1211" s="251"/>
      <c r="Q1211" s="251"/>
      <c r="R1211" s="251"/>
      <c r="S1211" s="130"/>
      <c r="T1211" s="130"/>
      <c r="U1211" s="130"/>
      <c r="V1211" s="2107"/>
      <c r="W1211" s="611">
        <v>8.1999999999999993</v>
      </c>
      <c r="X1211" s="611">
        <v>8.1999999999999993</v>
      </c>
      <c r="Y1211" s="611"/>
      <c r="Z1211" s="611"/>
      <c r="AA1211" s="611"/>
      <c r="AB1211" s="611"/>
      <c r="AC1211" s="611"/>
      <c r="AD1211" s="611"/>
      <c r="AE1211" s="611"/>
      <c r="AF1211" s="611"/>
      <c r="AG1211" s="611"/>
    </row>
    <row r="1212" spans="1:33" s="56" customFormat="1" hidden="1" outlineLevel="1" x14ac:dyDescent="0.25">
      <c r="A1212" s="597"/>
      <c r="B1212" s="130"/>
      <c r="C1212" s="616"/>
      <c r="D1212" s="2101"/>
      <c r="E1212" s="2104"/>
      <c r="F1212" s="2110" t="str">
        <f>$E$916</f>
        <v>ASHP SEER 20 replace ASHP - early replacement SF ER1</v>
      </c>
      <c r="G1212" s="2111"/>
      <c r="H1212" s="2111"/>
      <c r="I1212" s="2112"/>
      <c r="J1212" s="709"/>
      <c r="K1212" s="730">
        <v>6.58</v>
      </c>
      <c r="L1212" s="669"/>
      <c r="M1212" s="613" t="s">
        <v>1793</v>
      </c>
      <c r="N1212" s="130"/>
      <c r="O1212" s="251"/>
      <c r="P1212" s="251"/>
      <c r="Q1212" s="251"/>
      <c r="R1212" s="251"/>
      <c r="S1212" s="130"/>
      <c r="T1212" s="130"/>
      <c r="U1212" s="130"/>
      <c r="V1212" s="2107"/>
      <c r="W1212" s="611">
        <v>5.44</v>
      </c>
      <c r="X1212" s="611">
        <v>5.44</v>
      </c>
      <c r="Y1212" s="611"/>
      <c r="Z1212" s="611"/>
      <c r="AA1212" s="611"/>
      <c r="AB1212" s="611"/>
      <c r="AC1212" s="611"/>
      <c r="AD1212" s="611"/>
      <c r="AE1212" s="611"/>
      <c r="AF1212" s="611"/>
      <c r="AG1212" s="611"/>
    </row>
    <row r="1213" spans="1:33" s="56" customFormat="1" hidden="1" outlineLevel="1" x14ac:dyDescent="0.25">
      <c r="A1213" s="597"/>
      <c r="B1213" s="130"/>
      <c r="C1213" s="616"/>
      <c r="D1213" s="2101"/>
      <c r="E1213" s="2104"/>
      <c r="F1213" s="2110" t="str">
        <f>$E$918</f>
        <v>ASHP SEER 20 replace ASHP - early replacement SF ER2</v>
      </c>
      <c r="G1213" s="2111"/>
      <c r="H1213" s="2111"/>
      <c r="I1213" s="2112"/>
      <c r="J1213" s="709"/>
      <c r="K1213" s="730">
        <v>8.1999999999999993</v>
      </c>
      <c r="L1213" s="669"/>
      <c r="M1213" s="613" t="s">
        <v>1841</v>
      </c>
      <c r="N1213" s="130"/>
      <c r="O1213" s="251"/>
      <c r="P1213" s="251"/>
      <c r="Q1213" s="251"/>
      <c r="R1213" s="251"/>
      <c r="S1213" s="130"/>
      <c r="T1213" s="130"/>
      <c r="U1213" s="130"/>
      <c r="V1213" s="2107"/>
      <c r="W1213" s="611">
        <v>8.1999999999999993</v>
      </c>
      <c r="X1213" s="611">
        <v>8.1999999999999993</v>
      </c>
      <c r="Y1213" s="611"/>
      <c r="Z1213" s="611"/>
      <c r="AA1213" s="611"/>
      <c r="AB1213" s="611"/>
      <c r="AC1213" s="611"/>
      <c r="AD1213" s="611"/>
      <c r="AE1213" s="611"/>
      <c r="AF1213" s="611"/>
      <c r="AG1213" s="611"/>
    </row>
    <row r="1214" spans="1:33" s="56" customFormat="1" hidden="1" outlineLevel="1" x14ac:dyDescent="0.25">
      <c r="A1214" s="597"/>
      <c r="B1214" s="130"/>
      <c r="C1214" s="616"/>
      <c r="D1214" s="2101"/>
      <c r="E1214" s="2104"/>
      <c r="F1214" s="2110" t="str">
        <f>$E$920</f>
        <v>ASHP SEER 20 replace ASHP - replace on fail SF</v>
      </c>
      <c r="G1214" s="2111"/>
      <c r="H1214" s="2111"/>
      <c r="I1214" s="2112"/>
      <c r="J1214" s="709"/>
      <c r="K1214" s="730">
        <v>8.1999999999999993</v>
      </c>
      <c r="L1214" s="670"/>
      <c r="M1214" s="613" t="s">
        <v>1842</v>
      </c>
      <c r="N1214" s="130"/>
      <c r="O1214" s="251"/>
      <c r="P1214" s="251"/>
      <c r="Q1214" s="251"/>
      <c r="R1214" s="251"/>
      <c r="S1214" s="130"/>
      <c r="T1214" s="130"/>
      <c r="U1214" s="130"/>
      <c r="V1214" s="2107"/>
      <c r="W1214" s="611">
        <v>8.1999999999999993</v>
      </c>
      <c r="X1214" s="611">
        <v>8.1999999999999993</v>
      </c>
      <c r="Y1214" s="611"/>
      <c r="Z1214" s="611"/>
      <c r="AA1214" s="611"/>
      <c r="AB1214" s="611"/>
      <c r="AC1214" s="611"/>
      <c r="AD1214" s="611"/>
      <c r="AE1214" s="611"/>
      <c r="AF1214" s="611"/>
      <c r="AG1214" s="611"/>
    </row>
    <row r="1215" spans="1:33" s="56" customFormat="1" hidden="1" outlineLevel="1" x14ac:dyDescent="0.25">
      <c r="A1215" s="597"/>
      <c r="B1215" s="130"/>
      <c r="C1215" s="616"/>
      <c r="D1215" s="2101"/>
      <c r="E1215" s="2104"/>
      <c r="F1215" s="2110" t="str">
        <f>$E$922</f>
        <v>ASHP - SEER 20 - replace electric furnace / CAC - early replacement MF ER1</v>
      </c>
      <c r="G1215" s="2111"/>
      <c r="H1215" s="2111"/>
      <c r="I1215" s="2112"/>
      <c r="J1215" s="709"/>
      <c r="K1215" s="730">
        <v>3.41</v>
      </c>
      <c r="L1215" s="670"/>
      <c r="M1215" s="613" t="s">
        <v>1841</v>
      </c>
      <c r="N1215" s="130"/>
      <c r="O1215" s="251"/>
      <c r="P1215" s="251"/>
      <c r="Q1215" s="251"/>
      <c r="R1215" s="251"/>
      <c r="S1215" s="130"/>
      <c r="T1215" s="130"/>
      <c r="U1215" s="130"/>
      <c r="V1215" s="2107"/>
      <c r="W1215" s="611">
        <v>3.41</v>
      </c>
      <c r="X1215" s="611">
        <v>3.41</v>
      </c>
      <c r="Y1215" s="611"/>
      <c r="Z1215" s="611"/>
      <c r="AA1215" s="611"/>
      <c r="AB1215" s="611"/>
      <c r="AC1215" s="611"/>
      <c r="AD1215" s="611"/>
      <c r="AE1215" s="611"/>
      <c r="AF1215" s="611"/>
      <c r="AG1215" s="611"/>
    </row>
    <row r="1216" spans="1:33" s="56" customFormat="1" hidden="1" outlineLevel="1" x14ac:dyDescent="0.25">
      <c r="A1216" s="597"/>
      <c r="B1216" s="130"/>
      <c r="C1216" s="616"/>
      <c r="D1216" s="2101"/>
      <c r="E1216" s="2104"/>
      <c r="F1216" s="2110" t="str">
        <f>$E$924</f>
        <v>ASHP - SEER 20 - replace electric furnace / CAC - early replacement MF ER2</v>
      </c>
      <c r="G1216" s="2111"/>
      <c r="H1216" s="2111"/>
      <c r="I1216" s="2112"/>
      <c r="J1216" s="709"/>
      <c r="K1216" s="730">
        <v>3.41</v>
      </c>
      <c r="L1216" s="670"/>
      <c r="M1216" s="613" t="s">
        <v>1841</v>
      </c>
      <c r="N1216" s="130"/>
      <c r="O1216" s="251"/>
      <c r="P1216" s="251"/>
      <c r="Q1216" s="251"/>
      <c r="R1216" s="251"/>
      <c r="S1216" s="130"/>
      <c r="T1216" s="130"/>
      <c r="U1216" s="130"/>
      <c r="V1216" s="2107"/>
      <c r="W1216" s="611">
        <v>3.41</v>
      </c>
      <c r="X1216" s="611">
        <v>3.41</v>
      </c>
      <c r="Y1216" s="611"/>
      <c r="Z1216" s="611"/>
      <c r="AA1216" s="611"/>
      <c r="AB1216" s="611"/>
      <c r="AC1216" s="611"/>
      <c r="AD1216" s="611"/>
      <c r="AE1216" s="611"/>
      <c r="AF1216" s="611"/>
      <c r="AG1216" s="611"/>
    </row>
    <row r="1217" spans="1:33" s="56" customFormat="1" hidden="1" outlineLevel="1" x14ac:dyDescent="0.25">
      <c r="A1217" s="597"/>
      <c r="B1217" s="130"/>
      <c r="C1217" s="616"/>
      <c r="D1217" s="2101"/>
      <c r="E1217" s="2104"/>
      <c r="F1217" s="2110" t="str">
        <f>$E$926</f>
        <v>ASHP SEER 20 replace ASHP - early replacement MF ER1</v>
      </c>
      <c r="G1217" s="2111"/>
      <c r="H1217" s="2111"/>
      <c r="I1217" s="2112"/>
      <c r="J1217" s="709"/>
      <c r="K1217" s="730">
        <v>6.58</v>
      </c>
      <c r="L1217" s="669"/>
      <c r="M1217" s="613" t="s">
        <v>1793</v>
      </c>
      <c r="N1217" s="130"/>
      <c r="O1217" s="251"/>
      <c r="P1217" s="251"/>
      <c r="Q1217" s="251"/>
      <c r="R1217" s="251"/>
      <c r="S1217" s="130"/>
      <c r="T1217" s="130"/>
      <c r="U1217" s="130"/>
      <c r="V1217" s="2107"/>
      <c r="W1217" s="611">
        <v>5.44</v>
      </c>
      <c r="X1217" s="611">
        <v>5.44</v>
      </c>
      <c r="Y1217" s="611"/>
      <c r="Z1217" s="611"/>
      <c r="AA1217" s="611"/>
      <c r="AB1217" s="611"/>
      <c r="AC1217" s="611"/>
      <c r="AD1217" s="611"/>
      <c r="AE1217" s="611"/>
      <c r="AF1217" s="611"/>
      <c r="AG1217" s="611"/>
    </row>
    <row r="1218" spans="1:33" s="56" customFormat="1" hidden="1" outlineLevel="1" x14ac:dyDescent="0.25">
      <c r="A1218" s="597"/>
      <c r="B1218" s="130"/>
      <c r="C1218" s="616"/>
      <c r="D1218" s="2101"/>
      <c r="E1218" s="2104"/>
      <c r="F1218" s="2110" t="str">
        <f>$E$928</f>
        <v>ASHP SEER 20 replace ASHP - early replacement MF ER2</v>
      </c>
      <c r="G1218" s="2111"/>
      <c r="H1218" s="2111"/>
      <c r="I1218" s="2112"/>
      <c r="J1218" s="709"/>
      <c r="K1218" s="730">
        <v>8.1999999999999993</v>
      </c>
      <c r="L1218" s="670"/>
      <c r="M1218" s="613" t="s">
        <v>1841</v>
      </c>
      <c r="N1218" s="130"/>
      <c r="O1218" s="251"/>
      <c r="P1218" s="251"/>
      <c r="Q1218" s="251"/>
      <c r="R1218" s="251"/>
      <c r="S1218" s="130"/>
      <c r="T1218" s="130"/>
      <c r="U1218" s="130"/>
      <c r="V1218" s="2107"/>
      <c r="W1218" s="611">
        <v>8.1999999999999993</v>
      </c>
      <c r="X1218" s="611">
        <v>8.1999999999999993</v>
      </c>
      <c r="Y1218" s="611"/>
      <c r="Z1218" s="611"/>
      <c r="AA1218" s="611"/>
      <c r="AB1218" s="611"/>
      <c r="AC1218" s="611"/>
      <c r="AD1218" s="611"/>
      <c r="AE1218" s="611"/>
      <c r="AF1218" s="611"/>
      <c r="AG1218" s="611"/>
    </row>
    <row r="1219" spans="1:33" s="56" customFormat="1" hidden="1" outlineLevel="1" x14ac:dyDescent="0.25">
      <c r="A1219" s="597"/>
      <c r="B1219" s="130"/>
      <c r="C1219" s="616"/>
      <c r="D1219" s="2101"/>
      <c r="E1219" s="2104"/>
      <c r="F1219" s="2110" t="str">
        <f>$E$930</f>
        <v>ASHP SEER 21 replace ASHP - early replacement SF ER1</v>
      </c>
      <c r="G1219" s="2111"/>
      <c r="H1219" s="2111"/>
      <c r="I1219" s="2112"/>
      <c r="J1219" s="709"/>
      <c r="K1219" s="730">
        <v>6.58</v>
      </c>
      <c r="L1219" s="669"/>
      <c r="M1219" s="613" t="s">
        <v>1793</v>
      </c>
      <c r="N1219" s="130"/>
      <c r="O1219" s="251"/>
      <c r="P1219" s="251"/>
      <c r="Q1219" s="251"/>
      <c r="R1219" s="251"/>
      <c r="S1219" s="130"/>
      <c r="T1219" s="130"/>
      <c r="U1219" s="130"/>
      <c r="V1219" s="2107"/>
      <c r="W1219" s="611">
        <v>5.44</v>
      </c>
      <c r="X1219" s="611">
        <v>5.44</v>
      </c>
      <c r="Y1219" s="611"/>
      <c r="Z1219" s="611"/>
      <c r="AA1219" s="611"/>
      <c r="AB1219" s="611"/>
      <c r="AC1219" s="611"/>
      <c r="AD1219" s="611"/>
      <c r="AE1219" s="611"/>
      <c r="AF1219" s="611"/>
      <c r="AG1219" s="611"/>
    </row>
    <row r="1220" spans="1:33" s="56" customFormat="1" hidden="1" outlineLevel="1" x14ac:dyDescent="0.25">
      <c r="A1220" s="597"/>
      <c r="B1220" s="130"/>
      <c r="C1220" s="616"/>
      <c r="D1220" s="2101"/>
      <c r="E1220" s="2104"/>
      <c r="F1220" s="2110" t="str">
        <f>$E$932</f>
        <v>ASHP SEER 21 replace ASHP - early replacement SF ER2</v>
      </c>
      <c r="G1220" s="2111"/>
      <c r="H1220" s="2111"/>
      <c r="I1220" s="2112"/>
      <c r="J1220" s="709"/>
      <c r="K1220" s="730">
        <v>8.1999999999999993</v>
      </c>
      <c r="L1220" s="670"/>
      <c r="M1220" s="613" t="s">
        <v>1841</v>
      </c>
      <c r="N1220" s="130"/>
      <c r="O1220" s="251"/>
      <c r="P1220" s="251"/>
      <c r="Q1220" s="251"/>
      <c r="R1220" s="251"/>
      <c r="S1220" s="130"/>
      <c r="T1220" s="130"/>
      <c r="U1220" s="130"/>
      <c r="V1220" s="2107"/>
      <c r="W1220" s="611">
        <v>8.1999999999999993</v>
      </c>
      <c r="X1220" s="611">
        <v>8.1999999999999993</v>
      </c>
      <c r="Y1220" s="611"/>
      <c r="Z1220" s="611"/>
      <c r="AA1220" s="611"/>
      <c r="AB1220" s="611"/>
      <c r="AC1220" s="611"/>
      <c r="AD1220" s="611"/>
      <c r="AE1220" s="611"/>
      <c r="AF1220" s="611"/>
      <c r="AG1220" s="611"/>
    </row>
    <row r="1221" spans="1:33" s="56" customFormat="1" hidden="1" outlineLevel="1" x14ac:dyDescent="0.25">
      <c r="A1221" s="597"/>
      <c r="B1221" s="130"/>
      <c r="C1221" s="616"/>
      <c r="D1221" s="2101"/>
      <c r="E1221" s="2104"/>
      <c r="F1221" s="2110" t="str">
        <f>$E$934</f>
        <v>ASHP SEER 21 replace ASHP - replace on fail SF</v>
      </c>
      <c r="G1221" s="2111"/>
      <c r="H1221" s="2111"/>
      <c r="I1221" s="2112"/>
      <c r="J1221" s="709"/>
      <c r="K1221" s="730">
        <v>8.1999999999999993</v>
      </c>
      <c r="L1221" s="670"/>
      <c r="M1221" s="613" t="s">
        <v>1842</v>
      </c>
      <c r="N1221" s="130"/>
      <c r="O1221" s="251"/>
      <c r="P1221" s="251"/>
      <c r="Q1221" s="251"/>
      <c r="R1221" s="251"/>
      <c r="S1221" s="130"/>
      <c r="T1221" s="130"/>
      <c r="U1221" s="130"/>
      <c r="V1221" s="2107"/>
      <c r="W1221" s="611">
        <v>8.1999999999999993</v>
      </c>
      <c r="X1221" s="611">
        <v>8.1999999999999993</v>
      </c>
      <c r="Y1221" s="611"/>
      <c r="Z1221" s="611"/>
      <c r="AA1221" s="611"/>
      <c r="AB1221" s="611"/>
      <c r="AC1221" s="611"/>
      <c r="AD1221" s="611"/>
      <c r="AE1221" s="611"/>
      <c r="AF1221" s="611"/>
      <c r="AG1221" s="611"/>
    </row>
    <row r="1222" spans="1:33" s="56" customFormat="1" hidden="1" outlineLevel="1" x14ac:dyDescent="0.25">
      <c r="A1222" s="597"/>
      <c r="B1222" s="130"/>
      <c r="C1222" s="616"/>
      <c r="D1222" s="2101"/>
      <c r="E1222" s="2104"/>
      <c r="F1222" s="2110" t="str">
        <f>$E$936</f>
        <v>ASHP - SEER 21 - replace electric furnace / CAC MF</v>
      </c>
      <c r="G1222" s="2111"/>
      <c r="H1222" s="2111"/>
      <c r="I1222" s="2112"/>
      <c r="J1222" s="709"/>
      <c r="K1222" s="730">
        <v>3.41</v>
      </c>
      <c r="L1222" s="670"/>
      <c r="M1222" s="613" t="s">
        <v>1843</v>
      </c>
      <c r="N1222" s="130"/>
      <c r="O1222" s="251"/>
      <c r="P1222" s="251"/>
      <c r="Q1222" s="251"/>
      <c r="R1222" s="251"/>
      <c r="S1222" s="130"/>
      <c r="T1222" s="130"/>
      <c r="U1222" s="130"/>
      <c r="V1222" s="2107"/>
      <c r="W1222" s="611">
        <v>3.41</v>
      </c>
      <c r="X1222" s="611">
        <v>3.41</v>
      </c>
      <c r="Y1222" s="611"/>
      <c r="Z1222" s="611"/>
      <c r="AA1222" s="611"/>
      <c r="AB1222" s="611"/>
      <c r="AC1222" s="611"/>
      <c r="AD1222" s="611"/>
      <c r="AE1222" s="611"/>
      <c r="AF1222" s="611"/>
      <c r="AG1222" s="611"/>
    </row>
    <row r="1223" spans="1:33" s="56" customFormat="1" hidden="1" outlineLevel="1" x14ac:dyDescent="0.25">
      <c r="A1223" s="597"/>
      <c r="B1223" s="130"/>
      <c r="C1223" s="616"/>
      <c r="D1223" s="2101"/>
      <c r="E1223" s="2104"/>
      <c r="F1223" s="2110" t="str">
        <f>$E$938</f>
        <v>ASHP SEER 21 replace ASHP - early replacement MF ER1</v>
      </c>
      <c r="G1223" s="2111"/>
      <c r="H1223" s="2111"/>
      <c r="I1223" s="2112"/>
      <c r="J1223" s="709"/>
      <c r="K1223" s="730">
        <v>6.58</v>
      </c>
      <c r="L1223" s="669"/>
      <c r="M1223" s="613" t="s">
        <v>1793</v>
      </c>
      <c r="N1223" s="130"/>
      <c r="O1223" s="251"/>
      <c r="P1223" s="251"/>
      <c r="Q1223" s="251"/>
      <c r="R1223" s="251"/>
      <c r="S1223" s="130"/>
      <c r="T1223" s="130"/>
      <c r="U1223" s="130"/>
      <c r="V1223" s="2107"/>
      <c r="W1223" s="611">
        <v>5.44</v>
      </c>
      <c r="X1223" s="611">
        <v>5.44</v>
      </c>
      <c r="Y1223" s="611"/>
      <c r="Z1223" s="611"/>
      <c r="AA1223" s="611"/>
      <c r="AB1223" s="611"/>
      <c r="AC1223" s="611"/>
      <c r="AD1223" s="611"/>
      <c r="AE1223" s="611"/>
      <c r="AF1223" s="611"/>
      <c r="AG1223" s="611"/>
    </row>
    <row r="1224" spans="1:33" s="56" customFormat="1" hidden="1" outlineLevel="1" x14ac:dyDescent="0.25">
      <c r="A1224" s="597"/>
      <c r="B1224" s="130"/>
      <c r="C1224" s="616"/>
      <c r="D1224" s="2101"/>
      <c r="E1224" s="2104"/>
      <c r="F1224" s="2110" t="str">
        <f>$E$940</f>
        <v>ASHP SEER 21 replace ASHP - early replacement MF ER2</v>
      </c>
      <c r="G1224" s="2111"/>
      <c r="H1224" s="2111"/>
      <c r="I1224" s="2112"/>
      <c r="J1224" s="709"/>
      <c r="K1224" s="730">
        <v>8.1999999999999993</v>
      </c>
      <c r="L1224" s="669"/>
      <c r="M1224" s="613" t="s">
        <v>1841</v>
      </c>
      <c r="N1224" s="130"/>
      <c r="O1224" s="251"/>
      <c r="P1224" s="251"/>
      <c r="Q1224" s="251"/>
      <c r="R1224" s="251"/>
      <c r="S1224" s="130"/>
      <c r="T1224" s="130"/>
      <c r="U1224" s="130"/>
      <c r="V1224" s="2107"/>
      <c r="W1224" s="611">
        <v>8.1999999999999993</v>
      </c>
      <c r="X1224" s="611">
        <v>8.1999999999999993</v>
      </c>
      <c r="Y1224" s="611"/>
      <c r="Z1224" s="611"/>
      <c r="AA1224" s="611"/>
      <c r="AB1224" s="611"/>
      <c r="AC1224" s="611"/>
      <c r="AD1224" s="611"/>
      <c r="AE1224" s="611"/>
      <c r="AF1224" s="611"/>
      <c r="AG1224" s="611"/>
    </row>
    <row r="1225" spans="1:33" s="56" customFormat="1" ht="15" hidden="1" customHeight="1" outlineLevel="1" x14ac:dyDescent="0.25">
      <c r="A1225" s="724"/>
      <c r="B1225" s="130"/>
      <c r="C1225" s="616"/>
      <c r="D1225" s="2101"/>
      <c r="E1225" s="2104"/>
      <c r="F1225" s="2110" t="str">
        <f>$E$942</f>
        <v>ASHP - SEER 17 - replace on fail MF</v>
      </c>
      <c r="G1225" s="2111"/>
      <c r="H1225" s="2111"/>
      <c r="I1225" s="2112"/>
      <c r="J1225" s="709" t="s">
        <v>1198</v>
      </c>
      <c r="K1225" s="730">
        <v>8.1999999999999993</v>
      </c>
      <c r="L1225" s="670"/>
      <c r="M1225" s="613" t="s">
        <v>1841</v>
      </c>
      <c r="N1225" s="130"/>
      <c r="O1225" s="251"/>
      <c r="P1225" s="766"/>
      <c r="Q1225" s="767"/>
      <c r="R1225" s="766"/>
      <c r="S1225" s="752"/>
      <c r="T1225" s="760"/>
      <c r="U1225" s="130"/>
      <c r="V1225" s="2107"/>
      <c r="W1225" s="611">
        <v>8.1999999999999993</v>
      </c>
      <c r="X1225" s="611">
        <v>8.1999999999999993</v>
      </c>
      <c r="Y1225" s="611"/>
      <c r="Z1225" s="611"/>
      <c r="AA1225" s="611"/>
      <c r="AB1225" s="611"/>
      <c r="AC1225" s="611"/>
      <c r="AD1225" s="611"/>
      <c r="AE1225" s="611"/>
      <c r="AF1225" s="611"/>
      <c r="AG1225" s="611"/>
    </row>
    <row r="1226" spans="1:33" s="56" customFormat="1" ht="15" hidden="1" customHeight="1" outlineLevel="1" x14ac:dyDescent="0.25">
      <c r="A1226" s="724"/>
      <c r="B1226" s="130"/>
      <c r="C1226" s="616"/>
      <c r="D1226" s="2101"/>
      <c r="E1226" s="2104"/>
      <c r="F1226" s="2110" t="str">
        <f>$E$944</f>
        <v>ASHP - SEER 18 - replace on fail MF</v>
      </c>
      <c r="G1226" s="2111"/>
      <c r="H1226" s="2111"/>
      <c r="I1226" s="2112"/>
      <c r="J1226" s="709" t="s">
        <v>1199</v>
      </c>
      <c r="K1226" s="730">
        <v>8.1999999999999993</v>
      </c>
      <c r="L1226" s="670"/>
      <c r="M1226" s="613" t="s">
        <v>1841</v>
      </c>
      <c r="N1226" s="130"/>
      <c r="O1226" s="251"/>
      <c r="P1226" s="766"/>
      <c r="Q1226" s="767"/>
      <c r="R1226" s="766"/>
      <c r="S1226" s="752"/>
      <c r="T1226" s="760"/>
      <c r="U1226" s="130"/>
      <c r="V1226" s="2107"/>
      <c r="W1226" s="611">
        <v>8.1999999999999993</v>
      </c>
      <c r="X1226" s="611">
        <v>8.1999999999999993</v>
      </c>
      <c r="Y1226" s="611"/>
      <c r="Z1226" s="611"/>
      <c r="AA1226" s="611"/>
      <c r="AB1226" s="611"/>
      <c r="AC1226" s="611"/>
      <c r="AD1226" s="611"/>
      <c r="AE1226" s="611"/>
      <c r="AF1226" s="611"/>
      <c r="AG1226" s="611"/>
    </row>
    <row r="1227" spans="1:33" s="56" customFormat="1" ht="15" hidden="1" customHeight="1" outlineLevel="1" x14ac:dyDescent="0.25">
      <c r="A1227" s="597"/>
      <c r="B1227" s="130"/>
      <c r="C1227" s="616"/>
      <c r="D1227" s="2101"/>
      <c r="E1227" s="2104"/>
      <c r="F1227" s="2110" t="str">
        <f>$E$946</f>
        <v>ASHP - SEER 19 - replace on fail MF</v>
      </c>
      <c r="G1227" s="2111"/>
      <c r="H1227" s="2111"/>
      <c r="I1227" s="2112"/>
      <c r="J1227" s="709" t="s">
        <v>1200</v>
      </c>
      <c r="K1227" s="730">
        <v>8.1999999999999993</v>
      </c>
      <c r="L1227" s="670"/>
      <c r="M1227" s="613" t="s">
        <v>1841</v>
      </c>
      <c r="N1227" s="130"/>
      <c r="O1227" s="251"/>
      <c r="P1227" s="251"/>
      <c r="Q1227" s="251"/>
      <c r="R1227" s="251"/>
      <c r="S1227" s="130"/>
      <c r="T1227" s="130"/>
      <c r="U1227" s="130"/>
      <c r="V1227" s="2107"/>
      <c r="W1227" s="611">
        <v>8.1999999999999993</v>
      </c>
      <c r="X1227" s="611">
        <v>8.1999999999999993</v>
      </c>
      <c r="Y1227" s="611"/>
      <c r="Z1227" s="611"/>
      <c r="AA1227" s="611"/>
      <c r="AB1227" s="611"/>
      <c r="AC1227" s="611"/>
      <c r="AD1227" s="611"/>
      <c r="AE1227" s="611"/>
      <c r="AF1227" s="611"/>
      <c r="AG1227" s="611"/>
    </row>
    <row r="1228" spans="1:33" s="56" customFormat="1" ht="15" hidden="1" customHeight="1" outlineLevel="1" x14ac:dyDescent="0.25">
      <c r="A1228" s="597"/>
      <c r="B1228" s="130"/>
      <c r="C1228" s="616"/>
      <c r="D1228" s="2101"/>
      <c r="E1228" s="2104"/>
      <c r="F1228" s="2110" t="str">
        <f>$E$948</f>
        <v>ASHP - SEER 20 - replace on fail MF</v>
      </c>
      <c r="G1228" s="2111"/>
      <c r="H1228" s="2111"/>
      <c r="I1228" s="2112"/>
      <c r="J1228" s="709" t="s">
        <v>1201</v>
      </c>
      <c r="K1228" s="730">
        <v>8.1999999999999993</v>
      </c>
      <c r="L1228" s="670"/>
      <c r="M1228" s="613" t="s">
        <v>1841</v>
      </c>
      <c r="N1228" s="130"/>
      <c r="O1228" s="251"/>
      <c r="P1228" s="251"/>
      <c r="Q1228" s="251"/>
      <c r="R1228" s="251"/>
      <c r="S1228" s="130"/>
      <c r="T1228" s="130"/>
      <c r="U1228" s="130"/>
      <c r="V1228" s="2107"/>
      <c r="W1228" s="611">
        <v>8.1999999999999993</v>
      </c>
      <c r="X1228" s="611">
        <v>8.1999999999999993</v>
      </c>
      <c r="Y1228" s="611"/>
      <c r="Z1228" s="611"/>
      <c r="AA1228" s="611"/>
      <c r="AB1228" s="611"/>
      <c r="AC1228" s="611"/>
      <c r="AD1228" s="611"/>
      <c r="AE1228" s="611"/>
      <c r="AF1228" s="611"/>
      <c r="AG1228" s="611"/>
    </row>
    <row r="1229" spans="1:33" s="56" customFormat="1" ht="15.75" hidden="1" customHeight="1" outlineLevel="1" thickBot="1" x14ac:dyDescent="0.3">
      <c r="A1229" s="724"/>
      <c r="B1229" s="130"/>
      <c r="C1229" s="616"/>
      <c r="D1229" s="2102"/>
      <c r="E1229" s="2105"/>
      <c r="F1229" s="2110" t="str">
        <f>$E$950</f>
        <v>ASHP - SEER 21 - replace on fail MF</v>
      </c>
      <c r="G1229" s="2111"/>
      <c r="H1229" s="2111"/>
      <c r="I1229" s="2112"/>
      <c r="J1229" s="712" t="s">
        <v>1202</v>
      </c>
      <c r="K1229" s="622">
        <v>8.1999999999999993</v>
      </c>
      <c r="L1229" s="771"/>
      <c r="M1229" s="613" t="s">
        <v>1841</v>
      </c>
      <c r="N1229" s="130"/>
      <c r="O1229" s="251"/>
      <c r="P1229" s="766"/>
      <c r="Q1229" s="767"/>
      <c r="R1229" s="766"/>
      <c r="S1229" s="752"/>
      <c r="T1229" s="760"/>
      <c r="U1229" s="130"/>
      <c r="V1229" s="2108"/>
      <c r="W1229" s="622">
        <v>8.1999999999999993</v>
      </c>
      <c r="X1229" s="622">
        <v>8.1999999999999993</v>
      </c>
      <c r="Y1229" s="622"/>
      <c r="Z1229" s="622"/>
      <c r="AA1229" s="622"/>
      <c r="AB1229" s="622"/>
      <c r="AC1229" s="622"/>
      <c r="AD1229" s="622"/>
      <c r="AE1229" s="622"/>
      <c r="AF1229" s="622"/>
      <c r="AG1229" s="622"/>
    </row>
    <row r="1230" spans="1:33" s="56" customFormat="1" ht="15" hidden="1" customHeight="1" outlineLevel="1" x14ac:dyDescent="0.25">
      <c r="A1230" s="724"/>
      <c r="B1230" s="130"/>
      <c r="C1230" s="616"/>
      <c r="D1230" s="2100" t="s">
        <v>1035</v>
      </c>
      <c r="E1230" s="2103" t="s">
        <v>1203</v>
      </c>
      <c r="F1230" s="2109" t="str">
        <f>$E$780</f>
        <v>ASHP - SEER 15 ER Elec Resist Furnace: HVAC ER1</v>
      </c>
      <c r="G1230" s="2109"/>
      <c r="H1230" s="2109"/>
      <c r="I1230" s="2109"/>
      <c r="J1230" s="707">
        <v>919</v>
      </c>
      <c r="K1230" s="727">
        <v>8.69</v>
      </c>
      <c r="L1230" s="660"/>
      <c r="M1230" s="772" t="s">
        <v>1794</v>
      </c>
      <c r="N1230" s="130"/>
      <c r="O1230" s="251"/>
      <c r="P1230" s="766"/>
      <c r="Q1230" s="766"/>
      <c r="R1230" s="766"/>
      <c r="S1230" s="752"/>
      <c r="T1230" s="760"/>
      <c r="U1230" s="130"/>
      <c r="V1230" s="2106" t="s">
        <v>1035</v>
      </c>
      <c r="W1230" s="605">
        <v>8.6999999999999993</v>
      </c>
      <c r="X1230" s="624">
        <v>8.69</v>
      </c>
      <c r="Y1230" s="605"/>
      <c r="Z1230" s="605"/>
      <c r="AA1230" s="605"/>
      <c r="AB1230" s="605"/>
      <c r="AC1230" s="605"/>
      <c r="AD1230" s="605"/>
      <c r="AE1230" s="605"/>
      <c r="AF1230" s="605"/>
      <c r="AG1230" s="605"/>
    </row>
    <row r="1231" spans="1:33" s="56" customFormat="1" ht="15" hidden="1" customHeight="1" outlineLevel="1" x14ac:dyDescent="0.25">
      <c r="A1231" s="724"/>
      <c r="B1231" s="130"/>
      <c r="C1231" s="616"/>
      <c r="D1231" s="2101"/>
      <c r="E1231" s="2104"/>
      <c r="F1231" s="2110" t="str">
        <f>$E$782</f>
        <v>ASHP - SEER 15 ER Elec Resist Furnace: HVAC ER2</v>
      </c>
      <c r="G1231" s="2111"/>
      <c r="H1231" s="2111"/>
      <c r="I1231" s="2112"/>
      <c r="J1231" s="709" t="s">
        <v>1156</v>
      </c>
      <c r="K1231" s="730">
        <v>8.69</v>
      </c>
      <c r="L1231" s="669"/>
      <c r="M1231" s="754" t="s">
        <v>1794</v>
      </c>
      <c r="N1231" s="130"/>
      <c r="O1231" s="251"/>
      <c r="P1231" s="766"/>
      <c r="Q1231" s="766"/>
      <c r="R1231" s="766"/>
      <c r="S1231" s="752"/>
      <c r="T1231" s="760"/>
      <c r="U1231" s="130"/>
      <c r="V1231" s="2107"/>
      <c r="W1231" s="611">
        <v>8.6999999999999993</v>
      </c>
      <c r="X1231" s="614">
        <v>8.69</v>
      </c>
      <c r="Y1231" s="611"/>
      <c r="Z1231" s="611"/>
      <c r="AA1231" s="611"/>
      <c r="AB1231" s="611"/>
      <c r="AC1231" s="611"/>
      <c r="AD1231" s="611"/>
      <c r="AE1231" s="611"/>
      <c r="AF1231" s="611"/>
      <c r="AG1231" s="611"/>
    </row>
    <row r="1232" spans="1:33" s="56" customFormat="1" ht="15" hidden="1" customHeight="1" outlineLevel="1" x14ac:dyDescent="0.25">
      <c r="A1232" s="724"/>
      <c r="B1232" s="130"/>
      <c r="C1232" s="616"/>
      <c r="D1232" s="2101"/>
      <c r="E1232" s="2104"/>
      <c r="F1232" s="2110" t="str">
        <f>$E$784</f>
        <v>ASHP - SEER 15 ER with ASHP: HVAC ER1</v>
      </c>
      <c r="G1232" s="2111"/>
      <c r="H1232" s="2111"/>
      <c r="I1232" s="2112"/>
      <c r="J1232" s="709">
        <v>920</v>
      </c>
      <c r="K1232" s="730">
        <v>8.69</v>
      </c>
      <c r="L1232" s="669"/>
      <c r="M1232" s="754" t="s">
        <v>1794</v>
      </c>
      <c r="N1232" s="130"/>
      <c r="O1232" s="251"/>
      <c r="P1232" s="766"/>
      <c r="Q1232" s="766"/>
      <c r="R1232" s="766"/>
      <c r="S1232" s="752"/>
      <c r="T1232" s="760"/>
      <c r="U1232" s="130"/>
      <c r="V1232" s="2107"/>
      <c r="W1232" s="611">
        <v>8.6999999999999993</v>
      </c>
      <c r="X1232" s="614">
        <v>8.69</v>
      </c>
      <c r="Y1232" s="611"/>
      <c r="Z1232" s="611"/>
      <c r="AA1232" s="611"/>
      <c r="AB1232" s="611"/>
      <c r="AC1232" s="611"/>
      <c r="AD1232" s="611"/>
      <c r="AE1232" s="611"/>
      <c r="AF1232" s="611"/>
      <c r="AG1232" s="611"/>
    </row>
    <row r="1233" spans="1:33" s="56" customFormat="1" ht="15" hidden="1" customHeight="1" outlineLevel="1" x14ac:dyDescent="0.25">
      <c r="A1233" s="724"/>
      <c r="B1233" s="130"/>
      <c r="C1233" s="616"/>
      <c r="D1233" s="2101"/>
      <c r="E1233" s="2104"/>
      <c r="F1233" s="2110" t="str">
        <f>$E$786</f>
        <v>ASHP - SEER 15 ER with ASHP: HVAC ER2</v>
      </c>
      <c r="G1233" s="2111"/>
      <c r="H1233" s="2111"/>
      <c r="I1233" s="2112"/>
      <c r="J1233" s="709" t="s">
        <v>1159</v>
      </c>
      <c r="K1233" s="730">
        <v>8.69</v>
      </c>
      <c r="L1233" s="669"/>
      <c r="M1233" s="754" t="s">
        <v>1794</v>
      </c>
      <c r="N1233" s="130"/>
      <c r="O1233" s="251"/>
      <c r="P1233" s="766"/>
      <c r="Q1233" s="766"/>
      <c r="R1233" s="766"/>
      <c r="S1233" s="752"/>
      <c r="T1233" s="760"/>
      <c r="U1233" s="130"/>
      <c r="V1233" s="2107"/>
      <c r="W1233" s="611">
        <v>8.6999999999999993</v>
      </c>
      <c r="X1233" s="614">
        <v>8.69</v>
      </c>
      <c r="Y1233" s="611"/>
      <c r="Z1233" s="611"/>
      <c r="AA1233" s="611"/>
      <c r="AB1233" s="611"/>
      <c r="AC1233" s="611"/>
      <c r="AD1233" s="611"/>
      <c r="AE1233" s="611"/>
      <c r="AF1233" s="611"/>
      <c r="AG1233" s="611"/>
    </row>
    <row r="1234" spans="1:33" s="56" customFormat="1" ht="15" hidden="1" customHeight="1" outlineLevel="1" x14ac:dyDescent="0.25">
      <c r="A1234" s="724"/>
      <c r="B1234" s="130"/>
      <c r="C1234" s="616"/>
      <c r="D1234" s="2101"/>
      <c r="E1234" s="2104"/>
      <c r="F1234" s="2110" t="str">
        <f>$E$788</f>
        <v>ASHP-  SEER 15 Replace at Fail Elec Resist Furnace: HVAC</v>
      </c>
      <c r="G1234" s="2111"/>
      <c r="H1234" s="2111"/>
      <c r="I1234" s="2112"/>
      <c r="J1234" s="709">
        <v>921</v>
      </c>
      <c r="K1234" s="730">
        <v>8.69</v>
      </c>
      <c r="L1234" s="670"/>
      <c r="M1234" s="754" t="s">
        <v>1794</v>
      </c>
      <c r="N1234" s="130"/>
      <c r="O1234" s="251"/>
      <c r="P1234" s="766"/>
      <c r="Q1234" s="766"/>
      <c r="R1234" s="766"/>
      <c r="S1234" s="752"/>
      <c r="T1234" s="760"/>
      <c r="U1234" s="130"/>
      <c r="V1234" s="2107"/>
      <c r="W1234" s="611">
        <v>8.6</v>
      </c>
      <c r="X1234" s="614">
        <v>8.69</v>
      </c>
      <c r="Y1234" s="611"/>
      <c r="Z1234" s="611"/>
      <c r="AA1234" s="611"/>
      <c r="AB1234" s="611"/>
      <c r="AC1234" s="611"/>
      <c r="AD1234" s="611"/>
      <c r="AE1234" s="611"/>
      <c r="AF1234" s="611"/>
      <c r="AG1234" s="611"/>
    </row>
    <row r="1235" spans="1:33" s="56" customFormat="1" ht="15" hidden="1" customHeight="1" outlineLevel="1" x14ac:dyDescent="0.25">
      <c r="A1235" s="724"/>
      <c r="B1235" s="130"/>
      <c r="C1235" s="616"/>
      <c r="D1235" s="2101"/>
      <c r="E1235" s="2104"/>
      <c r="F1235" s="2110" t="str">
        <f>$E$790</f>
        <v>ASHP - SEER 15 Replace at Fail with ASHP: HVAC</v>
      </c>
      <c r="G1235" s="2111"/>
      <c r="H1235" s="2111"/>
      <c r="I1235" s="2112"/>
      <c r="J1235" s="709">
        <v>922</v>
      </c>
      <c r="K1235" s="730">
        <v>8.69</v>
      </c>
      <c r="L1235" s="670"/>
      <c r="M1235" s="754" t="s">
        <v>1794</v>
      </c>
      <c r="N1235" s="130"/>
      <c r="O1235" s="251"/>
      <c r="P1235" s="766"/>
      <c r="Q1235" s="766"/>
      <c r="R1235" s="766"/>
      <c r="S1235" s="752"/>
      <c r="T1235" s="760"/>
      <c r="U1235" s="130"/>
      <c r="V1235" s="2107"/>
      <c r="W1235" s="611">
        <v>8.6999999999999993</v>
      </c>
      <c r="X1235" s="614">
        <v>8.69</v>
      </c>
      <c r="Y1235" s="611"/>
      <c r="Z1235" s="611"/>
      <c r="AA1235" s="611"/>
      <c r="AB1235" s="611"/>
      <c r="AC1235" s="611"/>
      <c r="AD1235" s="611"/>
      <c r="AE1235" s="611"/>
      <c r="AF1235" s="611"/>
      <c r="AG1235" s="611"/>
    </row>
    <row r="1236" spans="1:33" s="56" customFormat="1" ht="15" hidden="1" customHeight="1" outlineLevel="1" x14ac:dyDescent="0.25">
      <c r="A1236" s="724"/>
      <c r="B1236" s="130"/>
      <c r="C1236" s="616"/>
      <c r="D1236" s="2101"/>
      <c r="E1236" s="2104"/>
      <c r="F1236" s="2110" t="str">
        <f>$E$792</f>
        <v>ASHP - SEER 16 - replace electric furnace / CAC - early replacement SF ER1</v>
      </c>
      <c r="G1236" s="2111"/>
      <c r="H1236" s="2111"/>
      <c r="I1236" s="2112"/>
      <c r="J1236" s="709">
        <v>923</v>
      </c>
      <c r="K1236" s="730">
        <v>8.69</v>
      </c>
      <c r="L1236" s="670"/>
      <c r="M1236" s="754" t="s">
        <v>1794</v>
      </c>
      <c r="N1236" s="130"/>
      <c r="O1236" s="251"/>
      <c r="P1236" s="766"/>
      <c r="Q1236" s="766"/>
      <c r="R1236" s="766"/>
      <c r="S1236" s="752"/>
      <c r="T1236" s="760"/>
      <c r="U1236" s="130"/>
      <c r="V1236" s="2107"/>
      <c r="W1236" s="611">
        <v>9.4</v>
      </c>
      <c r="X1236" s="614">
        <v>8.69</v>
      </c>
      <c r="Y1236" s="611"/>
      <c r="Z1236" s="611"/>
      <c r="AA1236" s="611"/>
      <c r="AB1236" s="611"/>
      <c r="AC1236" s="611"/>
      <c r="AD1236" s="611"/>
      <c r="AE1236" s="611"/>
      <c r="AF1236" s="611"/>
      <c r="AG1236" s="611"/>
    </row>
    <row r="1237" spans="1:33" s="56" customFormat="1" ht="15" hidden="1" customHeight="1" outlineLevel="1" x14ac:dyDescent="0.25">
      <c r="A1237" s="724"/>
      <c r="B1237" s="130"/>
      <c r="C1237" s="616"/>
      <c r="D1237" s="2101"/>
      <c r="E1237" s="2104"/>
      <c r="F1237" s="2110" t="str">
        <f>$E$794</f>
        <v>ASHP - SEER 16 - replace electric furnace / CAC - early replacement SF ER2</v>
      </c>
      <c r="G1237" s="2111"/>
      <c r="H1237" s="2111"/>
      <c r="I1237" s="2112"/>
      <c r="J1237" s="709" t="s">
        <v>1161</v>
      </c>
      <c r="K1237" s="730">
        <v>8.69</v>
      </c>
      <c r="L1237" s="670"/>
      <c r="M1237" s="754" t="s">
        <v>1794</v>
      </c>
      <c r="N1237" s="130"/>
      <c r="O1237" s="251"/>
      <c r="P1237" s="766"/>
      <c r="Q1237" s="766"/>
      <c r="R1237" s="766"/>
      <c r="S1237" s="752"/>
      <c r="T1237" s="760"/>
      <c r="U1237" s="130"/>
      <c r="V1237" s="2107"/>
      <c r="W1237" s="611">
        <v>9.4</v>
      </c>
      <c r="X1237" s="614">
        <v>8.69</v>
      </c>
      <c r="Y1237" s="611"/>
      <c r="Z1237" s="611"/>
      <c r="AA1237" s="611"/>
      <c r="AB1237" s="611"/>
      <c r="AC1237" s="611"/>
      <c r="AD1237" s="611"/>
      <c r="AE1237" s="611"/>
      <c r="AF1237" s="611"/>
      <c r="AG1237" s="611"/>
    </row>
    <row r="1238" spans="1:33" s="56" customFormat="1" ht="15" hidden="1" customHeight="1" outlineLevel="1" x14ac:dyDescent="0.25">
      <c r="A1238" s="724"/>
      <c r="B1238" s="130"/>
      <c r="C1238" s="616"/>
      <c r="D1238" s="2101"/>
      <c r="E1238" s="2104"/>
      <c r="F1238" s="2110" t="str">
        <f>$E$796</f>
        <v>ASHP SEER 16 replace ASHP - early replacement SF ER1</v>
      </c>
      <c r="G1238" s="2111"/>
      <c r="H1238" s="2111"/>
      <c r="I1238" s="2112"/>
      <c r="J1238" s="709">
        <v>924</v>
      </c>
      <c r="K1238" s="730">
        <v>8.69</v>
      </c>
      <c r="L1238" s="670"/>
      <c r="M1238" s="754" t="s">
        <v>1794</v>
      </c>
      <c r="N1238" s="130"/>
      <c r="O1238" s="251"/>
      <c r="P1238" s="766"/>
      <c r="Q1238" s="766"/>
      <c r="R1238" s="766"/>
      <c r="S1238" s="752"/>
      <c r="T1238" s="760"/>
      <c r="U1238" s="130"/>
      <c r="V1238" s="2107"/>
      <c r="W1238" s="611">
        <v>9.5</v>
      </c>
      <c r="X1238" s="614">
        <v>8.69</v>
      </c>
      <c r="Y1238" s="611"/>
      <c r="Z1238" s="611"/>
      <c r="AA1238" s="611"/>
      <c r="AB1238" s="611"/>
      <c r="AC1238" s="611"/>
      <c r="AD1238" s="611"/>
      <c r="AE1238" s="611"/>
      <c r="AF1238" s="611"/>
      <c r="AG1238" s="611"/>
    </row>
    <row r="1239" spans="1:33" s="56" customFormat="1" ht="15" hidden="1" customHeight="1" outlineLevel="1" x14ac:dyDescent="0.25">
      <c r="A1239" s="724"/>
      <c r="B1239" s="130"/>
      <c r="C1239" s="616"/>
      <c r="D1239" s="2101"/>
      <c r="E1239" s="2104"/>
      <c r="F1239" s="2110" t="str">
        <f>$E$798</f>
        <v>ASHP SEER 16 replace ASHP - early replacement SF ER2</v>
      </c>
      <c r="G1239" s="2111"/>
      <c r="H1239" s="2111"/>
      <c r="I1239" s="2112"/>
      <c r="J1239" s="709" t="s">
        <v>1163</v>
      </c>
      <c r="K1239" s="730">
        <v>8.69</v>
      </c>
      <c r="L1239" s="670"/>
      <c r="M1239" s="754" t="s">
        <v>1794</v>
      </c>
      <c r="N1239" s="130"/>
      <c r="O1239" s="251"/>
      <c r="P1239" s="766"/>
      <c r="Q1239" s="766"/>
      <c r="R1239" s="766"/>
      <c r="S1239" s="752"/>
      <c r="T1239" s="760"/>
      <c r="U1239" s="130"/>
      <c r="V1239" s="2107"/>
      <c r="W1239" s="611">
        <v>9.5</v>
      </c>
      <c r="X1239" s="614">
        <v>8.69</v>
      </c>
      <c r="Y1239" s="611"/>
      <c r="Z1239" s="611"/>
      <c r="AA1239" s="611"/>
      <c r="AB1239" s="611"/>
      <c r="AC1239" s="611"/>
      <c r="AD1239" s="611"/>
      <c r="AE1239" s="611"/>
      <c r="AF1239" s="611"/>
      <c r="AG1239" s="611"/>
    </row>
    <row r="1240" spans="1:33" s="56" customFormat="1" ht="15" hidden="1" customHeight="1" outlineLevel="1" x14ac:dyDescent="0.25">
      <c r="A1240" s="724"/>
      <c r="B1240" s="130"/>
      <c r="C1240" s="616"/>
      <c r="D1240" s="2101"/>
      <c r="E1240" s="2104"/>
      <c r="F1240" s="2110" t="str">
        <f>$E$800</f>
        <v>ASHP - SEER 16 - replace electric furnace / CAC SF</v>
      </c>
      <c r="G1240" s="2111"/>
      <c r="H1240" s="2111"/>
      <c r="I1240" s="2112"/>
      <c r="J1240" s="709">
        <v>925</v>
      </c>
      <c r="K1240" s="730">
        <v>8.69</v>
      </c>
      <c r="L1240" s="670"/>
      <c r="M1240" s="754" t="s">
        <v>1794</v>
      </c>
      <c r="N1240" s="130"/>
      <c r="O1240" s="251"/>
      <c r="P1240" s="766"/>
      <c r="Q1240" s="766"/>
      <c r="R1240" s="766"/>
      <c r="S1240" s="752"/>
      <c r="T1240" s="760"/>
      <c r="U1240" s="130"/>
      <c r="V1240" s="2107"/>
      <c r="W1240" s="611">
        <v>9.6999999999999993</v>
      </c>
      <c r="X1240" s="614">
        <v>8.69</v>
      </c>
      <c r="Y1240" s="611"/>
      <c r="Z1240" s="611"/>
      <c r="AA1240" s="611"/>
      <c r="AB1240" s="611"/>
      <c r="AC1240" s="611"/>
      <c r="AD1240" s="611"/>
      <c r="AE1240" s="611"/>
      <c r="AF1240" s="611"/>
      <c r="AG1240" s="611"/>
    </row>
    <row r="1241" spans="1:33" s="56" customFormat="1" ht="15" hidden="1" customHeight="1" outlineLevel="1" x14ac:dyDescent="0.25">
      <c r="A1241" s="724"/>
      <c r="B1241" s="130"/>
      <c r="C1241" s="616"/>
      <c r="D1241" s="2101"/>
      <c r="E1241" s="2104"/>
      <c r="F1241" s="2110" t="str">
        <f>$E$802</f>
        <v>ASHP SEER 16 replace ASHP - replace on fail SF</v>
      </c>
      <c r="G1241" s="2111"/>
      <c r="H1241" s="2111"/>
      <c r="I1241" s="2112"/>
      <c r="J1241" s="709">
        <v>926</v>
      </c>
      <c r="K1241" s="730">
        <v>8.69</v>
      </c>
      <c r="L1241" s="670"/>
      <c r="M1241" s="754" t="s">
        <v>1794</v>
      </c>
      <c r="N1241" s="130"/>
      <c r="O1241" s="251"/>
      <c r="P1241" s="766"/>
      <c r="Q1241" s="766"/>
      <c r="R1241" s="766"/>
      <c r="S1241" s="752"/>
      <c r="T1241" s="760"/>
      <c r="U1241" s="130"/>
      <c r="V1241" s="2107"/>
      <c r="W1241" s="611">
        <v>9.8000000000000007</v>
      </c>
      <c r="X1241" s="614">
        <v>8.69</v>
      </c>
      <c r="Y1241" s="611"/>
      <c r="Z1241" s="611"/>
      <c r="AA1241" s="611"/>
      <c r="AB1241" s="611"/>
      <c r="AC1241" s="611"/>
      <c r="AD1241" s="611"/>
      <c r="AE1241" s="611"/>
      <c r="AF1241" s="611"/>
      <c r="AG1241" s="611"/>
    </row>
    <row r="1242" spans="1:33" s="56" customFormat="1" ht="15" hidden="1" customHeight="1" outlineLevel="1" x14ac:dyDescent="0.25">
      <c r="A1242" s="724"/>
      <c r="B1242" s="130"/>
      <c r="C1242" s="616"/>
      <c r="D1242" s="2101"/>
      <c r="E1242" s="2104"/>
      <c r="F1242" s="2110" t="str">
        <f>$E$804</f>
        <v>ASHP SEER 15 MFMR / MFLI ER Replace ASHP: HVAC ER1</v>
      </c>
      <c r="G1242" s="2111"/>
      <c r="H1242" s="2111"/>
      <c r="I1242" s="2112"/>
      <c r="J1242" s="709">
        <v>1239</v>
      </c>
      <c r="K1242" s="730">
        <v>8.6999999999999993</v>
      </c>
      <c r="L1242" s="670"/>
      <c r="M1242" s="754" t="s">
        <v>977</v>
      </c>
      <c r="N1242" s="130"/>
      <c r="O1242" s="251"/>
      <c r="P1242" s="766"/>
      <c r="Q1242" s="766"/>
      <c r="R1242" s="766"/>
      <c r="S1242" s="752"/>
      <c r="T1242" s="760"/>
      <c r="U1242" s="130"/>
      <c r="V1242" s="2107"/>
      <c r="W1242" s="611">
        <v>8.6999999999999993</v>
      </c>
      <c r="X1242" s="611">
        <v>8.6999999999999993</v>
      </c>
      <c r="Y1242" s="611"/>
      <c r="Z1242" s="611"/>
      <c r="AA1242" s="611"/>
      <c r="AB1242" s="611"/>
      <c r="AC1242" s="611"/>
      <c r="AD1242" s="611"/>
      <c r="AE1242" s="611"/>
      <c r="AF1242" s="611"/>
      <c r="AG1242" s="611"/>
    </row>
    <row r="1243" spans="1:33" s="56" customFormat="1" ht="15" hidden="1" customHeight="1" outlineLevel="1" x14ac:dyDescent="0.25">
      <c r="A1243" s="724"/>
      <c r="B1243" s="130"/>
      <c r="C1243" s="616"/>
      <c r="D1243" s="2101"/>
      <c r="E1243" s="2104"/>
      <c r="F1243" s="2110" t="str">
        <f>$E$806</f>
        <v>ASHP SEER 15 MF ER Replace ASHP: HVAC ER2</v>
      </c>
      <c r="G1243" s="2111"/>
      <c r="H1243" s="2111"/>
      <c r="I1243" s="2112"/>
      <c r="J1243" s="709" t="s">
        <v>1166</v>
      </c>
      <c r="K1243" s="730">
        <v>8.6999999999999993</v>
      </c>
      <c r="L1243" s="670"/>
      <c r="M1243" s="754" t="s">
        <v>977</v>
      </c>
      <c r="N1243" s="130"/>
      <c r="O1243" s="251"/>
      <c r="P1243" s="766"/>
      <c r="Q1243" s="766"/>
      <c r="R1243" s="766"/>
      <c r="S1243" s="752"/>
      <c r="T1243" s="760"/>
      <c r="U1243" s="130"/>
      <c r="V1243" s="2107"/>
      <c r="W1243" s="611">
        <v>8.6999999999999993</v>
      </c>
      <c r="X1243" s="611">
        <v>8.6999999999999993</v>
      </c>
      <c r="Y1243" s="611"/>
      <c r="Z1243" s="611"/>
      <c r="AA1243" s="611"/>
      <c r="AB1243" s="611"/>
      <c r="AC1243" s="611"/>
      <c r="AD1243" s="611"/>
      <c r="AE1243" s="611"/>
      <c r="AF1243" s="611"/>
      <c r="AG1243" s="611"/>
    </row>
    <row r="1244" spans="1:33" s="56" customFormat="1" ht="15" hidden="1" customHeight="1" outlineLevel="1" x14ac:dyDescent="0.25">
      <c r="A1244" s="724"/>
      <c r="B1244" s="130"/>
      <c r="C1244" s="616"/>
      <c r="D1244" s="2101"/>
      <c r="E1244" s="2104"/>
      <c r="F1244" s="2110" t="str">
        <f>$E$808</f>
        <v>ASHP SEER 15 MF ER Replace Elec Resist Furnace: HVAC ER1</v>
      </c>
      <c r="G1244" s="2111"/>
      <c r="H1244" s="2111"/>
      <c r="I1244" s="2112"/>
      <c r="J1244" s="709">
        <v>1266</v>
      </c>
      <c r="K1244" s="730">
        <v>8.6999999999999993</v>
      </c>
      <c r="L1244" s="670"/>
      <c r="M1244" s="754" t="s">
        <v>977</v>
      </c>
      <c r="N1244" s="130"/>
      <c r="O1244" s="251"/>
      <c r="P1244" s="766"/>
      <c r="Q1244" s="766"/>
      <c r="R1244" s="766"/>
      <c r="S1244" s="752"/>
      <c r="T1244" s="760"/>
      <c r="U1244" s="130"/>
      <c r="V1244" s="2107"/>
      <c r="W1244" s="611">
        <v>8.6999999999999993</v>
      </c>
      <c r="X1244" s="611">
        <v>8.6999999999999993</v>
      </c>
      <c r="Y1244" s="611"/>
      <c r="Z1244" s="611"/>
      <c r="AA1244" s="611"/>
      <c r="AB1244" s="611"/>
      <c r="AC1244" s="611"/>
      <c r="AD1244" s="611"/>
      <c r="AE1244" s="611"/>
      <c r="AF1244" s="611"/>
      <c r="AG1244" s="611"/>
    </row>
    <row r="1245" spans="1:33" s="56" customFormat="1" ht="15" hidden="1" customHeight="1" outlineLevel="1" x14ac:dyDescent="0.25">
      <c r="A1245" s="724"/>
      <c r="B1245" s="130"/>
      <c r="C1245" s="616"/>
      <c r="D1245" s="2101"/>
      <c r="E1245" s="2104"/>
      <c r="F1245" s="2110" t="str">
        <f>$E$810</f>
        <v>ASHP SEER 15 MF ER Replace Elec Resist Furnace: HVAC ER2</v>
      </c>
      <c r="G1245" s="2111"/>
      <c r="H1245" s="2111"/>
      <c r="I1245" s="2112"/>
      <c r="J1245" s="709" t="s">
        <v>1168</v>
      </c>
      <c r="K1245" s="730">
        <v>8.6999999999999993</v>
      </c>
      <c r="L1245" s="670"/>
      <c r="M1245" s="754" t="s">
        <v>977</v>
      </c>
      <c r="N1245" s="130"/>
      <c r="O1245" s="251"/>
      <c r="P1245" s="766"/>
      <c r="Q1245" s="766"/>
      <c r="R1245" s="766"/>
      <c r="S1245" s="752"/>
      <c r="T1245" s="760"/>
      <c r="U1245" s="130"/>
      <c r="V1245" s="2107"/>
      <c r="W1245" s="611">
        <v>8.6999999999999993</v>
      </c>
      <c r="X1245" s="611">
        <v>8.6999999999999993</v>
      </c>
      <c r="Y1245" s="611"/>
      <c r="Z1245" s="611"/>
      <c r="AA1245" s="611"/>
      <c r="AB1245" s="611"/>
      <c r="AC1245" s="611"/>
      <c r="AD1245" s="611"/>
      <c r="AE1245" s="611"/>
      <c r="AF1245" s="611"/>
      <c r="AG1245" s="611"/>
    </row>
    <row r="1246" spans="1:33" s="56" customFormat="1" ht="15" hidden="1" customHeight="1" outlineLevel="1" x14ac:dyDescent="0.25">
      <c r="A1246" s="724"/>
      <c r="B1246" s="130"/>
      <c r="C1246" s="616"/>
      <c r="D1246" s="2101"/>
      <c r="E1246" s="2104"/>
      <c r="F1246" s="2110" t="str">
        <f>$E$812</f>
        <v>ASHP SEER 15 MF Replace at Fail Elec Resist Furnace: HVAC</v>
      </c>
      <c r="G1246" s="2111"/>
      <c r="H1246" s="2111"/>
      <c r="I1246" s="2112"/>
      <c r="J1246" s="709">
        <v>1268</v>
      </c>
      <c r="K1246" s="730">
        <v>8.6</v>
      </c>
      <c r="L1246" s="670"/>
      <c r="M1246" s="754" t="s">
        <v>977</v>
      </c>
      <c r="N1246" s="130"/>
      <c r="O1246" s="251"/>
      <c r="P1246" s="766"/>
      <c r="Q1246" s="766"/>
      <c r="R1246" s="766"/>
      <c r="S1246" s="752"/>
      <c r="T1246" s="760"/>
      <c r="U1246" s="130"/>
      <c r="V1246" s="2107"/>
      <c r="W1246" s="611">
        <v>8.6</v>
      </c>
      <c r="X1246" s="611">
        <v>8.6</v>
      </c>
      <c r="Y1246" s="611"/>
      <c r="Z1246" s="611"/>
      <c r="AA1246" s="611"/>
      <c r="AB1246" s="611"/>
      <c r="AC1246" s="611"/>
      <c r="AD1246" s="611"/>
      <c r="AE1246" s="611"/>
      <c r="AF1246" s="611"/>
      <c r="AG1246" s="611"/>
    </row>
    <row r="1247" spans="1:33" s="56" customFormat="1" ht="15" hidden="1" customHeight="1" outlineLevel="1" x14ac:dyDescent="0.25">
      <c r="A1247" s="724"/>
      <c r="B1247" s="130"/>
      <c r="C1247" s="616"/>
      <c r="D1247" s="2101"/>
      <c r="E1247" s="2104"/>
      <c r="F1247" s="2110" t="str">
        <f>$E$814</f>
        <v>ASHP SEER 16 MF ER Replace ASHP: HVAC ER1</v>
      </c>
      <c r="G1247" s="2111"/>
      <c r="H1247" s="2111"/>
      <c r="I1247" s="2112"/>
      <c r="J1247" s="709">
        <v>1240</v>
      </c>
      <c r="K1247" s="730">
        <v>9.5</v>
      </c>
      <c r="L1247" s="670"/>
      <c r="M1247" s="754" t="s">
        <v>977</v>
      </c>
      <c r="N1247" s="130"/>
      <c r="O1247" s="251"/>
      <c r="P1247" s="766"/>
      <c r="Q1247" s="766"/>
      <c r="R1247" s="766"/>
      <c r="S1247" s="752"/>
      <c r="T1247" s="760"/>
      <c r="U1247" s="130"/>
      <c r="V1247" s="2107"/>
      <c r="W1247" s="611">
        <v>9.5</v>
      </c>
      <c r="X1247" s="611">
        <v>9.5</v>
      </c>
      <c r="Y1247" s="611"/>
      <c r="Z1247" s="611"/>
      <c r="AA1247" s="611"/>
      <c r="AB1247" s="611"/>
      <c r="AC1247" s="611"/>
      <c r="AD1247" s="611"/>
      <c r="AE1247" s="611"/>
      <c r="AF1247" s="611"/>
      <c r="AG1247" s="611"/>
    </row>
    <row r="1248" spans="1:33" s="56" customFormat="1" ht="15" hidden="1" customHeight="1" outlineLevel="1" x14ac:dyDescent="0.25">
      <c r="A1248" s="724"/>
      <c r="B1248" s="130"/>
      <c r="C1248" s="616"/>
      <c r="D1248" s="2101"/>
      <c r="E1248" s="2104"/>
      <c r="F1248" s="2110" t="str">
        <f>$E$816</f>
        <v>ASHP SEER 16 MF ER Replace ASHP: HVAC ER2</v>
      </c>
      <c r="G1248" s="2111"/>
      <c r="H1248" s="2111"/>
      <c r="I1248" s="2112"/>
      <c r="J1248" s="709" t="s">
        <v>1170</v>
      </c>
      <c r="K1248" s="730">
        <v>9.5</v>
      </c>
      <c r="L1248" s="670"/>
      <c r="M1248" s="754" t="s">
        <v>977</v>
      </c>
      <c r="N1248" s="130"/>
      <c r="O1248" s="251"/>
      <c r="P1248" s="766"/>
      <c r="Q1248" s="766"/>
      <c r="R1248" s="766"/>
      <c r="S1248" s="752"/>
      <c r="T1248" s="760"/>
      <c r="U1248" s="130"/>
      <c r="V1248" s="2107"/>
      <c r="W1248" s="611">
        <v>9.5</v>
      </c>
      <c r="X1248" s="611">
        <v>9.5</v>
      </c>
      <c r="Y1248" s="611"/>
      <c r="Z1248" s="611"/>
      <c r="AA1248" s="611"/>
      <c r="AB1248" s="611"/>
      <c r="AC1248" s="611"/>
      <c r="AD1248" s="611"/>
      <c r="AE1248" s="611"/>
      <c r="AF1248" s="611"/>
      <c r="AG1248" s="611"/>
    </row>
    <row r="1249" spans="1:33" s="56" customFormat="1" ht="15" hidden="1" customHeight="1" outlineLevel="1" x14ac:dyDescent="0.25">
      <c r="A1249" s="724"/>
      <c r="B1249" s="130"/>
      <c r="C1249" s="616"/>
      <c r="D1249" s="2101"/>
      <c r="E1249" s="2104"/>
      <c r="F1249" s="2110" t="str">
        <f>$E$818</f>
        <v>ASHP - SEER 16 - replace on fail MF</v>
      </c>
      <c r="G1249" s="2111"/>
      <c r="H1249" s="2111"/>
      <c r="I1249" s="2112"/>
      <c r="J1249" s="709">
        <v>1270</v>
      </c>
      <c r="K1249" s="730">
        <v>9.8000000000000007</v>
      </c>
      <c r="L1249" s="670"/>
      <c r="M1249" s="754" t="s">
        <v>977</v>
      </c>
      <c r="N1249" s="130"/>
      <c r="O1249" s="251"/>
      <c r="P1249" s="766"/>
      <c r="Q1249" s="766"/>
      <c r="R1249" s="766"/>
      <c r="S1249" s="752"/>
      <c r="T1249" s="760"/>
      <c r="U1249" s="130"/>
      <c r="V1249" s="2107"/>
      <c r="W1249" s="611">
        <v>9.8000000000000007</v>
      </c>
      <c r="X1249" s="611">
        <v>9.8000000000000007</v>
      </c>
      <c r="Y1249" s="611"/>
      <c r="Z1249" s="611"/>
      <c r="AA1249" s="611"/>
      <c r="AB1249" s="611"/>
      <c r="AC1249" s="611"/>
      <c r="AD1249" s="611"/>
      <c r="AE1249" s="611"/>
      <c r="AF1249" s="611"/>
      <c r="AG1249" s="611"/>
    </row>
    <row r="1250" spans="1:33" s="56" customFormat="1" ht="15" hidden="1" customHeight="1" outlineLevel="1" x14ac:dyDescent="0.25">
      <c r="A1250" s="724"/>
      <c r="B1250" s="130"/>
      <c r="C1250" s="616"/>
      <c r="D1250" s="2101"/>
      <c r="E1250" s="2104"/>
      <c r="F1250" s="2110" t="str">
        <f>$E$820</f>
        <v>ASHP - SEER 16 - replace electric furnace / CAC MF</v>
      </c>
      <c r="G1250" s="2111"/>
      <c r="H1250" s="2111"/>
      <c r="I1250" s="2112"/>
      <c r="J1250" s="709">
        <v>1271</v>
      </c>
      <c r="K1250" s="730">
        <v>9.6999999999999993</v>
      </c>
      <c r="L1250" s="670"/>
      <c r="M1250" s="754" t="s">
        <v>977</v>
      </c>
      <c r="N1250" s="130"/>
      <c r="O1250" s="251"/>
      <c r="P1250" s="766"/>
      <c r="Q1250" s="766"/>
      <c r="R1250" s="766"/>
      <c r="S1250" s="752"/>
      <c r="T1250" s="760"/>
      <c r="U1250" s="130"/>
      <c r="V1250" s="2107"/>
      <c r="W1250" s="611">
        <v>9.6999999999999993</v>
      </c>
      <c r="X1250" s="611">
        <v>9.6999999999999993</v>
      </c>
      <c r="Y1250" s="611"/>
      <c r="Z1250" s="611"/>
      <c r="AA1250" s="611"/>
      <c r="AB1250" s="611"/>
      <c r="AC1250" s="611"/>
      <c r="AD1250" s="611"/>
      <c r="AE1250" s="611"/>
      <c r="AF1250" s="611"/>
      <c r="AG1250" s="611"/>
    </row>
    <row r="1251" spans="1:33" s="56" customFormat="1" ht="15" hidden="1" customHeight="1" outlineLevel="1" x14ac:dyDescent="0.25">
      <c r="A1251" s="724"/>
      <c r="B1251" s="130"/>
      <c r="C1251" s="616"/>
      <c r="D1251" s="2101"/>
      <c r="E1251" s="2104"/>
      <c r="F1251" s="2110" t="str">
        <f>$E$822</f>
        <v>ASHP - SEER 16 - replace electric furnace / CAC - early replacement MF ER1</v>
      </c>
      <c r="G1251" s="2111"/>
      <c r="H1251" s="2111"/>
      <c r="I1251" s="2112"/>
      <c r="J1251" s="709">
        <v>1269</v>
      </c>
      <c r="K1251" s="730">
        <v>9.4</v>
      </c>
      <c r="L1251" s="670"/>
      <c r="M1251" s="754" t="s">
        <v>977</v>
      </c>
      <c r="N1251" s="130"/>
      <c r="O1251" s="251"/>
      <c r="P1251" s="766"/>
      <c r="Q1251" s="766"/>
      <c r="R1251" s="766"/>
      <c r="S1251" s="752"/>
      <c r="T1251" s="760"/>
      <c r="U1251" s="130"/>
      <c r="V1251" s="2107"/>
      <c r="W1251" s="611">
        <v>9.4</v>
      </c>
      <c r="X1251" s="611">
        <v>9.4</v>
      </c>
      <c r="Y1251" s="611"/>
      <c r="Z1251" s="611"/>
      <c r="AA1251" s="611"/>
      <c r="AB1251" s="611"/>
      <c r="AC1251" s="611"/>
      <c r="AD1251" s="611"/>
      <c r="AE1251" s="611"/>
      <c r="AF1251" s="611"/>
      <c r="AG1251" s="611"/>
    </row>
    <row r="1252" spans="1:33" s="56" customFormat="1" ht="15" hidden="1" customHeight="1" outlineLevel="1" x14ac:dyDescent="0.25">
      <c r="A1252" s="724"/>
      <c r="B1252" s="130"/>
      <c r="C1252" s="616"/>
      <c r="D1252" s="2101"/>
      <c r="E1252" s="2104"/>
      <c r="F1252" s="2110" t="str">
        <f>$E$824</f>
        <v>ASHP - SEER 16 - replace electric furnace / CAC - early replacement MF ER2</v>
      </c>
      <c r="G1252" s="2111"/>
      <c r="H1252" s="2111"/>
      <c r="I1252" s="2112"/>
      <c r="J1252" s="709" t="s">
        <v>1171</v>
      </c>
      <c r="K1252" s="730">
        <v>9.4</v>
      </c>
      <c r="L1252" s="670"/>
      <c r="M1252" s="754" t="s">
        <v>977</v>
      </c>
      <c r="N1252" s="130"/>
      <c r="O1252" s="251"/>
      <c r="P1252" s="766"/>
      <c r="Q1252" s="766"/>
      <c r="R1252" s="766"/>
      <c r="S1252" s="752"/>
      <c r="T1252" s="760"/>
      <c r="U1252" s="130"/>
      <c r="V1252" s="2107"/>
      <c r="W1252" s="611">
        <v>9.4</v>
      </c>
      <c r="X1252" s="611">
        <v>9.4</v>
      </c>
      <c r="Y1252" s="611"/>
      <c r="Z1252" s="611"/>
      <c r="AA1252" s="611"/>
      <c r="AB1252" s="611"/>
      <c r="AC1252" s="611"/>
      <c r="AD1252" s="611"/>
      <c r="AE1252" s="611"/>
      <c r="AF1252" s="611"/>
      <c r="AG1252" s="611"/>
    </row>
    <row r="1253" spans="1:33" s="56" customFormat="1" ht="15" hidden="1" customHeight="1" outlineLevel="1" x14ac:dyDescent="0.25">
      <c r="A1253" s="724"/>
      <c r="B1253" s="130"/>
      <c r="C1253" s="616"/>
      <c r="D1253" s="2101"/>
      <c r="E1253" s="2104"/>
      <c r="F1253" s="2110" t="str">
        <f>$E$826</f>
        <v>ASHP SEER 15 MF Replace at Fail ASHP: HVAC</v>
      </c>
      <c r="G1253" s="2111"/>
      <c r="H1253" s="2111"/>
      <c r="I1253" s="2112"/>
      <c r="J1253" s="709">
        <v>1267</v>
      </c>
      <c r="K1253" s="730">
        <v>8.6999999999999993</v>
      </c>
      <c r="L1253" s="670"/>
      <c r="M1253" s="754" t="s">
        <v>977</v>
      </c>
      <c r="N1253" s="130"/>
      <c r="O1253" s="251"/>
      <c r="P1253" s="766"/>
      <c r="Q1253" s="766"/>
      <c r="R1253" s="766"/>
      <c r="S1253" s="752"/>
      <c r="T1253" s="760"/>
      <c r="U1253" s="130"/>
      <c r="V1253" s="2107"/>
      <c r="W1253" s="611">
        <v>8.6999999999999993</v>
      </c>
      <c r="X1253" s="611">
        <v>8.6999999999999993</v>
      </c>
      <c r="Y1253" s="611"/>
      <c r="Z1253" s="611"/>
      <c r="AA1253" s="611"/>
      <c r="AB1253" s="611"/>
      <c r="AC1253" s="611"/>
      <c r="AD1253" s="611"/>
      <c r="AE1253" s="611"/>
      <c r="AF1253" s="611"/>
      <c r="AG1253" s="611"/>
    </row>
    <row r="1254" spans="1:33" s="56" customFormat="1" ht="15" hidden="1" customHeight="1" outlineLevel="1" x14ac:dyDescent="0.25">
      <c r="A1254" s="724"/>
      <c r="B1254" s="130"/>
      <c r="C1254" s="616"/>
      <c r="D1254" s="2101"/>
      <c r="E1254" s="2104"/>
      <c r="F1254" s="2110" t="str">
        <f>$E$828</f>
        <v>ASHP - SEER 17 - replace electric furnace / CAC SF</v>
      </c>
      <c r="G1254" s="2111"/>
      <c r="H1254" s="2111"/>
      <c r="I1254" s="2112"/>
      <c r="J1254" s="709" t="s">
        <v>1172</v>
      </c>
      <c r="K1254" s="730">
        <v>9.6999999999999993</v>
      </c>
      <c r="L1254" s="670"/>
      <c r="M1254" s="754" t="s">
        <v>1173</v>
      </c>
      <c r="N1254" s="130"/>
      <c r="O1254" s="251"/>
      <c r="P1254" s="766"/>
      <c r="Q1254" s="766"/>
      <c r="R1254" s="766"/>
      <c r="S1254" s="752"/>
      <c r="T1254" s="760"/>
      <c r="U1254" s="130"/>
      <c r="V1254" s="2107"/>
      <c r="W1254" s="611">
        <v>9.6999999999999993</v>
      </c>
      <c r="X1254" s="611">
        <v>9.6999999999999993</v>
      </c>
      <c r="Y1254" s="611"/>
      <c r="Z1254" s="611"/>
      <c r="AA1254" s="611"/>
      <c r="AB1254" s="611"/>
      <c r="AC1254" s="611"/>
      <c r="AD1254" s="611"/>
      <c r="AE1254" s="611"/>
      <c r="AF1254" s="611"/>
      <c r="AG1254" s="611"/>
    </row>
    <row r="1255" spans="1:33" s="56" customFormat="1" ht="15" hidden="1" customHeight="1" outlineLevel="1" x14ac:dyDescent="0.25">
      <c r="A1255" s="724"/>
      <c r="B1255" s="130"/>
      <c r="C1255" s="616"/>
      <c r="D1255" s="2101"/>
      <c r="E1255" s="2104"/>
      <c r="F1255" s="2110" t="str">
        <f>$E$830</f>
        <v>ASHP - SEER 17 - replace electric furnace / CAC MF</v>
      </c>
      <c r="G1255" s="2111"/>
      <c r="H1255" s="2111"/>
      <c r="I1255" s="2112"/>
      <c r="J1255" s="709" t="s">
        <v>1174</v>
      </c>
      <c r="K1255" s="730">
        <v>9.6999999999999993</v>
      </c>
      <c r="L1255" s="670"/>
      <c r="M1255" s="754" t="s">
        <v>1173</v>
      </c>
      <c r="N1255" s="130"/>
      <c r="O1255" s="251"/>
      <c r="P1255" s="766"/>
      <c r="Q1255" s="766"/>
      <c r="R1255" s="766"/>
      <c r="S1255" s="752"/>
      <c r="T1255" s="760"/>
      <c r="U1255" s="130"/>
      <c r="V1255" s="2107"/>
      <c r="W1255" s="611">
        <v>9.6999999999999993</v>
      </c>
      <c r="X1255" s="611">
        <v>9.6999999999999993</v>
      </c>
      <c r="Y1255" s="611"/>
      <c r="Z1255" s="611"/>
      <c r="AA1255" s="611"/>
      <c r="AB1255" s="611"/>
      <c r="AC1255" s="611"/>
      <c r="AD1255" s="611"/>
      <c r="AE1255" s="611"/>
      <c r="AF1255" s="611"/>
      <c r="AG1255" s="611"/>
    </row>
    <row r="1256" spans="1:33" s="56" customFormat="1" ht="15" hidden="1" customHeight="1" outlineLevel="1" x14ac:dyDescent="0.25">
      <c r="A1256" s="724"/>
      <c r="B1256" s="130"/>
      <c r="C1256" s="616"/>
      <c r="D1256" s="2101"/>
      <c r="E1256" s="2104"/>
      <c r="F1256" s="2110" t="str">
        <f>$E$832</f>
        <v>ASHP - SEER 18 - replace electric furnace / CAC SF</v>
      </c>
      <c r="G1256" s="2111"/>
      <c r="H1256" s="2111"/>
      <c r="I1256" s="2112"/>
      <c r="J1256" s="709" t="s">
        <v>1175</v>
      </c>
      <c r="K1256" s="730">
        <v>9.6999999999999993</v>
      </c>
      <c r="L1256" s="670"/>
      <c r="M1256" s="754" t="s">
        <v>1173</v>
      </c>
      <c r="N1256" s="130"/>
      <c r="O1256" s="251"/>
      <c r="P1256" s="766"/>
      <c r="Q1256" s="766"/>
      <c r="R1256" s="766"/>
      <c r="S1256" s="752"/>
      <c r="T1256" s="760"/>
      <c r="U1256" s="130"/>
      <c r="V1256" s="2107"/>
      <c r="W1256" s="611">
        <v>9.6999999999999993</v>
      </c>
      <c r="X1256" s="611">
        <v>9.6999999999999993</v>
      </c>
      <c r="Y1256" s="611"/>
      <c r="Z1256" s="611"/>
      <c r="AA1256" s="611"/>
      <c r="AB1256" s="611"/>
      <c r="AC1256" s="611"/>
      <c r="AD1256" s="611"/>
      <c r="AE1256" s="611"/>
      <c r="AF1256" s="611"/>
      <c r="AG1256" s="611"/>
    </row>
    <row r="1257" spans="1:33" s="56" customFormat="1" ht="15" hidden="1" customHeight="1" outlineLevel="1" x14ac:dyDescent="0.25">
      <c r="A1257" s="724"/>
      <c r="B1257" s="130"/>
      <c r="C1257" s="616"/>
      <c r="D1257" s="2101"/>
      <c r="E1257" s="2104"/>
      <c r="F1257" s="2110" t="str">
        <f>$E$834</f>
        <v>ASHP - SEER 18 - replace electric furnace / CAC MF</v>
      </c>
      <c r="G1257" s="2111"/>
      <c r="H1257" s="2111"/>
      <c r="I1257" s="2112"/>
      <c r="J1257" s="709" t="s">
        <v>1176</v>
      </c>
      <c r="K1257" s="730">
        <v>9.6999999999999993</v>
      </c>
      <c r="L1257" s="670"/>
      <c r="M1257" s="754" t="s">
        <v>1173</v>
      </c>
      <c r="N1257" s="130"/>
      <c r="O1257" s="251"/>
      <c r="P1257" s="766"/>
      <c r="Q1257" s="766"/>
      <c r="R1257" s="766"/>
      <c r="S1257" s="752"/>
      <c r="T1257" s="760"/>
      <c r="U1257" s="130"/>
      <c r="V1257" s="2107"/>
      <c r="W1257" s="611">
        <v>9.6999999999999993</v>
      </c>
      <c r="X1257" s="611">
        <v>9.6999999999999993</v>
      </c>
      <c r="Y1257" s="611"/>
      <c r="Z1257" s="611"/>
      <c r="AA1257" s="611"/>
      <c r="AB1257" s="611"/>
      <c r="AC1257" s="611"/>
      <c r="AD1257" s="611"/>
      <c r="AE1257" s="611"/>
      <c r="AF1257" s="611"/>
      <c r="AG1257" s="611"/>
    </row>
    <row r="1258" spans="1:33" s="56" customFormat="1" ht="15" hidden="1" customHeight="1" outlineLevel="1" x14ac:dyDescent="0.25">
      <c r="A1258" s="724"/>
      <c r="B1258" s="130"/>
      <c r="C1258" s="616"/>
      <c r="D1258" s="2101"/>
      <c r="E1258" s="2104"/>
      <c r="F1258" s="2110" t="str">
        <f>$E$836</f>
        <v>ASHP - SEER 19 - replace electric furnace / CAC SF</v>
      </c>
      <c r="G1258" s="2111"/>
      <c r="H1258" s="2111"/>
      <c r="I1258" s="2112"/>
      <c r="J1258" s="709" t="s">
        <v>1177</v>
      </c>
      <c r="K1258" s="730">
        <v>9.6999999999999993</v>
      </c>
      <c r="L1258" s="670"/>
      <c r="M1258" s="754" t="s">
        <v>1173</v>
      </c>
      <c r="N1258" s="130"/>
      <c r="O1258" s="251"/>
      <c r="P1258" s="766"/>
      <c r="Q1258" s="766"/>
      <c r="R1258" s="766"/>
      <c r="S1258" s="752"/>
      <c r="T1258" s="760"/>
      <c r="U1258" s="130"/>
      <c r="V1258" s="2107"/>
      <c r="W1258" s="611">
        <v>9.6999999999999993</v>
      </c>
      <c r="X1258" s="611">
        <v>9.6999999999999993</v>
      </c>
      <c r="Y1258" s="611"/>
      <c r="Z1258" s="611"/>
      <c r="AA1258" s="611"/>
      <c r="AB1258" s="611"/>
      <c r="AC1258" s="611"/>
      <c r="AD1258" s="611"/>
      <c r="AE1258" s="611"/>
      <c r="AF1258" s="611"/>
      <c r="AG1258" s="611"/>
    </row>
    <row r="1259" spans="1:33" s="56" customFormat="1" ht="15" hidden="1" customHeight="1" outlineLevel="1" x14ac:dyDescent="0.25">
      <c r="A1259" s="724"/>
      <c r="B1259" s="130"/>
      <c r="C1259" s="616"/>
      <c r="D1259" s="2101"/>
      <c r="E1259" s="2104"/>
      <c r="F1259" s="2110" t="str">
        <f>$E$838</f>
        <v>ASHP - SEER 19 - replace electric furnace / CAC MF</v>
      </c>
      <c r="G1259" s="2111"/>
      <c r="H1259" s="2111"/>
      <c r="I1259" s="2112"/>
      <c r="J1259" s="709" t="s">
        <v>1178</v>
      </c>
      <c r="K1259" s="730">
        <v>9.6999999999999993</v>
      </c>
      <c r="L1259" s="670"/>
      <c r="M1259" s="754" t="s">
        <v>1173</v>
      </c>
      <c r="N1259" s="130"/>
      <c r="O1259" s="251"/>
      <c r="P1259" s="766"/>
      <c r="Q1259" s="766"/>
      <c r="R1259" s="766"/>
      <c r="S1259" s="752"/>
      <c r="T1259" s="760"/>
      <c r="U1259" s="130"/>
      <c r="V1259" s="2107"/>
      <c r="W1259" s="611">
        <v>9.6999999999999993</v>
      </c>
      <c r="X1259" s="611">
        <v>9.6999999999999993</v>
      </c>
      <c r="Y1259" s="611"/>
      <c r="Z1259" s="611"/>
      <c r="AA1259" s="611"/>
      <c r="AB1259" s="611"/>
      <c r="AC1259" s="611"/>
      <c r="AD1259" s="611"/>
      <c r="AE1259" s="611"/>
      <c r="AF1259" s="611"/>
      <c r="AG1259" s="611"/>
    </row>
    <row r="1260" spans="1:33" s="56" customFormat="1" ht="15" hidden="1" customHeight="1" outlineLevel="1" x14ac:dyDescent="0.25">
      <c r="A1260" s="724"/>
      <c r="B1260" s="130"/>
      <c r="C1260" s="616"/>
      <c r="D1260" s="2101"/>
      <c r="E1260" s="2104"/>
      <c r="F1260" s="2110" t="str">
        <f>$E$840</f>
        <v>ASHP - SEER 20 - replace electric furnace / CAC - early replacement SF ER1</v>
      </c>
      <c r="G1260" s="2111"/>
      <c r="H1260" s="2111"/>
      <c r="I1260" s="2112"/>
      <c r="J1260" s="709" t="s">
        <v>1179</v>
      </c>
      <c r="K1260" s="730">
        <v>9.4</v>
      </c>
      <c r="L1260" s="670"/>
      <c r="M1260" s="754" t="s">
        <v>1173</v>
      </c>
      <c r="N1260" s="130"/>
      <c r="O1260" s="251"/>
      <c r="P1260" s="766"/>
      <c r="Q1260" s="766"/>
      <c r="R1260" s="766"/>
      <c r="S1260" s="752"/>
      <c r="T1260" s="760"/>
      <c r="U1260" s="130"/>
      <c r="V1260" s="2107"/>
      <c r="W1260" s="611">
        <v>9.4</v>
      </c>
      <c r="X1260" s="611">
        <v>9.4</v>
      </c>
      <c r="Y1260" s="611"/>
      <c r="Z1260" s="611"/>
      <c r="AA1260" s="611"/>
      <c r="AB1260" s="611"/>
      <c r="AC1260" s="611"/>
      <c r="AD1260" s="611"/>
      <c r="AE1260" s="611"/>
      <c r="AF1260" s="611"/>
      <c r="AG1260" s="611"/>
    </row>
    <row r="1261" spans="1:33" s="56" customFormat="1" ht="15" hidden="1" customHeight="1" outlineLevel="1" x14ac:dyDescent="0.25">
      <c r="A1261" s="724"/>
      <c r="B1261" s="130"/>
      <c r="C1261" s="616"/>
      <c r="D1261" s="2101"/>
      <c r="E1261" s="2104"/>
      <c r="F1261" s="2110" t="str">
        <f>$E$842</f>
        <v>ASHP - SEER 20 - replace electric furnace / CAC - early replacement SF ER2</v>
      </c>
      <c r="G1261" s="2111"/>
      <c r="H1261" s="2111"/>
      <c r="I1261" s="2112"/>
      <c r="J1261" s="709" t="s">
        <v>1180</v>
      </c>
      <c r="K1261" s="730">
        <v>9.4</v>
      </c>
      <c r="L1261" s="670"/>
      <c r="M1261" s="754" t="s">
        <v>1173</v>
      </c>
      <c r="N1261" s="130"/>
      <c r="O1261" s="251"/>
      <c r="P1261" s="766"/>
      <c r="Q1261" s="766"/>
      <c r="R1261" s="766"/>
      <c r="S1261" s="752"/>
      <c r="T1261" s="760"/>
      <c r="U1261" s="130"/>
      <c r="V1261" s="2107"/>
      <c r="W1261" s="611">
        <v>9.4</v>
      </c>
      <c r="X1261" s="611">
        <v>9.4</v>
      </c>
      <c r="Y1261" s="611"/>
      <c r="Z1261" s="611"/>
      <c r="AA1261" s="611"/>
      <c r="AB1261" s="611"/>
      <c r="AC1261" s="611"/>
      <c r="AD1261" s="611"/>
      <c r="AE1261" s="611"/>
      <c r="AF1261" s="611"/>
      <c r="AG1261" s="611"/>
    </row>
    <row r="1262" spans="1:33" s="56" customFormat="1" ht="15" hidden="1" customHeight="1" outlineLevel="1" x14ac:dyDescent="0.25">
      <c r="A1262" s="724"/>
      <c r="B1262" s="130"/>
      <c r="C1262" s="616"/>
      <c r="D1262" s="2101"/>
      <c r="E1262" s="2104"/>
      <c r="F1262" s="2110" t="str">
        <f>$E$844</f>
        <v>ASHP - SEER 20 - replace electric furnace / CAC SF</v>
      </c>
      <c r="G1262" s="2111"/>
      <c r="H1262" s="2111"/>
      <c r="I1262" s="2112"/>
      <c r="J1262" s="709" t="s">
        <v>1181</v>
      </c>
      <c r="K1262" s="730">
        <v>9.6999999999999993</v>
      </c>
      <c r="L1262" s="670"/>
      <c r="M1262" s="754" t="s">
        <v>1173</v>
      </c>
      <c r="N1262" s="130"/>
      <c r="O1262" s="251"/>
      <c r="P1262" s="766"/>
      <c r="Q1262" s="766"/>
      <c r="R1262" s="766"/>
      <c r="S1262" s="752"/>
      <c r="T1262" s="760"/>
      <c r="U1262" s="130"/>
      <c r="V1262" s="2107"/>
      <c r="W1262" s="611">
        <v>9.6999999999999993</v>
      </c>
      <c r="X1262" s="611">
        <v>9.6999999999999993</v>
      </c>
      <c r="Y1262" s="611"/>
      <c r="Z1262" s="611"/>
      <c r="AA1262" s="611"/>
      <c r="AB1262" s="611"/>
      <c r="AC1262" s="611"/>
      <c r="AD1262" s="611"/>
      <c r="AE1262" s="611"/>
      <c r="AF1262" s="611"/>
      <c r="AG1262" s="611"/>
    </row>
    <row r="1263" spans="1:33" s="56" customFormat="1" ht="15" hidden="1" customHeight="1" outlineLevel="1" x14ac:dyDescent="0.25">
      <c r="A1263" s="724"/>
      <c r="B1263" s="130"/>
      <c r="C1263" s="616"/>
      <c r="D1263" s="2101"/>
      <c r="E1263" s="2104"/>
      <c r="F1263" s="2110" t="str">
        <f>$E$846</f>
        <v>ASHP - SEER 20 - replace electric furnace / CAC MF</v>
      </c>
      <c r="G1263" s="2111"/>
      <c r="H1263" s="2111"/>
      <c r="I1263" s="2112"/>
      <c r="J1263" s="709" t="s">
        <v>1182</v>
      </c>
      <c r="K1263" s="730">
        <v>9.6999999999999993</v>
      </c>
      <c r="L1263" s="670"/>
      <c r="M1263" s="754" t="s">
        <v>1173</v>
      </c>
      <c r="N1263" s="130"/>
      <c r="O1263" s="251"/>
      <c r="P1263" s="766"/>
      <c r="Q1263" s="767"/>
      <c r="R1263" s="766"/>
      <c r="S1263" s="752"/>
      <c r="T1263" s="760"/>
      <c r="U1263" s="130"/>
      <c r="V1263" s="2107"/>
      <c r="W1263" s="611">
        <v>9.6999999999999993</v>
      </c>
      <c r="X1263" s="611">
        <v>9.6999999999999993</v>
      </c>
      <c r="Y1263" s="611"/>
      <c r="Z1263" s="611"/>
      <c r="AA1263" s="611"/>
      <c r="AB1263" s="611"/>
      <c r="AC1263" s="611"/>
      <c r="AD1263" s="611"/>
      <c r="AE1263" s="611"/>
      <c r="AF1263" s="611"/>
      <c r="AG1263" s="611"/>
    </row>
    <row r="1264" spans="1:33" s="56" customFormat="1" ht="15" hidden="1" customHeight="1" outlineLevel="1" x14ac:dyDescent="0.25">
      <c r="A1264" s="724"/>
      <c r="B1264" s="130"/>
      <c r="C1264" s="616"/>
      <c r="D1264" s="2101"/>
      <c r="E1264" s="2104"/>
      <c r="F1264" s="2110" t="str">
        <f>$E$848</f>
        <v>ASHP - SEER 21 - replace electric furnace / CAC - early replacement SF ER1</v>
      </c>
      <c r="G1264" s="2111"/>
      <c r="H1264" s="2111"/>
      <c r="I1264" s="2112"/>
      <c r="J1264" s="709" t="s">
        <v>1183</v>
      </c>
      <c r="K1264" s="730">
        <v>9.4</v>
      </c>
      <c r="L1264" s="670"/>
      <c r="M1264" s="754" t="s">
        <v>1173</v>
      </c>
      <c r="N1264" s="130"/>
      <c r="O1264" s="251"/>
      <c r="P1264" s="766"/>
      <c r="Q1264" s="767"/>
      <c r="R1264" s="766"/>
      <c r="S1264" s="752"/>
      <c r="T1264" s="760"/>
      <c r="U1264" s="130"/>
      <c r="V1264" s="2107"/>
      <c r="W1264" s="611">
        <v>9.4</v>
      </c>
      <c r="X1264" s="611">
        <v>9.4</v>
      </c>
      <c r="Y1264" s="611"/>
      <c r="Z1264" s="611"/>
      <c r="AA1264" s="611"/>
      <c r="AB1264" s="611"/>
      <c r="AC1264" s="611"/>
      <c r="AD1264" s="611"/>
      <c r="AE1264" s="611"/>
      <c r="AF1264" s="611"/>
      <c r="AG1264" s="611"/>
    </row>
    <row r="1265" spans="1:33" s="56" customFormat="1" ht="15" hidden="1" customHeight="1" outlineLevel="1" x14ac:dyDescent="0.25">
      <c r="A1265" s="724"/>
      <c r="B1265" s="130"/>
      <c r="C1265" s="616"/>
      <c r="D1265" s="2101"/>
      <c r="E1265" s="2104"/>
      <c r="F1265" s="2110" t="str">
        <f>$E$850</f>
        <v>ASHP - SEER 21 - replace electric furnace / CAC - early replacement SF ER2</v>
      </c>
      <c r="G1265" s="2111"/>
      <c r="H1265" s="2111"/>
      <c r="I1265" s="2112"/>
      <c r="J1265" s="709" t="s">
        <v>1184</v>
      </c>
      <c r="K1265" s="730">
        <v>9.4</v>
      </c>
      <c r="L1265" s="670"/>
      <c r="M1265" s="754" t="s">
        <v>1173</v>
      </c>
      <c r="N1265" s="130"/>
      <c r="O1265" s="251"/>
      <c r="P1265" s="766"/>
      <c r="Q1265" s="767"/>
      <c r="R1265" s="766"/>
      <c r="S1265" s="752"/>
      <c r="T1265" s="760"/>
      <c r="U1265" s="130"/>
      <c r="V1265" s="2107"/>
      <c r="W1265" s="611">
        <v>9.4</v>
      </c>
      <c r="X1265" s="611">
        <v>9.4</v>
      </c>
      <c r="Y1265" s="611"/>
      <c r="Z1265" s="611"/>
      <c r="AA1265" s="611"/>
      <c r="AB1265" s="611"/>
      <c r="AC1265" s="611"/>
      <c r="AD1265" s="611"/>
      <c r="AE1265" s="611"/>
      <c r="AF1265" s="611"/>
      <c r="AG1265" s="611"/>
    </row>
    <row r="1266" spans="1:33" s="56" customFormat="1" ht="15" hidden="1" customHeight="1" outlineLevel="1" x14ac:dyDescent="0.25">
      <c r="A1266" s="724"/>
      <c r="B1266" s="130"/>
      <c r="C1266" s="616"/>
      <c r="D1266" s="2101"/>
      <c r="E1266" s="2104"/>
      <c r="F1266" s="2110" t="str">
        <f>$E$852</f>
        <v>ASHP - SEER 21 - replace electric furnace / CAC - early replacement MF ER1</v>
      </c>
      <c r="G1266" s="2111"/>
      <c r="H1266" s="2111"/>
      <c r="I1266" s="2112"/>
      <c r="J1266" s="709" t="s">
        <v>1185</v>
      </c>
      <c r="K1266" s="730">
        <v>9.4</v>
      </c>
      <c r="L1266" s="670"/>
      <c r="M1266" s="754" t="s">
        <v>1173</v>
      </c>
      <c r="N1266" s="130"/>
      <c r="O1266" s="251"/>
      <c r="P1266" s="766"/>
      <c r="Q1266" s="767"/>
      <c r="R1266" s="766"/>
      <c r="S1266" s="752"/>
      <c r="T1266" s="760"/>
      <c r="U1266" s="130"/>
      <c r="V1266" s="2107"/>
      <c r="W1266" s="611">
        <v>9.4</v>
      </c>
      <c r="X1266" s="611">
        <v>9.4</v>
      </c>
      <c r="Y1266" s="611"/>
      <c r="Z1266" s="611"/>
      <c r="AA1266" s="611"/>
      <c r="AB1266" s="611"/>
      <c r="AC1266" s="611"/>
      <c r="AD1266" s="611"/>
      <c r="AE1266" s="611"/>
      <c r="AF1266" s="611"/>
      <c r="AG1266" s="611"/>
    </row>
    <row r="1267" spans="1:33" s="56" customFormat="1" ht="15" hidden="1" customHeight="1" outlineLevel="1" x14ac:dyDescent="0.25">
      <c r="A1267" s="724"/>
      <c r="B1267" s="130"/>
      <c r="C1267" s="616"/>
      <c r="D1267" s="2101"/>
      <c r="E1267" s="2104"/>
      <c r="F1267" s="2110" t="str">
        <f>$E$854</f>
        <v>ASHP - SEER 21 - replace electric furnace / CAC - early replacement MF ER2</v>
      </c>
      <c r="G1267" s="2111"/>
      <c r="H1267" s="2111"/>
      <c r="I1267" s="2112"/>
      <c r="J1267" s="709" t="s">
        <v>1186</v>
      </c>
      <c r="K1267" s="730">
        <v>9.4</v>
      </c>
      <c r="L1267" s="670"/>
      <c r="M1267" s="754" t="s">
        <v>1173</v>
      </c>
      <c r="N1267" s="130"/>
      <c r="O1267" s="251"/>
      <c r="P1267" s="766"/>
      <c r="Q1267" s="767"/>
      <c r="R1267" s="766"/>
      <c r="S1267" s="752"/>
      <c r="T1267" s="760"/>
      <c r="U1267" s="130"/>
      <c r="V1267" s="2107"/>
      <c r="W1267" s="611">
        <v>9.4</v>
      </c>
      <c r="X1267" s="611">
        <v>9.4</v>
      </c>
      <c r="Y1267" s="611"/>
      <c r="Z1267" s="611"/>
      <c r="AA1267" s="611"/>
      <c r="AB1267" s="611"/>
      <c r="AC1267" s="611"/>
      <c r="AD1267" s="611"/>
      <c r="AE1267" s="611"/>
      <c r="AF1267" s="611"/>
      <c r="AG1267" s="611"/>
    </row>
    <row r="1268" spans="1:33" s="56" customFormat="1" ht="15" hidden="1" customHeight="1" outlineLevel="1" x14ac:dyDescent="0.25">
      <c r="A1268" s="724"/>
      <c r="B1268" s="130"/>
      <c r="C1268" s="616"/>
      <c r="D1268" s="2101"/>
      <c r="E1268" s="2104"/>
      <c r="F1268" s="2110" t="str">
        <f>$E$856</f>
        <v>ASHP - SEER 21 - replace electric furnace / CAC SF</v>
      </c>
      <c r="G1268" s="2111"/>
      <c r="H1268" s="2111"/>
      <c r="I1268" s="2112"/>
      <c r="J1268" s="709" t="s">
        <v>1187</v>
      </c>
      <c r="K1268" s="730">
        <v>9.6999999999999993</v>
      </c>
      <c r="L1268" s="670"/>
      <c r="M1268" s="754" t="s">
        <v>1173</v>
      </c>
      <c r="N1268" s="130"/>
      <c r="O1268" s="251"/>
      <c r="P1268" s="766"/>
      <c r="Q1268" s="767"/>
      <c r="R1268" s="766"/>
      <c r="S1268" s="752"/>
      <c r="T1268" s="760"/>
      <c r="U1268" s="130"/>
      <c r="V1268" s="2107"/>
      <c r="W1268" s="611">
        <v>9.6999999999999993</v>
      </c>
      <c r="X1268" s="611">
        <v>9.6999999999999993</v>
      </c>
      <c r="Y1268" s="611"/>
      <c r="Z1268" s="611"/>
      <c r="AA1268" s="611"/>
      <c r="AB1268" s="611"/>
      <c r="AC1268" s="611"/>
      <c r="AD1268" s="611"/>
      <c r="AE1268" s="611"/>
      <c r="AF1268" s="611"/>
      <c r="AG1268" s="611"/>
    </row>
    <row r="1269" spans="1:33" s="56" customFormat="1" ht="15" hidden="1" customHeight="1" outlineLevel="1" x14ac:dyDescent="0.25">
      <c r="A1269" s="597"/>
      <c r="B1269" s="130"/>
      <c r="C1269" s="616"/>
      <c r="D1269" s="2101"/>
      <c r="E1269" s="2104"/>
      <c r="F1269" s="2110" t="str">
        <f>$E$858</f>
        <v>ASHP-  SEER 21+ Replace at Fail Elec Resist Furnace: HVAC</v>
      </c>
      <c r="G1269" s="2111"/>
      <c r="H1269" s="2111"/>
      <c r="I1269" s="2112"/>
      <c r="J1269" s="709" t="s">
        <v>614</v>
      </c>
      <c r="K1269" s="730">
        <v>9.6999999999999993</v>
      </c>
      <c r="L1269" s="670"/>
      <c r="M1269" s="754" t="s">
        <v>1173</v>
      </c>
      <c r="N1269" s="130"/>
      <c r="O1269" s="251"/>
      <c r="P1269" s="251"/>
      <c r="Q1269" s="251"/>
      <c r="R1269" s="251"/>
      <c r="S1269" s="130"/>
      <c r="T1269" s="130"/>
      <c r="U1269" s="130"/>
      <c r="V1269" s="2107"/>
      <c r="W1269" s="611">
        <v>9.6999999999999993</v>
      </c>
      <c r="X1269" s="611">
        <v>9.6999999999999993</v>
      </c>
      <c r="Y1269" s="611"/>
      <c r="Z1269" s="611"/>
      <c r="AA1269" s="611"/>
      <c r="AB1269" s="611"/>
      <c r="AC1269" s="611"/>
      <c r="AD1269" s="611"/>
      <c r="AE1269" s="611"/>
      <c r="AF1269" s="611"/>
      <c r="AG1269" s="611"/>
    </row>
    <row r="1270" spans="1:33" s="56" customFormat="1" ht="15" hidden="1" customHeight="1" outlineLevel="1" x14ac:dyDescent="0.25">
      <c r="A1270" s="724"/>
      <c r="B1270" s="130"/>
      <c r="C1270" s="616"/>
      <c r="D1270" s="2101"/>
      <c r="E1270" s="2104"/>
      <c r="F1270" s="2110" t="str">
        <f>$E$860</f>
        <v>ASHP SEER 17 replace ASHP - early replacement SF ER1</v>
      </c>
      <c r="G1270" s="2111"/>
      <c r="H1270" s="2111"/>
      <c r="I1270" s="2112"/>
      <c r="J1270" s="709" t="s">
        <v>1188</v>
      </c>
      <c r="K1270" s="730">
        <v>9.5</v>
      </c>
      <c r="L1270" s="670"/>
      <c r="M1270" s="754" t="s">
        <v>1173</v>
      </c>
      <c r="N1270" s="130"/>
      <c r="O1270" s="251"/>
      <c r="P1270" s="766"/>
      <c r="Q1270" s="767"/>
      <c r="R1270" s="766"/>
      <c r="S1270" s="752"/>
      <c r="T1270" s="760"/>
      <c r="U1270" s="130"/>
      <c r="V1270" s="2107"/>
      <c r="W1270" s="611">
        <v>9.5</v>
      </c>
      <c r="X1270" s="611">
        <v>9.5</v>
      </c>
      <c r="Y1270" s="611"/>
      <c r="Z1270" s="611"/>
      <c r="AA1270" s="611"/>
      <c r="AB1270" s="611"/>
      <c r="AC1270" s="611"/>
      <c r="AD1270" s="611"/>
      <c r="AE1270" s="611"/>
      <c r="AF1270" s="611"/>
      <c r="AG1270" s="611"/>
    </row>
    <row r="1271" spans="1:33" s="56" customFormat="1" ht="15" hidden="1" customHeight="1" outlineLevel="1" x14ac:dyDescent="0.25">
      <c r="A1271" s="597"/>
      <c r="B1271" s="130"/>
      <c r="C1271" s="616"/>
      <c r="D1271" s="2101"/>
      <c r="E1271" s="2104"/>
      <c r="F1271" s="2110" t="str">
        <f>$E$862</f>
        <v>ASHP SEER 17 replace ASHP - early replacement SF ER2</v>
      </c>
      <c r="G1271" s="2111"/>
      <c r="H1271" s="2111"/>
      <c r="I1271" s="2112"/>
      <c r="J1271" s="709" t="s">
        <v>1189</v>
      </c>
      <c r="K1271" s="730">
        <v>9.5</v>
      </c>
      <c r="L1271" s="670"/>
      <c r="M1271" s="754" t="s">
        <v>1173</v>
      </c>
      <c r="N1271" s="130"/>
      <c r="O1271" s="251"/>
      <c r="P1271" s="251"/>
      <c r="Q1271" s="251"/>
      <c r="R1271" s="251"/>
      <c r="S1271" s="130"/>
      <c r="T1271" s="130"/>
      <c r="U1271" s="130"/>
      <c r="V1271" s="2107"/>
      <c r="W1271" s="611">
        <v>9.5</v>
      </c>
      <c r="X1271" s="611">
        <v>9.5</v>
      </c>
      <c r="Y1271" s="611"/>
      <c r="Z1271" s="611"/>
      <c r="AA1271" s="611"/>
      <c r="AB1271" s="611"/>
      <c r="AC1271" s="611"/>
      <c r="AD1271" s="611"/>
      <c r="AE1271" s="611"/>
      <c r="AF1271" s="611"/>
      <c r="AG1271" s="611"/>
    </row>
    <row r="1272" spans="1:33" s="56" customFormat="1" ht="15" hidden="1" customHeight="1" outlineLevel="1" x14ac:dyDescent="0.25">
      <c r="A1272" s="724"/>
      <c r="B1272" s="130"/>
      <c r="C1272" s="616"/>
      <c r="D1272" s="2101"/>
      <c r="E1272" s="2104"/>
      <c r="F1272" s="2110" t="str">
        <f>$E$864</f>
        <v>ASHP SEER 17 replace ASHP - replace on fail SF</v>
      </c>
      <c r="G1272" s="2111"/>
      <c r="H1272" s="2111"/>
      <c r="I1272" s="2112"/>
      <c r="J1272" s="709" t="s">
        <v>1190</v>
      </c>
      <c r="K1272" s="730">
        <v>9.8000000000000007</v>
      </c>
      <c r="L1272" s="670"/>
      <c r="M1272" s="754" t="s">
        <v>1173</v>
      </c>
      <c r="N1272" s="130"/>
      <c r="O1272" s="251"/>
      <c r="P1272" s="766"/>
      <c r="Q1272" s="767"/>
      <c r="R1272" s="766"/>
      <c r="S1272" s="752"/>
      <c r="T1272" s="760"/>
      <c r="U1272" s="130"/>
      <c r="V1272" s="2107"/>
      <c r="W1272" s="611">
        <v>9.8000000000000007</v>
      </c>
      <c r="X1272" s="611">
        <v>9.8000000000000007</v>
      </c>
      <c r="Y1272" s="611"/>
      <c r="Z1272" s="611"/>
      <c r="AA1272" s="611"/>
      <c r="AB1272" s="611"/>
      <c r="AC1272" s="611"/>
      <c r="AD1272" s="611"/>
      <c r="AE1272" s="611"/>
      <c r="AF1272" s="611"/>
      <c r="AG1272" s="611"/>
    </row>
    <row r="1273" spans="1:33" s="56" customFormat="1" ht="15" hidden="1" customHeight="1" outlineLevel="1" x14ac:dyDescent="0.25">
      <c r="A1273" s="597"/>
      <c r="B1273" s="130"/>
      <c r="C1273" s="616"/>
      <c r="D1273" s="2101"/>
      <c r="E1273" s="2104"/>
      <c r="F1273" s="2110" t="str">
        <f>$E$866</f>
        <v>ASHP SEER 18 replace ASHP - early replacement SF ER1</v>
      </c>
      <c r="G1273" s="2111"/>
      <c r="H1273" s="2111"/>
      <c r="I1273" s="2112"/>
      <c r="J1273" s="709" t="s">
        <v>1191</v>
      </c>
      <c r="K1273" s="730">
        <v>9.5</v>
      </c>
      <c r="L1273" s="670"/>
      <c r="M1273" s="754" t="s">
        <v>1173</v>
      </c>
      <c r="N1273" s="130"/>
      <c r="O1273" s="251"/>
      <c r="P1273" s="251"/>
      <c r="Q1273" s="251"/>
      <c r="R1273" s="251"/>
      <c r="S1273" s="130"/>
      <c r="T1273" s="130"/>
      <c r="U1273" s="130"/>
      <c r="V1273" s="2107"/>
      <c r="W1273" s="611">
        <v>9.5</v>
      </c>
      <c r="X1273" s="611">
        <v>9.5</v>
      </c>
      <c r="Y1273" s="611"/>
      <c r="Z1273" s="611"/>
      <c r="AA1273" s="611"/>
      <c r="AB1273" s="611"/>
      <c r="AC1273" s="611"/>
      <c r="AD1273" s="611"/>
      <c r="AE1273" s="611"/>
      <c r="AF1273" s="611"/>
      <c r="AG1273" s="611"/>
    </row>
    <row r="1274" spans="1:33" s="56" customFormat="1" ht="15" hidden="1" customHeight="1" outlineLevel="1" x14ac:dyDescent="0.25">
      <c r="A1274" s="597"/>
      <c r="B1274" s="130"/>
      <c r="C1274" s="616"/>
      <c r="D1274" s="2101"/>
      <c r="E1274" s="2104"/>
      <c r="F1274" s="2110" t="str">
        <f>$E$868</f>
        <v>ASHP SEER 18 replace ASHP - early replacement SF ER2</v>
      </c>
      <c r="G1274" s="2111"/>
      <c r="H1274" s="2111"/>
      <c r="I1274" s="2112"/>
      <c r="J1274" s="709" t="s">
        <v>1192</v>
      </c>
      <c r="K1274" s="730">
        <v>9.5</v>
      </c>
      <c r="L1274" s="670"/>
      <c r="M1274" s="754" t="s">
        <v>1173</v>
      </c>
      <c r="N1274" s="130"/>
      <c r="O1274" s="251"/>
      <c r="P1274" s="251"/>
      <c r="Q1274" s="251"/>
      <c r="R1274" s="251"/>
      <c r="S1274" s="130"/>
      <c r="T1274" s="130"/>
      <c r="U1274" s="130"/>
      <c r="V1274" s="2107"/>
      <c r="W1274" s="611">
        <v>9.5</v>
      </c>
      <c r="X1274" s="611">
        <v>9.5</v>
      </c>
      <c r="Y1274" s="611"/>
      <c r="Z1274" s="611"/>
      <c r="AA1274" s="611"/>
      <c r="AB1274" s="611"/>
      <c r="AC1274" s="611"/>
      <c r="AD1274" s="611"/>
      <c r="AE1274" s="611"/>
      <c r="AF1274" s="611"/>
      <c r="AG1274" s="611"/>
    </row>
    <row r="1275" spans="1:33" s="56" customFormat="1" ht="15" hidden="1" customHeight="1" outlineLevel="1" x14ac:dyDescent="0.25">
      <c r="A1275" s="724"/>
      <c r="B1275" s="130"/>
      <c r="C1275" s="616"/>
      <c r="D1275" s="2101"/>
      <c r="E1275" s="2104"/>
      <c r="F1275" s="2110" t="str">
        <f>$E$870</f>
        <v>ASHP SEER 18 replace ASHP - replace on fail SF</v>
      </c>
      <c r="G1275" s="2111"/>
      <c r="H1275" s="2111"/>
      <c r="I1275" s="2112"/>
      <c r="J1275" s="709" t="s">
        <v>1193</v>
      </c>
      <c r="K1275" s="730">
        <v>9.8000000000000007</v>
      </c>
      <c r="L1275" s="670"/>
      <c r="M1275" s="754" t="s">
        <v>1173</v>
      </c>
      <c r="N1275" s="130"/>
      <c r="O1275" s="251"/>
      <c r="P1275" s="766"/>
      <c r="Q1275" s="767"/>
      <c r="R1275" s="766"/>
      <c r="S1275" s="752"/>
      <c r="T1275" s="760"/>
      <c r="U1275" s="130"/>
      <c r="V1275" s="2107"/>
      <c r="W1275" s="611">
        <v>9.8000000000000007</v>
      </c>
      <c r="X1275" s="611">
        <v>9.8000000000000007</v>
      </c>
      <c r="Y1275" s="611"/>
      <c r="Z1275" s="611"/>
      <c r="AA1275" s="611"/>
      <c r="AB1275" s="611"/>
      <c r="AC1275" s="611"/>
      <c r="AD1275" s="611"/>
      <c r="AE1275" s="611"/>
      <c r="AF1275" s="611"/>
      <c r="AG1275" s="611"/>
    </row>
    <row r="1276" spans="1:33" s="56" customFormat="1" ht="15" hidden="1" customHeight="1" outlineLevel="1" x14ac:dyDescent="0.25">
      <c r="A1276" s="724"/>
      <c r="B1276" s="130"/>
      <c r="C1276" s="616"/>
      <c r="D1276" s="2101"/>
      <c r="E1276" s="2104"/>
      <c r="F1276" s="2110" t="str">
        <f>$E$872</f>
        <v>ASHP - SEER 18 - replace on fail SF</v>
      </c>
      <c r="G1276" s="2111"/>
      <c r="H1276" s="2111"/>
      <c r="I1276" s="2112"/>
      <c r="J1276" s="709" t="s">
        <v>1194</v>
      </c>
      <c r="K1276" s="730">
        <v>9.8000000000000007</v>
      </c>
      <c r="L1276" s="670"/>
      <c r="M1276" s="754" t="s">
        <v>1173</v>
      </c>
      <c r="N1276" s="130"/>
      <c r="O1276" s="251"/>
      <c r="P1276" s="766"/>
      <c r="Q1276" s="767"/>
      <c r="R1276" s="766"/>
      <c r="S1276" s="752"/>
      <c r="T1276" s="760"/>
      <c r="U1276" s="130"/>
      <c r="V1276" s="2107"/>
      <c r="W1276" s="611">
        <v>9.8000000000000007</v>
      </c>
      <c r="X1276" s="611">
        <v>9.8000000000000007</v>
      </c>
      <c r="Y1276" s="611"/>
      <c r="Z1276" s="611"/>
      <c r="AA1276" s="611"/>
      <c r="AB1276" s="611"/>
      <c r="AC1276" s="611"/>
      <c r="AD1276" s="611"/>
      <c r="AE1276" s="611"/>
      <c r="AF1276" s="611"/>
      <c r="AG1276" s="611"/>
    </row>
    <row r="1277" spans="1:33" s="56" customFormat="1" ht="15" hidden="1" customHeight="1" outlineLevel="1" x14ac:dyDescent="0.25">
      <c r="A1277" s="597"/>
      <c r="B1277" s="130"/>
      <c r="C1277" s="616"/>
      <c r="D1277" s="2101"/>
      <c r="E1277" s="2104"/>
      <c r="F1277" s="2110" t="str">
        <f>$E$874</f>
        <v>ASHP SEER 19 replace ASHP - early replacement SF ER1</v>
      </c>
      <c r="G1277" s="2111"/>
      <c r="H1277" s="2111"/>
      <c r="I1277" s="2112"/>
      <c r="J1277" s="709" t="s">
        <v>1195</v>
      </c>
      <c r="K1277" s="730">
        <v>9.5</v>
      </c>
      <c r="L1277" s="670"/>
      <c r="M1277" s="754" t="s">
        <v>1173</v>
      </c>
      <c r="N1277" s="130"/>
      <c r="O1277" s="251"/>
      <c r="P1277" s="251"/>
      <c r="Q1277" s="251"/>
      <c r="R1277" s="251"/>
      <c r="S1277" s="130"/>
      <c r="T1277" s="130"/>
      <c r="U1277" s="130"/>
      <c r="V1277" s="2107"/>
      <c r="W1277" s="611">
        <v>9.5</v>
      </c>
      <c r="X1277" s="611">
        <v>9.5</v>
      </c>
      <c r="Y1277" s="611"/>
      <c r="Z1277" s="611"/>
      <c r="AA1277" s="611"/>
      <c r="AB1277" s="611"/>
      <c r="AC1277" s="611"/>
      <c r="AD1277" s="611"/>
      <c r="AE1277" s="611"/>
      <c r="AF1277" s="611"/>
      <c r="AG1277" s="611"/>
    </row>
    <row r="1278" spans="1:33" s="56" customFormat="1" ht="15" hidden="1" customHeight="1" outlineLevel="1" x14ac:dyDescent="0.25">
      <c r="A1278" s="597"/>
      <c r="B1278" s="130"/>
      <c r="C1278" s="616"/>
      <c r="D1278" s="2101"/>
      <c r="E1278" s="2104"/>
      <c r="F1278" s="2110" t="str">
        <f>$E$876</f>
        <v>ASHP SEER 19 replace ASHP - early replacement SF ER2</v>
      </c>
      <c r="G1278" s="2111"/>
      <c r="H1278" s="2111"/>
      <c r="I1278" s="2112"/>
      <c r="J1278" s="709" t="s">
        <v>1196</v>
      </c>
      <c r="K1278" s="730">
        <v>9.5</v>
      </c>
      <c r="L1278" s="670"/>
      <c r="M1278" s="754" t="s">
        <v>1173</v>
      </c>
      <c r="N1278" s="130"/>
      <c r="O1278" s="251"/>
      <c r="P1278" s="251"/>
      <c r="Q1278" s="251"/>
      <c r="R1278" s="251"/>
      <c r="S1278" s="130"/>
      <c r="T1278" s="130"/>
      <c r="U1278" s="130"/>
      <c r="V1278" s="2107"/>
      <c r="W1278" s="611">
        <v>9.5</v>
      </c>
      <c r="X1278" s="611">
        <v>9.5</v>
      </c>
      <c r="Y1278" s="611"/>
      <c r="Z1278" s="611"/>
      <c r="AA1278" s="611"/>
      <c r="AB1278" s="611"/>
      <c r="AC1278" s="611"/>
      <c r="AD1278" s="611"/>
      <c r="AE1278" s="611"/>
      <c r="AF1278" s="611"/>
      <c r="AG1278" s="611"/>
    </row>
    <row r="1279" spans="1:33" s="56" customFormat="1" ht="15" hidden="1" customHeight="1" outlineLevel="1" x14ac:dyDescent="0.25">
      <c r="A1279" s="724"/>
      <c r="B1279" s="130"/>
      <c r="C1279" s="616"/>
      <c r="D1279" s="2101"/>
      <c r="E1279" s="2104"/>
      <c r="F1279" s="2110" t="str">
        <f>$E$878</f>
        <v>ASHP SEER 19 replace ASHP - replace on fail SF</v>
      </c>
      <c r="G1279" s="2111"/>
      <c r="H1279" s="2111"/>
      <c r="I1279" s="2112"/>
      <c r="J1279" s="709" t="s">
        <v>1197</v>
      </c>
      <c r="K1279" s="730">
        <v>9.8000000000000007</v>
      </c>
      <c r="L1279" s="670"/>
      <c r="M1279" s="754" t="s">
        <v>1173</v>
      </c>
      <c r="N1279" s="130"/>
      <c r="O1279" s="251"/>
      <c r="P1279" s="766"/>
      <c r="Q1279" s="767"/>
      <c r="R1279" s="766"/>
      <c r="S1279" s="752"/>
      <c r="T1279" s="760"/>
      <c r="U1279" s="130"/>
      <c r="V1279" s="2107"/>
      <c r="W1279" s="611">
        <v>9.8000000000000007</v>
      </c>
      <c r="X1279" s="611">
        <v>9.8000000000000007</v>
      </c>
      <c r="Y1279" s="611"/>
      <c r="Z1279" s="611"/>
      <c r="AA1279" s="611"/>
      <c r="AB1279" s="611"/>
      <c r="AC1279" s="611"/>
      <c r="AD1279" s="611"/>
      <c r="AE1279" s="611"/>
      <c r="AF1279" s="611"/>
      <c r="AG1279" s="611"/>
    </row>
    <row r="1280" spans="1:33" s="56" customFormat="1" ht="15" hidden="1" customHeight="1" outlineLevel="1" x14ac:dyDescent="0.25">
      <c r="A1280" s="724"/>
      <c r="B1280" s="130"/>
      <c r="C1280" s="616"/>
      <c r="D1280" s="2101"/>
      <c r="E1280" s="2104"/>
      <c r="F1280" s="2110" t="str">
        <f>$E$880</f>
        <v>ASHP - SEER 17 - replace electric furnace / CAC - early replacement SF ER1</v>
      </c>
      <c r="G1280" s="2111"/>
      <c r="H1280" s="2111"/>
      <c r="I1280" s="2112"/>
      <c r="J1280" s="709"/>
      <c r="K1280" s="730">
        <v>9.4</v>
      </c>
      <c r="L1280" s="670"/>
      <c r="M1280" s="754"/>
      <c r="N1280" s="130"/>
      <c r="O1280" s="251"/>
      <c r="P1280" s="766"/>
      <c r="Q1280" s="767"/>
      <c r="R1280" s="766"/>
      <c r="S1280" s="752"/>
      <c r="T1280" s="760"/>
      <c r="U1280" s="130"/>
      <c r="V1280" s="2107"/>
      <c r="W1280" s="611">
        <v>9.4</v>
      </c>
      <c r="X1280" s="611">
        <v>9.4</v>
      </c>
      <c r="Y1280" s="611"/>
      <c r="Z1280" s="611"/>
      <c r="AA1280" s="611"/>
      <c r="AB1280" s="611"/>
      <c r="AC1280" s="611"/>
      <c r="AD1280" s="611"/>
      <c r="AE1280" s="611"/>
      <c r="AF1280" s="611"/>
      <c r="AG1280" s="611"/>
    </row>
    <row r="1281" spans="1:33" s="56" customFormat="1" ht="15" hidden="1" customHeight="1" outlineLevel="1" x14ac:dyDescent="0.25">
      <c r="A1281" s="724"/>
      <c r="B1281" s="130"/>
      <c r="C1281" s="616"/>
      <c r="D1281" s="2101"/>
      <c r="E1281" s="2104"/>
      <c r="F1281" s="2110" t="str">
        <f>$E$882</f>
        <v>ASHP - SEER 17 - replace electric furnace / CAC - early replacement SF ER2</v>
      </c>
      <c r="G1281" s="2111"/>
      <c r="H1281" s="2111"/>
      <c r="I1281" s="2112"/>
      <c r="J1281" s="709"/>
      <c r="K1281" s="730">
        <v>9.4</v>
      </c>
      <c r="L1281" s="670"/>
      <c r="M1281" s="754"/>
      <c r="N1281" s="130"/>
      <c r="O1281" s="251"/>
      <c r="P1281" s="766"/>
      <c r="Q1281" s="767"/>
      <c r="R1281" s="766"/>
      <c r="S1281" s="752"/>
      <c r="T1281" s="760"/>
      <c r="U1281" s="130"/>
      <c r="V1281" s="2107"/>
      <c r="W1281" s="611">
        <v>9.4</v>
      </c>
      <c r="X1281" s="611">
        <v>9.4</v>
      </c>
      <c r="Y1281" s="611"/>
      <c r="Z1281" s="611"/>
      <c r="AA1281" s="611"/>
      <c r="AB1281" s="611"/>
      <c r="AC1281" s="611"/>
      <c r="AD1281" s="611"/>
      <c r="AE1281" s="611"/>
      <c r="AF1281" s="611"/>
      <c r="AG1281" s="611"/>
    </row>
    <row r="1282" spans="1:33" s="56" customFormat="1" ht="15" hidden="1" customHeight="1" outlineLevel="1" x14ac:dyDescent="0.25">
      <c r="A1282" s="724"/>
      <c r="B1282" s="130"/>
      <c r="C1282" s="616"/>
      <c r="D1282" s="2101"/>
      <c r="E1282" s="2104"/>
      <c r="F1282" s="2110" t="str">
        <f>$E$884</f>
        <v>ASHP - SEER 17 - replace electric furnace / CAC - early replacement MF ER1</v>
      </c>
      <c r="G1282" s="2111"/>
      <c r="H1282" s="2111"/>
      <c r="I1282" s="2112"/>
      <c r="J1282" s="709"/>
      <c r="K1282" s="730">
        <v>9.4</v>
      </c>
      <c r="L1282" s="670"/>
      <c r="M1282" s="754"/>
      <c r="N1282" s="130"/>
      <c r="O1282" s="251"/>
      <c r="P1282" s="766"/>
      <c r="Q1282" s="767"/>
      <c r="R1282" s="766"/>
      <c r="S1282" s="752"/>
      <c r="T1282" s="760"/>
      <c r="U1282" s="130"/>
      <c r="V1282" s="2107"/>
      <c r="W1282" s="611">
        <v>9.4</v>
      </c>
      <c r="X1282" s="611">
        <v>9.4</v>
      </c>
      <c r="Y1282" s="611"/>
      <c r="Z1282" s="611"/>
      <c r="AA1282" s="611"/>
      <c r="AB1282" s="611"/>
      <c r="AC1282" s="611"/>
      <c r="AD1282" s="611"/>
      <c r="AE1282" s="611"/>
      <c r="AF1282" s="611"/>
      <c r="AG1282" s="611"/>
    </row>
    <row r="1283" spans="1:33" s="56" customFormat="1" ht="15" hidden="1" customHeight="1" outlineLevel="1" x14ac:dyDescent="0.25">
      <c r="A1283" s="724"/>
      <c r="B1283" s="130"/>
      <c r="C1283" s="616"/>
      <c r="D1283" s="2101"/>
      <c r="E1283" s="2104"/>
      <c r="F1283" s="2110" t="str">
        <f>$E$886</f>
        <v>ASHP - SEER 17 - replace electric furnace / CAC - early replacement MF ER2</v>
      </c>
      <c r="G1283" s="2111"/>
      <c r="H1283" s="2111"/>
      <c r="I1283" s="2112"/>
      <c r="J1283" s="709"/>
      <c r="K1283" s="730">
        <v>9.4</v>
      </c>
      <c r="L1283" s="670"/>
      <c r="M1283" s="754"/>
      <c r="N1283" s="130"/>
      <c r="O1283" s="251"/>
      <c r="P1283" s="766"/>
      <c r="Q1283" s="767"/>
      <c r="R1283" s="766"/>
      <c r="S1283" s="752"/>
      <c r="T1283" s="760"/>
      <c r="U1283" s="130"/>
      <c r="V1283" s="2107"/>
      <c r="W1283" s="611">
        <v>9.4</v>
      </c>
      <c r="X1283" s="611">
        <v>9.4</v>
      </c>
      <c r="Y1283" s="611"/>
      <c r="Z1283" s="611"/>
      <c r="AA1283" s="611"/>
      <c r="AB1283" s="611"/>
      <c r="AC1283" s="611"/>
      <c r="AD1283" s="611"/>
      <c r="AE1283" s="611"/>
      <c r="AF1283" s="611"/>
      <c r="AG1283" s="611"/>
    </row>
    <row r="1284" spans="1:33" s="56" customFormat="1" ht="15" hidden="1" customHeight="1" outlineLevel="1" x14ac:dyDescent="0.25">
      <c r="A1284" s="724"/>
      <c r="B1284" s="130"/>
      <c r="C1284" s="616"/>
      <c r="D1284" s="2101"/>
      <c r="E1284" s="2104"/>
      <c r="F1284" s="2110" t="str">
        <f>$E$888</f>
        <v>ASHP SEER 17 replace ASHP - early replacement MF ER1</v>
      </c>
      <c r="G1284" s="2111"/>
      <c r="H1284" s="2111"/>
      <c r="I1284" s="2112"/>
      <c r="J1284" s="709"/>
      <c r="K1284" s="730">
        <v>9.5</v>
      </c>
      <c r="L1284" s="670"/>
      <c r="M1284" s="754"/>
      <c r="N1284" s="130"/>
      <c r="O1284" s="251"/>
      <c r="P1284" s="766"/>
      <c r="Q1284" s="767"/>
      <c r="R1284" s="766"/>
      <c r="S1284" s="752"/>
      <c r="T1284" s="760"/>
      <c r="U1284" s="130"/>
      <c r="V1284" s="2107"/>
      <c r="W1284" s="611">
        <v>9.5</v>
      </c>
      <c r="X1284" s="611">
        <v>9.5</v>
      </c>
      <c r="Y1284" s="611"/>
      <c r="Z1284" s="611"/>
      <c r="AA1284" s="611"/>
      <c r="AB1284" s="611"/>
      <c r="AC1284" s="611"/>
      <c r="AD1284" s="611"/>
      <c r="AE1284" s="611"/>
      <c r="AF1284" s="611"/>
      <c r="AG1284" s="611"/>
    </row>
    <row r="1285" spans="1:33" s="56" customFormat="1" ht="15" hidden="1" customHeight="1" outlineLevel="1" x14ac:dyDescent="0.25">
      <c r="A1285" s="724"/>
      <c r="B1285" s="130"/>
      <c r="C1285" s="616"/>
      <c r="D1285" s="2101"/>
      <c r="E1285" s="2104"/>
      <c r="F1285" s="2110" t="str">
        <f>$E$890</f>
        <v>ASHP SEER 17 replace ASHP - early replacement MF ER2</v>
      </c>
      <c r="G1285" s="2111"/>
      <c r="H1285" s="2111"/>
      <c r="I1285" s="2112"/>
      <c r="J1285" s="709"/>
      <c r="K1285" s="730">
        <v>9.5</v>
      </c>
      <c r="L1285" s="670"/>
      <c r="M1285" s="754"/>
      <c r="N1285" s="130"/>
      <c r="O1285" s="251"/>
      <c r="P1285" s="766"/>
      <c r="Q1285" s="767"/>
      <c r="R1285" s="766"/>
      <c r="S1285" s="752"/>
      <c r="T1285" s="760"/>
      <c r="U1285" s="130"/>
      <c r="V1285" s="2107"/>
      <c r="W1285" s="611">
        <v>9.5</v>
      </c>
      <c r="X1285" s="611">
        <v>9.5</v>
      </c>
      <c r="Y1285" s="611"/>
      <c r="Z1285" s="611"/>
      <c r="AA1285" s="611"/>
      <c r="AB1285" s="611"/>
      <c r="AC1285" s="611"/>
      <c r="AD1285" s="611"/>
      <c r="AE1285" s="611"/>
      <c r="AF1285" s="611"/>
      <c r="AG1285" s="611"/>
    </row>
    <row r="1286" spans="1:33" s="56" customFormat="1" hidden="1" outlineLevel="1" x14ac:dyDescent="0.25">
      <c r="A1286" s="724"/>
      <c r="B1286" s="130"/>
      <c r="C1286" s="616"/>
      <c r="D1286" s="2101"/>
      <c r="E1286" s="2104"/>
      <c r="F1286" s="2110" t="str">
        <f>$E$892</f>
        <v>ASHP - SEER 18 - replace electric furnace / CAC - early replacement SF ER1</v>
      </c>
      <c r="G1286" s="2111"/>
      <c r="H1286" s="2111"/>
      <c r="I1286" s="2112"/>
      <c r="J1286" s="709"/>
      <c r="K1286" s="730">
        <v>9.4</v>
      </c>
      <c r="L1286" s="670"/>
      <c r="M1286" s="754"/>
      <c r="N1286" s="130"/>
      <c r="O1286" s="251"/>
      <c r="P1286" s="766"/>
      <c r="Q1286" s="767"/>
      <c r="R1286" s="766"/>
      <c r="S1286" s="752"/>
      <c r="T1286" s="760"/>
      <c r="U1286" s="130"/>
      <c r="V1286" s="2107"/>
      <c r="W1286" s="611">
        <v>9.4</v>
      </c>
      <c r="X1286" s="611">
        <v>9.4</v>
      </c>
      <c r="Y1286" s="611"/>
      <c r="Z1286" s="611"/>
      <c r="AA1286" s="611"/>
      <c r="AB1286" s="611"/>
      <c r="AC1286" s="611"/>
      <c r="AD1286" s="611"/>
      <c r="AE1286" s="611"/>
      <c r="AF1286" s="611"/>
      <c r="AG1286" s="611"/>
    </row>
    <row r="1287" spans="1:33" s="56" customFormat="1" hidden="1" outlineLevel="1" x14ac:dyDescent="0.25">
      <c r="A1287" s="724"/>
      <c r="B1287" s="130"/>
      <c r="C1287" s="616"/>
      <c r="D1287" s="2101"/>
      <c r="E1287" s="2104"/>
      <c r="F1287" s="2110" t="str">
        <f>$E$894</f>
        <v>ASHP - SEER 18 - replace electric furnace / CAC - early replacement SF ER2</v>
      </c>
      <c r="G1287" s="2111"/>
      <c r="H1287" s="2111"/>
      <c r="I1287" s="2112"/>
      <c r="J1287" s="709"/>
      <c r="K1287" s="730">
        <v>9.4</v>
      </c>
      <c r="L1287" s="670"/>
      <c r="M1287" s="754"/>
      <c r="N1287" s="130"/>
      <c r="O1287" s="251"/>
      <c r="P1287" s="766"/>
      <c r="Q1287" s="767"/>
      <c r="R1287" s="766"/>
      <c r="S1287" s="752"/>
      <c r="T1287" s="760"/>
      <c r="U1287" s="130"/>
      <c r="V1287" s="2107"/>
      <c r="W1287" s="611">
        <v>9.4</v>
      </c>
      <c r="X1287" s="611">
        <v>9.4</v>
      </c>
      <c r="Y1287" s="611"/>
      <c r="Z1287" s="611"/>
      <c r="AA1287" s="611"/>
      <c r="AB1287" s="611"/>
      <c r="AC1287" s="611"/>
      <c r="AD1287" s="611"/>
      <c r="AE1287" s="611"/>
      <c r="AF1287" s="611"/>
      <c r="AG1287" s="611"/>
    </row>
    <row r="1288" spans="1:33" s="56" customFormat="1" hidden="1" outlineLevel="1" x14ac:dyDescent="0.25">
      <c r="A1288" s="724"/>
      <c r="B1288" s="130"/>
      <c r="C1288" s="616"/>
      <c r="D1288" s="2101"/>
      <c r="E1288" s="2104"/>
      <c r="F1288" s="2110" t="str">
        <f>$E$896</f>
        <v>ASHP - SEER 18 - replace electric furnace / CAC - early replacement MF ER1</v>
      </c>
      <c r="G1288" s="2111"/>
      <c r="H1288" s="2111"/>
      <c r="I1288" s="2112"/>
      <c r="J1288" s="709"/>
      <c r="K1288" s="730">
        <v>9.4</v>
      </c>
      <c r="L1288" s="670"/>
      <c r="M1288" s="754"/>
      <c r="N1288" s="130"/>
      <c r="O1288" s="251"/>
      <c r="P1288" s="766"/>
      <c r="Q1288" s="767"/>
      <c r="R1288" s="766"/>
      <c r="S1288" s="752"/>
      <c r="T1288" s="760"/>
      <c r="U1288" s="130"/>
      <c r="V1288" s="2107"/>
      <c r="W1288" s="611">
        <v>9.4</v>
      </c>
      <c r="X1288" s="611">
        <v>9.4</v>
      </c>
      <c r="Y1288" s="611"/>
      <c r="Z1288" s="611"/>
      <c r="AA1288" s="611"/>
      <c r="AB1288" s="611"/>
      <c r="AC1288" s="611"/>
      <c r="AD1288" s="611"/>
      <c r="AE1288" s="611"/>
      <c r="AF1288" s="611"/>
      <c r="AG1288" s="611"/>
    </row>
    <row r="1289" spans="1:33" s="56" customFormat="1" hidden="1" outlineLevel="1" x14ac:dyDescent="0.25">
      <c r="A1289" s="724"/>
      <c r="B1289" s="130"/>
      <c r="C1289" s="616"/>
      <c r="D1289" s="2101"/>
      <c r="E1289" s="2104"/>
      <c r="F1289" s="2110" t="str">
        <f>$E$898</f>
        <v>ASHP - SEER 18 - replace electric furnace / CAC - early replacement MF ER2</v>
      </c>
      <c r="G1289" s="2111"/>
      <c r="H1289" s="2111"/>
      <c r="I1289" s="2112"/>
      <c r="J1289" s="709"/>
      <c r="K1289" s="730">
        <v>9.4</v>
      </c>
      <c r="L1289" s="670"/>
      <c r="M1289" s="754"/>
      <c r="N1289" s="130"/>
      <c r="O1289" s="251"/>
      <c r="P1289" s="766"/>
      <c r="Q1289" s="767"/>
      <c r="R1289" s="766"/>
      <c r="S1289" s="752"/>
      <c r="T1289" s="760"/>
      <c r="U1289" s="130"/>
      <c r="V1289" s="2107"/>
      <c r="W1289" s="611">
        <v>9.4</v>
      </c>
      <c r="X1289" s="611">
        <v>9.4</v>
      </c>
      <c r="Y1289" s="611"/>
      <c r="Z1289" s="611"/>
      <c r="AA1289" s="611"/>
      <c r="AB1289" s="611"/>
      <c r="AC1289" s="611"/>
      <c r="AD1289" s="611"/>
      <c r="AE1289" s="611"/>
      <c r="AF1289" s="611"/>
      <c r="AG1289" s="611"/>
    </row>
    <row r="1290" spans="1:33" s="56" customFormat="1" hidden="1" outlineLevel="1" x14ac:dyDescent="0.25">
      <c r="A1290" s="724"/>
      <c r="B1290" s="130"/>
      <c r="C1290" s="616"/>
      <c r="D1290" s="2101"/>
      <c r="E1290" s="2104"/>
      <c r="F1290" s="2110" t="str">
        <f>$E$900</f>
        <v>ASHP SEER 18 replace ASHP - early replacement MF ER1</v>
      </c>
      <c r="G1290" s="2111"/>
      <c r="H1290" s="2111"/>
      <c r="I1290" s="2112"/>
      <c r="J1290" s="709"/>
      <c r="K1290" s="730">
        <v>9.5</v>
      </c>
      <c r="L1290" s="670"/>
      <c r="M1290" s="754"/>
      <c r="N1290" s="130"/>
      <c r="O1290" s="251"/>
      <c r="P1290" s="766"/>
      <c r="Q1290" s="767"/>
      <c r="R1290" s="766"/>
      <c r="S1290" s="752"/>
      <c r="T1290" s="760"/>
      <c r="U1290" s="130"/>
      <c r="V1290" s="2107"/>
      <c r="W1290" s="611">
        <v>9.5</v>
      </c>
      <c r="X1290" s="611">
        <v>9.5</v>
      </c>
      <c r="Y1290" s="611"/>
      <c r="Z1290" s="611"/>
      <c r="AA1290" s="611"/>
      <c r="AB1290" s="611"/>
      <c r="AC1290" s="611"/>
      <c r="AD1290" s="611"/>
      <c r="AE1290" s="611"/>
      <c r="AF1290" s="611"/>
      <c r="AG1290" s="611"/>
    </row>
    <row r="1291" spans="1:33" s="56" customFormat="1" hidden="1" outlineLevel="1" x14ac:dyDescent="0.25">
      <c r="A1291" s="724"/>
      <c r="B1291" s="130"/>
      <c r="C1291" s="616"/>
      <c r="D1291" s="2101"/>
      <c r="E1291" s="2104"/>
      <c r="F1291" s="2110" t="str">
        <f>$E$902</f>
        <v>ASHP SEER 18 replace ASHP - early replacement MF ER2</v>
      </c>
      <c r="G1291" s="2111"/>
      <c r="H1291" s="2111"/>
      <c r="I1291" s="2112"/>
      <c r="J1291" s="709"/>
      <c r="K1291" s="730">
        <v>9.5</v>
      </c>
      <c r="L1291" s="670"/>
      <c r="M1291" s="754"/>
      <c r="N1291" s="130"/>
      <c r="O1291" s="251"/>
      <c r="P1291" s="766"/>
      <c r="Q1291" s="767"/>
      <c r="R1291" s="766"/>
      <c r="S1291" s="752"/>
      <c r="T1291" s="760"/>
      <c r="U1291" s="130"/>
      <c r="V1291" s="2107"/>
      <c r="W1291" s="611">
        <v>9.5</v>
      </c>
      <c r="X1291" s="611">
        <v>9.5</v>
      </c>
      <c r="Y1291" s="611"/>
      <c r="Z1291" s="611"/>
      <c r="AA1291" s="611"/>
      <c r="AB1291" s="611"/>
      <c r="AC1291" s="611"/>
      <c r="AD1291" s="611"/>
      <c r="AE1291" s="611"/>
      <c r="AF1291" s="611"/>
      <c r="AG1291" s="611"/>
    </row>
    <row r="1292" spans="1:33" s="56" customFormat="1" hidden="1" outlineLevel="1" x14ac:dyDescent="0.25">
      <c r="A1292" s="724"/>
      <c r="B1292" s="130"/>
      <c r="C1292" s="616"/>
      <c r="D1292" s="2101"/>
      <c r="E1292" s="2104"/>
      <c r="F1292" s="2110" t="str">
        <f>$E$904</f>
        <v>ASHP - SEER 19 - replace electric furnace / CAC - early replacement SF ER1</v>
      </c>
      <c r="G1292" s="2111"/>
      <c r="H1292" s="2111"/>
      <c r="I1292" s="2112"/>
      <c r="J1292" s="709"/>
      <c r="K1292" s="730">
        <v>9.4</v>
      </c>
      <c r="L1292" s="670"/>
      <c r="M1292" s="754"/>
      <c r="N1292" s="130"/>
      <c r="O1292" s="251"/>
      <c r="P1292" s="766"/>
      <c r="Q1292" s="767"/>
      <c r="R1292" s="766"/>
      <c r="S1292" s="752"/>
      <c r="T1292" s="760"/>
      <c r="U1292" s="130"/>
      <c r="V1292" s="2107"/>
      <c r="W1292" s="611">
        <v>9.4</v>
      </c>
      <c r="X1292" s="611">
        <v>9.4</v>
      </c>
      <c r="Y1292" s="611"/>
      <c r="Z1292" s="611"/>
      <c r="AA1292" s="611"/>
      <c r="AB1292" s="611"/>
      <c r="AC1292" s="611"/>
      <c r="AD1292" s="611"/>
      <c r="AE1292" s="611"/>
      <c r="AF1292" s="611"/>
      <c r="AG1292" s="611"/>
    </row>
    <row r="1293" spans="1:33" s="56" customFormat="1" hidden="1" outlineLevel="1" x14ac:dyDescent="0.25">
      <c r="A1293" s="724"/>
      <c r="B1293" s="130"/>
      <c r="C1293" s="616"/>
      <c r="D1293" s="2101"/>
      <c r="E1293" s="2104"/>
      <c r="F1293" s="2110" t="str">
        <f>$E$906</f>
        <v>ASHP - SEER 19 - replace electric furnace / CAC - early replacement SF ER2</v>
      </c>
      <c r="G1293" s="2111"/>
      <c r="H1293" s="2111"/>
      <c r="I1293" s="2112"/>
      <c r="J1293" s="709"/>
      <c r="K1293" s="730">
        <v>9.4</v>
      </c>
      <c r="L1293" s="670"/>
      <c r="M1293" s="754"/>
      <c r="N1293" s="130"/>
      <c r="O1293" s="251"/>
      <c r="P1293" s="766"/>
      <c r="Q1293" s="767"/>
      <c r="R1293" s="766"/>
      <c r="S1293" s="752"/>
      <c r="T1293" s="760"/>
      <c r="U1293" s="130"/>
      <c r="V1293" s="2107"/>
      <c r="W1293" s="611">
        <v>9.4</v>
      </c>
      <c r="X1293" s="611">
        <v>9.4</v>
      </c>
      <c r="Y1293" s="611"/>
      <c r="Z1293" s="611"/>
      <c r="AA1293" s="611"/>
      <c r="AB1293" s="611"/>
      <c r="AC1293" s="611"/>
      <c r="AD1293" s="611"/>
      <c r="AE1293" s="611"/>
      <c r="AF1293" s="611"/>
      <c r="AG1293" s="611"/>
    </row>
    <row r="1294" spans="1:33" s="56" customFormat="1" hidden="1" outlineLevel="1" x14ac:dyDescent="0.25">
      <c r="A1294" s="724"/>
      <c r="B1294" s="130"/>
      <c r="C1294" s="616"/>
      <c r="D1294" s="2101"/>
      <c r="E1294" s="2104"/>
      <c r="F1294" s="2110" t="str">
        <f>$E$908</f>
        <v>ASHP - SEER 19 - replace electric furnace / CAC - early replacement MF ER1</v>
      </c>
      <c r="G1294" s="2111"/>
      <c r="H1294" s="2111"/>
      <c r="I1294" s="2112"/>
      <c r="J1294" s="709"/>
      <c r="K1294" s="730">
        <v>9.4</v>
      </c>
      <c r="L1294" s="670"/>
      <c r="M1294" s="754"/>
      <c r="N1294" s="130"/>
      <c r="O1294" s="251"/>
      <c r="P1294" s="766"/>
      <c r="Q1294" s="767"/>
      <c r="R1294" s="766"/>
      <c r="S1294" s="752"/>
      <c r="T1294" s="760"/>
      <c r="U1294" s="130"/>
      <c r="V1294" s="2107"/>
      <c r="W1294" s="611">
        <v>9.4</v>
      </c>
      <c r="X1294" s="611">
        <v>9.4</v>
      </c>
      <c r="Y1294" s="611"/>
      <c r="Z1294" s="611"/>
      <c r="AA1294" s="611"/>
      <c r="AB1294" s="611"/>
      <c r="AC1294" s="611"/>
      <c r="AD1294" s="611"/>
      <c r="AE1294" s="611"/>
      <c r="AF1294" s="611"/>
      <c r="AG1294" s="611"/>
    </row>
    <row r="1295" spans="1:33" s="56" customFormat="1" hidden="1" outlineLevel="1" x14ac:dyDescent="0.25">
      <c r="A1295" s="724"/>
      <c r="B1295" s="130"/>
      <c r="C1295" s="616"/>
      <c r="D1295" s="2101"/>
      <c r="E1295" s="2104"/>
      <c r="F1295" s="2110" t="str">
        <f>$E$910</f>
        <v>ASHP - SEER 19 - replace electric furnace / CAC - early replacement MF ER2</v>
      </c>
      <c r="G1295" s="2111"/>
      <c r="H1295" s="2111"/>
      <c r="I1295" s="2112"/>
      <c r="J1295" s="709"/>
      <c r="K1295" s="730">
        <v>9.4</v>
      </c>
      <c r="L1295" s="670"/>
      <c r="M1295" s="754"/>
      <c r="N1295" s="130"/>
      <c r="O1295" s="251"/>
      <c r="P1295" s="766"/>
      <c r="Q1295" s="767"/>
      <c r="R1295" s="766"/>
      <c r="S1295" s="752"/>
      <c r="T1295" s="760"/>
      <c r="U1295" s="130"/>
      <c r="V1295" s="2107"/>
      <c r="W1295" s="611">
        <v>9.4</v>
      </c>
      <c r="X1295" s="611">
        <v>9.4</v>
      </c>
      <c r="Y1295" s="611"/>
      <c r="Z1295" s="611"/>
      <c r="AA1295" s="611"/>
      <c r="AB1295" s="611"/>
      <c r="AC1295" s="611"/>
      <c r="AD1295" s="611"/>
      <c r="AE1295" s="611"/>
      <c r="AF1295" s="611"/>
      <c r="AG1295" s="611"/>
    </row>
    <row r="1296" spans="1:33" s="56" customFormat="1" hidden="1" outlineLevel="1" x14ac:dyDescent="0.25">
      <c r="A1296" s="724"/>
      <c r="B1296" s="130"/>
      <c r="C1296" s="616"/>
      <c r="D1296" s="2101"/>
      <c r="E1296" s="2104"/>
      <c r="F1296" s="2110" t="str">
        <f>$E$912</f>
        <v>ASHP SEER 19 replace ASHP - early replacement MF ER1</v>
      </c>
      <c r="G1296" s="2111"/>
      <c r="H1296" s="2111"/>
      <c r="I1296" s="2112"/>
      <c r="J1296" s="709"/>
      <c r="K1296" s="730">
        <v>9.5</v>
      </c>
      <c r="L1296" s="670"/>
      <c r="M1296" s="754"/>
      <c r="N1296" s="130"/>
      <c r="O1296" s="251"/>
      <c r="P1296" s="766"/>
      <c r="Q1296" s="767"/>
      <c r="R1296" s="766"/>
      <c r="S1296" s="752"/>
      <c r="T1296" s="760"/>
      <c r="U1296" s="130"/>
      <c r="V1296" s="2107"/>
      <c r="W1296" s="611">
        <v>9.5</v>
      </c>
      <c r="X1296" s="611">
        <v>9.5</v>
      </c>
      <c r="Y1296" s="611"/>
      <c r="Z1296" s="611"/>
      <c r="AA1296" s="611"/>
      <c r="AB1296" s="611"/>
      <c r="AC1296" s="611"/>
      <c r="AD1296" s="611"/>
      <c r="AE1296" s="611"/>
      <c r="AF1296" s="611"/>
      <c r="AG1296" s="611"/>
    </row>
    <row r="1297" spans="1:33" s="56" customFormat="1" hidden="1" outlineLevel="1" x14ac:dyDescent="0.25">
      <c r="A1297" s="724"/>
      <c r="B1297" s="130"/>
      <c r="C1297" s="616"/>
      <c r="D1297" s="2101"/>
      <c r="E1297" s="2104"/>
      <c r="F1297" s="2110" t="str">
        <f>$E$914</f>
        <v>ASHP SEER 19 replace ASHP - early replacement MF ER2</v>
      </c>
      <c r="G1297" s="2111"/>
      <c r="H1297" s="2111"/>
      <c r="I1297" s="2112"/>
      <c r="J1297" s="709"/>
      <c r="K1297" s="730">
        <v>9.5</v>
      </c>
      <c r="L1297" s="670"/>
      <c r="M1297" s="754"/>
      <c r="N1297" s="130"/>
      <c r="O1297" s="251"/>
      <c r="P1297" s="766"/>
      <c r="Q1297" s="767"/>
      <c r="R1297" s="766"/>
      <c r="S1297" s="752"/>
      <c r="T1297" s="760"/>
      <c r="U1297" s="130"/>
      <c r="V1297" s="2107"/>
      <c r="W1297" s="611">
        <v>9.5</v>
      </c>
      <c r="X1297" s="611">
        <v>9.5</v>
      </c>
      <c r="Y1297" s="611"/>
      <c r="Z1297" s="611"/>
      <c r="AA1297" s="611"/>
      <c r="AB1297" s="611"/>
      <c r="AC1297" s="611"/>
      <c r="AD1297" s="611"/>
      <c r="AE1297" s="611"/>
      <c r="AF1297" s="611"/>
      <c r="AG1297" s="611"/>
    </row>
    <row r="1298" spans="1:33" s="56" customFormat="1" hidden="1" outlineLevel="1" x14ac:dyDescent="0.25">
      <c r="A1298" s="724"/>
      <c r="B1298" s="130"/>
      <c r="C1298" s="616"/>
      <c r="D1298" s="2101"/>
      <c r="E1298" s="2104"/>
      <c r="F1298" s="2110" t="str">
        <f>$E$916</f>
        <v>ASHP SEER 20 replace ASHP - early replacement SF ER1</v>
      </c>
      <c r="G1298" s="2111"/>
      <c r="H1298" s="2111"/>
      <c r="I1298" s="2112"/>
      <c r="J1298" s="709"/>
      <c r="K1298" s="730">
        <v>9.5</v>
      </c>
      <c r="L1298" s="670"/>
      <c r="M1298" s="754"/>
      <c r="N1298" s="130"/>
      <c r="O1298" s="251"/>
      <c r="P1298" s="766"/>
      <c r="Q1298" s="767"/>
      <c r="R1298" s="766"/>
      <c r="S1298" s="752"/>
      <c r="T1298" s="760"/>
      <c r="U1298" s="130"/>
      <c r="V1298" s="2107"/>
      <c r="W1298" s="611">
        <v>9.5</v>
      </c>
      <c r="X1298" s="611">
        <v>9.5</v>
      </c>
      <c r="Y1298" s="611"/>
      <c r="Z1298" s="611"/>
      <c r="AA1298" s="611"/>
      <c r="AB1298" s="611"/>
      <c r="AC1298" s="611"/>
      <c r="AD1298" s="611"/>
      <c r="AE1298" s="611"/>
      <c r="AF1298" s="611"/>
      <c r="AG1298" s="611"/>
    </row>
    <row r="1299" spans="1:33" s="56" customFormat="1" hidden="1" outlineLevel="1" x14ac:dyDescent="0.25">
      <c r="A1299" s="724"/>
      <c r="B1299" s="130"/>
      <c r="C1299" s="616"/>
      <c r="D1299" s="2101"/>
      <c r="E1299" s="2104"/>
      <c r="F1299" s="2110" t="str">
        <f>$E$918</f>
        <v>ASHP SEER 20 replace ASHP - early replacement SF ER2</v>
      </c>
      <c r="G1299" s="2111"/>
      <c r="H1299" s="2111"/>
      <c r="I1299" s="2112"/>
      <c r="J1299" s="709"/>
      <c r="K1299" s="730">
        <v>9.5</v>
      </c>
      <c r="L1299" s="670"/>
      <c r="M1299" s="754"/>
      <c r="N1299" s="130"/>
      <c r="O1299" s="251"/>
      <c r="P1299" s="766"/>
      <c r="Q1299" s="767"/>
      <c r="R1299" s="766"/>
      <c r="S1299" s="752"/>
      <c r="T1299" s="760"/>
      <c r="U1299" s="130"/>
      <c r="V1299" s="2107"/>
      <c r="W1299" s="611">
        <v>9.5</v>
      </c>
      <c r="X1299" s="611">
        <v>9.5</v>
      </c>
      <c r="Y1299" s="611"/>
      <c r="Z1299" s="611"/>
      <c r="AA1299" s="611"/>
      <c r="AB1299" s="611"/>
      <c r="AC1299" s="611"/>
      <c r="AD1299" s="611"/>
      <c r="AE1299" s="611"/>
      <c r="AF1299" s="611"/>
      <c r="AG1299" s="611"/>
    </row>
    <row r="1300" spans="1:33" s="56" customFormat="1" hidden="1" outlineLevel="1" x14ac:dyDescent="0.25">
      <c r="A1300" s="724"/>
      <c r="B1300" s="130"/>
      <c r="C1300" s="616"/>
      <c r="D1300" s="2101"/>
      <c r="E1300" s="2104"/>
      <c r="F1300" s="2110" t="str">
        <f>$E$920</f>
        <v>ASHP SEER 20 replace ASHP - replace on fail SF</v>
      </c>
      <c r="G1300" s="2111"/>
      <c r="H1300" s="2111"/>
      <c r="I1300" s="2112"/>
      <c r="J1300" s="709"/>
      <c r="K1300" s="730">
        <v>9.8000000000000007</v>
      </c>
      <c r="L1300" s="670"/>
      <c r="M1300" s="754"/>
      <c r="N1300" s="130"/>
      <c r="O1300" s="251"/>
      <c r="P1300" s="766"/>
      <c r="Q1300" s="767"/>
      <c r="R1300" s="766"/>
      <c r="S1300" s="752"/>
      <c r="T1300" s="760"/>
      <c r="U1300" s="130"/>
      <c r="V1300" s="2107"/>
      <c r="W1300" s="611">
        <v>9.8000000000000007</v>
      </c>
      <c r="X1300" s="611">
        <v>9.8000000000000007</v>
      </c>
      <c r="Y1300" s="611"/>
      <c r="Z1300" s="611"/>
      <c r="AA1300" s="611"/>
      <c r="AB1300" s="611"/>
      <c r="AC1300" s="611"/>
      <c r="AD1300" s="611"/>
      <c r="AE1300" s="611"/>
      <c r="AF1300" s="611"/>
      <c r="AG1300" s="611"/>
    </row>
    <row r="1301" spans="1:33" s="56" customFormat="1" hidden="1" outlineLevel="1" x14ac:dyDescent="0.25">
      <c r="A1301" s="724"/>
      <c r="B1301" s="130"/>
      <c r="C1301" s="616"/>
      <c r="D1301" s="2101"/>
      <c r="E1301" s="2104"/>
      <c r="F1301" s="2110" t="str">
        <f>$E$922</f>
        <v>ASHP - SEER 20 - replace electric furnace / CAC - early replacement MF ER1</v>
      </c>
      <c r="G1301" s="2111"/>
      <c r="H1301" s="2111"/>
      <c r="I1301" s="2112"/>
      <c r="J1301" s="709"/>
      <c r="K1301" s="730">
        <v>9.4</v>
      </c>
      <c r="L1301" s="670"/>
      <c r="M1301" s="754"/>
      <c r="N1301" s="130"/>
      <c r="O1301" s="251"/>
      <c r="P1301" s="766"/>
      <c r="Q1301" s="767"/>
      <c r="R1301" s="766"/>
      <c r="S1301" s="752"/>
      <c r="T1301" s="760"/>
      <c r="U1301" s="130"/>
      <c r="V1301" s="2107"/>
      <c r="W1301" s="611">
        <v>9.4</v>
      </c>
      <c r="X1301" s="611">
        <v>9.4</v>
      </c>
      <c r="Y1301" s="611"/>
      <c r="Z1301" s="611"/>
      <c r="AA1301" s="611"/>
      <c r="AB1301" s="611"/>
      <c r="AC1301" s="611"/>
      <c r="AD1301" s="611"/>
      <c r="AE1301" s="611"/>
      <c r="AF1301" s="611"/>
      <c r="AG1301" s="611"/>
    </row>
    <row r="1302" spans="1:33" s="56" customFormat="1" hidden="1" outlineLevel="1" x14ac:dyDescent="0.25">
      <c r="A1302" s="724"/>
      <c r="B1302" s="130"/>
      <c r="C1302" s="616"/>
      <c r="D1302" s="2101"/>
      <c r="E1302" s="2104"/>
      <c r="F1302" s="2110" t="str">
        <f>$E$924</f>
        <v>ASHP - SEER 20 - replace electric furnace / CAC - early replacement MF ER2</v>
      </c>
      <c r="G1302" s="2111"/>
      <c r="H1302" s="2111"/>
      <c r="I1302" s="2112"/>
      <c r="J1302" s="709"/>
      <c r="K1302" s="730">
        <v>9.4</v>
      </c>
      <c r="L1302" s="670"/>
      <c r="M1302" s="754"/>
      <c r="N1302" s="130"/>
      <c r="O1302" s="251"/>
      <c r="P1302" s="766"/>
      <c r="Q1302" s="767"/>
      <c r="R1302" s="766"/>
      <c r="S1302" s="752"/>
      <c r="T1302" s="760"/>
      <c r="U1302" s="130"/>
      <c r="V1302" s="2107"/>
      <c r="W1302" s="611">
        <v>9.4</v>
      </c>
      <c r="X1302" s="611">
        <v>9.4</v>
      </c>
      <c r="Y1302" s="611"/>
      <c r="Z1302" s="611"/>
      <c r="AA1302" s="611"/>
      <c r="AB1302" s="611"/>
      <c r="AC1302" s="611"/>
      <c r="AD1302" s="611"/>
      <c r="AE1302" s="611"/>
      <c r="AF1302" s="611"/>
      <c r="AG1302" s="611"/>
    </row>
    <row r="1303" spans="1:33" s="56" customFormat="1" hidden="1" outlineLevel="1" x14ac:dyDescent="0.25">
      <c r="A1303" s="724"/>
      <c r="B1303" s="130"/>
      <c r="C1303" s="616"/>
      <c r="D1303" s="2101"/>
      <c r="E1303" s="2104"/>
      <c r="F1303" s="2110" t="str">
        <f>$E$926</f>
        <v>ASHP SEER 20 replace ASHP - early replacement MF ER1</v>
      </c>
      <c r="G1303" s="2111"/>
      <c r="H1303" s="2111"/>
      <c r="I1303" s="2112"/>
      <c r="J1303" s="709"/>
      <c r="K1303" s="730">
        <v>9.5</v>
      </c>
      <c r="L1303" s="670"/>
      <c r="M1303" s="754"/>
      <c r="N1303" s="130"/>
      <c r="O1303" s="251"/>
      <c r="P1303" s="766"/>
      <c r="Q1303" s="767"/>
      <c r="R1303" s="766"/>
      <c r="S1303" s="752"/>
      <c r="T1303" s="760"/>
      <c r="U1303" s="130"/>
      <c r="V1303" s="2107"/>
      <c r="W1303" s="611">
        <v>9.5</v>
      </c>
      <c r="X1303" s="611">
        <v>9.5</v>
      </c>
      <c r="Y1303" s="611"/>
      <c r="Z1303" s="611"/>
      <c r="AA1303" s="611"/>
      <c r="AB1303" s="611"/>
      <c r="AC1303" s="611"/>
      <c r="AD1303" s="611"/>
      <c r="AE1303" s="611"/>
      <c r="AF1303" s="611"/>
      <c r="AG1303" s="611"/>
    </row>
    <row r="1304" spans="1:33" s="56" customFormat="1" hidden="1" outlineLevel="1" x14ac:dyDescent="0.25">
      <c r="A1304" s="724"/>
      <c r="B1304" s="130"/>
      <c r="C1304" s="616"/>
      <c r="D1304" s="2101"/>
      <c r="E1304" s="2104"/>
      <c r="F1304" s="2110" t="str">
        <f>$E$928</f>
        <v>ASHP SEER 20 replace ASHP - early replacement MF ER2</v>
      </c>
      <c r="G1304" s="2111"/>
      <c r="H1304" s="2111"/>
      <c r="I1304" s="2112"/>
      <c r="J1304" s="709"/>
      <c r="K1304" s="730">
        <v>9.5</v>
      </c>
      <c r="L1304" s="670"/>
      <c r="M1304" s="754"/>
      <c r="N1304" s="130"/>
      <c r="O1304" s="251"/>
      <c r="P1304" s="766"/>
      <c r="Q1304" s="767"/>
      <c r="R1304" s="766"/>
      <c r="S1304" s="752"/>
      <c r="T1304" s="760"/>
      <c r="U1304" s="130"/>
      <c r="V1304" s="2107"/>
      <c r="W1304" s="611">
        <v>9.5</v>
      </c>
      <c r="X1304" s="611">
        <v>9.5</v>
      </c>
      <c r="Y1304" s="611"/>
      <c r="Z1304" s="611"/>
      <c r="AA1304" s="611"/>
      <c r="AB1304" s="611"/>
      <c r="AC1304" s="611"/>
      <c r="AD1304" s="611"/>
      <c r="AE1304" s="611"/>
      <c r="AF1304" s="611"/>
      <c r="AG1304" s="611"/>
    </row>
    <row r="1305" spans="1:33" s="56" customFormat="1" hidden="1" outlineLevel="1" x14ac:dyDescent="0.25">
      <c r="A1305" s="724"/>
      <c r="B1305" s="130"/>
      <c r="C1305" s="616"/>
      <c r="D1305" s="2101"/>
      <c r="E1305" s="2104"/>
      <c r="F1305" s="2110" t="str">
        <f>$E$930</f>
        <v>ASHP SEER 21 replace ASHP - early replacement SF ER1</v>
      </c>
      <c r="G1305" s="2111"/>
      <c r="H1305" s="2111"/>
      <c r="I1305" s="2112"/>
      <c r="J1305" s="709"/>
      <c r="K1305" s="730">
        <v>9.5</v>
      </c>
      <c r="L1305" s="670"/>
      <c r="M1305" s="754"/>
      <c r="N1305" s="130"/>
      <c r="O1305" s="251"/>
      <c r="P1305" s="766"/>
      <c r="Q1305" s="767"/>
      <c r="R1305" s="766"/>
      <c r="S1305" s="752"/>
      <c r="T1305" s="760"/>
      <c r="U1305" s="130"/>
      <c r="V1305" s="2107"/>
      <c r="W1305" s="611">
        <v>9.5</v>
      </c>
      <c r="X1305" s="611">
        <v>9.5</v>
      </c>
      <c r="Y1305" s="611"/>
      <c r="Z1305" s="611"/>
      <c r="AA1305" s="611"/>
      <c r="AB1305" s="611"/>
      <c r="AC1305" s="611"/>
      <c r="AD1305" s="611"/>
      <c r="AE1305" s="611"/>
      <c r="AF1305" s="611"/>
      <c r="AG1305" s="611"/>
    </row>
    <row r="1306" spans="1:33" s="56" customFormat="1" hidden="1" outlineLevel="1" x14ac:dyDescent="0.25">
      <c r="A1306" s="724"/>
      <c r="B1306" s="130"/>
      <c r="C1306" s="616"/>
      <c r="D1306" s="2101"/>
      <c r="E1306" s="2104"/>
      <c r="F1306" s="2110" t="str">
        <f>$E$932</f>
        <v>ASHP SEER 21 replace ASHP - early replacement SF ER2</v>
      </c>
      <c r="G1306" s="2111"/>
      <c r="H1306" s="2111"/>
      <c r="I1306" s="2112"/>
      <c r="J1306" s="709"/>
      <c r="K1306" s="730">
        <v>9.5</v>
      </c>
      <c r="L1306" s="670"/>
      <c r="M1306" s="754"/>
      <c r="N1306" s="130"/>
      <c r="O1306" s="251"/>
      <c r="P1306" s="766"/>
      <c r="Q1306" s="767"/>
      <c r="R1306" s="766"/>
      <c r="S1306" s="752"/>
      <c r="T1306" s="760"/>
      <c r="U1306" s="130"/>
      <c r="V1306" s="2107"/>
      <c r="W1306" s="611">
        <v>9.5</v>
      </c>
      <c r="X1306" s="611">
        <v>9.5</v>
      </c>
      <c r="Y1306" s="611"/>
      <c r="Z1306" s="611"/>
      <c r="AA1306" s="611"/>
      <c r="AB1306" s="611"/>
      <c r="AC1306" s="611"/>
      <c r="AD1306" s="611"/>
      <c r="AE1306" s="611"/>
      <c r="AF1306" s="611"/>
      <c r="AG1306" s="611"/>
    </row>
    <row r="1307" spans="1:33" s="56" customFormat="1" hidden="1" outlineLevel="1" x14ac:dyDescent="0.25">
      <c r="A1307" s="724"/>
      <c r="B1307" s="130"/>
      <c r="C1307" s="616"/>
      <c r="D1307" s="2101"/>
      <c r="E1307" s="2104"/>
      <c r="F1307" s="2110" t="str">
        <f>$E$934</f>
        <v>ASHP SEER 21 replace ASHP - replace on fail SF</v>
      </c>
      <c r="G1307" s="2111"/>
      <c r="H1307" s="2111"/>
      <c r="I1307" s="2112"/>
      <c r="J1307" s="709"/>
      <c r="K1307" s="730">
        <v>9.8000000000000007</v>
      </c>
      <c r="L1307" s="670"/>
      <c r="M1307" s="754"/>
      <c r="N1307" s="130"/>
      <c r="O1307" s="251"/>
      <c r="P1307" s="766"/>
      <c r="Q1307" s="767"/>
      <c r="R1307" s="766"/>
      <c r="S1307" s="752"/>
      <c r="T1307" s="760"/>
      <c r="U1307" s="130"/>
      <c r="V1307" s="2107"/>
      <c r="W1307" s="611">
        <v>9.8000000000000007</v>
      </c>
      <c r="X1307" s="611">
        <v>9.8000000000000007</v>
      </c>
      <c r="Y1307" s="611"/>
      <c r="Z1307" s="611"/>
      <c r="AA1307" s="611"/>
      <c r="AB1307" s="611"/>
      <c r="AC1307" s="611"/>
      <c r="AD1307" s="611"/>
      <c r="AE1307" s="611"/>
      <c r="AF1307" s="611"/>
      <c r="AG1307" s="611"/>
    </row>
    <row r="1308" spans="1:33" s="56" customFormat="1" hidden="1" outlineLevel="1" x14ac:dyDescent="0.25">
      <c r="A1308" s="724"/>
      <c r="B1308" s="130"/>
      <c r="C1308" s="616"/>
      <c r="D1308" s="2101"/>
      <c r="E1308" s="2104"/>
      <c r="F1308" s="2110" t="str">
        <f>$E$936</f>
        <v>ASHP - SEER 21 - replace electric furnace / CAC MF</v>
      </c>
      <c r="G1308" s="2111"/>
      <c r="H1308" s="2111"/>
      <c r="I1308" s="2112"/>
      <c r="J1308" s="709"/>
      <c r="K1308" s="730">
        <v>9.6999999999999993</v>
      </c>
      <c r="L1308" s="670"/>
      <c r="M1308" s="754"/>
      <c r="N1308" s="130"/>
      <c r="O1308" s="251"/>
      <c r="P1308" s="766"/>
      <c r="Q1308" s="767"/>
      <c r="R1308" s="766"/>
      <c r="S1308" s="752"/>
      <c r="T1308" s="760"/>
      <c r="U1308" s="130"/>
      <c r="V1308" s="2107"/>
      <c r="W1308" s="611">
        <v>9.6999999999999993</v>
      </c>
      <c r="X1308" s="611">
        <v>9.6999999999999993</v>
      </c>
      <c r="Y1308" s="611"/>
      <c r="Z1308" s="611"/>
      <c r="AA1308" s="611"/>
      <c r="AB1308" s="611"/>
      <c r="AC1308" s="611"/>
      <c r="AD1308" s="611"/>
      <c r="AE1308" s="611"/>
      <c r="AF1308" s="611"/>
      <c r="AG1308" s="611"/>
    </row>
    <row r="1309" spans="1:33" s="56" customFormat="1" hidden="1" outlineLevel="1" x14ac:dyDescent="0.25">
      <c r="A1309" s="724"/>
      <c r="B1309" s="130"/>
      <c r="C1309" s="616"/>
      <c r="D1309" s="2101"/>
      <c r="E1309" s="2104"/>
      <c r="F1309" s="2110" t="str">
        <f>$E$938</f>
        <v>ASHP SEER 21 replace ASHP - early replacement MF ER1</v>
      </c>
      <c r="G1309" s="2111"/>
      <c r="H1309" s="2111"/>
      <c r="I1309" s="2112"/>
      <c r="J1309" s="709"/>
      <c r="K1309" s="730">
        <v>9.5</v>
      </c>
      <c r="L1309" s="670"/>
      <c r="M1309" s="754"/>
      <c r="N1309" s="130"/>
      <c r="O1309" s="251"/>
      <c r="P1309" s="766"/>
      <c r="Q1309" s="767"/>
      <c r="R1309" s="766"/>
      <c r="S1309" s="752"/>
      <c r="T1309" s="760"/>
      <c r="U1309" s="130"/>
      <c r="V1309" s="2107"/>
      <c r="W1309" s="611">
        <v>9.5</v>
      </c>
      <c r="X1309" s="611">
        <v>9.5</v>
      </c>
      <c r="Y1309" s="611"/>
      <c r="Z1309" s="611"/>
      <c r="AA1309" s="611"/>
      <c r="AB1309" s="611"/>
      <c r="AC1309" s="611"/>
      <c r="AD1309" s="611"/>
      <c r="AE1309" s="611"/>
      <c r="AF1309" s="611"/>
      <c r="AG1309" s="611"/>
    </row>
    <row r="1310" spans="1:33" s="56" customFormat="1" hidden="1" outlineLevel="1" x14ac:dyDescent="0.25">
      <c r="A1310" s="724"/>
      <c r="B1310" s="130"/>
      <c r="C1310" s="616"/>
      <c r="D1310" s="2101"/>
      <c r="E1310" s="2104"/>
      <c r="F1310" s="2110" t="str">
        <f>$E$940</f>
        <v>ASHP SEER 21 replace ASHP - early replacement MF ER2</v>
      </c>
      <c r="G1310" s="2111"/>
      <c r="H1310" s="2111"/>
      <c r="I1310" s="2112"/>
      <c r="J1310" s="709"/>
      <c r="K1310" s="730">
        <v>9.5</v>
      </c>
      <c r="L1310" s="670"/>
      <c r="M1310" s="754"/>
      <c r="N1310" s="130"/>
      <c r="O1310" s="251"/>
      <c r="P1310" s="766"/>
      <c r="Q1310" s="767"/>
      <c r="R1310" s="766"/>
      <c r="S1310" s="752"/>
      <c r="T1310" s="760"/>
      <c r="U1310" s="130"/>
      <c r="V1310" s="2107"/>
      <c r="W1310" s="611">
        <v>9.5</v>
      </c>
      <c r="X1310" s="611">
        <v>9.5</v>
      </c>
      <c r="Y1310" s="611"/>
      <c r="Z1310" s="611"/>
      <c r="AA1310" s="611"/>
      <c r="AB1310" s="611"/>
      <c r="AC1310" s="611"/>
      <c r="AD1310" s="611"/>
      <c r="AE1310" s="611"/>
      <c r="AF1310" s="611"/>
      <c r="AG1310" s="611"/>
    </row>
    <row r="1311" spans="1:33" s="56" customFormat="1" ht="15" hidden="1" customHeight="1" outlineLevel="1" x14ac:dyDescent="0.25">
      <c r="A1311" s="724"/>
      <c r="B1311" s="130"/>
      <c r="C1311" s="616"/>
      <c r="D1311" s="2101"/>
      <c r="E1311" s="2104"/>
      <c r="F1311" s="2110" t="str">
        <f>$E$942</f>
        <v>ASHP - SEER 17 - replace on fail MF</v>
      </c>
      <c r="G1311" s="2111"/>
      <c r="H1311" s="2111"/>
      <c r="I1311" s="2112"/>
      <c r="J1311" s="709" t="s">
        <v>1198</v>
      </c>
      <c r="K1311" s="730">
        <v>9.8000000000000007</v>
      </c>
      <c r="L1311" s="670"/>
      <c r="M1311" s="754" t="s">
        <v>1173</v>
      </c>
      <c r="N1311" s="130"/>
      <c r="O1311" s="251"/>
      <c r="P1311" s="766"/>
      <c r="Q1311" s="767"/>
      <c r="R1311" s="766"/>
      <c r="S1311" s="752"/>
      <c r="T1311" s="760"/>
      <c r="U1311" s="130"/>
      <c r="V1311" s="2107"/>
      <c r="W1311" s="611">
        <v>9.8000000000000007</v>
      </c>
      <c r="X1311" s="611">
        <v>9.8000000000000007</v>
      </c>
      <c r="Y1311" s="611"/>
      <c r="Z1311" s="611"/>
      <c r="AA1311" s="611"/>
      <c r="AB1311" s="611"/>
      <c r="AC1311" s="611"/>
      <c r="AD1311" s="611"/>
      <c r="AE1311" s="611"/>
      <c r="AF1311" s="611"/>
      <c r="AG1311" s="611"/>
    </row>
    <row r="1312" spans="1:33" s="56" customFormat="1" ht="15" hidden="1" customHeight="1" outlineLevel="1" x14ac:dyDescent="0.25">
      <c r="A1312" s="597"/>
      <c r="B1312" s="130"/>
      <c r="C1312" s="616"/>
      <c r="D1312" s="2101"/>
      <c r="E1312" s="2104"/>
      <c r="F1312" s="2110" t="str">
        <f>$E$944</f>
        <v>ASHP - SEER 18 - replace on fail MF</v>
      </c>
      <c r="G1312" s="2111"/>
      <c r="H1312" s="2111"/>
      <c r="I1312" s="2112"/>
      <c r="J1312" s="709" t="s">
        <v>1199</v>
      </c>
      <c r="K1312" s="730">
        <v>9.8000000000000007</v>
      </c>
      <c r="L1312" s="670"/>
      <c r="M1312" s="754" t="s">
        <v>1173</v>
      </c>
      <c r="N1312" s="130"/>
      <c r="O1312" s="251"/>
      <c r="P1312" s="251"/>
      <c r="Q1312" s="251"/>
      <c r="R1312" s="251"/>
      <c r="S1312" s="130"/>
      <c r="T1312" s="130"/>
      <c r="U1312" s="130"/>
      <c r="V1312" s="2107"/>
      <c r="W1312" s="611">
        <v>9.8000000000000007</v>
      </c>
      <c r="X1312" s="611">
        <v>9.8000000000000007</v>
      </c>
      <c r="Y1312" s="611"/>
      <c r="Z1312" s="611"/>
      <c r="AA1312" s="611"/>
      <c r="AB1312" s="611"/>
      <c r="AC1312" s="611"/>
      <c r="AD1312" s="611"/>
      <c r="AE1312" s="611"/>
      <c r="AF1312" s="611"/>
      <c r="AG1312" s="611"/>
    </row>
    <row r="1313" spans="1:33" s="56" customFormat="1" ht="15" hidden="1" customHeight="1" outlineLevel="1" x14ac:dyDescent="0.25">
      <c r="A1313" s="597"/>
      <c r="B1313" s="130"/>
      <c r="C1313" s="616"/>
      <c r="D1313" s="2101"/>
      <c r="E1313" s="2104"/>
      <c r="F1313" s="2110" t="str">
        <f>$E$946</f>
        <v>ASHP - SEER 19 - replace on fail MF</v>
      </c>
      <c r="G1313" s="2111"/>
      <c r="H1313" s="2111"/>
      <c r="I1313" s="2112"/>
      <c r="J1313" s="709" t="s">
        <v>1200</v>
      </c>
      <c r="K1313" s="730">
        <v>9.8000000000000007</v>
      </c>
      <c r="L1313" s="670"/>
      <c r="M1313" s="754" t="s">
        <v>1173</v>
      </c>
      <c r="N1313" s="130"/>
      <c r="O1313" s="251"/>
      <c r="P1313" s="251"/>
      <c r="Q1313" s="251"/>
      <c r="R1313" s="251"/>
      <c r="S1313" s="130"/>
      <c r="T1313" s="130"/>
      <c r="U1313" s="130"/>
      <c r="V1313" s="2107"/>
      <c r="W1313" s="611">
        <v>9.8000000000000007</v>
      </c>
      <c r="X1313" s="611">
        <v>9.8000000000000007</v>
      </c>
      <c r="Y1313" s="611"/>
      <c r="Z1313" s="611"/>
      <c r="AA1313" s="611"/>
      <c r="AB1313" s="611"/>
      <c r="AC1313" s="611"/>
      <c r="AD1313" s="611"/>
      <c r="AE1313" s="611"/>
      <c r="AF1313" s="611"/>
      <c r="AG1313" s="611"/>
    </row>
    <row r="1314" spans="1:33" s="56" customFormat="1" ht="15" hidden="1" customHeight="1" outlineLevel="1" x14ac:dyDescent="0.25">
      <c r="A1314" s="724"/>
      <c r="B1314" s="130"/>
      <c r="C1314" s="616"/>
      <c r="D1314" s="2101"/>
      <c r="E1314" s="2104"/>
      <c r="F1314" s="2110" t="str">
        <f>$E$948</f>
        <v>ASHP - SEER 20 - replace on fail MF</v>
      </c>
      <c r="G1314" s="2111"/>
      <c r="H1314" s="2111"/>
      <c r="I1314" s="2112"/>
      <c r="J1314" s="709" t="s">
        <v>1201</v>
      </c>
      <c r="K1314" s="730">
        <v>9.8000000000000007</v>
      </c>
      <c r="L1314" s="670"/>
      <c r="M1314" s="754" t="s">
        <v>1173</v>
      </c>
      <c r="N1314" s="130"/>
      <c r="O1314" s="251"/>
      <c r="P1314" s="766"/>
      <c r="Q1314" s="767"/>
      <c r="R1314" s="766"/>
      <c r="S1314" s="752"/>
      <c r="T1314" s="760"/>
      <c r="U1314" s="130"/>
      <c r="V1314" s="2107"/>
      <c r="W1314" s="611">
        <v>9.8000000000000007</v>
      </c>
      <c r="X1314" s="611">
        <v>9.8000000000000007</v>
      </c>
      <c r="Y1314" s="611"/>
      <c r="Z1314" s="611"/>
      <c r="AA1314" s="611"/>
      <c r="AB1314" s="611"/>
      <c r="AC1314" s="611"/>
      <c r="AD1314" s="611"/>
      <c r="AE1314" s="611"/>
      <c r="AF1314" s="611"/>
      <c r="AG1314" s="611"/>
    </row>
    <row r="1315" spans="1:33" s="56" customFormat="1" ht="15.75" hidden="1" customHeight="1" outlineLevel="1" thickBot="1" x14ac:dyDescent="0.3">
      <c r="A1315" s="724"/>
      <c r="B1315" s="130"/>
      <c r="C1315" s="616"/>
      <c r="D1315" s="2101"/>
      <c r="E1315" s="2104"/>
      <c r="F1315" s="2110" t="str">
        <f>$E$950</f>
        <v>ASHP - SEER 21 - replace on fail MF</v>
      </c>
      <c r="G1315" s="2111"/>
      <c r="H1315" s="2111"/>
      <c r="I1315" s="2112"/>
      <c r="J1315" s="773" t="s">
        <v>1202</v>
      </c>
      <c r="K1315" s="631">
        <v>9.8000000000000007</v>
      </c>
      <c r="L1315" s="774"/>
      <c r="M1315" s="775" t="s">
        <v>1173</v>
      </c>
      <c r="N1315" s="130"/>
      <c r="O1315" s="251"/>
      <c r="P1315" s="766"/>
      <c r="Q1315" s="767"/>
      <c r="R1315" s="766"/>
      <c r="S1315" s="752"/>
      <c r="T1315" s="760"/>
      <c r="U1315" s="130"/>
      <c r="V1315" s="2107"/>
      <c r="W1315" s="631">
        <v>9.8000000000000007</v>
      </c>
      <c r="X1315" s="631">
        <v>9.8000000000000007</v>
      </c>
      <c r="Y1315" s="631"/>
      <c r="Z1315" s="631"/>
      <c r="AA1315" s="631"/>
      <c r="AB1315" s="631"/>
      <c r="AC1315" s="631"/>
      <c r="AD1315" s="631"/>
      <c r="AE1315" s="631"/>
      <c r="AF1315" s="631"/>
      <c r="AG1315" s="631"/>
    </row>
    <row r="1316" spans="1:33" s="56" customFormat="1" ht="15" hidden="1" customHeight="1" outlineLevel="1" x14ac:dyDescent="0.25">
      <c r="A1316" s="724"/>
      <c r="B1316" s="130"/>
      <c r="C1316" s="616"/>
      <c r="D1316" s="2113" t="s">
        <v>1038</v>
      </c>
      <c r="E1316" s="2116" t="s">
        <v>1039</v>
      </c>
      <c r="F1316" s="2109" t="str">
        <f>$E$780</f>
        <v>ASHP - SEER 15 ER Elec Resist Furnace: HVAC ER1</v>
      </c>
      <c r="G1316" s="2109"/>
      <c r="H1316" s="2109"/>
      <c r="I1316" s="2109"/>
      <c r="J1316" s="707">
        <v>919</v>
      </c>
      <c r="K1316" s="727">
        <f>3.06*12000</f>
        <v>36720</v>
      </c>
      <c r="L1316" s="776">
        <v>2.8</v>
      </c>
      <c r="M1316" s="772" t="s">
        <v>1794</v>
      </c>
      <c r="N1316" s="130"/>
      <c r="O1316" s="251"/>
      <c r="P1316" s="766"/>
      <c r="Q1316" s="766"/>
      <c r="R1316" s="766"/>
      <c r="S1316" s="752"/>
      <c r="T1316" s="760"/>
      <c r="U1316" s="130"/>
      <c r="V1316" s="2119" t="s">
        <v>1038</v>
      </c>
      <c r="W1316" s="605">
        <v>33600</v>
      </c>
      <c r="X1316" s="624">
        <f>3.06*12000</f>
        <v>36720</v>
      </c>
      <c r="Y1316" s="605"/>
      <c r="Z1316" s="605"/>
      <c r="AA1316" s="605"/>
      <c r="AB1316" s="605"/>
      <c r="AC1316" s="605"/>
      <c r="AD1316" s="605"/>
      <c r="AE1316" s="605"/>
      <c r="AF1316" s="605"/>
      <c r="AG1316" s="605"/>
    </row>
    <row r="1317" spans="1:33" s="56" customFormat="1" ht="15" hidden="1" customHeight="1" outlineLevel="1" x14ac:dyDescent="0.25">
      <c r="A1317" s="724"/>
      <c r="B1317" s="130"/>
      <c r="C1317" s="616"/>
      <c r="D1317" s="2114"/>
      <c r="E1317" s="2117"/>
      <c r="F1317" s="2110" t="str">
        <f>$E$782</f>
        <v>ASHP - SEER 15 ER Elec Resist Furnace: HVAC ER2</v>
      </c>
      <c r="G1317" s="2111"/>
      <c r="H1317" s="2111"/>
      <c r="I1317" s="2112"/>
      <c r="J1317" s="709" t="s">
        <v>1156</v>
      </c>
      <c r="K1317" s="730">
        <f t="shared" ref="K1317:K1327" si="71">3.06*12000</f>
        <v>36720</v>
      </c>
      <c r="L1317" s="777">
        <v>2.8</v>
      </c>
      <c r="M1317" s="754" t="s">
        <v>1794</v>
      </c>
      <c r="N1317" s="130"/>
      <c r="O1317" s="251"/>
      <c r="P1317" s="766"/>
      <c r="Q1317" s="766"/>
      <c r="R1317" s="766"/>
      <c r="S1317" s="752"/>
      <c r="T1317" s="760"/>
      <c r="U1317" s="130"/>
      <c r="V1317" s="2120"/>
      <c r="W1317" s="611">
        <v>33600</v>
      </c>
      <c r="X1317" s="614">
        <f t="shared" ref="X1317:X1327" si="72">3.06*12000</f>
        <v>36720</v>
      </c>
      <c r="Y1317" s="611"/>
      <c r="Z1317" s="611"/>
      <c r="AA1317" s="611"/>
      <c r="AB1317" s="611"/>
      <c r="AC1317" s="611"/>
      <c r="AD1317" s="611"/>
      <c r="AE1317" s="611"/>
      <c r="AF1317" s="611"/>
      <c r="AG1317" s="611"/>
    </row>
    <row r="1318" spans="1:33" s="56" customFormat="1" ht="15" hidden="1" customHeight="1" outlineLevel="1" x14ac:dyDescent="0.25">
      <c r="A1318" s="724"/>
      <c r="B1318" s="130"/>
      <c r="C1318" s="616"/>
      <c r="D1318" s="2114"/>
      <c r="E1318" s="2117"/>
      <c r="F1318" s="2110" t="str">
        <f>$E$784</f>
        <v>ASHP - SEER 15 ER with ASHP: HVAC ER1</v>
      </c>
      <c r="G1318" s="2111"/>
      <c r="H1318" s="2111"/>
      <c r="I1318" s="2112"/>
      <c r="J1318" s="709">
        <v>920</v>
      </c>
      <c r="K1318" s="730">
        <f t="shared" si="71"/>
        <v>36720</v>
      </c>
      <c r="L1318" s="777">
        <v>3.1</v>
      </c>
      <c r="M1318" s="754" t="s">
        <v>1794</v>
      </c>
      <c r="N1318" s="130"/>
      <c r="O1318" s="251"/>
      <c r="P1318" s="766"/>
      <c r="Q1318" s="766"/>
      <c r="R1318" s="766"/>
      <c r="S1318" s="752"/>
      <c r="T1318" s="760"/>
      <c r="U1318" s="130"/>
      <c r="V1318" s="2120"/>
      <c r="W1318" s="611">
        <v>37200</v>
      </c>
      <c r="X1318" s="614">
        <f t="shared" si="72"/>
        <v>36720</v>
      </c>
      <c r="Y1318" s="611"/>
      <c r="Z1318" s="611"/>
      <c r="AA1318" s="611"/>
      <c r="AB1318" s="611"/>
      <c r="AC1318" s="611"/>
      <c r="AD1318" s="611"/>
      <c r="AE1318" s="611"/>
      <c r="AF1318" s="611"/>
      <c r="AG1318" s="611"/>
    </row>
    <row r="1319" spans="1:33" s="56" customFormat="1" ht="15" hidden="1" customHeight="1" outlineLevel="1" x14ac:dyDescent="0.25">
      <c r="A1319" s="724"/>
      <c r="B1319" s="130"/>
      <c r="C1319" s="616"/>
      <c r="D1319" s="2114"/>
      <c r="E1319" s="2117"/>
      <c r="F1319" s="2110" t="str">
        <f>$E$786</f>
        <v>ASHP - SEER 15 ER with ASHP: HVAC ER2</v>
      </c>
      <c r="G1319" s="2111"/>
      <c r="H1319" s="2111"/>
      <c r="I1319" s="2112"/>
      <c r="J1319" s="709" t="s">
        <v>1159</v>
      </c>
      <c r="K1319" s="730">
        <f t="shared" si="71"/>
        <v>36720</v>
      </c>
      <c r="L1319" s="777">
        <v>3.1</v>
      </c>
      <c r="M1319" s="754" t="s">
        <v>1794</v>
      </c>
      <c r="N1319" s="130"/>
      <c r="O1319" s="251"/>
      <c r="P1319" s="766"/>
      <c r="Q1319" s="766"/>
      <c r="R1319" s="766"/>
      <c r="S1319" s="752"/>
      <c r="T1319" s="760"/>
      <c r="U1319" s="130"/>
      <c r="V1319" s="2120"/>
      <c r="W1319" s="611">
        <v>37200</v>
      </c>
      <c r="X1319" s="614">
        <f t="shared" si="72"/>
        <v>36720</v>
      </c>
      <c r="Y1319" s="611"/>
      <c r="Z1319" s="611"/>
      <c r="AA1319" s="611"/>
      <c r="AB1319" s="611"/>
      <c r="AC1319" s="611"/>
      <c r="AD1319" s="611"/>
      <c r="AE1319" s="611"/>
      <c r="AF1319" s="611"/>
      <c r="AG1319" s="611"/>
    </row>
    <row r="1320" spans="1:33" s="56" customFormat="1" ht="15" hidden="1" customHeight="1" outlineLevel="1" x14ac:dyDescent="0.25">
      <c r="A1320" s="724"/>
      <c r="B1320" s="130"/>
      <c r="C1320" s="616"/>
      <c r="D1320" s="2114"/>
      <c r="E1320" s="2117"/>
      <c r="F1320" s="2110" t="str">
        <f>$E$788</f>
        <v>ASHP-  SEER 15 Replace at Fail Elec Resist Furnace: HVAC</v>
      </c>
      <c r="G1320" s="2111"/>
      <c r="H1320" s="2111"/>
      <c r="I1320" s="2112"/>
      <c r="J1320" s="709">
        <v>921</v>
      </c>
      <c r="K1320" s="730">
        <f t="shared" si="71"/>
        <v>36720</v>
      </c>
      <c r="L1320" s="777">
        <v>2.6</v>
      </c>
      <c r="M1320" s="754" t="s">
        <v>1794</v>
      </c>
      <c r="N1320" s="130"/>
      <c r="O1320" s="251"/>
      <c r="P1320" s="766"/>
      <c r="Q1320" s="766"/>
      <c r="R1320" s="766"/>
      <c r="S1320" s="752"/>
      <c r="T1320" s="760"/>
      <c r="U1320" s="130"/>
      <c r="V1320" s="2120"/>
      <c r="W1320" s="611">
        <v>31200</v>
      </c>
      <c r="X1320" s="614">
        <f t="shared" si="72"/>
        <v>36720</v>
      </c>
      <c r="Y1320" s="611"/>
      <c r="Z1320" s="611"/>
      <c r="AA1320" s="611"/>
      <c r="AB1320" s="611"/>
      <c r="AC1320" s="611"/>
      <c r="AD1320" s="611"/>
      <c r="AE1320" s="611"/>
      <c r="AF1320" s="611"/>
      <c r="AG1320" s="611"/>
    </row>
    <row r="1321" spans="1:33" s="56" customFormat="1" ht="15" hidden="1" customHeight="1" outlineLevel="1" x14ac:dyDescent="0.25">
      <c r="A1321" s="724"/>
      <c r="B1321" s="130"/>
      <c r="C1321" s="616"/>
      <c r="D1321" s="2114"/>
      <c r="E1321" s="2117"/>
      <c r="F1321" s="2110" t="str">
        <f>$E$790</f>
        <v>ASHP - SEER 15 Replace at Fail with ASHP: HVAC</v>
      </c>
      <c r="G1321" s="2111"/>
      <c r="H1321" s="2111"/>
      <c r="I1321" s="2112"/>
      <c r="J1321" s="709">
        <v>922</v>
      </c>
      <c r="K1321" s="730">
        <f t="shared" si="71"/>
        <v>36720</v>
      </c>
      <c r="L1321" s="777">
        <v>3.1</v>
      </c>
      <c r="M1321" s="754" t="s">
        <v>1794</v>
      </c>
      <c r="N1321" s="130"/>
      <c r="O1321" s="251"/>
      <c r="P1321" s="766"/>
      <c r="Q1321" s="766"/>
      <c r="R1321" s="766"/>
      <c r="S1321" s="752"/>
      <c r="T1321" s="760"/>
      <c r="U1321" s="130"/>
      <c r="V1321" s="2120"/>
      <c r="W1321" s="611">
        <v>37200</v>
      </c>
      <c r="X1321" s="614">
        <f t="shared" si="72"/>
        <v>36720</v>
      </c>
      <c r="Y1321" s="611"/>
      <c r="Z1321" s="611"/>
      <c r="AA1321" s="611"/>
      <c r="AB1321" s="611"/>
      <c r="AC1321" s="611"/>
      <c r="AD1321" s="611"/>
      <c r="AE1321" s="611"/>
      <c r="AF1321" s="611"/>
      <c r="AG1321" s="611"/>
    </row>
    <row r="1322" spans="1:33" s="56" customFormat="1" ht="15" hidden="1" customHeight="1" outlineLevel="1" x14ac:dyDescent="0.25">
      <c r="A1322" s="724"/>
      <c r="B1322" s="130"/>
      <c r="C1322" s="616"/>
      <c r="D1322" s="2114"/>
      <c r="E1322" s="2117"/>
      <c r="F1322" s="2110" t="str">
        <f>$E$792</f>
        <v>ASHP - SEER 16 - replace electric furnace / CAC - early replacement SF ER1</v>
      </c>
      <c r="G1322" s="2111"/>
      <c r="H1322" s="2111"/>
      <c r="I1322" s="2112"/>
      <c r="J1322" s="709">
        <v>923</v>
      </c>
      <c r="K1322" s="730">
        <f t="shared" si="71"/>
        <v>36720</v>
      </c>
      <c r="L1322" s="777">
        <v>3.1</v>
      </c>
      <c r="M1322" s="754" t="s">
        <v>1794</v>
      </c>
      <c r="N1322" s="130"/>
      <c r="O1322" s="251"/>
      <c r="P1322" s="766"/>
      <c r="Q1322" s="766"/>
      <c r="R1322" s="766"/>
      <c r="S1322" s="752"/>
      <c r="T1322" s="760"/>
      <c r="U1322" s="130"/>
      <c r="V1322" s="2120"/>
      <c r="W1322" s="611">
        <v>37200</v>
      </c>
      <c r="X1322" s="614">
        <f t="shared" si="72"/>
        <v>36720</v>
      </c>
      <c r="Y1322" s="611"/>
      <c r="Z1322" s="611"/>
      <c r="AA1322" s="611"/>
      <c r="AB1322" s="611"/>
      <c r="AC1322" s="611"/>
      <c r="AD1322" s="611"/>
      <c r="AE1322" s="611"/>
      <c r="AF1322" s="611"/>
      <c r="AG1322" s="611"/>
    </row>
    <row r="1323" spans="1:33" s="56" customFormat="1" ht="15" hidden="1" customHeight="1" outlineLevel="1" x14ac:dyDescent="0.25">
      <c r="A1323" s="724"/>
      <c r="B1323" s="130"/>
      <c r="C1323" s="616"/>
      <c r="D1323" s="2114"/>
      <c r="E1323" s="2117"/>
      <c r="F1323" s="2110" t="str">
        <f>$E$794</f>
        <v>ASHP - SEER 16 - replace electric furnace / CAC - early replacement SF ER2</v>
      </c>
      <c r="G1323" s="2111"/>
      <c r="H1323" s="2111"/>
      <c r="I1323" s="2112"/>
      <c r="J1323" s="709" t="s">
        <v>1161</v>
      </c>
      <c r="K1323" s="730">
        <f t="shared" si="71"/>
        <v>36720</v>
      </c>
      <c r="L1323" s="778">
        <v>3.1</v>
      </c>
      <c r="M1323" s="754" t="s">
        <v>1794</v>
      </c>
      <c r="N1323" s="130"/>
      <c r="O1323" s="251"/>
      <c r="P1323" s="766"/>
      <c r="Q1323" s="766"/>
      <c r="R1323" s="766"/>
      <c r="S1323" s="752"/>
      <c r="T1323" s="760"/>
      <c r="U1323" s="130"/>
      <c r="V1323" s="2120"/>
      <c r="W1323" s="611">
        <v>37200</v>
      </c>
      <c r="X1323" s="614">
        <f t="shared" si="72"/>
        <v>36720</v>
      </c>
      <c r="Y1323" s="611"/>
      <c r="Z1323" s="611"/>
      <c r="AA1323" s="611"/>
      <c r="AB1323" s="611"/>
      <c r="AC1323" s="611"/>
      <c r="AD1323" s="611"/>
      <c r="AE1323" s="611"/>
      <c r="AF1323" s="611"/>
      <c r="AG1323" s="611"/>
    </row>
    <row r="1324" spans="1:33" s="56" customFormat="1" ht="15" hidden="1" customHeight="1" outlineLevel="1" x14ac:dyDescent="0.25">
      <c r="A1324" s="724"/>
      <c r="B1324" s="130"/>
      <c r="C1324" s="616"/>
      <c r="D1324" s="2114"/>
      <c r="E1324" s="2117"/>
      <c r="F1324" s="2110" t="str">
        <f>$E$796</f>
        <v>ASHP SEER 16 replace ASHP - early replacement SF ER1</v>
      </c>
      <c r="G1324" s="2111"/>
      <c r="H1324" s="2111"/>
      <c r="I1324" s="2112"/>
      <c r="J1324" s="709">
        <v>924</v>
      </c>
      <c r="K1324" s="730">
        <f t="shared" si="71"/>
        <v>36720</v>
      </c>
      <c r="L1324" s="778">
        <v>3.3</v>
      </c>
      <c r="M1324" s="754" t="s">
        <v>1794</v>
      </c>
      <c r="N1324" s="130"/>
      <c r="O1324" s="251"/>
      <c r="P1324" s="766"/>
      <c r="Q1324" s="766"/>
      <c r="R1324" s="766"/>
      <c r="S1324" s="752"/>
      <c r="T1324" s="760"/>
      <c r="U1324" s="130"/>
      <c r="V1324" s="2120"/>
      <c r="W1324" s="611">
        <v>39600</v>
      </c>
      <c r="X1324" s="614">
        <f t="shared" si="72"/>
        <v>36720</v>
      </c>
      <c r="Y1324" s="611"/>
      <c r="Z1324" s="611"/>
      <c r="AA1324" s="611"/>
      <c r="AB1324" s="611"/>
      <c r="AC1324" s="611"/>
      <c r="AD1324" s="611"/>
      <c r="AE1324" s="611"/>
      <c r="AF1324" s="611"/>
      <c r="AG1324" s="611"/>
    </row>
    <row r="1325" spans="1:33" s="56" customFormat="1" ht="15" hidden="1" customHeight="1" outlineLevel="1" x14ac:dyDescent="0.25">
      <c r="A1325" s="724"/>
      <c r="B1325" s="130"/>
      <c r="C1325" s="616"/>
      <c r="D1325" s="2114"/>
      <c r="E1325" s="2117"/>
      <c r="F1325" s="2110" t="str">
        <f>$E$798</f>
        <v>ASHP SEER 16 replace ASHP - early replacement SF ER2</v>
      </c>
      <c r="G1325" s="2111"/>
      <c r="H1325" s="2111"/>
      <c r="I1325" s="2112"/>
      <c r="J1325" s="709" t="s">
        <v>1163</v>
      </c>
      <c r="K1325" s="725">
        <f t="shared" si="71"/>
        <v>36720</v>
      </c>
      <c r="L1325" s="778">
        <v>3.3</v>
      </c>
      <c r="M1325" s="754" t="s">
        <v>1794</v>
      </c>
      <c r="N1325" s="130"/>
      <c r="O1325" s="251"/>
      <c r="P1325" s="766"/>
      <c r="Q1325" s="766"/>
      <c r="R1325" s="766"/>
      <c r="S1325" s="752"/>
      <c r="T1325" s="760"/>
      <c r="U1325" s="130"/>
      <c r="V1325" s="2120"/>
      <c r="W1325" s="611">
        <v>39600</v>
      </c>
      <c r="X1325" s="761">
        <f t="shared" si="72"/>
        <v>36720</v>
      </c>
      <c r="Y1325" s="611"/>
      <c r="Z1325" s="611"/>
      <c r="AA1325" s="611"/>
      <c r="AB1325" s="611"/>
      <c r="AC1325" s="611"/>
      <c r="AD1325" s="611"/>
      <c r="AE1325" s="611"/>
      <c r="AF1325" s="611"/>
      <c r="AG1325" s="611"/>
    </row>
    <row r="1326" spans="1:33" s="56" customFormat="1" ht="15" hidden="1" customHeight="1" outlineLevel="1" x14ac:dyDescent="0.25">
      <c r="A1326" s="724"/>
      <c r="B1326" s="130"/>
      <c r="C1326" s="616"/>
      <c r="D1326" s="2114"/>
      <c r="E1326" s="2117"/>
      <c r="F1326" s="2110" t="str">
        <f>$E$800</f>
        <v>ASHP - SEER 16 - replace electric furnace / CAC SF</v>
      </c>
      <c r="G1326" s="2111"/>
      <c r="H1326" s="2111"/>
      <c r="I1326" s="2112"/>
      <c r="J1326" s="709">
        <v>925</v>
      </c>
      <c r="K1326" s="725">
        <f t="shared" si="71"/>
        <v>36720</v>
      </c>
      <c r="L1326" s="778">
        <v>3.2</v>
      </c>
      <c r="M1326" s="754" t="s">
        <v>1794</v>
      </c>
      <c r="N1326" s="130"/>
      <c r="O1326" s="251"/>
      <c r="P1326" s="766"/>
      <c r="Q1326" s="766"/>
      <c r="R1326" s="766"/>
      <c r="S1326" s="752"/>
      <c r="T1326" s="760"/>
      <c r="U1326" s="130"/>
      <c r="V1326" s="2120"/>
      <c r="W1326" s="611">
        <v>38400</v>
      </c>
      <c r="X1326" s="761">
        <f t="shared" si="72"/>
        <v>36720</v>
      </c>
      <c r="Y1326" s="611"/>
      <c r="Z1326" s="611"/>
      <c r="AA1326" s="611"/>
      <c r="AB1326" s="611"/>
      <c r="AC1326" s="611"/>
      <c r="AD1326" s="611"/>
      <c r="AE1326" s="611"/>
      <c r="AF1326" s="611"/>
      <c r="AG1326" s="611"/>
    </row>
    <row r="1327" spans="1:33" s="56" customFormat="1" ht="15" hidden="1" customHeight="1" outlineLevel="1" x14ac:dyDescent="0.25">
      <c r="A1327" s="724"/>
      <c r="B1327" s="130"/>
      <c r="C1327" s="616"/>
      <c r="D1327" s="2114"/>
      <c r="E1327" s="2117"/>
      <c r="F1327" s="2110" t="str">
        <f>$E$802</f>
        <v>ASHP SEER 16 replace ASHP - replace on fail SF</v>
      </c>
      <c r="G1327" s="2111"/>
      <c r="H1327" s="2111"/>
      <c r="I1327" s="2112"/>
      <c r="J1327" s="709">
        <v>926</v>
      </c>
      <c r="K1327" s="725">
        <f t="shared" si="71"/>
        <v>36720</v>
      </c>
      <c r="L1327" s="778">
        <v>3.3</v>
      </c>
      <c r="M1327" s="754" t="s">
        <v>1794</v>
      </c>
      <c r="N1327" s="130"/>
      <c r="O1327" s="251"/>
      <c r="P1327" s="766"/>
      <c r="Q1327" s="766"/>
      <c r="R1327" s="766"/>
      <c r="S1327" s="752"/>
      <c r="T1327" s="760"/>
      <c r="U1327" s="130"/>
      <c r="V1327" s="2120"/>
      <c r="W1327" s="611">
        <v>39600</v>
      </c>
      <c r="X1327" s="761">
        <f t="shared" si="72"/>
        <v>36720</v>
      </c>
      <c r="Y1327" s="611"/>
      <c r="Z1327" s="611"/>
      <c r="AA1327" s="611"/>
      <c r="AB1327" s="611"/>
      <c r="AC1327" s="611"/>
      <c r="AD1327" s="611"/>
      <c r="AE1327" s="611"/>
      <c r="AF1327" s="611"/>
      <c r="AG1327" s="611"/>
    </row>
    <row r="1328" spans="1:33" s="56" customFormat="1" ht="15" hidden="1" customHeight="1" outlineLevel="1" x14ac:dyDescent="0.25">
      <c r="A1328" s="724"/>
      <c r="B1328" s="130"/>
      <c r="C1328" s="616"/>
      <c r="D1328" s="2114"/>
      <c r="E1328" s="2117"/>
      <c r="F1328" s="2110" t="str">
        <f>$E$804</f>
        <v>ASHP SEER 15 MFMR / MFLI ER Replace ASHP: HVAC ER1</v>
      </c>
      <c r="G1328" s="2111"/>
      <c r="H1328" s="2111"/>
      <c r="I1328" s="2112"/>
      <c r="J1328" s="709">
        <v>1239</v>
      </c>
      <c r="K1328" s="730">
        <v>37200</v>
      </c>
      <c r="L1328" s="778">
        <v>3.1</v>
      </c>
      <c r="M1328" s="754" t="s">
        <v>977</v>
      </c>
      <c r="N1328" s="130"/>
      <c r="O1328" s="251"/>
      <c r="P1328" s="766"/>
      <c r="Q1328" s="766"/>
      <c r="R1328" s="766"/>
      <c r="S1328" s="752"/>
      <c r="T1328" s="760"/>
      <c r="U1328" s="130"/>
      <c r="V1328" s="2120"/>
      <c r="W1328" s="611">
        <v>37200</v>
      </c>
      <c r="X1328" s="611">
        <v>37200</v>
      </c>
      <c r="Y1328" s="611"/>
      <c r="Z1328" s="611"/>
      <c r="AA1328" s="611"/>
      <c r="AB1328" s="611"/>
      <c r="AC1328" s="611"/>
      <c r="AD1328" s="611"/>
      <c r="AE1328" s="611"/>
      <c r="AF1328" s="611"/>
      <c r="AG1328" s="611"/>
    </row>
    <row r="1329" spans="1:33" s="56" customFormat="1" ht="15" hidden="1" customHeight="1" outlineLevel="1" x14ac:dyDescent="0.25">
      <c r="A1329" s="724"/>
      <c r="B1329" s="130"/>
      <c r="C1329" s="616"/>
      <c r="D1329" s="2114"/>
      <c r="E1329" s="2117"/>
      <c r="F1329" s="2110" t="str">
        <f>$E$806</f>
        <v>ASHP SEER 15 MF ER Replace ASHP: HVAC ER2</v>
      </c>
      <c r="G1329" s="2111"/>
      <c r="H1329" s="2111"/>
      <c r="I1329" s="2112"/>
      <c r="J1329" s="709" t="s">
        <v>1166</v>
      </c>
      <c r="K1329" s="730">
        <v>37200</v>
      </c>
      <c r="L1329" s="778">
        <v>3.1</v>
      </c>
      <c r="M1329" s="754" t="s">
        <v>977</v>
      </c>
      <c r="N1329" s="130"/>
      <c r="O1329" s="251"/>
      <c r="P1329" s="766"/>
      <c r="Q1329" s="766"/>
      <c r="R1329" s="766"/>
      <c r="S1329" s="752"/>
      <c r="T1329" s="760"/>
      <c r="U1329" s="130"/>
      <c r="V1329" s="2120"/>
      <c r="W1329" s="611">
        <v>37200</v>
      </c>
      <c r="X1329" s="611">
        <v>37200</v>
      </c>
      <c r="Y1329" s="611"/>
      <c r="Z1329" s="611"/>
      <c r="AA1329" s="611"/>
      <c r="AB1329" s="611"/>
      <c r="AC1329" s="611"/>
      <c r="AD1329" s="611"/>
      <c r="AE1329" s="611"/>
      <c r="AF1329" s="611"/>
      <c r="AG1329" s="611"/>
    </row>
    <row r="1330" spans="1:33" s="56" customFormat="1" ht="15" hidden="1" customHeight="1" outlineLevel="1" x14ac:dyDescent="0.25">
      <c r="A1330" s="724"/>
      <c r="B1330" s="130"/>
      <c r="C1330" s="616"/>
      <c r="D1330" s="2114"/>
      <c r="E1330" s="2117"/>
      <c r="F1330" s="2110" t="str">
        <f>$E$808</f>
        <v>ASHP SEER 15 MF ER Replace Elec Resist Furnace: HVAC ER1</v>
      </c>
      <c r="G1330" s="2111"/>
      <c r="H1330" s="2111"/>
      <c r="I1330" s="2112"/>
      <c r="J1330" s="709">
        <v>1266</v>
      </c>
      <c r="K1330" s="730">
        <v>33600</v>
      </c>
      <c r="L1330" s="778">
        <v>2.8</v>
      </c>
      <c r="M1330" s="754" t="s">
        <v>977</v>
      </c>
      <c r="N1330" s="130"/>
      <c r="O1330" s="251"/>
      <c r="P1330" s="766"/>
      <c r="Q1330" s="766"/>
      <c r="R1330" s="766"/>
      <c r="S1330" s="752"/>
      <c r="T1330" s="760"/>
      <c r="U1330" s="130"/>
      <c r="V1330" s="2120"/>
      <c r="W1330" s="611">
        <v>33600</v>
      </c>
      <c r="X1330" s="611">
        <v>33600</v>
      </c>
      <c r="Y1330" s="611"/>
      <c r="Z1330" s="611"/>
      <c r="AA1330" s="611"/>
      <c r="AB1330" s="611"/>
      <c r="AC1330" s="611"/>
      <c r="AD1330" s="611"/>
      <c r="AE1330" s="611"/>
      <c r="AF1330" s="611"/>
      <c r="AG1330" s="611"/>
    </row>
    <row r="1331" spans="1:33" s="56" customFormat="1" ht="15" hidden="1" customHeight="1" outlineLevel="1" x14ac:dyDescent="0.25">
      <c r="A1331" s="724"/>
      <c r="B1331" s="130"/>
      <c r="C1331" s="616"/>
      <c r="D1331" s="2114"/>
      <c r="E1331" s="2117"/>
      <c r="F1331" s="2110" t="str">
        <f>$E$810</f>
        <v>ASHP SEER 15 MF ER Replace Elec Resist Furnace: HVAC ER2</v>
      </c>
      <c r="G1331" s="2111"/>
      <c r="H1331" s="2111"/>
      <c r="I1331" s="2112"/>
      <c r="J1331" s="709" t="s">
        <v>1168</v>
      </c>
      <c r="K1331" s="730">
        <v>33600</v>
      </c>
      <c r="L1331" s="778">
        <v>2.8</v>
      </c>
      <c r="M1331" s="754" t="s">
        <v>977</v>
      </c>
      <c r="N1331" s="130"/>
      <c r="O1331" s="251"/>
      <c r="P1331" s="766"/>
      <c r="Q1331" s="766"/>
      <c r="R1331" s="766"/>
      <c r="S1331" s="752"/>
      <c r="T1331" s="760"/>
      <c r="U1331" s="130"/>
      <c r="V1331" s="2120"/>
      <c r="W1331" s="611">
        <v>33600</v>
      </c>
      <c r="X1331" s="611">
        <v>33600</v>
      </c>
      <c r="Y1331" s="611"/>
      <c r="Z1331" s="611"/>
      <c r="AA1331" s="611"/>
      <c r="AB1331" s="611"/>
      <c r="AC1331" s="611"/>
      <c r="AD1331" s="611"/>
      <c r="AE1331" s="611"/>
      <c r="AF1331" s="611"/>
      <c r="AG1331" s="611"/>
    </row>
    <row r="1332" spans="1:33" s="56" customFormat="1" ht="15" hidden="1" customHeight="1" outlineLevel="1" x14ac:dyDescent="0.25">
      <c r="A1332" s="724"/>
      <c r="B1332" s="130"/>
      <c r="C1332" s="616"/>
      <c r="D1332" s="2114"/>
      <c r="E1332" s="2117"/>
      <c r="F1332" s="2110" t="str">
        <f>$E$812</f>
        <v>ASHP SEER 15 MF Replace at Fail Elec Resist Furnace: HVAC</v>
      </c>
      <c r="G1332" s="2111"/>
      <c r="H1332" s="2111"/>
      <c r="I1332" s="2112"/>
      <c r="J1332" s="709">
        <v>1268</v>
      </c>
      <c r="K1332" s="730">
        <v>31200</v>
      </c>
      <c r="L1332" s="778">
        <v>2.6</v>
      </c>
      <c r="M1332" s="754" t="s">
        <v>977</v>
      </c>
      <c r="N1332" s="130"/>
      <c r="O1332" s="251"/>
      <c r="P1332" s="766"/>
      <c r="Q1332" s="766"/>
      <c r="R1332" s="766"/>
      <c r="S1332" s="752"/>
      <c r="T1332" s="760"/>
      <c r="U1332" s="130"/>
      <c r="V1332" s="2120"/>
      <c r="W1332" s="611">
        <v>31200</v>
      </c>
      <c r="X1332" s="611">
        <v>31200</v>
      </c>
      <c r="Y1332" s="611"/>
      <c r="Z1332" s="611"/>
      <c r="AA1332" s="611"/>
      <c r="AB1332" s="611"/>
      <c r="AC1332" s="611"/>
      <c r="AD1332" s="611"/>
      <c r="AE1332" s="611"/>
      <c r="AF1332" s="611"/>
      <c r="AG1332" s="611"/>
    </row>
    <row r="1333" spans="1:33" s="56" customFormat="1" ht="15" hidden="1" customHeight="1" outlineLevel="1" x14ac:dyDescent="0.25">
      <c r="A1333" s="724"/>
      <c r="B1333" s="130"/>
      <c r="C1333" s="616"/>
      <c r="D1333" s="2114"/>
      <c r="E1333" s="2117"/>
      <c r="F1333" s="2110" t="str">
        <f>$E$814</f>
        <v>ASHP SEER 16 MF ER Replace ASHP: HVAC ER1</v>
      </c>
      <c r="G1333" s="2111"/>
      <c r="H1333" s="2111"/>
      <c r="I1333" s="2112"/>
      <c r="J1333" s="709">
        <v>1240</v>
      </c>
      <c r="K1333" s="730">
        <v>39600</v>
      </c>
      <c r="L1333" s="778">
        <v>3.3</v>
      </c>
      <c r="M1333" s="754" t="s">
        <v>977</v>
      </c>
      <c r="N1333" s="130"/>
      <c r="O1333" s="251"/>
      <c r="P1333" s="766"/>
      <c r="Q1333" s="766"/>
      <c r="R1333" s="766"/>
      <c r="S1333" s="752"/>
      <c r="T1333" s="760"/>
      <c r="U1333" s="130"/>
      <c r="V1333" s="2120"/>
      <c r="W1333" s="611">
        <v>39600</v>
      </c>
      <c r="X1333" s="611">
        <v>39600</v>
      </c>
      <c r="Y1333" s="611"/>
      <c r="Z1333" s="611"/>
      <c r="AA1333" s="611"/>
      <c r="AB1333" s="611"/>
      <c r="AC1333" s="611"/>
      <c r="AD1333" s="611"/>
      <c r="AE1333" s="611"/>
      <c r="AF1333" s="611"/>
      <c r="AG1333" s="611"/>
    </row>
    <row r="1334" spans="1:33" s="56" customFormat="1" ht="15" hidden="1" customHeight="1" outlineLevel="1" x14ac:dyDescent="0.25">
      <c r="A1334" s="724"/>
      <c r="B1334" s="130"/>
      <c r="C1334" s="616"/>
      <c r="D1334" s="2114"/>
      <c r="E1334" s="2117"/>
      <c r="F1334" s="2110" t="str">
        <f>$E$816</f>
        <v>ASHP SEER 16 MF ER Replace ASHP: HVAC ER2</v>
      </c>
      <c r="G1334" s="2111"/>
      <c r="H1334" s="2111"/>
      <c r="I1334" s="2112"/>
      <c r="J1334" s="709" t="s">
        <v>1170</v>
      </c>
      <c r="K1334" s="730">
        <v>39600</v>
      </c>
      <c r="L1334" s="778">
        <v>3.3</v>
      </c>
      <c r="M1334" s="754" t="s">
        <v>977</v>
      </c>
      <c r="N1334" s="130"/>
      <c r="O1334" s="251"/>
      <c r="P1334" s="766"/>
      <c r="Q1334" s="766"/>
      <c r="R1334" s="766"/>
      <c r="S1334" s="752"/>
      <c r="T1334" s="760"/>
      <c r="U1334" s="130"/>
      <c r="V1334" s="2120"/>
      <c r="W1334" s="611">
        <v>39600</v>
      </c>
      <c r="X1334" s="611">
        <v>39600</v>
      </c>
      <c r="Y1334" s="611"/>
      <c r="Z1334" s="611"/>
      <c r="AA1334" s="611"/>
      <c r="AB1334" s="611"/>
      <c r="AC1334" s="611"/>
      <c r="AD1334" s="611"/>
      <c r="AE1334" s="611"/>
      <c r="AF1334" s="611"/>
      <c r="AG1334" s="611"/>
    </row>
    <row r="1335" spans="1:33" s="56" customFormat="1" ht="15" hidden="1" customHeight="1" outlineLevel="1" x14ac:dyDescent="0.25">
      <c r="A1335" s="724"/>
      <c r="B1335" s="130"/>
      <c r="C1335" s="616"/>
      <c r="D1335" s="2114"/>
      <c r="E1335" s="2117"/>
      <c r="F1335" s="2110" t="str">
        <f>$E$818</f>
        <v>ASHP - SEER 16 - replace on fail MF</v>
      </c>
      <c r="G1335" s="2111"/>
      <c r="H1335" s="2111"/>
      <c r="I1335" s="2112"/>
      <c r="J1335" s="709">
        <v>1270</v>
      </c>
      <c r="K1335" s="730">
        <v>39600</v>
      </c>
      <c r="L1335" s="778">
        <v>3.3</v>
      </c>
      <c r="M1335" s="754" t="s">
        <v>977</v>
      </c>
      <c r="N1335" s="130"/>
      <c r="O1335" s="251"/>
      <c r="P1335" s="766"/>
      <c r="Q1335" s="766"/>
      <c r="R1335" s="766"/>
      <c r="S1335" s="752"/>
      <c r="T1335" s="760"/>
      <c r="U1335" s="130"/>
      <c r="V1335" s="2120"/>
      <c r="W1335" s="611">
        <v>39600</v>
      </c>
      <c r="X1335" s="611">
        <v>39600</v>
      </c>
      <c r="Y1335" s="611"/>
      <c r="Z1335" s="611"/>
      <c r="AA1335" s="611"/>
      <c r="AB1335" s="611"/>
      <c r="AC1335" s="611"/>
      <c r="AD1335" s="611"/>
      <c r="AE1335" s="611"/>
      <c r="AF1335" s="611"/>
      <c r="AG1335" s="611"/>
    </row>
    <row r="1336" spans="1:33" s="56" customFormat="1" ht="15" hidden="1" customHeight="1" outlineLevel="1" x14ac:dyDescent="0.25">
      <c r="A1336" s="724"/>
      <c r="B1336" s="130"/>
      <c r="C1336" s="616"/>
      <c r="D1336" s="2114"/>
      <c r="E1336" s="2117"/>
      <c r="F1336" s="2110" t="str">
        <f>$E$820</f>
        <v>ASHP - SEER 16 - replace electric furnace / CAC MF</v>
      </c>
      <c r="G1336" s="2111"/>
      <c r="H1336" s="2111"/>
      <c r="I1336" s="2112"/>
      <c r="J1336" s="709">
        <v>1271</v>
      </c>
      <c r="K1336" s="730">
        <v>38400</v>
      </c>
      <c r="L1336" s="778">
        <v>3.2</v>
      </c>
      <c r="M1336" s="754" t="s">
        <v>977</v>
      </c>
      <c r="N1336" s="130"/>
      <c r="O1336" s="251"/>
      <c r="P1336" s="766"/>
      <c r="Q1336" s="766"/>
      <c r="R1336" s="766"/>
      <c r="S1336" s="752"/>
      <c r="T1336" s="760"/>
      <c r="U1336" s="130"/>
      <c r="V1336" s="2120"/>
      <c r="W1336" s="611">
        <v>38400</v>
      </c>
      <c r="X1336" s="611">
        <v>38400</v>
      </c>
      <c r="Y1336" s="611"/>
      <c r="Z1336" s="611"/>
      <c r="AA1336" s="611"/>
      <c r="AB1336" s="611"/>
      <c r="AC1336" s="611"/>
      <c r="AD1336" s="611"/>
      <c r="AE1336" s="611"/>
      <c r="AF1336" s="611"/>
      <c r="AG1336" s="611"/>
    </row>
    <row r="1337" spans="1:33" s="56" customFormat="1" ht="15" hidden="1" customHeight="1" outlineLevel="1" x14ac:dyDescent="0.25">
      <c r="A1337" s="724"/>
      <c r="B1337" s="130"/>
      <c r="C1337" s="616"/>
      <c r="D1337" s="2114"/>
      <c r="E1337" s="2117"/>
      <c r="F1337" s="2110" t="str">
        <f>$E$822</f>
        <v>ASHP - SEER 16 - replace electric furnace / CAC - early replacement MF ER1</v>
      </c>
      <c r="G1337" s="2111"/>
      <c r="H1337" s="2111"/>
      <c r="I1337" s="2112"/>
      <c r="J1337" s="709">
        <v>1269</v>
      </c>
      <c r="K1337" s="730">
        <v>37200</v>
      </c>
      <c r="L1337" s="778">
        <v>3.1</v>
      </c>
      <c r="M1337" s="754" t="s">
        <v>977</v>
      </c>
      <c r="N1337" s="130"/>
      <c r="O1337" s="251"/>
      <c r="P1337" s="766"/>
      <c r="Q1337" s="766"/>
      <c r="R1337" s="766"/>
      <c r="S1337" s="752"/>
      <c r="T1337" s="760"/>
      <c r="U1337" s="130"/>
      <c r="V1337" s="2120"/>
      <c r="W1337" s="611">
        <v>37200</v>
      </c>
      <c r="X1337" s="611">
        <v>37200</v>
      </c>
      <c r="Y1337" s="611"/>
      <c r="Z1337" s="611"/>
      <c r="AA1337" s="611"/>
      <c r="AB1337" s="611"/>
      <c r="AC1337" s="611"/>
      <c r="AD1337" s="611"/>
      <c r="AE1337" s="611"/>
      <c r="AF1337" s="611"/>
      <c r="AG1337" s="611"/>
    </row>
    <row r="1338" spans="1:33" s="56" customFormat="1" ht="15" hidden="1" customHeight="1" outlineLevel="1" x14ac:dyDescent="0.25">
      <c r="A1338" s="724"/>
      <c r="B1338" s="130"/>
      <c r="C1338" s="616"/>
      <c r="D1338" s="2114"/>
      <c r="E1338" s="2117"/>
      <c r="F1338" s="2110" t="str">
        <f>$E$824</f>
        <v>ASHP - SEER 16 - replace electric furnace / CAC - early replacement MF ER2</v>
      </c>
      <c r="G1338" s="2111"/>
      <c r="H1338" s="2111"/>
      <c r="I1338" s="2112"/>
      <c r="J1338" s="709" t="s">
        <v>1171</v>
      </c>
      <c r="K1338" s="730">
        <v>37200</v>
      </c>
      <c r="L1338" s="778">
        <v>3.1</v>
      </c>
      <c r="M1338" s="754" t="s">
        <v>977</v>
      </c>
      <c r="N1338" s="130"/>
      <c r="O1338" s="251"/>
      <c r="P1338" s="766"/>
      <c r="Q1338" s="766"/>
      <c r="R1338" s="766"/>
      <c r="S1338" s="752"/>
      <c r="T1338" s="760"/>
      <c r="U1338" s="130"/>
      <c r="V1338" s="2120"/>
      <c r="W1338" s="611">
        <v>37200</v>
      </c>
      <c r="X1338" s="611">
        <v>37200</v>
      </c>
      <c r="Y1338" s="611"/>
      <c r="Z1338" s="611"/>
      <c r="AA1338" s="611"/>
      <c r="AB1338" s="611"/>
      <c r="AC1338" s="611"/>
      <c r="AD1338" s="611"/>
      <c r="AE1338" s="611"/>
      <c r="AF1338" s="611"/>
      <c r="AG1338" s="611"/>
    </row>
    <row r="1339" spans="1:33" s="56" customFormat="1" ht="15" hidden="1" customHeight="1" outlineLevel="1" x14ac:dyDescent="0.25">
      <c r="A1339" s="724"/>
      <c r="B1339" s="130"/>
      <c r="C1339" s="616"/>
      <c r="D1339" s="2114"/>
      <c r="E1339" s="2117"/>
      <c r="F1339" s="2110" t="str">
        <f>$E$826</f>
        <v>ASHP SEER 15 MF Replace at Fail ASHP: HVAC</v>
      </c>
      <c r="G1339" s="2111"/>
      <c r="H1339" s="2111"/>
      <c r="I1339" s="2112"/>
      <c r="J1339" s="709">
        <v>1267</v>
      </c>
      <c r="K1339" s="730">
        <v>37200</v>
      </c>
      <c r="L1339" s="778">
        <v>3.1</v>
      </c>
      <c r="M1339" s="754" t="s">
        <v>977</v>
      </c>
      <c r="N1339" s="130"/>
      <c r="O1339" s="251"/>
      <c r="P1339" s="766"/>
      <c r="Q1339" s="766"/>
      <c r="R1339" s="766"/>
      <c r="S1339" s="752"/>
      <c r="T1339" s="760"/>
      <c r="U1339" s="130"/>
      <c r="V1339" s="2120"/>
      <c r="W1339" s="611">
        <v>37200</v>
      </c>
      <c r="X1339" s="611">
        <v>37200</v>
      </c>
      <c r="Y1339" s="611"/>
      <c r="Z1339" s="611"/>
      <c r="AA1339" s="611"/>
      <c r="AB1339" s="611"/>
      <c r="AC1339" s="611"/>
      <c r="AD1339" s="611"/>
      <c r="AE1339" s="611"/>
      <c r="AF1339" s="611"/>
      <c r="AG1339" s="611"/>
    </row>
    <row r="1340" spans="1:33" s="56" customFormat="1" ht="15" hidden="1" customHeight="1" outlineLevel="1" x14ac:dyDescent="0.25">
      <c r="A1340" s="724"/>
      <c r="B1340" s="130"/>
      <c r="C1340" s="616"/>
      <c r="D1340" s="2114"/>
      <c r="E1340" s="2117"/>
      <c r="F1340" s="2110" t="str">
        <f>$E$828</f>
        <v>ASHP - SEER 17 - replace electric furnace / CAC SF</v>
      </c>
      <c r="G1340" s="2111"/>
      <c r="H1340" s="2111"/>
      <c r="I1340" s="2112"/>
      <c r="J1340" s="709" t="s">
        <v>1172</v>
      </c>
      <c r="K1340" s="730">
        <v>33600</v>
      </c>
      <c r="L1340" s="778">
        <v>2.8</v>
      </c>
      <c r="M1340" s="754" t="s">
        <v>1173</v>
      </c>
      <c r="N1340" s="130"/>
      <c r="O1340" s="251"/>
      <c r="P1340" s="766"/>
      <c r="Q1340" s="766"/>
      <c r="R1340" s="766"/>
      <c r="S1340" s="752"/>
      <c r="T1340" s="760"/>
      <c r="U1340" s="130"/>
      <c r="V1340" s="2120"/>
      <c r="W1340" s="611">
        <v>33600</v>
      </c>
      <c r="X1340" s="611">
        <v>33600</v>
      </c>
      <c r="Y1340" s="611"/>
      <c r="Z1340" s="611"/>
      <c r="AA1340" s="611"/>
      <c r="AB1340" s="611"/>
      <c r="AC1340" s="611"/>
      <c r="AD1340" s="611"/>
      <c r="AE1340" s="611"/>
      <c r="AF1340" s="611"/>
      <c r="AG1340" s="611"/>
    </row>
    <row r="1341" spans="1:33" s="56" customFormat="1" ht="15" hidden="1" customHeight="1" outlineLevel="1" x14ac:dyDescent="0.25">
      <c r="A1341" s="724"/>
      <c r="B1341" s="130"/>
      <c r="C1341" s="616"/>
      <c r="D1341" s="2114"/>
      <c r="E1341" s="2117"/>
      <c r="F1341" s="2110" t="str">
        <f>$E$830</f>
        <v>ASHP - SEER 17 - replace electric furnace / CAC MF</v>
      </c>
      <c r="G1341" s="2111"/>
      <c r="H1341" s="2111"/>
      <c r="I1341" s="2112"/>
      <c r="J1341" s="709" t="s">
        <v>1174</v>
      </c>
      <c r="K1341" s="730">
        <v>33600</v>
      </c>
      <c r="L1341" s="778">
        <v>2.8</v>
      </c>
      <c r="M1341" s="754" t="s">
        <v>1173</v>
      </c>
      <c r="N1341" s="130"/>
      <c r="O1341" s="251"/>
      <c r="P1341" s="766"/>
      <c r="Q1341" s="766"/>
      <c r="R1341" s="766"/>
      <c r="S1341" s="752"/>
      <c r="T1341" s="760"/>
      <c r="U1341" s="130"/>
      <c r="V1341" s="2120"/>
      <c r="W1341" s="611">
        <v>33600</v>
      </c>
      <c r="X1341" s="611">
        <v>33600</v>
      </c>
      <c r="Y1341" s="611"/>
      <c r="Z1341" s="611"/>
      <c r="AA1341" s="611"/>
      <c r="AB1341" s="611"/>
      <c r="AC1341" s="611"/>
      <c r="AD1341" s="611"/>
      <c r="AE1341" s="611"/>
      <c r="AF1341" s="611"/>
      <c r="AG1341" s="611"/>
    </row>
    <row r="1342" spans="1:33" s="56" customFormat="1" ht="15" hidden="1" customHeight="1" outlineLevel="1" x14ac:dyDescent="0.25">
      <c r="A1342" s="724"/>
      <c r="B1342" s="130"/>
      <c r="C1342" s="616"/>
      <c r="D1342" s="2114"/>
      <c r="E1342" s="2117"/>
      <c r="F1342" s="2110" t="str">
        <f>$E$832</f>
        <v>ASHP - SEER 18 - replace electric furnace / CAC SF</v>
      </c>
      <c r="G1342" s="2111"/>
      <c r="H1342" s="2111"/>
      <c r="I1342" s="2112"/>
      <c r="J1342" s="709" t="s">
        <v>1175</v>
      </c>
      <c r="K1342" s="730">
        <v>33600</v>
      </c>
      <c r="L1342" s="778">
        <v>2.8</v>
      </c>
      <c r="M1342" s="754" t="s">
        <v>1173</v>
      </c>
      <c r="N1342" s="130"/>
      <c r="O1342" s="251"/>
      <c r="P1342" s="766"/>
      <c r="Q1342" s="766"/>
      <c r="R1342" s="766"/>
      <c r="S1342" s="752"/>
      <c r="T1342" s="760"/>
      <c r="U1342" s="130"/>
      <c r="V1342" s="2120"/>
      <c r="W1342" s="611">
        <v>33600</v>
      </c>
      <c r="X1342" s="611">
        <v>33600</v>
      </c>
      <c r="Y1342" s="611"/>
      <c r="Z1342" s="611"/>
      <c r="AA1342" s="611"/>
      <c r="AB1342" s="611"/>
      <c r="AC1342" s="611"/>
      <c r="AD1342" s="611"/>
      <c r="AE1342" s="611"/>
      <c r="AF1342" s="611"/>
      <c r="AG1342" s="611"/>
    </row>
    <row r="1343" spans="1:33" s="56" customFormat="1" ht="15" hidden="1" customHeight="1" outlineLevel="1" x14ac:dyDescent="0.25">
      <c r="A1343" s="724"/>
      <c r="B1343" s="130"/>
      <c r="C1343" s="616"/>
      <c r="D1343" s="2114"/>
      <c r="E1343" s="2117"/>
      <c r="F1343" s="2110" t="str">
        <f>$E$834</f>
        <v>ASHP - SEER 18 - replace electric furnace / CAC MF</v>
      </c>
      <c r="G1343" s="2111"/>
      <c r="H1343" s="2111"/>
      <c r="I1343" s="2112"/>
      <c r="J1343" s="709" t="s">
        <v>1176</v>
      </c>
      <c r="K1343" s="730">
        <v>33600</v>
      </c>
      <c r="L1343" s="778">
        <v>2.8</v>
      </c>
      <c r="M1343" s="754" t="s">
        <v>1173</v>
      </c>
      <c r="N1343" s="130"/>
      <c r="O1343" s="251"/>
      <c r="P1343" s="766"/>
      <c r="Q1343" s="766"/>
      <c r="R1343" s="766"/>
      <c r="S1343" s="752"/>
      <c r="T1343" s="760"/>
      <c r="U1343" s="130"/>
      <c r="V1343" s="2120"/>
      <c r="W1343" s="611">
        <v>33600</v>
      </c>
      <c r="X1343" s="611">
        <v>33600</v>
      </c>
      <c r="Y1343" s="611"/>
      <c r="Z1343" s="611"/>
      <c r="AA1343" s="611"/>
      <c r="AB1343" s="611"/>
      <c r="AC1343" s="611"/>
      <c r="AD1343" s="611"/>
      <c r="AE1343" s="611"/>
      <c r="AF1343" s="611"/>
      <c r="AG1343" s="611"/>
    </row>
    <row r="1344" spans="1:33" s="56" customFormat="1" ht="15" hidden="1" customHeight="1" outlineLevel="1" x14ac:dyDescent="0.25">
      <c r="A1344" s="724"/>
      <c r="B1344" s="130"/>
      <c r="C1344" s="616"/>
      <c r="D1344" s="2114"/>
      <c r="E1344" s="2117"/>
      <c r="F1344" s="2110" t="str">
        <f>$E$836</f>
        <v>ASHP - SEER 19 - replace electric furnace / CAC SF</v>
      </c>
      <c r="G1344" s="2111"/>
      <c r="H1344" s="2111"/>
      <c r="I1344" s="2112"/>
      <c r="J1344" s="709" t="s">
        <v>1177</v>
      </c>
      <c r="K1344" s="730">
        <v>33600</v>
      </c>
      <c r="L1344" s="778">
        <v>2.8</v>
      </c>
      <c r="M1344" s="754" t="s">
        <v>1173</v>
      </c>
      <c r="N1344" s="130"/>
      <c r="O1344" s="251"/>
      <c r="P1344" s="766"/>
      <c r="Q1344" s="766"/>
      <c r="R1344" s="766"/>
      <c r="S1344" s="752"/>
      <c r="T1344" s="760"/>
      <c r="U1344" s="130"/>
      <c r="V1344" s="2120"/>
      <c r="W1344" s="611">
        <v>33600</v>
      </c>
      <c r="X1344" s="611">
        <v>33600</v>
      </c>
      <c r="Y1344" s="611"/>
      <c r="Z1344" s="611"/>
      <c r="AA1344" s="611"/>
      <c r="AB1344" s="611"/>
      <c r="AC1344" s="611"/>
      <c r="AD1344" s="611"/>
      <c r="AE1344" s="611"/>
      <c r="AF1344" s="611"/>
      <c r="AG1344" s="611"/>
    </row>
    <row r="1345" spans="1:33" s="56" customFormat="1" ht="15" hidden="1" customHeight="1" outlineLevel="1" x14ac:dyDescent="0.25">
      <c r="A1345" s="724"/>
      <c r="B1345" s="130"/>
      <c r="C1345" s="616"/>
      <c r="D1345" s="2114"/>
      <c r="E1345" s="2117"/>
      <c r="F1345" s="2110" t="str">
        <f>$E$838</f>
        <v>ASHP - SEER 19 - replace electric furnace / CAC MF</v>
      </c>
      <c r="G1345" s="2111"/>
      <c r="H1345" s="2111"/>
      <c r="I1345" s="2112"/>
      <c r="J1345" s="709" t="s">
        <v>1178</v>
      </c>
      <c r="K1345" s="730">
        <v>33600</v>
      </c>
      <c r="L1345" s="778">
        <v>2.8</v>
      </c>
      <c r="M1345" s="754" t="s">
        <v>1173</v>
      </c>
      <c r="N1345" s="130"/>
      <c r="O1345" s="251"/>
      <c r="P1345" s="766"/>
      <c r="Q1345" s="766"/>
      <c r="R1345" s="766"/>
      <c r="S1345" s="752"/>
      <c r="T1345" s="760"/>
      <c r="U1345" s="130"/>
      <c r="V1345" s="2120"/>
      <c r="W1345" s="611">
        <v>33600</v>
      </c>
      <c r="X1345" s="611">
        <v>33600</v>
      </c>
      <c r="Y1345" s="611"/>
      <c r="Z1345" s="611"/>
      <c r="AA1345" s="611"/>
      <c r="AB1345" s="611"/>
      <c r="AC1345" s="611"/>
      <c r="AD1345" s="611"/>
      <c r="AE1345" s="611"/>
      <c r="AF1345" s="611"/>
      <c r="AG1345" s="611"/>
    </row>
    <row r="1346" spans="1:33" s="56" customFormat="1" ht="15" hidden="1" customHeight="1" outlineLevel="1" x14ac:dyDescent="0.25">
      <c r="A1346" s="724"/>
      <c r="B1346" s="130"/>
      <c r="C1346" s="616"/>
      <c r="D1346" s="2114"/>
      <c r="E1346" s="2117"/>
      <c r="F1346" s="2110" t="str">
        <f>$E$840</f>
        <v>ASHP - SEER 20 - replace electric furnace / CAC - early replacement SF ER1</v>
      </c>
      <c r="G1346" s="2111"/>
      <c r="H1346" s="2111"/>
      <c r="I1346" s="2112"/>
      <c r="J1346" s="709" t="s">
        <v>1179</v>
      </c>
      <c r="K1346" s="730">
        <v>37200</v>
      </c>
      <c r="L1346" s="778">
        <v>3.1</v>
      </c>
      <c r="M1346" s="754" t="s">
        <v>1173</v>
      </c>
      <c r="N1346" s="130"/>
      <c r="O1346" s="251"/>
      <c r="P1346" s="766"/>
      <c r="Q1346" s="766"/>
      <c r="R1346" s="766"/>
      <c r="S1346" s="752"/>
      <c r="T1346" s="760"/>
      <c r="U1346" s="130"/>
      <c r="V1346" s="2120"/>
      <c r="W1346" s="611">
        <v>37200</v>
      </c>
      <c r="X1346" s="611">
        <v>37200</v>
      </c>
      <c r="Y1346" s="611"/>
      <c r="Z1346" s="611"/>
      <c r="AA1346" s="611"/>
      <c r="AB1346" s="611"/>
      <c r="AC1346" s="611"/>
      <c r="AD1346" s="611"/>
      <c r="AE1346" s="611"/>
      <c r="AF1346" s="611"/>
      <c r="AG1346" s="611"/>
    </row>
    <row r="1347" spans="1:33" s="56" customFormat="1" ht="15" hidden="1" customHeight="1" outlineLevel="1" x14ac:dyDescent="0.25">
      <c r="A1347" s="724"/>
      <c r="B1347" s="130"/>
      <c r="C1347" s="616"/>
      <c r="D1347" s="2114"/>
      <c r="E1347" s="2117"/>
      <c r="F1347" s="2110" t="str">
        <f>$E$842</f>
        <v>ASHP - SEER 20 - replace electric furnace / CAC - early replacement SF ER2</v>
      </c>
      <c r="G1347" s="2111"/>
      <c r="H1347" s="2111"/>
      <c r="I1347" s="2112"/>
      <c r="J1347" s="709" t="s">
        <v>1180</v>
      </c>
      <c r="K1347" s="730">
        <v>37200</v>
      </c>
      <c r="L1347" s="778">
        <v>3.1</v>
      </c>
      <c r="M1347" s="754" t="s">
        <v>1173</v>
      </c>
      <c r="N1347" s="130"/>
      <c r="O1347" s="251"/>
      <c r="P1347" s="766"/>
      <c r="Q1347" s="766"/>
      <c r="R1347" s="766"/>
      <c r="S1347" s="752"/>
      <c r="T1347" s="760"/>
      <c r="U1347" s="130"/>
      <c r="V1347" s="2120"/>
      <c r="W1347" s="611">
        <v>37200</v>
      </c>
      <c r="X1347" s="611">
        <v>37200</v>
      </c>
      <c r="Y1347" s="611"/>
      <c r="Z1347" s="611"/>
      <c r="AA1347" s="611"/>
      <c r="AB1347" s="611"/>
      <c r="AC1347" s="611"/>
      <c r="AD1347" s="611"/>
      <c r="AE1347" s="611"/>
      <c r="AF1347" s="611"/>
      <c r="AG1347" s="611"/>
    </row>
    <row r="1348" spans="1:33" s="56" customFormat="1" ht="15" hidden="1" customHeight="1" outlineLevel="1" x14ac:dyDescent="0.25">
      <c r="A1348" s="724"/>
      <c r="B1348" s="130"/>
      <c r="C1348" s="616"/>
      <c r="D1348" s="2114"/>
      <c r="E1348" s="2117"/>
      <c r="F1348" s="2110" t="str">
        <f>$E$844</f>
        <v>ASHP - SEER 20 - replace electric furnace / CAC SF</v>
      </c>
      <c r="G1348" s="2111"/>
      <c r="H1348" s="2111"/>
      <c r="I1348" s="2112"/>
      <c r="J1348" s="709" t="s">
        <v>1181</v>
      </c>
      <c r="K1348" s="730">
        <v>38400</v>
      </c>
      <c r="L1348" s="778">
        <v>3.2</v>
      </c>
      <c r="M1348" s="754" t="s">
        <v>1173</v>
      </c>
      <c r="N1348" s="130"/>
      <c r="O1348" s="251"/>
      <c r="P1348" s="766"/>
      <c r="Q1348" s="766"/>
      <c r="R1348" s="766"/>
      <c r="S1348" s="752"/>
      <c r="T1348" s="760"/>
      <c r="U1348" s="130"/>
      <c r="V1348" s="2120"/>
      <c r="W1348" s="611">
        <v>38400</v>
      </c>
      <c r="X1348" s="611">
        <v>38400</v>
      </c>
      <c r="Y1348" s="611"/>
      <c r="Z1348" s="611"/>
      <c r="AA1348" s="611"/>
      <c r="AB1348" s="611"/>
      <c r="AC1348" s="611"/>
      <c r="AD1348" s="611"/>
      <c r="AE1348" s="611"/>
      <c r="AF1348" s="611"/>
      <c r="AG1348" s="611"/>
    </row>
    <row r="1349" spans="1:33" s="56" customFormat="1" ht="15" hidden="1" customHeight="1" outlineLevel="1" x14ac:dyDescent="0.25">
      <c r="A1349" s="724"/>
      <c r="B1349" s="130"/>
      <c r="C1349" s="616"/>
      <c r="D1349" s="2114"/>
      <c r="E1349" s="2117"/>
      <c r="F1349" s="2110" t="str">
        <f>$E$846</f>
        <v>ASHP - SEER 20 - replace electric furnace / CAC MF</v>
      </c>
      <c r="G1349" s="2111"/>
      <c r="H1349" s="2111"/>
      <c r="I1349" s="2112"/>
      <c r="J1349" s="709" t="s">
        <v>1182</v>
      </c>
      <c r="K1349" s="730">
        <v>38400</v>
      </c>
      <c r="L1349" s="778">
        <v>3.2</v>
      </c>
      <c r="M1349" s="754" t="s">
        <v>1173</v>
      </c>
      <c r="N1349" s="130"/>
      <c r="O1349" s="251"/>
      <c r="P1349" s="766"/>
      <c r="Q1349" s="766"/>
      <c r="R1349" s="766"/>
      <c r="S1349" s="752"/>
      <c r="T1349" s="760"/>
      <c r="U1349" s="130"/>
      <c r="V1349" s="2120"/>
      <c r="W1349" s="611">
        <v>38400</v>
      </c>
      <c r="X1349" s="611">
        <v>38400</v>
      </c>
      <c r="Y1349" s="611"/>
      <c r="Z1349" s="611"/>
      <c r="AA1349" s="611"/>
      <c r="AB1349" s="611"/>
      <c r="AC1349" s="611"/>
      <c r="AD1349" s="611"/>
      <c r="AE1349" s="611"/>
      <c r="AF1349" s="611"/>
      <c r="AG1349" s="611"/>
    </row>
    <row r="1350" spans="1:33" s="56" customFormat="1" ht="15" hidden="1" customHeight="1" outlineLevel="1" x14ac:dyDescent="0.25">
      <c r="A1350" s="724"/>
      <c r="B1350" s="130"/>
      <c r="C1350" s="616"/>
      <c r="D1350" s="2114"/>
      <c r="E1350" s="2117"/>
      <c r="F1350" s="2110" t="str">
        <f>$E$848</f>
        <v>ASHP - SEER 21 - replace electric furnace / CAC - early replacement SF ER1</v>
      </c>
      <c r="G1350" s="2111"/>
      <c r="H1350" s="2111"/>
      <c r="I1350" s="2112"/>
      <c r="J1350" s="709" t="s">
        <v>1183</v>
      </c>
      <c r="K1350" s="730">
        <v>37200</v>
      </c>
      <c r="L1350" s="778">
        <v>3.1</v>
      </c>
      <c r="M1350" s="754" t="s">
        <v>1173</v>
      </c>
      <c r="N1350" s="130"/>
      <c r="O1350" s="251"/>
      <c r="P1350" s="766"/>
      <c r="Q1350" s="767"/>
      <c r="R1350" s="766"/>
      <c r="S1350" s="752"/>
      <c r="T1350" s="760"/>
      <c r="U1350" s="130"/>
      <c r="V1350" s="2120"/>
      <c r="W1350" s="611">
        <v>37200</v>
      </c>
      <c r="X1350" s="611">
        <v>37200</v>
      </c>
      <c r="Y1350" s="611"/>
      <c r="Z1350" s="611"/>
      <c r="AA1350" s="611"/>
      <c r="AB1350" s="611"/>
      <c r="AC1350" s="611"/>
      <c r="AD1350" s="611"/>
      <c r="AE1350" s="611"/>
      <c r="AF1350" s="611"/>
      <c r="AG1350" s="611"/>
    </row>
    <row r="1351" spans="1:33" s="56" customFormat="1" ht="15" hidden="1" customHeight="1" outlineLevel="1" x14ac:dyDescent="0.25">
      <c r="A1351" s="724"/>
      <c r="B1351" s="130"/>
      <c r="C1351" s="616"/>
      <c r="D1351" s="2114"/>
      <c r="E1351" s="2117"/>
      <c r="F1351" s="2110" t="str">
        <f>$E$850</f>
        <v>ASHP - SEER 21 - replace electric furnace / CAC - early replacement SF ER2</v>
      </c>
      <c r="G1351" s="2111"/>
      <c r="H1351" s="2111"/>
      <c r="I1351" s="2112"/>
      <c r="J1351" s="709" t="s">
        <v>1184</v>
      </c>
      <c r="K1351" s="730">
        <v>37200</v>
      </c>
      <c r="L1351" s="778">
        <v>3.1</v>
      </c>
      <c r="M1351" s="754" t="s">
        <v>1173</v>
      </c>
      <c r="N1351" s="130"/>
      <c r="O1351" s="251"/>
      <c r="P1351" s="766"/>
      <c r="Q1351" s="767"/>
      <c r="R1351" s="766"/>
      <c r="S1351" s="752"/>
      <c r="T1351" s="760"/>
      <c r="U1351" s="130"/>
      <c r="V1351" s="2120"/>
      <c r="W1351" s="611">
        <v>37200</v>
      </c>
      <c r="X1351" s="611">
        <v>37200</v>
      </c>
      <c r="Y1351" s="611"/>
      <c r="Z1351" s="611"/>
      <c r="AA1351" s="611"/>
      <c r="AB1351" s="611"/>
      <c r="AC1351" s="611"/>
      <c r="AD1351" s="611"/>
      <c r="AE1351" s="611"/>
      <c r="AF1351" s="611"/>
      <c r="AG1351" s="611"/>
    </row>
    <row r="1352" spans="1:33" s="56" customFormat="1" ht="15" hidden="1" customHeight="1" outlineLevel="1" x14ac:dyDescent="0.25">
      <c r="A1352" s="724"/>
      <c r="B1352" s="130"/>
      <c r="C1352" s="616"/>
      <c r="D1352" s="2114"/>
      <c r="E1352" s="2117"/>
      <c r="F1352" s="2110" t="str">
        <f>$E$852</f>
        <v>ASHP - SEER 21 - replace electric furnace / CAC - early replacement MF ER1</v>
      </c>
      <c r="G1352" s="2111"/>
      <c r="H1352" s="2111"/>
      <c r="I1352" s="2112"/>
      <c r="J1352" s="709" t="s">
        <v>1185</v>
      </c>
      <c r="K1352" s="730">
        <v>37200</v>
      </c>
      <c r="L1352" s="778">
        <v>3.1</v>
      </c>
      <c r="M1352" s="754" t="s">
        <v>1173</v>
      </c>
      <c r="N1352" s="130"/>
      <c r="O1352" s="251"/>
      <c r="P1352" s="766"/>
      <c r="Q1352" s="767"/>
      <c r="R1352" s="766"/>
      <c r="S1352" s="752"/>
      <c r="T1352" s="760"/>
      <c r="U1352" s="130"/>
      <c r="V1352" s="2120"/>
      <c r="W1352" s="611">
        <v>37200</v>
      </c>
      <c r="X1352" s="611">
        <v>37200</v>
      </c>
      <c r="Y1352" s="611"/>
      <c r="Z1352" s="611"/>
      <c r="AA1352" s="611"/>
      <c r="AB1352" s="611"/>
      <c r="AC1352" s="611"/>
      <c r="AD1352" s="611"/>
      <c r="AE1352" s="611"/>
      <c r="AF1352" s="611"/>
      <c r="AG1352" s="611"/>
    </row>
    <row r="1353" spans="1:33" s="56" customFormat="1" ht="15" hidden="1" customHeight="1" outlineLevel="1" x14ac:dyDescent="0.25">
      <c r="A1353" s="724"/>
      <c r="B1353" s="130"/>
      <c r="C1353" s="616"/>
      <c r="D1353" s="2114"/>
      <c r="E1353" s="2117"/>
      <c r="F1353" s="2110" t="str">
        <f>$E$854</f>
        <v>ASHP - SEER 21 - replace electric furnace / CAC - early replacement MF ER2</v>
      </c>
      <c r="G1353" s="2111"/>
      <c r="H1353" s="2111"/>
      <c r="I1353" s="2112"/>
      <c r="J1353" s="709" t="s">
        <v>1186</v>
      </c>
      <c r="K1353" s="730">
        <v>37200</v>
      </c>
      <c r="L1353" s="778">
        <v>3.1</v>
      </c>
      <c r="M1353" s="754" t="s">
        <v>1173</v>
      </c>
      <c r="N1353" s="130"/>
      <c r="O1353" s="251"/>
      <c r="P1353" s="766"/>
      <c r="Q1353" s="767"/>
      <c r="R1353" s="766"/>
      <c r="S1353" s="752"/>
      <c r="T1353" s="760"/>
      <c r="U1353" s="130"/>
      <c r="V1353" s="2120"/>
      <c r="W1353" s="611">
        <v>37200</v>
      </c>
      <c r="X1353" s="611">
        <v>37200</v>
      </c>
      <c r="Y1353" s="611"/>
      <c r="Z1353" s="611"/>
      <c r="AA1353" s="611"/>
      <c r="AB1353" s="611"/>
      <c r="AC1353" s="611"/>
      <c r="AD1353" s="611"/>
      <c r="AE1353" s="611"/>
      <c r="AF1353" s="611"/>
      <c r="AG1353" s="611"/>
    </row>
    <row r="1354" spans="1:33" s="56" customFormat="1" ht="15" hidden="1" customHeight="1" outlineLevel="1" x14ac:dyDescent="0.25">
      <c r="A1354" s="724"/>
      <c r="B1354" s="130"/>
      <c r="C1354" s="616"/>
      <c r="D1354" s="2114"/>
      <c r="E1354" s="2117"/>
      <c r="F1354" s="2110" t="str">
        <f>$E$856</f>
        <v>ASHP - SEER 21 - replace electric furnace / CAC SF</v>
      </c>
      <c r="G1354" s="2111"/>
      <c r="H1354" s="2111"/>
      <c r="I1354" s="2112"/>
      <c r="J1354" s="709" t="s">
        <v>1187</v>
      </c>
      <c r="K1354" s="730">
        <v>38400</v>
      </c>
      <c r="L1354" s="778">
        <v>3.2</v>
      </c>
      <c r="M1354" s="754" t="s">
        <v>1173</v>
      </c>
      <c r="N1354" s="130"/>
      <c r="O1354" s="251"/>
      <c r="P1354" s="766"/>
      <c r="Q1354" s="767"/>
      <c r="R1354" s="766"/>
      <c r="S1354" s="752"/>
      <c r="T1354" s="760"/>
      <c r="U1354" s="130"/>
      <c r="V1354" s="2120"/>
      <c r="W1354" s="611">
        <v>38400</v>
      </c>
      <c r="X1354" s="611">
        <v>38400</v>
      </c>
      <c r="Y1354" s="611"/>
      <c r="Z1354" s="611"/>
      <c r="AA1354" s="611"/>
      <c r="AB1354" s="611"/>
      <c r="AC1354" s="611"/>
      <c r="AD1354" s="611"/>
      <c r="AE1354" s="611"/>
      <c r="AF1354" s="611"/>
      <c r="AG1354" s="611"/>
    </row>
    <row r="1355" spans="1:33" s="56" customFormat="1" ht="15" hidden="1" customHeight="1" outlineLevel="1" x14ac:dyDescent="0.25">
      <c r="A1355" s="724"/>
      <c r="B1355" s="130"/>
      <c r="C1355" s="616"/>
      <c r="D1355" s="2114"/>
      <c r="E1355" s="2117"/>
      <c r="F1355" s="2110" t="str">
        <f>$E$858</f>
        <v>ASHP-  SEER 21+ Replace at Fail Elec Resist Furnace: HVAC</v>
      </c>
      <c r="G1355" s="2111"/>
      <c r="H1355" s="2111"/>
      <c r="I1355" s="2112"/>
      <c r="J1355" s="709" t="s">
        <v>614</v>
      </c>
      <c r="K1355" s="730">
        <v>38400</v>
      </c>
      <c r="L1355" s="778">
        <v>3.2</v>
      </c>
      <c r="M1355" s="754" t="s">
        <v>1173</v>
      </c>
      <c r="N1355" s="130"/>
      <c r="O1355" s="251"/>
      <c r="P1355" s="766"/>
      <c r="Q1355" s="767"/>
      <c r="R1355" s="766"/>
      <c r="S1355" s="752"/>
      <c r="T1355" s="760"/>
      <c r="U1355" s="130"/>
      <c r="V1355" s="2120"/>
      <c r="W1355" s="611">
        <v>38400</v>
      </c>
      <c r="X1355" s="611">
        <v>38400</v>
      </c>
      <c r="Y1355" s="611"/>
      <c r="Z1355" s="611"/>
      <c r="AA1355" s="611"/>
      <c r="AB1355" s="611"/>
      <c r="AC1355" s="611"/>
      <c r="AD1355" s="611"/>
      <c r="AE1355" s="611"/>
      <c r="AF1355" s="611"/>
      <c r="AG1355" s="611"/>
    </row>
    <row r="1356" spans="1:33" s="56" customFormat="1" ht="15" hidden="1" customHeight="1" outlineLevel="1" x14ac:dyDescent="0.25">
      <c r="A1356" s="597"/>
      <c r="B1356" s="130"/>
      <c r="C1356" s="616"/>
      <c r="D1356" s="2114"/>
      <c r="E1356" s="2117"/>
      <c r="F1356" s="2110" t="str">
        <f>$E$860</f>
        <v>ASHP SEER 17 replace ASHP - early replacement SF ER1</v>
      </c>
      <c r="G1356" s="2111"/>
      <c r="H1356" s="2111"/>
      <c r="I1356" s="2112"/>
      <c r="J1356" s="709" t="s">
        <v>1188</v>
      </c>
      <c r="K1356" s="730">
        <v>39600</v>
      </c>
      <c r="L1356" s="778">
        <v>3.3</v>
      </c>
      <c r="M1356" s="754" t="s">
        <v>1173</v>
      </c>
      <c r="N1356" s="130"/>
      <c r="O1356" s="251"/>
      <c r="P1356" s="251"/>
      <c r="Q1356" s="251"/>
      <c r="R1356" s="251"/>
      <c r="S1356" s="130"/>
      <c r="T1356" s="130"/>
      <c r="U1356" s="130"/>
      <c r="V1356" s="2120"/>
      <c r="W1356" s="611">
        <v>39600</v>
      </c>
      <c r="X1356" s="611">
        <v>39600</v>
      </c>
      <c r="Y1356" s="611"/>
      <c r="Z1356" s="611"/>
      <c r="AA1356" s="611"/>
      <c r="AB1356" s="611"/>
      <c r="AC1356" s="611"/>
      <c r="AD1356" s="611"/>
      <c r="AE1356" s="611"/>
      <c r="AF1356" s="611"/>
      <c r="AG1356" s="611"/>
    </row>
    <row r="1357" spans="1:33" s="56" customFormat="1" ht="15" hidden="1" customHeight="1" outlineLevel="1" x14ac:dyDescent="0.25">
      <c r="A1357" s="724"/>
      <c r="B1357" s="130"/>
      <c r="C1357" s="616"/>
      <c r="D1357" s="2114"/>
      <c r="E1357" s="2117"/>
      <c r="F1357" s="2110" t="str">
        <f>$E$862</f>
        <v>ASHP SEER 17 replace ASHP - early replacement SF ER2</v>
      </c>
      <c r="G1357" s="2111"/>
      <c r="H1357" s="2111"/>
      <c r="I1357" s="2112"/>
      <c r="J1357" s="709" t="s">
        <v>1189</v>
      </c>
      <c r="K1357" s="730">
        <v>39600</v>
      </c>
      <c r="L1357" s="778">
        <v>3.3</v>
      </c>
      <c r="M1357" s="754" t="s">
        <v>1173</v>
      </c>
      <c r="N1357" s="130"/>
      <c r="O1357" s="251"/>
      <c r="P1357" s="766"/>
      <c r="Q1357" s="767"/>
      <c r="R1357" s="766"/>
      <c r="S1357" s="752"/>
      <c r="T1357" s="760"/>
      <c r="U1357" s="130"/>
      <c r="V1357" s="2120"/>
      <c r="W1357" s="611">
        <v>39600</v>
      </c>
      <c r="X1357" s="611">
        <v>39600</v>
      </c>
      <c r="Y1357" s="611"/>
      <c r="Z1357" s="611"/>
      <c r="AA1357" s="611"/>
      <c r="AB1357" s="611"/>
      <c r="AC1357" s="611"/>
      <c r="AD1357" s="611"/>
      <c r="AE1357" s="611"/>
      <c r="AF1357" s="611"/>
      <c r="AG1357" s="611"/>
    </row>
    <row r="1358" spans="1:33" s="56" customFormat="1" ht="15" hidden="1" customHeight="1" outlineLevel="1" x14ac:dyDescent="0.25">
      <c r="A1358" s="597"/>
      <c r="B1358" s="130"/>
      <c r="C1358" s="616"/>
      <c r="D1358" s="2114"/>
      <c r="E1358" s="2117"/>
      <c r="F1358" s="2110" t="str">
        <f>$E$864</f>
        <v>ASHP SEER 17 replace ASHP - replace on fail SF</v>
      </c>
      <c r="G1358" s="2111"/>
      <c r="H1358" s="2111"/>
      <c r="I1358" s="2112"/>
      <c r="J1358" s="709" t="s">
        <v>1190</v>
      </c>
      <c r="K1358" s="730">
        <v>39600</v>
      </c>
      <c r="L1358" s="778">
        <v>3.3</v>
      </c>
      <c r="M1358" s="754" t="s">
        <v>1173</v>
      </c>
      <c r="N1358" s="130"/>
      <c r="O1358" s="251"/>
      <c r="P1358" s="251"/>
      <c r="Q1358" s="251"/>
      <c r="R1358" s="251"/>
      <c r="S1358" s="130"/>
      <c r="T1358" s="130"/>
      <c r="U1358" s="130"/>
      <c r="V1358" s="2120"/>
      <c r="W1358" s="611">
        <v>39600</v>
      </c>
      <c r="X1358" s="611">
        <v>39600</v>
      </c>
      <c r="Y1358" s="611"/>
      <c r="Z1358" s="611"/>
      <c r="AA1358" s="611"/>
      <c r="AB1358" s="611"/>
      <c r="AC1358" s="611"/>
      <c r="AD1358" s="611"/>
      <c r="AE1358" s="611"/>
      <c r="AF1358" s="611"/>
      <c r="AG1358" s="611"/>
    </row>
    <row r="1359" spans="1:33" s="56" customFormat="1" ht="15" hidden="1" customHeight="1" outlineLevel="1" x14ac:dyDescent="0.25">
      <c r="A1359" s="724"/>
      <c r="B1359" s="130"/>
      <c r="C1359" s="616"/>
      <c r="D1359" s="2114"/>
      <c r="E1359" s="2117"/>
      <c r="F1359" s="2110" t="str">
        <f>$E$866</f>
        <v>ASHP SEER 18 replace ASHP - early replacement SF ER1</v>
      </c>
      <c r="G1359" s="2111"/>
      <c r="H1359" s="2111"/>
      <c r="I1359" s="2112"/>
      <c r="J1359" s="709" t="s">
        <v>1191</v>
      </c>
      <c r="K1359" s="730">
        <v>39600</v>
      </c>
      <c r="L1359" s="778">
        <v>3.3</v>
      </c>
      <c r="M1359" s="754" t="s">
        <v>1173</v>
      </c>
      <c r="N1359" s="130"/>
      <c r="O1359" s="251"/>
      <c r="P1359" s="766"/>
      <c r="Q1359" s="767"/>
      <c r="R1359" s="766"/>
      <c r="S1359" s="752"/>
      <c r="T1359" s="760"/>
      <c r="U1359" s="130"/>
      <c r="V1359" s="2120"/>
      <c r="W1359" s="611">
        <v>39600</v>
      </c>
      <c r="X1359" s="611">
        <v>39600</v>
      </c>
      <c r="Y1359" s="611"/>
      <c r="Z1359" s="611"/>
      <c r="AA1359" s="611"/>
      <c r="AB1359" s="611"/>
      <c r="AC1359" s="611"/>
      <c r="AD1359" s="611"/>
      <c r="AE1359" s="611"/>
      <c r="AF1359" s="611"/>
      <c r="AG1359" s="611"/>
    </row>
    <row r="1360" spans="1:33" s="56" customFormat="1" ht="15" hidden="1" customHeight="1" outlineLevel="1" x14ac:dyDescent="0.25">
      <c r="A1360" s="597"/>
      <c r="B1360" s="130"/>
      <c r="C1360" s="616"/>
      <c r="D1360" s="2114"/>
      <c r="E1360" s="2117"/>
      <c r="F1360" s="2110" t="str">
        <f>$E$868</f>
        <v>ASHP SEER 18 replace ASHP - early replacement SF ER2</v>
      </c>
      <c r="G1360" s="2111"/>
      <c r="H1360" s="2111"/>
      <c r="I1360" s="2112"/>
      <c r="J1360" s="709" t="s">
        <v>1192</v>
      </c>
      <c r="K1360" s="730">
        <v>39600</v>
      </c>
      <c r="L1360" s="778">
        <v>3.3</v>
      </c>
      <c r="M1360" s="754" t="s">
        <v>1173</v>
      </c>
      <c r="N1360" s="130"/>
      <c r="O1360" s="251"/>
      <c r="P1360" s="251"/>
      <c r="Q1360" s="251"/>
      <c r="R1360" s="251"/>
      <c r="S1360" s="130"/>
      <c r="T1360" s="130"/>
      <c r="U1360" s="130"/>
      <c r="V1360" s="2120"/>
      <c r="W1360" s="611">
        <v>39600</v>
      </c>
      <c r="X1360" s="611">
        <v>39600</v>
      </c>
      <c r="Y1360" s="611"/>
      <c r="Z1360" s="611"/>
      <c r="AA1360" s="611"/>
      <c r="AB1360" s="611"/>
      <c r="AC1360" s="611"/>
      <c r="AD1360" s="611"/>
      <c r="AE1360" s="611"/>
      <c r="AF1360" s="611"/>
      <c r="AG1360" s="611"/>
    </row>
    <row r="1361" spans="1:33" s="56" customFormat="1" ht="15" hidden="1" customHeight="1" outlineLevel="1" x14ac:dyDescent="0.25">
      <c r="A1361" s="597"/>
      <c r="B1361" s="130"/>
      <c r="C1361" s="616"/>
      <c r="D1361" s="2114"/>
      <c r="E1361" s="2117"/>
      <c r="F1361" s="2110" t="str">
        <f>$E$870</f>
        <v>ASHP SEER 18 replace ASHP - replace on fail SF</v>
      </c>
      <c r="G1361" s="2111"/>
      <c r="H1361" s="2111"/>
      <c r="I1361" s="2112"/>
      <c r="J1361" s="709" t="s">
        <v>1193</v>
      </c>
      <c r="K1361" s="730">
        <v>39600</v>
      </c>
      <c r="L1361" s="778">
        <v>3.3</v>
      </c>
      <c r="M1361" s="754" t="s">
        <v>1173</v>
      </c>
      <c r="N1361" s="130"/>
      <c r="O1361" s="251"/>
      <c r="P1361" s="251"/>
      <c r="Q1361" s="251"/>
      <c r="R1361" s="251"/>
      <c r="S1361" s="130"/>
      <c r="T1361" s="130"/>
      <c r="U1361" s="130"/>
      <c r="V1361" s="2120"/>
      <c r="W1361" s="611">
        <v>39600</v>
      </c>
      <c r="X1361" s="611">
        <v>39600</v>
      </c>
      <c r="Y1361" s="611"/>
      <c r="Z1361" s="611"/>
      <c r="AA1361" s="611"/>
      <c r="AB1361" s="611"/>
      <c r="AC1361" s="611"/>
      <c r="AD1361" s="611"/>
      <c r="AE1361" s="611"/>
      <c r="AF1361" s="611"/>
      <c r="AG1361" s="611"/>
    </row>
    <row r="1362" spans="1:33" s="56" customFormat="1" ht="15" hidden="1" customHeight="1" outlineLevel="1" x14ac:dyDescent="0.25">
      <c r="A1362" s="724"/>
      <c r="B1362" s="130"/>
      <c r="C1362" s="616"/>
      <c r="D1362" s="2114"/>
      <c r="E1362" s="2117"/>
      <c r="F1362" s="2110" t="str">
        <f>$E$872</f>
        <v>ASHP - SEER 18 - replace on fail SF</v>
      </c>
      <c r="G1362" s="2111"/>
      <c r="H1362" s="2111"/>
      <c r="I1362" s="2112"/>
      <c r="J1362" s="709" t="s">
        <v>1194</v>
      </c>
      <c r="K1362" s="730">
        <v>39600</v>
      </c>
      <c r="L1362" s="778">
        <v>3.3</v>
      </c>
      <c r="M1362" s="754" t="s">
        <v>1173</v>
      </c>
      <c r="N1362" s="130"/>
      <c r="O1362" s="251"/>
      <c r="P1362" s="766"/>
      <c r="Q1362" s="767"/>
      <c r="R1362" s="766"/>
      <c r="S1362" s="752"/>
      <c r="T1362" s="760"/>
      <c r="U1362" s="130"/>
      <c r="V1362" s="2120"/>
      <c r="W1362" s="611">
        <v>39600</v>
      </c>
      <c r="X1362" s="611">
        <v>39600</v>
      </c>
      <c r="Y1362" s="611"/>
      <c r="Z1362" s="611"/>
      <c r="AA1362" s="611"/>
      <c r="AB1362" s="611"/>
      <c r="AC1362" s="611"/>
      <c r="AD1362" s="611"/>
      <c r="AE1362" s="611"/>
      <c r="AF1362" s="611"/>
      <c r="AG1362" s="611"/>
    </row>
    <row r="1363" spans="1:33" s="56" customFormat="1" ht="15" hidden="1" customHeight="1" outlineLevel="1" x14ac:dyDescent="0.25">
      <c r="A1363" s="724"/>
      <c r="B1363" s="130"/>
      <c r="C1363" s="616"/>
      <c r="D1363" s="2114"/>
      <c r="E1363" s="2117"/>
      <c r="F1363" s="2110" t="str">
        <f>$E$874</f>
        <v>ASHP SEER 19 replace ASHP - early replacement SF ER1</v>
      </c>
      <c r="G1363" s="2111"/>
      <c r="H1363" s="2111"/>
      <c r="I1363" s="2112"/>
      <c r="J1363" s="709" t="s">
        <v>1195</v>
      </c>
      <c r="K1363" s="730">
        <v>39600</v>
      </c>
      <c r="L1363" s="778">
        <v>3.3</v>
      </c>
      <c r="M1363" s="754" t="s">
        <v>1173</v>
      </c>
      <c r="N1363" s="130"/>
      <c r="O1363" s="251"/>
      <c r="P1363" s="766"/>
      <c r="Q1363" s="767"/>
      <c r="R1363" s="766"/>
      <c r="S1363" s="752"/>
      <c r="T1363" s="760"/>
      <c r="U1363" s="130"/>
      <c r="V1363" s="2120"/>
      <c r="W1363" s="611">
        <v>39600</v>
      </c>
      <c r="X1363" s="611">
        <v>39600</v>
      </c>
      <c r="Y1363" s="611"/>
      <c r="Z1363" s="611"/>
      <c r="AA1363" s="611"/>
      <c r="AB1363" s="611"/>
      <c r="AC1363" s="611"/>
      <c r="AD1363" s="611"/>
      <c r="AE1363" s="611"/>
      <c r="AF1363" s="611"/>
      <c r="AG1363" s="611"/>
    </row>
    <row r="1364" spans="1:33" s="56" customFormat="1" ht="15" hidden="1" customHeight="1" outlineLevel="1" x14ac:dyDescent="0.25">
      <c r="A1364" s="597"/>
      <c r="B1364" s="130"/>
      <c r="C1364" s="616"/>
      <c r="D1364" s="2114"/>
      <c r="E1364" s="2117"/>
      <c r="F1364" s="2110" t="str">
        <f>$E$876</f>
        <v>ASHP SEER 19 replace ASHP - early replacement SF ER2</v>
      </c>
      <c r="G1364" s="2111"/>
      <c r="H1364" s="2111"/>
      <c r="I1364" s="2112"/>
      <c r="J1364" s="709" t="s">
        <v>1196</v>
      </c>
      <c r="K1364" s="730">
        <v>39600</v>
      </c>
      <c r="L1364" s="778">
        <v>3.3</v>
      </c>
      <c r="M1364" s="754" t="s">
        <v>1173</v>
      </c>
      <c r="N1364" s="130"/>
      <c r="O1364" s="251"/>
      <c r="P1364" s="251"/>
      <c r="Q1364" s="251"/>
      <c r="R1364" s="251"/>
      <c r="S1364" s="130"/>
      <c r="T1364" s="130"/>
      <c r="U1364" s="130"/>
      <c r="V1364" s="2120"/>
      <c r="W1364" s="611">
        <v>39600</v>
      </c>
      <c r="X1364" s="611">
        <v>39600</v>
      </c>
      <c r="Y1364" s="611"/>
      <c r="Z1364" s="611"/>
      <c r="AA1364" s="611"/>
      <c r="AB1364" s="611"/>
      <c r="AC1364" s="611"/>
      <c r="AD1364" s="611"/>
      <c r="AE1364" s="611"/>
      <c r="AF1364" s="611"/>
      <c r="AG1364" s="611"/>
    </row>
    <row r="1365" spans="1:33" s="56" customFormat="1" ht="15" hidden="1" customHeight="1" outlineLevel="1" x14ac:dyDescent="0.25">
      <c r="A1365" s="597"/>
      <c r="B1365" s="130"/>
      <c r="C1365" s="616"/>
      <c r="D1365" s="2114"/>
      <c r="E1365" s="2117"/>
      <c r="F1365" s="2110" t="str">
        <f>$E$878</f>
        <v>ASHP SEER 19 replace ASHP - replace on fail SF</v>
      </c>
      <c r="G1365" s="2111"/>
      <c r="H1365" s="2111"/>
      <c r="I1365" s="2112"/>
      <c r="J1365" s="709" t="s">
        <v>1197</v>
      </c>
      <c r="K1365" s="730">
        <v>39600</v>
      </c>
      <c r="L1365" s="778">
        <v>3.3</v>
      </c>
      <c r="M1365" s="754" t="s">
        <v>1173</v>
      </c>
      <c r="N1365" s="130"/>
      <c r="O1365" s="251"/>
      <c r="P1365" s="251"/>
      <c r="Q1365" s="251"/>
      <c r="R1365" s="251"/>
      <c r="S1365" s="130"/>
      <c r="T1365" s="130"/>
      <c r="U1365" s="130"/>
      <c r="V1365" s="2120"/>
      <c r="W1365" s="611">
        <v>39600</v>
      </c>
      <c r="X1365" s="611">
        <v>39600</v>
      </c>
      <c r="Y1365" s="611"/>
      <c r="Z1365" s="611"/>
      <c r="AA1365" s="611"/>
      <c r="AB1365" s="611"/>
      <c r="AC1365" s="611"/>
      <c r="AD1365" s="611"/>
      <c r="AE1365" s="611"/>
      <c r="AF1365" s="611"/>
      <c r="AG1365" s="611"/>
    </row>
    <row r="1366" spans="1:33" s="56" customFormat="1" ht="15" hidden="1" customHeight="1" outlineLevel="1" x14ac:dyDescent="0.25">
      <c r="A1366" s="597"/>
      <c r="B1366" s="130"/>
      <c r="C1366" s="616"/>
      <c r="D1366" s="2114"/>
      <c r="E1366" s="2117"/>
      <c r="F1366" s="2110" t="str">
        <f>$E$880</f>
        <v>ASHP - SEER 17 - replace electric furnace / CAC - early replacement SF ER1</v>
      </c>
      <c r="G1366" s="2111"/>
      <c r="H1366" s="2111"/>
      <c r="I1366" s="2112"/>
      <c r="J1366" s="709"/>
      <c r="K1366" s="730">
        <v>37200</v>
      </c>
      <c r="L1366" s="778">
        <v>3.1</v>
      </c>
      <c r="M1366" s="754"/>
      <c r="N1366" s="130"/>
      <c r="O1366" s="251"/>
      <c r="P1366" s="251"/>
      <c r="Q1366" s="251"/>
      <c r="R1366" s="251"/>
      <c r="S1366" s="130"/>
      <c r="T1366" s="130"/>
      <c r="U1366" s="130"/>
      <c r="V1366" s="2120"/>
      <c r="W1366" s="611">
        <v>37200</v>
      </c>
      <c r="X1366" s="611">
        <v>37200</v>
      </c>
      <c r="Y1366" s="611"/>
      <c r="Z1366" s="611"/>
      <c r="AA1366" s="611"/>
      <c r="AB1366" s="611"/>
      <c r="AC1366" s="611"/>
      <c r="AD1366" s="611"/>
      <c r="AE1366" s="611"/>
      <c r="AF1366" s="611"/>
      <c r="AG1366" s="611"/>
    </row>
    <row r="1367" spans="1:33" s="56" customFormat="1" ht="15" hidden="1" customHeight="1" outlineLevel="1" x14ac:dyDescent="0.25">
      <c r="A1367" s="597"/>
      <c r="B1367" s="130"/>
      <c r="C1367" s="616"/>
      <c r="D1367" s="2114"/>
      <c r="E1367" s="2117"/>
      <c r="F1367" s="2110" t="str">
        <f>$E$882</f>
        <v>ASHP - SEER 17 - replace electric furnace / CAC - early replacement SF ER2</v>
      </c>
      <c r="G1367" s="2111"/>
      <c r="H1367" s="2111"/>
      <c r="I1367" s="2112"/>
      <c r="J1367" s="709"/>
      <c r="K1367" s="730">
        <v>37200</v>
      </c>
      <c r="L1367" s="778">
        <v>3.1</v>
      </c>
      <c r="M1367" s="754"/>
      <c r="N1367" s="130"/>
      <c r="O1367" s="251"/>
      <c r="P1367" s="251"/>
      <c r="Q1367" s="251"/>
      <c r="R1367" s="251"/>
      <c r="S1367" s="130"/>
      <c r="T1367" s="130"/>
      <c r="U1367" s="130"/>
      <c r="V1367" s="2120"/>
      <c r="W1367" s="611">
        <v>37200</v>
      </c>
      <c r="X1367" s="611">
        <v>37200</v>
      </c>
      <c r="Y1367" s="611"/>
      <c r="Z1367" s="611"/>
      <c r="AA1367" s="611"/>
      <c r="AB1367" s="611"/>
      <c r="AC1367" s="611"/>
      <c r="AD1367" s="611"/>
      <c r="AE1367" s="611"/>
      <c r="AF1367" s="611"/>
      <c r="AG1367" s="611"/>
    </row>
    <row r="1368" spans="1:33" s="56" customFormat="1" ht="15" hidden="1" customHeight="1" outlineLevel="1" x14ac:dyDescent="0.25">
      <c r="A1368" s="597"/>
      <c r="B1368" s="130"/>
      <c r="C1368" s="616"/>
      <c r="D1368" s="2114"/>
      <c r="E1368" s="2117"/>
      <c r="F1368" s="2110" t="str">
        <f>$E$884</f>
        <v>ASHP - SEER 17 - replace electric furnace / CAC - early replacement MF ER1</v>
      </c>
      <c r="G1368" s="2111"/>
      <c r="H1368" s="2111"/>
      <c r="I1368" s="2112"/>
      <c r="J1368" s="709"/>
      <c r="K1368" s="730">
        <v>37200</v>
      </c>
      <c r="L1368" s="778">
        <v>3.1</v>
      </c>
      <c r="M1368" s="754"/>
      <c r="N1368" s="130"/>
      <c r="O1368" s="251"/>
      <c r="P1368" s="251"/>
      <c r="Q1368" s="251"/>
      <c r="R1368" s="251"/>
      <c r="S1368" s="130"/>
      <c r="T1368" s="130"/>
      <c r="U1368" s="130"/>
      <c r="V1368" s="2120"/>
      <c r="W1368" s="611">
        <v>37200</v>
      </c>
      <c r="X1368" s="611">
        <v>37200</v>
      </c>
      <c r="Y1368" s="611"/>
      <c r="Z1368" s="611"/>
      <c r="AA1368" s="611"/>
      <c r="AB1368" s="611"/>
      <c r="AC1368" s="611"/>
      <c r="AD1368" s="611"/>
      <c r="AE1368" s="611"/>
      <c r="AF1368" s="611"/>
      <c r="AG1368" s="611"/>
    </row>
    <row r="1369" spans="1:33" s="56" customFormat="1" ht="15" hidden="1" customHeight="1" outlineLevel="1" x14ac:dyDescent="0.25">
      <c r="A1369" s="597"/>
      <c r="B1369" s="130"/>
      <c r="C1369" s="616"/>
      <c r="D1369" s="2114"/>
      <c r="E1369" s="2117"/>
      <c r="F1369" s="2110" t="str">
        <f>$E$886</f>
        <v>ASHP - SEER 17 - replace electric furnace / CAC - early replacement MF ER2</v>
      </c>
      <c r="G1369" s="2111"/>
      <c r="H1369" s="2111"/>
      <c r="I1369" s="2112"/>
      <c r="J1369" s="709"/>
      <c r="K1369" s="730">
        <v>37200</v>
      </c>
      <c r="L1369" s="778">
        <v>3.1</v>
      </c>
      <c r="M1369" s="754"/>
      <c r="N1369" s="130"/>
      <c r="O1369" s="251"/>
      <c r="P1369" s="251"/>
      <c r="Q1369" s="251"/>
      <c r="R1369" s="251"/>
      <c r="S1369" s="130"/>
      <c r="T1369" s="130"/>
      <c r="U1369" s="130"/>
      <c r="V1369" s="2120"/>
      <c r="W1369" s="611">
        <v>37200</v>
      </c>
      <c r="X1369" s="611">
        <v>37200</v>
      </c>
      <c r="Y1369" s="611"/>
      <c r="Z1369" s="611"/>
      <c r="AA1369" s="611"/>
      <c r="AB1369" s="611"/>
      <c r="AC1369" s="611"/>
      <c r="AD1369" s="611"/>
      <c r="AE1369" s="611"/>
      <c r="AF1369" s="611"/>
      <c r="AG1369" s="611"/>
    </row>
    <row r="1370" spans="1:33" s="56" customFormat="1" ht="15" hidden="1" customHeight="1" outlineLevel="1" x14ac:dyDescent="0.25">
      <c r="A1370" s="597"/>
      <c r="B1370" s="130"/>
      <c r="C1370" s="616"/>
      <c r="D1370" s="2114"/>
      <c r="E1370" s="2117"/>
      <c r="F1370" s="2110" t="str">
        <f>$E$888</f>
        <v>ASHP SEER 17 replace ASHP - early replacement MF ER1</v>
      </c>
      <c r="G1370" s="2111"/>
      <c r="H1370" s="2111"/>
      <c r="I1370" s="2112"/>
      <c r="J1370" s="709"/>
      <c r="K1370" s="730">
        <v>39600</v>
      </c>
      <c r="L1370" s="778">
        <v>3.3</v>
      </c>
      <c r="M1370" s="754"/>
      <c r="N1370" s="130"/>
      <c r="O1370" s="251"/>
      <c r="P1370" s="251"/>
      <c r="Q1370" s="251"/>
      <c r="R1370" s="251"/>
      <c r="S1370" s="130"/>
      <c r="T1370" s="130"/>
      <c r="U1370" s="130"/>
      <c r="V1370" s="2120"/>
      <c r="W1370" s="611">
        <v>39600</v>
      </c>
      <c r="X1370" s="611">
        <v>39600</v>
      </c>
      <c r="Y1370" s="611"/>
      <c r="Z1370" s="611"/>
      <c r="AA1370" s="611"/>
      <c r="AB1370" s="611"/>
      <c r="AC1370" s="611"/>
      <c r="AD1370" s="611"/>
      <c r="AE1370" s="611"/>
      <c r="AF1370" s="611"/>
      <c r="AG1370" s="611"/>
    </row>
    <row r="1371" spans="1:33" s="56" customFormat="1" ht="15" hidden="1" customHeight="1" outlineLevel="1" x14ac:dyDescent="0.25">
      <c r="A1371" s="597"/>
      <c r="B1371" s="130"/>
      <c r="C1371" s="616"/>
      <c r="D1371" s="2114"/>
      <c r="E1371" s="2117"/>
      <c r="F1371" s="2110" t="str">
        <f>$E$890</f>
        <v>ASHP SEER 17 replace ASHP - early replacement MF ER2</v>
      </c>
      <c r="G1371" s="2111"/>
      <c r="H1371" s="2111"/>
      <c r="I1371" s="2112"/>
      <c r="J1371" s="709"/>
      <c r="K1371" s="730">
        <v>39600</v>
      </c>
      <c r="L1371" s="778">
        <v>3.3</v>
      </c>
      <c r="M1371" s="754"/>
      <c r="N1371" s="130"/>
      <c r="O1371" s="251"/>
      <c r="P1371" s="251"/>
      <c r="Q1371" s="251"/>
      <c r="R1371" s="251"/>
      <c r="S1371" s="130"/>
      <c r="T1371" s="130"/>
      <c r="U1371" s="130"/>
      <c r="V1371" s="2120"/>
      <c r="W1371" s="611">
        <v>39600</v>
      </c>
      <c r="X1371" s="611">
        <v>39600</v>
      </c>
      <c r="Y1371" s="611"/>
      <c r="Z1371" s="611"/>
      <c r="AA1371" s="611"/>
      <c r="AB1371" s="611"/>
      <c r="AC1371" s="611"/>
      <c r="AD1371" s="611"/>
      <c r="AE1371" s="611"/>
      <c r="AF1371" s="611"/>
      <c r="AG1371" s="611"/>
    </row>
    <row r="1372" spans="1:33" s="56" customFormat="1" hidden="1" outlineLevel="1" x14ac:dyDescent="0.25">
      <c r="A1372" s="597"/>
      <c r="B1372" s="130"/>
      <c r="C1372" s="616"/>
      <c r="D1372" s="2114"/>
      <c r="E1372" s="2117"/>
      <c r="F1372" s="2110" t="str">
        <f>$E$892</f>
        <v>ASHP - SEER 18 - replace electric furnace / CAC - early replacement SF ER1</v>
      </c>
      <c r="G1372" s="2111"/>
      <c r="H1372" s="2111"/>
      <c r="I1372" s="2112"/>
      <c r="J1372" s="709"/>
      <c r="K1372" s="730">
        <v>37200</v>
      </c>
      <c r="L1372" s="778">
        <v>3.1</v>
      </c>
      <c r="M1372" s="754"/>
      <c r="N1372" s="130"/>
      <c r="O1372" s="251"/>
      <c r="P1372" s="251"/>
      <c r="Q1372" s="251"/>
      <c r="R1372" s="251"/>
      <c r="S1372" s="130"/>
      <c r="T1372" s="130"/>
      <c r="U1372" s="130"/>
      <c r="V1372" s="2120"/>
      <c r="W1372" s="611">
        <v>37200</v>
      </c>
      <c r="X1372" s="611">
        <v>37200</v>
      </c>
      <c r="Y1372" s="611"/>
      <c r="Z1372" s="611"/>
      <c r="AA1372" s="611"/>
      <c r="AB1372" s="611"/>
      <c r="AC1372" s="611"/>
      <c r="AD1372" s="611"/>
      <c r="AE1372" s="611"/>
      <c r="AF1372" s="611"/>
      <c r="AG1372" s="611"/>
    </row>
    <row r="1373" spans="1:33" s="56" customFormat="1" hidden="1" outlineLevel="1" x14ac:dyDescent="0.25">
      <c r="A1373" s="597"/>
      <c r="B1373" s="130"/>
      <c r="C1373" s="616"/>
      <c r="D1373" s="2114"/>
      <c r="E1373" s="2117"/>
      <c r="F1373" s="2110" t="str">
        <f>$E$894</f>
        <v>ASHP - SEER 18 - replace electric furnace / CAC - early replacement SF ER2</v>
      </c>
      <c r="G1373" s="2111"/>
      <c r="H1373" s="2111"/>
      <c r="I1373" s="2112"/>
      <c r="J1373" s="709"/>
      <c r="K1373" s="730">
        <v>37200</v>
      </c>
      <c r="L1373" s="778">
        <v>3.1</v>
      </c>
      <c r="M1373" s="754"/>
      <c r="N1373" s="130"/>
      <c r="O1373" s="251"/>
      <c r="P1373" s="251"/>
      <c r="Q1373" s="251"/>
      <c r="R1373" s="251"/>
      <c r="S1373" s="130"/>
      <c r="T1373" s="130"/>
      <c r="U1373" s="130"/>
      <c r="V1373" s="2120"/>
      <c r="W1373" s="611">
        <v>37200</v>
      </c>
      <c r="X1373" s="611">
        <v>37200</v>
      </c>
      <c r="Y1373" s="611"/>
      <c r="Z1373" s="611"/>
      <c r="AA1373" s="611"/>
      <c r="AB1373" s="611"/>
      <c r="AC1373" s="611"/>
      <c r="AD1373" s="611"/>
      <c r="AE1373" s="611"/>
      <c r="AF1373" s="611"/>
      <c r="AG1373" s="611"/>
    </row>
    <row r="1374" spans="1:33" s="56" customFormat="1" hidden="1" outlineLevel="1" x14ac:dyDescent="0.25">
      <c r="A1374" s="597"/>
      <c r="B1374" s="130"/>
      <c r="C1374" s="616"/>
      <c r="D1374" s="2114"/>
      <c r="E1374" s="2117"/>
      <c r="F1374" s="2110" t="str">
        <f>$E$896</f>
        <v>ASHP - SEER 18 - replace electric furnace / CAC - early replacement MF ER1</v>
      </c>
      <c r="G1374" s="2111"/>
      <c r="H1374" s="2111"/>
      <c r="I1374" s="2112"/>
      <c r="J1374" s="709"/>
      <c r="K1374" s="730">
        <v>37200</v>
      </c>
      <c r="L1374" s="778">
        <v>3.1</v>
      </c>
      <c r="M1374" s="754"/>
      <c r="N1374" s="130"/>
      <c r="O1374" s="251"/>
      <c r="P1374" s="251"/>
      <c r="Q1374" s="251"/>
      <c r="R1374" s="251"/>
      <c r="S1374" s="130"/>
      <c r="T1374" s="130"/>
      <c r="U1374" s="130"/>
      <c r="V1374" s="2120"/>
      <c r="W1374" s="611">
        <v>37200</v>
      </c>
      <c r="X1374" s="611">
        <v>37200</v>
      </c>
      <c r="Y1374" s="611"/>
      <c r="Z1374" s="611"/>
      <c r="AA1374" s="611"/>
      <c r="AB1374" s="611"/>
      <c r="AC1374" s="611"/>
      <c r="AD1374" s="611"/>
      <c r="AE1374" s="611"/>
      <c r="AF1374" s="611"/>
      <c r="AG1374" s="611"/>
    </row>
    <row r="1375" spans="1:33" s="56" customFormat="1" hidden="1" outlineLevel="1" x14ac:dyDescent="0.25">
      <c r="A1375" s="597"/>
      <c r="B1375" s="130"/>
      <c r="C1375" s="616"/>
      <c r="D1375" s="2114"/>
      <c r="E1375" s="2117"/>
      <c r="F1375" s="2110" t="str">
        <f>$E$898</f>
        <v>ASHP - SEER 18 - replace electric furnace / CAC - early replacement MF ER2</v>
      </c>
      <c r="G1375" s="2111"/>
      <c r="H1375" s="2111"/>
      <c r="I1375" s="2112"/>
      <c r="J1375" s="709"/>
      <c r="K1375" s="730">
        <v>37200</v>
      </c>
      <c r="L1375" s="778">
        <v>3.1</v>
      </c>
      <c r="M1375" s="754"/>
      <c r="N1375" s="130"/>
      <c r="O1375" s="251"/>
      <c r="P1375" s="251"/>
      <c r="Q1375" s="251"/>
      <c r="R1375" s="251"/>
      <c r="S1375" s="130"/>
      <c r="T1375" s="130"/>
      <c r="U1375" s="130"/>
      <c r="V1375" s="2120"/>
      <c r="W1375" s="611">
        <v>37200</v>
      </c>
      <c r="X1375" s="611">
        <v>37200</v>
      </c>
      <c r="Y1375" s="611"/>
      <c r="Z1375" s="611"/>
      <c r="AA1375" s="611"/>
      <c r="AB1375" s="611"/>
      <c r="AC1375" s="611"/>
      <c r="AD1375" s="611"/>
      <c r="AE1375" s="611"/>
      <c r="AF1375" s="611"/>
      <c r="AG1375" s="611"/>
    </row>
    <row r="1376" spans="1:33" s="56" customFormat="1" hidden="1" outlineLevel="1" x14ac:dyDescent="0.25">
      <c r="A1376" s="597"/>
      <c r="B1376" s="130"/>
      <c r="C1376" s="616"/>
      <c r="D1376" s="2114"/>
      <c r="E1376" s="2117"/>
      <c r="F1376" s="2110" t="str">
        <f>$E$900</f>
        <v>ASHP SEER 18 replace ASHP - early replacement MF ER1</v>
      </c>
      <c r="G1376" s="2111"/>
      <c r="H1376" s="2111"/>
      <c r="I1376" s="2112"/>
      <c r="J1376" s="709"/>
      <c r="K1376" s="730">
        <v>39600</v>
      </c>
      <c r="L1376" s="778">
        <v>3.3</v>
      </c>
      <c r="M1376" s="754"/>
      <c r="N1376" s="130"/>
      <c r="O1376" s="251"/>
      <c r="P1376" s="251"/>
      <c r="Q1376" s="251"/>
      <c r="R1376" s="251"/>
      <c r="S1376" s="130"/>
      <c r="T1376" s="130"/>
      <c r="U1376" s="130"/>
      <c r="V1376" s="2120"/>
      <c r="W1376" s="611">
        <v>39600</v>
      </c>
      <c r="X1376" s="611">
        <v>39600</v>
      </c>
      <c r="Y1376" s="611"/>
      <c r="Z1376" s="611"/>
      <c r="AA1376" s="611"/>
      <c r="AB1376" s="611"/>
      <c r="AC1376" s="611"/>
      <c r="AD1376" s="611"/>
      <c r="AE1376" s="611"/>
      <c r="AF1376" s="611"/>
      <c r="AG1376" s="611"/>
    </row>
    <row r="1377" spans="1:33" s="56" customFormat="1" hidden="1" outlineLevel="1" x14ac:dyDescent="0.25">
      <c r="A1377" s="597"/>
      <c r="B1377" s="130"/>
      <c r="C1377" s="616"/>
      <c r="D1377" s="2114"/>
      <c r="E1377" s="2117"/>
      <c r="F1377" s="2110" t="str">
        <f>$E$902</f>
        <v>ASHP SEER 18 replace ASHP - early replacement MF ER2</v>
      </c>
      <c r="G1377" s="2111"/>
      <c r="H1377" s="2111"/>
      <c r="I1377" s="2112"/>
      <c r="J1377" s="709"/>
      <c r="K1377" s="730">
        <v>39600</v>
      </c>
      <c r="L1377" s="778">
        <v>3.3</v>
      </c>
      <c r="M1377" s="754"/>
      <c r="N1377" s="130"/>
      <c r="O1377" s="251"/>
      <c r="P1377" s="251"/>
      <c r="Q1377" s="251"/>
      <c r="R1377" s="251"/>
      <c r="S1377" s="130"/>
      <c r="T1377" s="130"/>
      <c r="U1377" s="130"/>
      <c r="V1377" s="2120"/>
      <c r="W1377" s="611">
        <v>39600</v>
      </c>
      <c r="X1377" s="611">
        <v>39600</v>
      </c>
      <c r="Y1377" s="611"/>
      <c r="Z1377" s="611"/>
      <c r="AA1377" s="611"/>
      <c r="AB1377" s="611"/>
      <c r="AC1377" s="611"/>
      <c r="AD1377" s="611"/>
      <c r="AE1377" s="611"/>
      <c r="AF1377" s="611"/>
      <c r="AG1377" s="611"/>
    </row>
    <row r="1378" spans="1:33" s="56" customFormat="1" hidden="1" outlineLevel="1" x14ac:dyDescent="0.25">
      <c r="A1378" s="597"/>
      <c r="B1378" s="130"/>
      <c r="C1378" s="616"/>
      <c r="D1378" s="2114"/>
      <c r="E1378" s="2117"/>
      <c r="F1378" s="2110" t="str">
        <f>$E$904</f>
        <v>ASHP - SEER 19 - replace electric furnace / CAC - early replacement SF ER1</v>
      </c>
      <c r="G1378" s="2111"/>
      <c r="H1378" s="2111"/>
      <c r="I1378" s="2112"/>
      <c r="J1378" s="709"/>
      <c r="K1378" s="730">
        <v>37200</v>
      </c>
      <c r="L1378" s="778">
        <v>3.1</v>
      </c>
      <c r="M1378" s="754"/>
      <c r="N1378" s="130"/>
      <c r="O1378" s="251"/>
      <c r="P1378" s="251"/>
      <c r="Q1378" s="251"/>
      <c r="R1378" s="251"/>
      <c r="S1378" s="130"/>
      <c r="T1378" s="130"/>
      <c r="U1378" s="130"/>
      <c r="V1378" s="2120"/>
      <c r="W1378" s="611">
        <v>37200</v>
      </c>
      <c r="X1378" s="611">
        <v>37200</v>
      </c>
      <c r="Y1378" s="611"/>
      <c r="Z1378" s="611"/>
      <c r="AA1378" s="611"/>
      <c r="AB1378" s="611"/>
      <c r="AC1378" s="611"/>
      <c r="AD1378" s="611"/>
      <c r="AE1378" s="611"/>
      <c r="AF1378" s="611"/>
      <c r="AG1378" s="611"/>
    </row>
    <row r="1379" spans="1:33" s="56" customFormat="1" hidden="1" outlineLevel="1" x14ac:dyDescent="0.25">
      <c r="A1379" s="597"/>
      <c r="B1379" s="130"/>
      <c r="C1379" s="616"/>
      <c r="D1379" s="2114"/>
      <c r="E1379" s="2117"/>
      <c r="F1379" s="2110" t="str">
        <f>$E$906</f>
        <v>ASHP - SEER 19 - replace electric furnace / CAC - early replacement SF ER2</v>
      </c>
      <c r="G1379" s="2111"/>
      <c r="H1379" s="2111"/>
      <c r="I1379" s="2112"/>
      <c r="J1379" s="709"/>
      <c r="K1379" s="730">
        <v>37200</v>
      </c>
      <c r="L1379" s="778">
        <v>3.1</v>
      </c>
      <c r="M1379" s="754"/>
      <c r="N1379" s="130"/>
      <c r="O1379" s="251"/>
      <c r="P1379" s="251"/>
      <c r="Q1379" s="251"/>
      <c r="R1379" s="251"/>
      <c r="S1379" s="130"/>
      <c r="T1379" s="130"/>
      <c r="U1379" s="130"/>
      <c r="V1379" s="2120"/>
      <c r="W1379" s="611">
        <v>37200</v>
      </c>
      <c r="X1379" s="611">
        <v>37200</v>
      </c>
      <c r="Y1379" s="611"/>
      <c r="Z1379" s="611"/>
      <c r="AA1379" s="611"/>
      <c r="AB1379" s="611"/>
      <c r="AC1379" s="611"/>
      <c r="AD1379" s="611"/>
      <c r="AE1379" s="611"/>
      <c r="AF1379" s="611"/>
      <c r="AG1379" s="611"/>
    </row>
    <row r="1380" spans="1:33" s="56" customFormat="1" hidden="1" outlineLevel="1" x14ac:dyDescent="0.25">
      <c r="A1380" s="597"/>
      <c r="B1380" s="130"/>
      <c r="C1380" s="616"/>
      <c r="D1380" s="2114"/>
      <c r="E1380" s="2117"/>
      <c r="F1380" s="2110" t="str">
        <f>$E$908</f>
        <v>ASHP - SEER 19 - replace electric furnace / CAC - early replacement MF ER1</v>
      </c>
      <c r="G1380" s="2111"/>
      <c r="H1380" s="2111"/>
      <c r="I1380" s="2112"/>
      <c r="J1380" s="709"/>
      <c r="K1380" s="730">
        <v>37200</v>
      </c>
      <c r="L1380" s="778">
        <v>3.1</v>
      </c>
      <c r="M1380" s="754"/>
      <c r="N1380" s="130"/>
      <c r="O1380" s="251"/>
      <c r="P1380" s="251"/>
      <c r="Q1380" s="251"/>
      <c r="R1380" s="251"/>
      <c r="S1380" s="130"/>
      <c r="T1380" s="130"/>
      <c r="U1380" s="130"/>
      <c r="V1380" s="2120"/>
      <c r="W1380" s="611">
        <v>37200</v>
      </c>
      <c r="X1380" s="611">
        <v>37200</v>
      </c>
      <c r="Y1380" s="611"/>
      <c r="Z1380" s="611"/>
      <c r="AA1380" s="611"/>
      <c r="AB1380" s="611"/>
      <c r="AC1380" s="611"/>
      <c r="AD1380" s="611"/>
      <c r="AE1380" s="611"/>
      <c r="AF1380" s="611"/>
      <c r="AG1380" s="611"/>
    </row>
    <row r="1381" spans="1:33" s="56" customFormat="1" hidden="1" outlineLevel="1" x14ac:dyDescent="0.25">
      <c r="A1381" s="597"/>
      <c r="B1381" s="130"/>
      <c r="C1381" s="616"/>
      <c r="D1381" s="2114"/>
      <c r="E1381" s="2117"/>
      <c r="F1381" s="2110" t="str">
        <f>$E$910</f>
        <v>ASHP - SEER 19 - replace electric furnace / CAC - early replacement MF ER2</v>
      </c>
      <c r="G1381" s="2111"/>
      <c r="H1381" s="2111"/>
      <c r="I1381" s="2112"/>
      <c r="J1381" s="709"/>
      <c r="K1381" s="730">
        <v>37200</v>
      </c>
      <c r="L1381" s="778">
        <v>3.1</v>
      </c>
      <c r="M1381" s="754"/>
      <c r="N1381" s="130"/>
      <c r="O1381" s="251"/>
      <c r="P1381" s="251"/>
      <c r="Q1381" s="251"/>
      <c r="R1381" s="251"/>
      <c r="S1381" s="130"/>
      <c r="T1381" s="130"/>
      <c r="U1381" s="130"/>
      <c r="V1381" s="2120"/>
      <c r="W1381" s="611">
        <v>37200</v>
      </c>
      <c r="X1381" s="611">
        <v>37200</v>
      </c>
      <c r="Y1381" s="611"/>
      <c r="Z1381" s="611"/>
      <c r="AA1381" s="611"/>
      <c r="AB1381" s="611"/>
      <c r="AC1381" s="611"/>
      <c r="AD1381" s="611"/>
      <c r="AE1381" s="611"/>
      <c r="AF1381" s="611"/>
      <c r="AG1381" s="611"/>
    </row>
    <row r="1382" spans="1:33" s="56" customFormat="1" hidden="1" outlineLevel="1" x14ac:dyDescent="0.25">
      <c r="A1382" s="597"/>
      <c r="B1382" s="130"/>
      <c r="C1382" s="616"/>
      <c r="D1382" s="2114"/>
      <c r="E1382" s="2117"/>
      <c r="F1382" s="2110" t="str">
        <f>$E$912</f>
        <v>ASHP SEER 19 replace ASHP - early replacement MF ER1</v>
      </c>
      <c r="G1382" s="2111"/>
      <c r="H1382" s="2111"/>
      <c r="I1382" s="2112"/>
      <c r="J1382" s="709"/>
      <c r="K1382" s="730">
        <v>39600</v>
      </c>
      <c r="L1382" s="778">
        <v>3.3</v>
      </c>
      <c r="M1382" s="754"/>
      <c r="N1382" s="130"/>
      <c r="O1382" s="251"/>
      <c r="P1382" s="251"/>
      <c r="Q1382" s="251"/>
      <c r="R1382" s="251"/>
      <c r="S1382" s="130"/>
      <c r="T1382" s="130"/>
      <c r="U1382" s="130"/>
      <c r="V1382" s="2120"/>
      <c r="W1382" s="611">
        <v>39600</v>
      </c>
      <c r="X1382" s="611">
        <v>39600</v>
      </c>
      <c r="Y1382" s="611"/>
      <c r="Z1382" s="611"/>
      <c r="AA1382" s="611"/>
      <c r="AB1382" s="611"/>
      <c r="AC1382" s="611"/>
      <c r="AD1382" s="611"/>
      <c r="AE1382" s="611"/>
      <c r="AF1382" s="611"/>
      <c r="AG1382" s="611"/>
    </row>
    <row r="1383" spans="1:33" s="56" customFormat="1" hidden="1" outlineLevel="1" x14ac:dyDescent="0.25">
      <c r="A1383" s="597"/>
      <c r="B1383" s="130"/>
      <c r="C1383" s="616"/>
      <c r="D1383" s="2114"/>
      <c r="E1383" s="2117"/>
      <c r="F1383" s="2110" t="str">
        <f>$E$914</f>
        <v>ASHP SEER 19 replace ASHP - early replacement MF ER2</v>
      </c>
      <c r="G1383" s="2111"/>
      <c r="H1383" s="2111"/>
      <c r="I1383" s="2112"/>
      <c r="J1383" s="709"/>
      <c r="K1383" s="730">
        <v>39600</v>
      </c>
      <c r="L1383" s="778">
        <v>3.3</v>
      </c>
      <c r="M1383" s="754"/>
      <c r="N1383" s="130"/>
      <c r="O1383" s="251"/>
      <c r="P1383" s="251"/>
      <c r="Q1383" s="251"/>
      <c r="R1383" s="251"/>
      <c r="S1383" s="130"/>
      <c r="T1383" s="130"/>
      <c r="U1383" s="130"/>
      <c r="V1383" s="2120"/>
      <c r="W1383" s="611">
        <v>39600</v>
      </c>
      <c r="X1383" s="611">
        <v>39600</v>
      </c>
      <c r="Y1383" s="611"/>
      <c r="Z1383" s="611"/>
      <c r="AA1383" s="611"/>
      <c r="AB1383" s="611"/>
      <c r="AC1383" s="611"/>
      <c r="AD1383" s="611"/>
      <c r="AE1383" s="611"/>
      <c r="AF1383" s="611"/>
      <c r="AG1383" s="611"/>
    </row>
    <row r="1384" spans="1:33" s="56" customFormat="1" hidden="1" outlineLevel="1" x14ac:dyDescent="0.25">
      <c r="A1384" s="597"/>
      <c r="B1384" s="130"/>
      <c r="C1384" s="616"/>
      <c r="D1384" s="2114"/>
      <c r="E1384" s="2117"/>
      <c r="F1384" s="2110" t="str">
        <f>$E$916</f>
        <v>ASHP SEER 20 replace ASHP - early replacement SF ER1</v>
      </c>
      <c r="G1384" s="2111"/>
      <c r="H1384" s="2111"/>
      <c r="I1384" s="2112"/>
      <c r="J1384" s="709"/>
      <c r="K1384" s="730">
        <v>39600</v>
      </c>
      <c r="L1384" s="778">
        <v>3.3</v>
      </c>
      <c r="M1384" s="754"/>
      <c r="N1384" s="130"/>
      <c r="O1384" s="251"/>
      <c r="P1384" s="251"/>
      <c r="Q1384" s="251"/>
      <c r="R1384" s="251"/>
      <c r="S1384" s="130"/>
      <c r="T1384" s="130"/>
      <c r="U1384" s="130"/>
      <c r="V1384" s="2120"/>
      <c r="W1384" s="611">
        <v>39600</v>
      </c>
      <c r="X1384" s="611">
        <v>39600</v>
      </c>
      <c r="Y1384" s="611"/>
      <c r="Z1384" s="611"/>
      <c r="AA1384" s="611"/>
      <c r="AB1384" s="611"/>
      <c r="AC1384" s="611"/>
      <c r="AD1384" s="611"/>
      <c r="AE1384" s="611"/>
      <c r="AF1384" s="611"/>
      <c r="AG1384" s="611"/>
    </row>
    <row r="1385" spans="1:33" s="56" customFormat="1" hidden="1" outlineLevel="1" x14ac:dyDescent="0.25">
      <c r="A1385" s="597"/>
      <c r="B1385" s="130"/>
      <c r="C1385" s="616"/>
      <c r="D1385" s="2114"/>
      <c r="E1385" s="2117"/>
      <c r="F1385" s="2110" t="str">
        <f>$E$918</f>
        <v>ASHP SEER 20 replace ASHP - early replacement SF ER2</v>
      </c>
      <c r="G1385" s="2111"/>
      <c r="H1385" s="2111"/>
      <c r="I1385" s="2112"/>
      <c r="J1385" s="709"/>
      <c r="K1385" s="730">
        <v>39600</v>
      </c>
      <c r="L1385" s="778">
        <v>3.3</v>
      </c>
      <c r="M1385" s="754"/>
      <c r="N1385" s="130"/>
      <c r="O1385" s="251"/>
      <c r="P1385" s="251"/>
      <c r="Q1385" s="251"/>
      <c r="R1385" s="251"/>
      <c r="S1385" s="130"/>
      <c r="T1385" s="130"/>
      <c r="U1385" s="130"/>
      <c r="V1385" s="2120"/>
      <c r="W1385" s="611">
        <v>39600</v>
      </c>
      <c r="X1385" s="611">
        <v>39600</v>
      </c>
      <c r="Y1385" s="611"/>
      <c r="Z1385" s="611"/>
      <c r="AA1385" s="611"/>
      <c r="AB1385" s="611"/>
      <c r="AC1385" s="611"/>
      <c r="AD1385" s="611"/>
      <c r="AE1385" s="611"/>
      <c r="AF1385" s="611"/>
      <c r="AG1385" s="611"/>
    </row>
    <row r="1386" spans="1:33" s="56" customFormat="1" hidden="1" outlineLevel="1" x14ac:dyDescent="0.25">
      <c r="A1386" s="597"/>
      <c r="B1386" s="130"/>
      <c r="C1386" s="616"/>
      <c r="D1386" s="2114"/>
      <c r="E1386" s="2117"/>
      <c r="F1386" s="2110" t="str">
        <f>$E$920</f>
        <v>ASHP SEER 20 replace ASHP - replace on fail SF</v>
      </c>
      <c r="G1386" s="2111"/>
      <c r="H1386" s="2111"/>
      <c r="I1386" s="2112"/>
      <c r="J1386" s="709"/>
      <c r="K1386" s="730">
        <v>39600</v>
      </c>
      <c r="L1386" s="778">
        <v>3.3</v>
      </c>
      <c r="M1386" s="754"/>
      <c r="N1386" s="130"/>
      <c r="O1386" s="251"/>
      <c r="P1386" s="251"/>
      <c r="Q1386" s="251"/>
      <c r="R1386" s="251"/>
      <c r="S1386" s="130"/>
      <c r="T1386" s="130"/>
      <c r="U1386" s="130"/>
      <c r="V1386" s="2120"/>
      <c r="W1386" s="611">
        <v>39600</v>
      </c>
      <c r="X1386" s="611">
        <v>39600</v>
      </c>
      <c r="Y1386" s="611"/>
      <c r="Z1386" s="611"/>
      <c r="AA1386" s="611"/>
      <c r="AB1386" s="611"/>
      <c r="AC1386" s="611"/>
      <c r="AD1386" s="611"/>
      <c r="AE1386" s="611"/>
      <c r="AF1386" s="611"/>
      <c r="AG1386" s="611"/>
    </row>
    <row r="1387" spans="1:33" s="56" customFormat="1" hidden="1" outlineLevel="1" x14ac:dyDescent="0.25">
      <c r="A1387" s="597"/>
      <c r="B1387" s="130"/>
      <c r="C1387" s="616"/>
      <c r="D1387" s="2114"/>
      <c r="E1387" s="2117"/>
      <c r="F1387" s="2110" t="str">
        <f>$E$922</f>
        <v>ASHP - SEER 20 - replace electric furnace / CAC - early replacement MF ER1</v>
      </c>
      <c r="G1387" s="2111"/>
      <c r="H1387" s="2111"/>
      <c r="I1387" s="2112"/>
      <c r="J1387" s="709"/>
      <c r="K1387" s="730">
        <v>37200</v>
      </c>
      <c r="L1387" s="778">
        <v>3.1</v>
      </c>
      <c r="M1387" s="754"/>
      <c r="N1387" s="130"/>
      <c r="O1387" s="251"/>
      <c r="P1387" s="251"/>
      <c r="Q1387" s="251"/>
      <c r="R1387" s="251"/>
      <c r="S1387" s="130"/>
      <c r="T1387" s="130"/>
      <c r="U1387" s="130"/>
      <c r="V1387" s="2120"/>
      <c r="W1387" s="611">
        <v>37200</v>
      </c>
      <c r="X1387" s="611">
        <v>37200</v>
      </c>
      <c r="Y1387" s="611"/>
      <c r="Z1387" s="611"/>
      <c r="AA1387" s="611"/>
      <c r="AB1387" s="611"/>
      <c r="AC1387" s="611"/>
      <c r="AD1387" s="611"/>
      <c r="AE1387" s="611"/>
      <c r="AF1387" s="611"/>
      <c r="AG1387" s="611"/>
    </row>
    <row r="1388" spans="1:33" s="56" customFormat="1" hidden="1" outlineLevel="1" x14ac:dyDescent="0.25">
      <c r="A1388" s="597"/>
      <c r="B1388" s="130"/>
      <c r="C1388" s="616"/>
      <c r="D1388" s="2114"/>
      <c r="E1388" s="2117"/>
      <c r="F1388" s="2110" t="str">
        <f>$E$924</f>
        <v>ASHP - SEER 20 - replace electric furnace / CAC - early replacement MF ER2</v>
      </c>
      <c r="G1388" s="2111"/>
      <c r="H1388" s="2111"/>
      <c r="I1388" s="2112"/>
      <c r="J1388" s="709"/>
      <c r="K1388" s="730">
        <v>37200</v>
      </c>
      <c r="L1388" s="778">
        <v>3.1</v>
      </c>
      <c r="M1388" s="754"/>
      <c r="N1388" s="130"/>
      <c r="O1388" s="251"/>
      <c r="P1388" s="251"/>
      <c r="Q1388" s="251"/>
      <c r="R1388" s="251"/>
      <c r="S1388" s="130"/>
      <c r="T1388" s="130"/>
      <c r="U1388" s="130"/>
      <c r="V1388" s="2120"/>
      <c r="W1388" s="611">
        <v>37200</v>
      </c>
      <c r="X1388" s="611">
        <v>37200</v>
      </c>
      <c r="Y1388" s="611"/>
      <c r="Z1388" s="611"/>
      <c r="AA1388" s="611"/>
      <c r="AB1388" s="611"/>
      <c r="AC1388" s="611"/>
      <c r="AD1388" s="611"/>
      <c r="AE1388" s="611"/>
      <c r="AF1388" s="611"/>
      <c r="AG1388" s="611"/>
    </row>
    <row r="1389" spans="1:33" s="56" customFormat="1" hidden="1" outlineLevel="1" x14ac:dyDescent="0.25">
      <c r="A1389" s="597"/>
      <c r="B1389" s="130"/>
      <c r="C1389" s="616"/>
      <c r="D1389" s="2114"/>
      <c r="E1389" s="2117"/>
      <c r="F1389" s="2110" t="str">
        <f>$E$926</f>
        <v>ASHP SEER 20 replace ASHP - early replacement MF ER1</v>
      </c>
      <c r="G1389" s="2111"/>
      <c r="H1389" s="2111"/>
      <c r="I1389" s="2112"/>
      <c r="J1389" s="709"/>
      <c r="K1389" s="730">
        <v>39600</v>
      </c>
      <c r="L1389" s="778">
        <v>3.3</v>
      </c>
      <c r="M1389" s="754"/>
      <c r="N1389" s="130"/>
      <c r="O1389" s="251"/>
      <c r="P1389" s="251"/>
      <c r="Q1389" s="251"/>
      <c r="R1389" s="251"/>
      <c r="S1389" s="130"/>
      <c r="T1389" s="130"/>
      <c r="U1389" s="130"/>
      <c r="V1389" s="2120"/>
      <c r="W1389" s="611">
        <v>39600</v>
      </c>
      <c r="X1389" s="611">
        <v>39600</v>
      </c>
      <c r="Y1389" s="611"/>
      <c r="Z1389" s="611"/>
      <c r="AA1389" s="611"/>
      <c r="AB1389" s="611"/>
      <c r="AC1389" s="611"/>
      <c r="AD1389" s="611"/>
      <c r="AE1389" s="611"/>
      <c r="AF1389" s="611"/>
      <c r="AG1389" s="611"/>
    </row>
    <row r="1390" spans="1:33" s="56" customFormat="1" hidden="1" outlineLevel="1" x14ac:dyDescent="0.25">
      <c r="A1390" s="597"/>
      <c r="B1390" s="130"/>
      <c r="C1390" s="616"/>
      <c r="D1390" s="2114"/>
      <c r="E1390" s="2117"/>
      <c r="F1390" s="2110" t="str">
        <f>$E$928</f>
        <v>ASHP SEER 20 replace ASHP - early replacement MF ER2</v>
      </c>
      <c r="G1390" s="2111"/>
      <c r="H1390" s="2111"/>
      <c r="I1390" s="2112"/>
      <c r="J1390" s="709"/>
      <c r="K1390" s="730">
        <v>39600</v>
      </c>
      <c r="L1390" s="778">
        <v>3.3</v>
      </c>
      <c r="M1390" s="754"/>
      <c r="N1390" s="130"/>
      <c r="O1390" s="251"/>
      <c r="P1390" s="251"/>
      <c r="Q1390" s="251"/>
      <c r="R1390" s="251"/>
      <c r="S1390" s="130"/>
      <c r="T1390" s="130"/>
      <c r="U1390" s="130"/>
      <c r="V1390" s="2120"/>
      <c r="W1390" s="611">
        <v>39600</v>
      </c>
      <c r="X1390" s="611">
        <v>39600</v>
      </c>
      <c r="Y1390" s="611"/>
      <c r="Z1390" s="611"/>
      <c r="AA1390" s="611"/>
      <c r="AB1390" s="611"/>
      <c r="AC1390" s="611"/>
      <c r="AD1390" s="611"/>
      <c r="AE1390" s="611"/>
      <c r="AF1390" s="611"/>
      <c r="AG1390" s="611"/>
    </row>
    <row r="1391" spans="1:33" s="56" customFormat="1" hidden="1" outlineLevel="1" x14ac:dyDescent="0.25">
      <c r="A1391" s="597"/>
      <c r="B1391" s="130"/>
      <c r="C1391" s="616"/>
      <c r="D1391" s="2114"/>
      <c r="E1391" s="2117"/>
      <c r="F1391" s="2110" t="str">
        <f>$E$930</f>
        <v>ASHP SEER 21 replace ASHP - early replacement SF ER1</v>
      </c>
      <c r="G1391" s="2111"/>
      <c r="H1391" s="2111"/>
      <c r="I1391" s="2112"/>
      <c r="J1391" s="709"/>
      <c r="K1391" s="730">
        <v>39600</v>
      </c>
      <c r="L1391" s="778">
        <v>3.3</v>
      </c>
      <c r="M1391" s="754"/>
      <c r="N1391" s="130"/>
      <c r="O1391" s="251"/>
      <c r="P1391" s="251"/>
      <c r="Q1391" s="251"/>
      <c r="R1391" s="251"/>
      <c r="S1391" s="130"/>
      <c r="T1391" s="130"/>
      <c r="U1391" s="130"/>
      <c r="V1391" s="2120"/>
      <c r="W1391" s="611">
        <v>39600</v>
      </c>
      <c r="X1391" s="611">
        <v>39600</v>
      </c>
      <c r="Y1391" s="611"/>
      <c r="Z1391" s="611"/>
      <c r="AA1391" s="611"/>
      <c r="AB1391" s="611"/>
      <c r="AC1391" s="611"/>
      <c r="AD1391" s="611"/>
      <c r="AE1391" s="611"/>
      <c r="AF1391" s="611"/>
      <c r="AG1391" s="611"/>
    </row>
    <row r="1392" spans="1:33" s="56" customFormat="1" hidden="1" outlineLevel="1" x14ac:dyDescent="0.25">
      <c r="A1392" s="597"/>
      <c r="B1392" s="130"/>
      <c r="C1392" s="616"/>
      <c r="D1392" s="2114"/>
      <c r="E1392" s="2117"/>
      <c r="F1392" s="2110" t="str">
        <f>$E$932</f>
        <v>ASHP SEER 21 replace ASHP - early replacement SF ER2</v>
      </c>
      <c r="G1392" s="2111"/>
      <c r="H1392" s="2111"/>
      <c r="I1392" s="2112"/>
      <c r="J1392" s="709"/>
      <c r="K1392" s="730">
        <v>39600</v>
      </c>
      <c r="L1392" s="778">
        <v>3.3</v>
      </c>
      <c r="M1392" s="754"/>
      <c r="N1392" s="130"/>
      <c r="O1392" s="251"/>
      <c r="P1392" s="251"/>
      <c r="Q1392" s="251"/>
      <c r="R1392" s="251"/>
      <c r="S1392" s="130"/>
      <c r="T1392" s="130"/>
      <c r="U1392" s="130"/>
      <c r="V1392" s="2120"/>
      <c r="W1392" s="611">
        <v>39600</v>
      </c>
      <c r="X1392" s="611">
        <v>39600</v>
      </c>
      <c r="Y1392" s="611"/>
      <c r="Z1392" s="611"/>
      <c r="AA1392" s="611"/>
      <c r="AB1392" s="611"/>
      <c r="AC1392" s="611"/>
      <c r="AD1392" s="611"/>
      <c r="AE1392" s="611"/>
      <c r="AF1392" s="611"/>
      <c r="AG1392" s="611"/>
    </row>
    <row r="1393" spans="1:33" s="56" customFormat="1" hidden="1" outlineLevel="1" x14ac:dyDescent="0.25">
      <c r="A1393" s="597"/>
      <c r="B1393" s="130"/>
      <c r="C1393" s="616"/>
      <c r="D1393" s="2114"/>
      <c r="E1393" s="2117"/>
      <c r="F1393" s="2110" t="str">
        <f>$E$934</f>
        <v>ASHP SEER 21 replace ASHP - replace on fail SF</v>
      </c>
      <c r="G1393" s="2111"/>
      <c r="H1393" s="2111"/>
      <c r="I1393" s="2112"/>
      <c r="J1393" s="709"/>
      <c r="K1393" s="730">
        <v>39600</v>
      </c>
      <c r="L1393" s="778">
        <v>3.3</v>
      </c>
      <c r="M1393" s="754"/>
      <c r="N1393" s="130"/>
      <c r="O1393" s="251"/>
      <c r="P1393" s="251"/>
      <c r="Q1393" s="251"/>
      <c r="R1393" s="251"/>
      <c r="S1393" s="130"/>
      <c r="T1393" s="130"/>
      <c r="U1393" s="130"/>
      <c r="V1393" s="2120"/>
      <c r="W1393" s="611">
        <v>39600</v>
      </c>
      <c r="X1393" s="611">
        <v>39600</v>
      </c>
      <c r="Y1393" s="611"/>
      <c r="Z1393" s="611"/>
      <c r="AA1393" s="611"/>
      <c r="AB1393" s="611"/>
      <c r="AC1393" s="611"/>
      <c r="AD1393" s="611"/>
      <c r="AE1393" s="611"/>
      <c r="AF1393" s="611"/>
      <c r="AG1393" s="611"/>
    </row>
    <row r="1394" spans="1:33" s="56" customFormat="1" hidden="1" outlineLevel="1" x14ac:dyDescent="0.25">
      <c r="A1394" s="597"/>
      <c r="B1394" s="130"/>
      <c r="C1394" s="616"/>
      <c r="D1394" s="2114"/>
      <c r="E1394" s="2117"/>
      <c r="F1394" s="2110" t="str">
        <f>$E$936</f>
        <v>ASHP - SEER 21 - replace electric furnace / CAC MF</v>
      </c>
      <c r="G1394" s="2111"/>
      <c r="H1394" s="2111"/>
      <c r="I1394" s="2112"/>
      <c r="J1394" s="709"/>
      <c r="K1394" s="730">
        <v>33600</v>
      </c>
      <c r="L1394" s="778">
        <v>2.8</v>
      </c>
      <c r="M1394" s="754"/>
      <c r="N1394" s="130"/>
      <c r="O1394" s="251"/>
      <c r="P1394" s="251"/>
      <c r="Q1394" s="251"/>
      <c r="R1394" s="251"/>
      <c r="S1394" s="130"/>
      <c r="T1394" s="130"/>
      <c r="U1394" s="130"/>
      <c r="V1394" s="2120"/>
      <c r="W1394" s="611">
        <v>33600</v>
      </c>
      <c r="X1394" s="611">
        <v>33600</v>
      </c>
      <c r="Y1394" s="611"/>
      <c r="Z1394" s="611"/>
      <c r="AA1394" s="611"/>
      <c r="AB1394" s="611"/>
      <c r="AC1394" s="611"/>
      <c r="AD1394" s="611"/>
      <c r="AE1394" s="611"/>
      <c r="AF1394" s="611"/>
      <c r="AG1394" s="611"/>
    </row>
    <row r="1395" spans="1:33" s="56" customFormat="1" hidden="1" outlineLevel="1" x14ac:dyDescent="0.25">
      <c r="A1395" s="597"/>
      <c r="B1395" s="130"/>
      <c r="C1395" s="616"/>
      <c r="D1395" s="2114"/>
      <c r="E1395" s="2117"/>
      <c r="F1395" s="2110" t="str">
        <f>$E$938</f>
        <v>ASHP SEER 21 replace ASHP - early replacement MF ER1</v>
      </c>
      <c r="G1395" s="2111"/>
      <c r="H1395" s="2111"/>
      <c r="I1395" s="2112"/>
      <c r="J1395" s="709"/>
      <c r="K1395" s="730">
        <v>39600</v>
      </c>
      <c r="L1395" s="778">
        <v>3.3</v>
      </c>
      <c r="M1395" s="754"/>
      <c r="N1395" s="130"/>
      <c r="O1395" s="251"/>
      <c r="P1395" s="251"/>
      <c r="Q1395" s="251"/>
      <c r="R1395" s="251"/>
      <c r="S1395" s="130"/>
      <c r="T1395" s="130"/>
      <c r="U1395" s="130"/>
      <c r="V1395" s="2120"/>
      <c r="W1395" s="611">
        <v>39600</v>
      </c>
      <c r="X1395" s="611">
        <v>39600</v>
      </c>
      <c r="Y1395" s="611"/>
      <c r="Z1395" s="611"/>
      <c r="AA1395" s="611"/>
      <c r="AB1395" s="611"/>
      <c r="AC1395" s="611"/>
      <c r="AD1395" s="611"/>
      <c r="AE1395" s="611"/>
      <c r="AF1395" s="611"/>
      <c r="AG1395" s="611"/>
    </row>
    <row r="1396" spans="1:33" s="56" customFormat="1" hidden="1" outlineLevel="1" x14ac:dyDescent="0.25">
      <c r="A1396" s="597"/>
      <c r="B1396" s="130"/>
      <c r="C1396" s="616"/>
      <c r="D1396" s="2114"/>
      <c r="E1396" s="2117"/>
      <c r="F1396" s="2110" t="str">
        <f>$E$940</f>
        <v>ASHP SEER 21 replace ASHP - early replacement MF ER2</v>
      </c>
      <c r="G1396" s="2111"/>
      <c r="H1396" s="2111"/>
      <c r="I1396" s="2112"/>
      <c r="J1396" s="709"/>
      <c r="K1396" s="730">
        <v>39600</v>
      </c>
      <c r="L1396" s="778">
        <v>3.3</v>
      </c>
      <c r="M1396" s="754"/>
      <c r="N1396" s="130"/>
      <c r="O1396" s="251"/>
      <c r="P1396" s="251"/>
      <c r="Q1396" s="251"/>
      <c r="R1396" s="251"/>
      <c r="S1396" s="130"/>
      <c r="T1396" s="130"/>
      <c r="U1396" s="130"/>
      <c r="V1396" s="2120"/>
      <c r="W1396" s="611">
        <v>39600</v>
      </c>
      <c r="X1396" s="611">
        <v>39600</v>
      </c>
      <c r="Y1396" s="611"/>
      <c r="Z1396" s="611"/>
      <c r="AA1396" s="611"/>
      <c r="AB1396" s="611"/>
      <c r="AC1396" s="611"/>
      <c r="AD1396" s="611"/>
      <c r="AE1396" s="611"/>
      <c r="AF1396" s="611"/>
      <c r="AG1396" s="611"/>
    </row>
    <row r="1397" spans="1:33" s="56" customFormat="1" ht="15" hidden="1" customHeight="1" outlineLevel="1" x14ac:dyDescent="0.25">
      <c r="A1397" s="724"/>
      <c r="B1397" s="130"/>
      <c r="C1397" s="616"/>
      <c r="D1397" s="2114"/>
      <c r="E1397" s="2117"/>
      <c r="F1397" s="2110" t="str">
        <f>$E$942</f>
        <v>ASHP - SEER 17 - replace on fail MF</v>
      </c>
      <c r="G1397" s="2111"/>
      <c r="H1397" s="2111"/>
      <c r="I1397" s="2112"/>
      <c r="J1397" s="709" t="s">
        <v>1198</v>
      </c>
      <c r="K1397" s="730">
        <v>39600</v>
      </c>
      <c r="L1397" s="778">
        <v>3.3</v>
      </c>
      <c r="M1397" s="754" t="s">
        <v>1173</v>
      </c>
      <c r="N1397" s="130"/>
      <c r="O1397" s="251"/>
      <c r="P1397" s="766"/>
      <c r="Q1397" s="767"/>
      <c r="R1397" s="766"/>
      <c r="S1397" s="752"/>
      <c r="T1397" s="760"/>
      <c r="U1397" s="130"/>
      <c r="V1397" s="2120"/>
      <c r="W1397" s="611">
        <v>39600</v>
      </c>
      <c r="X1397" s="611">
        <v>39600</v>
      </c>
      <c r="Y1397" s="611"/>
      <c r="Z1397" s="611"/>
      <c r="AA1397" s="611"/>
      <c r="AB1397" s="611"/>
      <c r="AC1397" s="611"/>
      <c r="AD1397" s="611"/>
      <c r="AE1397" s="611"/>
      <c r="AF1397" s="611"/>
      <c r="AG1397" s="611"/>
    </row>
    <row r="1398" spans="1:33" s="56" customFormat="1" ht="15" hidden="1" customHeight="1" outlineLevel="1" x14ac:dyDescent="0.25">
      <c r="A1398" s="724"/>
      <c r="B1398" s="130"/>
      <c r="C1398" s="616"/>
      <c r="D1398" s="2114"/>
      <c r="E1398" s="2117"/>
      <c r="F1398" s="2110" t="str">
        <f>$E$944</f>
        <v>ASHP - SEER 18 - replace on fail MF</v>
      </c>
      <c r="G1398" s="2111"/>
      <c r="H1398" s="2111"/>
      <c r="I1398" s="2112"/>
      <c r="J1398" s="709" t="s">
        <v>1199</v>
      </c>
      <c r="K1398" s="730">
        <v>39600</v>
      </c>
      <c r="L1398" s="778">
        <v>3.3</v>
      </c>
      <c r="M1398" s="754" t="s">
        <v>1173</v>
      </c>
      <c r="N1398" s="130"/>
      <c r="O1398" s="251"/>
      <c r="P1398" s="766"/>
      <c r="Q1398" s="767"/>
      <c r="R1398" s="766"/>
      <c r="S1398" s="752"/>
      <c r="T1398" s="760"/>
      <c r="U1398" s="130"/>
      <c r="V1398" s="2120"/>
      <c r="W1398" s="611">
        <v>39600</v>
      </c>
      <c r="X1398" s="611">
        <v>39600</v>
      </c>
      <c r="Y1398" s="611"/>
      <c r="Z1398" s="611"/>
      <c r="AA1398" s="611"/>
      <c r="AB1398" s="611"/>
      <c r="AC1398" s="611"/>
      <c r="AD1398" s="611"/>
      <c r="AE1398" s="611"/>
      <c r="AF1398" s="611"/>
      <c r="AG1398" s="611"/>
    </row>
    <row r="1399" spans="1:33" s="56" customFormat="1" ht="15" hidden="1" customHeight="1" outlineLevel="1" x14ac:dyDescent="0.25">
      <c r="A1399" s="597"/>
      <c r="B1399" s="130"/>
      <c r="C1399" s="616"/>
      <c r="D1399" s="2114"/>
      <c r="E1399" s="2117"/>
      <c r="F1399" s="2110" t="str">
        <f>$E$946</f>
        <v>ASHP - SEER 19 - replace on fail MF</v>
      </c>
      <c r="G1399" s="2111"/>
      <c r="H1399" s="2111"/>
      <c r="I1399" s="2112"/>
      <c r="J1399" s="709" t="s">
        <v>1200</v>
      </c>
      <c r="K1399" s="730">
        <v>39600</v>
      </c>
      <c r="L1399" s="778">
        <v>3.3</v>
      </c>
      <c r="M1399" s="754" t="s">
        <v>1173</v>
      </c>
      <c r="N1399" s="130"/>
      <c r="O1399" s="251"/>
      <c r="P1399" s="251"/>
      <c r="Q1399" s="251"/>
      <c r="R1399" s="251"/>
      <c r="S1399" s="130"/>
      <c r="T1399" s="130"/>
      <c r="U1399" s="130"/>
      <c r="V1399" s="2120"/>
      <c r="W1399" s="611">
        <v>39600</v>
      </c>
      <c r="X1399" s="611">
        <v>39600</v>
      </c>
      <c r="Y1399" s="611"/>
      <c r="Z1399" s="611"/>
      <c r="AA1399" s="611"/>
      <c r="AB1399" s="611"/>
      <c r="AC1399" s="611"/>
      <c r="AD1399" s="611"/>
      <c r="AE1399" s="611"/>
      <c r="AF1399" s="611"/>
      <c r="AG1399" s="611"/>
    </row>
    <row r="1400" spans="1:33" s="56" customFormat="1" ht="15" hidden="1" customHeight="1" outlineLevel="1" x14ac:dyDescent="0.25">
      <c r="A1400" s="597"/>
      <c r="B1400" s="130"/>
      <c r="C1400" s="616"/>
      <c r="D1400" s="2114"/>
      <c r="E1400" s="2117"/>
      <c r="F1400" s="2110" t="str">
        <f>$E$948</f>
        <v>ASHP - SEER 20 - replace on fail MF</v>
      </c>
      <c r="G1400" s="2111"/>
      <c r="H1400" s="2111"/>
      <c r="I1400" s="2112"/>
      <c r="J1400" s="709" t="s">
        <v>1201</v>
      </c>
      <c r="K1400" s="730">
        <v>39600</v>
      </c>
      <c r="L1400" s="778">
        <v>3.3</v>
      </c>
      <c r="M1400" s="754" t="s">
        <v>1173</v>
      </c>
      <c r="N1400" s="130"/>
      <c r="O1400" s="251"/>
      <c r="P1400" s="251"/>
      <c r="Q1400" s="251"/>
      <c r="R1400" s="251"/>
      <c r="S1400" s="130"/>
      <c r="T1400" s="130"/>
      <c r="U1400" s="130"/>
      <c r="V1400" s="2120"/>
      <c r="W1400" s="611">
        <v>39600</v>
      </c>
      <c r="X1400" s="611">
        <v>39600</v>
      </c>
      <c r="Y1400" s="611"/>
      <c r="Z1400" s="611"/>
      <c r="AA1400" s="611"/>
      <c r="AB1400" s="611"/>
      <c r="AC1400" s="611"/>
      <c r="AD1400" s="611"/>
      <c r="AE1400" s="611"/>
      <c r="AF1400" s="611"/>
      <c r="AG1400" s="611"/>
    </row>
    <row r="1401" spans="1:33" s="56" customFormat="1" ht="15.75" hidden="1" customHeight="1" outlineLevel="1" thickBot="1" x14ac:dyDescent="0.3">
      <c r="A1401" s="724"/>
      <c r="B1401" s="130"/>
      <c r="C1401" s="616"/>
      <c r="D1401" s="2115"/>
      <c r="E1401" s="2118"/>
      <c r="F1401" s="2110" t="str">
        <f>$E$950</f>
        <v>ASHP - SEER 21 - replace on fail MF</v>
      </c>
      <c r="G1401" s="2111"/>
      <c r="H1401" s="2111"/>
      <c r="I1401" s="2112"/>
      <c r="J1401" s="712" t="s">
        <v>1202</v>
      </c>
      <c r="K1401" s="622">
        <v>39600</v>
      </c>
      <c r="L1401" s="779">
        <v>3.3</v>
      </c>
      <c r="M1401" s="769" t="s">
        <v>1173</v>
      </c>
      <c r="N1401" s="130"/>
      <c r="O1401" s="251"/>
      <c r="P1401" s="766"/>
      <c r="Q1401" s="767"/>
      <c r="R1401" s="766"/>
      <c r="S1401" s="752"/>
      <c r="T1401" s="760"/>
      <c r="U1401" s="130"/>
      <c r="V1401" s="2121"/>
      <c r="W1401" s="622">
        <v>39600</v>
      </c>
      <c r="X1401" s="622">
        <v>39600</v>
      </c>
      <c r="Y1401" s="622"/>
      <c r="Z1401" s="622"/>
      <c r="AA1401" s="622"/>
      <c r="AB1401" s="622"/>
      <c r="AC1401" s="622"/>
      <c r="AD1401" s="622"/>
      <c r="AE1401" s="622"/>
      <c r="AF1401" s="622"/>
      <c r="AG1401" s="622"/>
    </row>
    <row r="1402" spans="1:33" s="56" customFormat="1" ht="15" hidden="1" customHeight="1" outlineLevel="1" x14ac:dyDescent="0.25">
      <c r="A1402" s="724"/>
      <c r="B1402" s="130"/>
      <c r="C1402" s="616"/>
      <c r="D1402" s="2101" t="s">
        <v>1040</v>
      </c>
      <c r="E1402" s="2104" t="s">
        <v>1041</v>
      </c>
      <c r="F1402" s="2109" t="str">
        <f>$E$780</f>
        <v>ASHP - SEER 15 ER Elec Resist Furnace: HVAC ER1</v>
      </c>
      <c r="G1402" s="2109"/>
      <c r="H1402" s="2109"/>
      <c r="I1402" s="2109"/>
      <c r="J1402" s="780">
        <v>919</v>
      </c>
      <c r="K1402" s="725">
        <v>869</v>
      </c>
      <c r="L1402" s="781"/>
      <c r="M1402" s="782" t="s">
        <v>972</v>
      </c>
      <c r="N1402" s="130"/>
      <c r="O1402" s="251"/>
      <c r="P1402" s="766"/>
      <c r="Q1402" s="766"/>
      <c r="R1402" s="766"/>
      <c r="S1402" s="752"/>
      <c r="T1402" s="760"/>
      <c r="U1402" s="130"/>
      <c r="V1402" s="2107" t="s">
        <v>1040</v>
      </c>
      <c r="W1402" s="725">
        <v>869</v>
      </c>
      <c r="X1402" s="725">
        <v>869</v>
      </c>
      <c r="Y1402" s="725"/>
      <c r="Z1402" s="725"/>
      <c r="AA1402" s="725"/>
      <c r="AB1402" s="725"/>
      <c r="AC1402" s="725"/>
      <c r="AD1402" s="725"/>
      <c r="AE1402" s="725"/>
      <c r="AF1402" s="725"/>
      <c r="AG1402" s="725"/>
    </row>
    <row r="1403" spans="1:33" s="56" customFormat="1" ht="15" hidden="1" customHeight="1" outlineLevel="1" x14ac:dyDescent="0.25">
      <c r="A1403" s="724"/>
      <c r="B1403" s="130"/>
      <c r="C1403" s="616"/>
      <c r="D1403" s="2101"/>
      <c r="E1403" s="2104"/>
      <c r="F1403" s="2110" t="str">
        <f>$E$782</f>
        <v>ASHP - SEER 15 ER Elec Resist Furnace: HVAC ER2</v>
      </c>
      <c r="G1403" s="2111"/>
      <c r="H1403" s="2111"/>
      <c r="I1403" s="2112"/>
      <c r="J1403" s="709" t="s">
        <v>1156</v>
      </c>
      <c r="K1403" s="730">
        <v>869</v>
      </c>
      <c r="L1403" s="669"/>
      <c r="M1403" s="613" t="s">
        <v>972</v>
      </c>
      <c r="N1403" s="130"/>
      <c r="O1403" s="251"/>
      <c r="P1403" s="766"/>
      <c r="Q1403" s="766"/>
      <c r="R1403" s="766"/>
      <c r="S1403" s="752"/>
      <c r="T1403" s="760"/>
      <c r="U1403" s="130"/>
      <c r="V1403" s="2107"/>
      <c r="W1403" s="611">
        <v>869</v>
      </c>
      <c r="X1403" s="611">
        <v>869</v>
      </c>
      <c r="Y1403" s="611"/>
      <c r="Z1403" s="611"/>
      <c r="AA1403" s="611"/>
      <c r="AB1403" s="611"/>
      <c r="AC1403" s="611"/>
      <c r="AD1403" s="611"/>
      <c r="AE1403" s="611"/>
      <c r="AF1403" s="611"/>
      <c r="AG1403" s="611"/>
    </row>
    <row r="1404" spans="1:33" s="56" customFormat="1" ht="15" hidden="1" customHeight="1" outlineLevel="1" x14ac:dyDescent="0.25">
      <c r="A1404" s="724"/>
      <c r="B1404" s="130"/>
      <c r="C1404" s="616"/>
      <c r="D1404" s="2101"/>
      <c r="E1404" s="2104"/>
      <c r="F1404" s="2110" t="str">
        <f>$E$784</f>
        <v>ASHP - SEER 15 ER with ASHP: HVAC ER1</v>
      </c>
      <c r="G1404" s="2111"/>
      <c r="H1404" s="2111"/>
      <c r="I1404" s="2112"/>
      <c r="J1404" s="709">
        <v>920</v>
      </c>
      <c r="K1404" s="730">
        <v>869</v>
      </c>
      <c r="L1404" s="669"/>
      <c r="M1404" s="613" t="s">
        <v>972</v>
      </c>
      <c r="N1404" s="130"/>
      <c r="O1404" s="251"/>
      <c r="P1404" s="766"/>
      <c r="Q1404" s="766"/>
      <c r="R1404" s="766"/>
      <c r="S1404" s="752"/>
      <c r="T1404" s="760"/>
      <c r="U1404" s="130"/>
      <c r="V1404" s="2107"/>
      <c r="W1404" s="611">
        <v>869</v>
      </c>
      <c r="X1404" s="611">
        <v>869</v>
      </c>
      <c r="Y1404" s="611"/>
      <c r="Z1404" s="611"/>
      <c r="AA1404" s="611"/>
      <c r="AB1404" s="611"/>
      <c r="AC1404" s="611"/>
      <c r="AD1404" s="611"/>
      <c r="AE1404" s="611"/>
      <c r="AF1404" s="611"/>
      <c r="AG1404" s="611"/>
    </row>
    <row r="1405" spans="1:33" s="56" customFormat="1" ht="15" hidden="1" customHeight="1" outlineLevel="1" x14ac:dyDescent="0.25">
      <c r="A1405" s="724"/>
      <c r="B1405" s="130"/>
      <c r="C1405" s="616"/>
      <c r="D1405" s="2101"/>
      <c r="E1405" s="2104"/>
      <c r="F1405" s="2110" t="str">
        <f>$E$786</f>
        <v>ASHP - SEER 15 ER with ASHP: HVAC ER2</v>
      </c>
      <c r="G1405" s="2111"/>
      <c r="H1405" s="2111"/>
      <c r="I1405" s="2112"/>
      <c r="J1405" s="709" t="s">
        <v>1159</v>
      </c>
      <c r="K1405" s="730">
        <v>869</v>
      </c>
      <c r="L1405" s="669"/>
      <c r="M1405" s="613" t="s">
        <v>972</v>
      </c>
      <c r="N1405" s="130"/>
      <c r="O1405" s="251"/>
      <c r="P1405" s="766"/>
      <c r="Q1405" s="766"/>
      <c r="R1405" s="766"/>
      <c r="S1405" s="752"/>
      <c r="T1405" s="760"/>
      <c r="U1405" s="130"/>
      <c r="V1405" s="2107"/>
      <c r="W1405" s="611">
        <v>869</v>
      </c>
      <c r="X1405" s="611">
        <v>869</v>
      </c>
      <c r="Y1405" s="611"/>
      <c r="Z1405" s="611"/>
      <c r="AA1405" s="611"/>
      <c r="AB1405" s="611"/>
      <c r="AC1405" s="611"/>
      <c r="AD1405" s="611"/>
      <c r="AE1405" s="611"/>
      <c r="AF1405" s="611"/>
      <c r="AG1405" s="611"/>
    </row>
    <row r="1406" spans="1:33" s="56" customFormat="1" ht="15" hidden="1" customHeight="1" outlineLevel="1" x14ac:dyDescent="0.25">
      <c r="A1406" s="724"/>
      <c r="B1406" s="130"/>
      <c r="C1406" s="616"/>
      <c r="D1406" s="2101"/>
      <c r="E1406" s="2104"/>
      <c r="F1406" s="2110" t="str">
        <f>$E$788</f>
        <v>ASHP-  SEER 15 Replace at Fail Elec Resist Furnace: HVAC</v>
      </c>
      <c r="G1406" s="2111"/>
      <c r="H1406" s="2111"/>
      <c r="I1406" s="2112"/>
      <c r="J1406" s="709">
        <v>921</v>
      </c>
      <c r="K1406" s="730">
        <v>869</v>
      </c>
      <c r="L1406" s="669"/>
      <c r="M1406" s="613" t="s">
        <v>972</v>
      </c>
      <c r="N1406" s="130"/>
      <c r="O1406" s="251"/>
      <c r="P1406" s="766"/>
      <c r="Q1406" s="766"/>
      <c r="R1406" s="766"/>
      <c r="S1406" s="752"/>
      <c r="T1406" s="760"/>
      <c r="U1406" s="130"/>
      <c r="V1406" s="2107"/>
      <c r="W1406" s="611">
        <v>869</v>
      </c>
      <c r="X1406" s="611">
        <v>869</v>
      </c>
      <c r="Y1406" s="611"/>
      <c r="Z1406" s="611"/>
      <c r="AA1406" s="611"/>
      <c r="AB1406" s="611"/>
      <c r="AC1406" s="611"/>
      <c r="AD1406" s="611"/>
      <c r="AE1406" s="611"/>
      <c r="AF1406" s="611"/>
      <c r="AG1406" s="611"/>
    </row>
    <row r="1407" spans="1:33" s="56" customFormat="1" ht="15" hidden="1" customHeight="1" outlineLevel="1" x14ac:dyDescent="0.25">
      <c r="A1407" s="724"/>
      <c r="B1407" s="130"/>
      <c r="C1407" s="616"/>
      <c r="D1407" s="2101"/>
      <c r="E1407" s="2104"/>
      <c r="F1407" s="2110" t="str">
        <f>$E$790</f>
        <v>ASHP - SEER 15 Replace at Fail with ASHP: HVAC</v>
      </c>
      <c r="G1407" s="2111"/>
      <c r="H1407" s="2111"/>
      <c r="I1407" s="2112"/>
      <c r="J1407" s="709">
        <v>922</v>
      </c>
      <c r="K1407" s="730">
        <v>869</v>
      </c>
      <c r="L1407" s="669"/>
      <c r="M1407" s="613" t="s">
        <v>972</v>
      </c>
      <c r="N1407" s="130"/>
      <c r="O1407" s="251"/>
      <c r="P1407" s="766"/>
      <c r="Q1407" s="766"/>
      <c r="R1407" s="766"/>
      <c r="S1407" s="752"/>
      <c r="T1407" s="760"/>
      <c r="U1407" s="130"/>
      <c r="V1407" s="2107"/>
      <c r="W1407" s="611">
        <v>869</v>
      </c>
      <c r="X1407" s="611">
        <v>869</v>
      </c>
      <c r="Y1407" s="611"/>
      <c r="Z1407" s="611"/>
      <c r="AA1407" s="611"/>
      <c r="AB1407" s="611"/>
      <c r="AC1407" s="611"/>
      <c r="AD1407" s="611"/>
      <c r="AE1407" s="611"/>
      <c r="AF1407" s="611"/>
      <c r="AG1407" s="611"/>
    </row>
    <row r="1408" spans="1:33" s="56" customFormat="1" ht="15" hidden="1" customHeight="1" outlineLevel="1" x14ac:dyDescent="0.25">
      <c r="A1408" s="724"/>
      <c r="B1408" s="130"/>
      <c r="C1408" s="616"/>
      <c r="D1408" s="2101"/>
      <c r="E1408" s="2104"/>
      <c r="F1408" s="2110" t="str">
        <f>$E$792</f>
        <v>ASHP - SEER 16 - replace electric furnace / CAC - early replacement SF ER1</v>
      </c>
      <c r="G1408" s="2111"/>
      <c r="H1408" s="2111"/>
      <c r="I1408" s="2112"/>
      <c r="J1408" s="709">
        <v>923</v>
      </c>
      <c r="K1408" s="730">
        <v>869</v>
      </c>
      <c r="L1408" s="669"/>
      <c r="M1408" s="613" t="s">
        <v>972</v>
      </c>
      <c r="N1408" s="130"/>
      <c r="O1408" s="251"/>
      <c r="P1408" s="766"/>
      <c r="Q1408" s="766"/>
      <c r="R1408" s="766"/>
      <c r="S1408" s="752"/>
      <c r="T1408" s="760"/>
      <c r="U1408" s="130"/>
      <c r="V1408" s="2107"/>
      <c r="W1408" s="611">
        <v>869</v>
      </c>
      <c r="X1408" s="611">
        <v>869</v>
      </c>
      <c r="Y1408" s="611"/>
      <c r="Z1408" s="611"/>
      <c r="AA1408" s="611"/>
      <c r="AB1408" s="611"/>
      <c r="AC1408" s="611"/>
      <c r="AD1408" s="611"/>
      <c r="AE1408" s="611"/>
      <c r="AF1408" s="611"/>
      <c r="AG1408" s="611"/>
    </row>
    <row r="1409" spans="1:33" s="56" customFormat="1" ht="15" hidden="1" customHeight="1" outlineLevel="1" x14ac:dyDescent="0.25">
      <c r="A1409" s="724"/>
      <c r="B1409" s="130"/>
      <c r="C1409" s="616"/>
      <c r="D1409" s="2101"/>
      <c r="E1409" s="2104"/>
      <c r="F1409" s="2110" t="str">
        <f>$E$794</f>
        <v>ASHP - SEER 16 - replace electric furnace / CAC - early replacement SF ER2</v>
      </c>
      <c r="G1409" s="2111"/>
      <c r="H1409" s="2111"/>
      <c r="I1409" s="2112"/>
      <c r="J1409" s="709" t="s">
        <v>1161</v>
      </c>
      <c r="K1409" s="730">
        <v>869</v>
      </c>
      <c r="L1409" s="669"/>
      <c r="M1409" s="613" t="s">
        <v>972</v>
      </c>
      <c r="N1409" s="130"/>
      <c r="O1409" s="251"/>
      <c r="P1409" s="766"/>
      <c r="Q1409" s="766"/>
      <c r="R1409" s="766"/>
      <c r="S1409" s="752"/>
      <c r="T1409" s="760"/>
      <c r="U1409" s="130"/>
      <c r="V1409" s="2107"/>
      <c r="W1409" s="611">
        <v>869</v>
      </c>
      <c r="X1409" s="611">
        <v>869</v>
      </c>
      <c r="Y1409" s="611"/>
      <c r="Z1409" s="611"/>
      <c r="AA1409" s="611"/>
      <c r="AB1409" s="611"/>
      <c r="AC1409" s="611"/>
      <c r="AD1409" s="611"/>
      <c r="AE1409" s="611"/>
      <c r="AF1409" s="611"/>
      <c r="AG1409" s="611"/>
    </row>
    <row r="1410" spans="1:33" s="56" customFormat="1" ht="15" hidden="1" customHeight="1" outlineLevel="1" x14ac:dyDescent="0.25">
      <c r="A1410" s="724"/>
      <c r="B1410" s="130"/>
      <c r="C1410" s="616"/>
      <c r="D1410" s="2101"/>
      <c r="E1410" s="2104"/>
      <c r="F1410" s="2110" t="str">
        <f>$E$796</f>
        <v>ASHP SEER 16 replace ASHP - early replacement SF ER1</v>
      </c>
      <c r="G1410" s="2111"/>
      <c r="H1410" s="2111"/>
      <c r="I1410" s="2112"/>
      <c r="J1410" s="709">
        <v>924</v>
      </c>
      <c r="K1410" s="730">
        <v>869</v>
      </c>
      <c r="L1410" s="669"/>
      <c r="M1410" s="613" t="s">
        <v>972</v>
      </c>
      <c r="N1410" s="130"/>
      <c r="O1410" s="251"/>
      <c r="P1410" s="766"/>
      <c r="Q1410" s="766"/>
      <c r="R1410" s="766"/>
      <c r="S1410" s="752"/>
      <c r="T1410" s="760"/>
      <c r="U1410" s="130"/>
      <c r="V1410" s="2107"/>
      <c r="W1410" s="611">
        <v>869</v>
      </c>
      <c r="X1410" s="611">
        <v>869</v>
      </c>
      <c r="Y1410" s="611"/>
      <c r="Z1410" s="611"/>
      <c r="AA1410" s="611"/>
      <c r="AB1410" s="611"/>
      <c r="AC1410" s="611"/>
      <c r="AD1410" s="611"/>
      <c r="AE1410" s="611"/>
      <c r="AF1410" s="611"/>
      <c r="AG1410" s="611"/>
    </row>
    <row r="1411" spans="1:33" s="56" customFormat="1" ht="15" hidden="1" customHeight="1" outlineLevel="1" x14ac:dyDescent="0.25">
      <c r="A1411" s="724"/>
      <c r="B1411" s="130"/>
      <c r="C1411" s="616"/>
      <c r="D1411" s="2101"/>
      <c r="E1411" s="2104"/>
      <c r="F1411" s="2110" t="str">
        <f>$E$798</f>
        <v>ASHP SEER 16 replace ASHP - early replacement SF ER2</v>
      </c>
      <c r="G1411" s="2111"/>
      <c r="H1411" s="2111"/>
      <c r="I1411" s="2112"/>
      <c r="J1411" s="709" t="s">
        <v>1163</v>
      </c>
      <c r="K1411" s="730">
        <v>869</v>
      </c>
      <c r="L1411" s="670"/>
      <c r="M1411" s="613" t="s">
        <v>972</v>
      </c>
      <c r="N1411" s="130"/>
      <c r="O1411" s="251"/>
      <c r="P1411" s="766"/>
      <c r="Q1411" s="766"/>
      <c r="R1411" s="766"/>
      <c r="S1411" s="752"/>
      <c r="T1411" s="760"/>
      <c r="U1411" s="130"/>
      <c r="V1411" s="2107"/>
      <c r="W1411" s="611">
        <v>869</v>
      </c>
      <c r="X1411" s="611">
        <v>869</v>
      </c>
      <c r="Y1411" s="611"/>
      <c r="Z1411" s="611"/>
      <c r="AA1411" s="611"/>
      <c r="AB1411" s="611"/>
      <c r="AC1411" s="611"/>
      <c r="AD1411" s="611"/>
      <c r="AE1411" s="611"/>
      <c r="AF1411" s="611"/>
      <c r="AG1411" s="611"/>
    </row>
    <row r="1412" spans="1:33" s="56" customFormat="1" ht="15" hidden="1" customHeight="1" outlineLevel="1" x14ac:dyDescent="0.25">
      <c r="A1412" s="724"/>
      <c r="B1412" s="130"/>
      <c r="C1412" s="616"/>
      <c r="D1412" s="2101"/>
      <c r="E1412" s="2104"/>
      <c r="F1412" s="2110" t="str">
        <f>$E$800</f>
        <v>ASHP - SEER 16 - replace electric furnace / CAC SF</v>
      </c>
      <c r="G1412" s="2111"/>
      <c r="H1412" s="2111"/>
      <c r="I1412" s="2112"/>
      <c r="J1412" s="709">
        <v>925</v>
      </c>
      <c r="K1412" s="730">
        <v>869</v>
      </c>
      <c r="L1412" s="670"/>
      <c r="M1412" s="613" t="s">
        <v>972</v>
      </c>
      <c r="N1412" s="130"/>
      <c r="O1412" s="251"/>
      <c r="P1412" s="766"/>
      <c r="Q1412" s="766"/>
      <c r="R1412" s="766"/>
      <c r="S1412" s="752"/>
      <c r="T1412" s="760"/>
      <c r="U1412" s="130"/>
      <c r="V1412" s="2107"/>
      <c r="W1412" s="611">
        <v>869</v>
      </c>
      <c r="X1412" s="611">
        <v>869</v>
      </c>
      <c r="Y1412" s="611"/>
      <c r="Z1412" s="611"/>
      <c r="AA1412" s="611"/>
      <c r="AB1412" s="611"/>
      <c r="AC1412" s="611"/>
      <c r="AD1412" s="611"/>
      <c r="AE1412" s="611"/>
      <c r="AF1412" s="611"/>
      <c r="AG1412" s="611"/>
    </row>
    <row r="1413" spans="1:33" s="56" customFormat="1" ht="15" hidden="1" customHeight="1" outlineLevel="1" x14ac:dyDescent="0.25">
      <c r="A1413" s="724"/>
      <c r="B1413" s="130"/>
      <c r="C1413" s="616"/>
      <c r="D1413" s="2101"/>
      <c r="E1413" s="2104"/>
      <c r="F1413" s="2110" t="str">
        <f>$E$802</f>
        <v>ASHP SEER 16 replace ASHP - replace on fail SF</v>
      </c>
      <c r="G1413" s="2111"/>
      <c r="H1413" s="2111"/>
      <c r="I1413" s="2112"/>
      <c r="J1413" s="709">
        <v>926</v>
      </c>
      <c r="K1413" s="730">
        <v>869</v>
      </c>
      <c r="L1413" s="670"/>
      <c r="M1413" s="613" t="s">
        <v>972</v>
      </c>
      <c r="N1413" s="130"/>
      <c r="O1413" s="251"/>
      <c r="P1413" s="766"/>
      <c r="Q1413" s="766"/>
      <c r="R1413" s="766"/>
      <c r="S1413" s="752"/>
      <c r="T1413" s="760"/>
      <c r="U1413" s="130"/>
      <c r="V1413" s="2107"/>
      <c r="W1413" s="611">
        <v>869</v>
      </c>
      <c r="X1413" s="611">
        <v>869</v>
      </c>
      <c r="Y1413" s="611"/>
      <c r="Z1413" s="611"/>
      <c r="AA1413" s="611"/>
      <c r="AB1413" s="611"/>
      <c r="AC1413" s="611"/>
      <c r="AD1413" s="611"/>
      <c r="AE1413" s="611"/>
      <c r="AF1413" s="611"/>
      <c r="AG1413" s="611"/>
    </row>
    <row r="1414" spans="1:33" s="56" customFormat="1" ht="15" hidden="1" customHeight="1" outlineLevel="1" x14ac:dyDescent="0.25">
      <c r="A1414" s="724"/>
      <c r="B1414" s="130"/>
      <c r="C1414" s="616"/>
      <c r="D1414" s="2101"/>
      <c r="E1414" s="2104"/>
      <c r="F1414" s="2110" t="str">
        <f>$E$804</f>
        <v>ASHP SEER 15 MFMR / MFLI ER Replace ASHP: HVAC ER1</v>
      </c>
      <c r="G1414" s="2111"/>
      <c r="H1414" s="2111"/>
      <c r="I1414" s="2112"/>
      <c r="J1414" s="709">
        <v>1239</v>
      </c>
      <c r="K1414" s="730">
        <v>869</v>
      </c>
      <c r="L1414" s="670"/>
      <c r="M1414" s="613" t="s">
        <v>972</v>
      </c>
      <c r="N1414" s="130"/>
      <c r="O1414" s="251"/>
      <c r="P1414" s="766"/>
      <c r="Q1414" s="766"/>
      <c r="R1414" s="766"/>
      <c r="S1414" s="752"/>
      <c r="T1414" s="760"/>
      <c r="U1414" s="130"/>
      <c r="V1414" s="2107"/>
      <c r="W1414" s="611">
        <v>869</v>
      </c>
      <c r="X1414" s="611">
        <v>869</v>
      </c>
      <c r="Y1414" s="611"/>
      <c r="Z1414" s="611"/>
      <c r="AA1414" s="611"/>
      <c r="AB1414" s="611"/>
      <c r="AC1414" s="611"/>
      <c r="AD1414" s="611"/>
      <c r="AE1414" s="611"/>
      <c r="AF1414" s="611"/>
      <c r="AG1414" s="611"/>
    </row>
    <row r="1415" spans="1:33" s="56" customFormat="1" ht="15" hidden="1" customHeight="1" outlineLevel="1" x14ac:dyDescent="0.25">
      <c r="A1415" s="724"/>
      <c r="B1415" s="130"/>
      <c r="C1415" s="616"/>
      <c r="D1415" s="2101"/>
      <c r="E1415" s="2104"/>
      <c r="F1415" s="2110" t="str">
        <f>$E$806</f>
        <v>ASHP SEER 15 MF ER Replace ASHP: HVAC ER2</v>
      </c>
      <c r="G1415" s="2111"/>
      <c r="H1415" s="2111"/>
      <c r="I1415" s="2112"/>
      <c r="J1415" s="709" t="s">
        <v>1166</v>
      </c>
      <c r="K1415" s="730">
        <v>869</v>
      </c>
      <c r="L1415" s="670"/>
      <c r="M1415" s="613" t="s">
        <v>972</v>
      </c>
      <c r="N1415" s="130"/>
      <c r="O1415" s="251"/>
      <c r="P1415" s="766"/>
      <c r="Q1415" s="766"/>
      <c r="R1415" s="766"/>
      <c r="S1415" s="752"/>
      <c r="T1415" s="760"/>
      <c r="U1415" s="130"/>
      <c r="V1415" s="2107"/>
      <c r="W1415" s="611">
        <v>869</v>
      </c>
      <c r="X1415" s="611">
        <v>869</v>
      </c>
      <c r="Y1415" s="611"/>
      <c r="Z1415" s="611"/>
      <c r="AA1415" s="611"/>
      <c r="AB1415" s="611"/>
      <c r="AC1415" s="611"/>
      <c r="AD1415" s="611"/>
      <c r="AE1415" s="611"/>
      <c r="AF1415" s="611"/>
      <c r="AG1415" s="611"/>
    </row>
    <row r="1416" spans="1:33" s="56" customFormat="1" ht="15" hidden="1" customHeight="1" outlineLevel="1" x14ac:dyDescent="0.25">
      <c r="A1416" s="724"/>
      <c r="B1416" s="130"/>
      <c r="C1416" s="616"/>
      <c r="D1416" s="2101"/>
      <c r="E1416" s="2104"/>
      <c r="F1416" s="2110" t="str">
        <f>$E$808</f>
        <v>ASHP SEER 15 MF ER Replace Elec Resist Furnace: HVAC ER1</v>
      </c>
      <c r="G1416" s="2111"/>
      <c r="H1416" s="2111"/>
      <c r="I1416" s="2112"/>
      <c r="J1416" s="709">
        <v>1266</v>
      </c>
      <c r="K1416" s="730">
        <v>869</v>
      </c>
      <c r="L1416" s="670"/>
      <c r="M1416" s="613" t="s">
        <v>972</v>
      </c>
      <c r="N1416" s="130"/>
      <c r="O1416" s="251"/>
      <c r="P1416" s="766"/>
      <c r="Q1416" s="766"/>
      <c r="R1416" s="766"/>
      <c r="S1416" s="752"/>
      <c r="T1416" s="760"/>
      <c r="U1416" s="130"/>
      <c r="V1416" s="2107"/>
      <c r="W1416" s="611">
        <v>869</v>
      </c>
      <c r="X1416" s="611">
        <v>869</v>
      </c>
      <c r="Y1416" s="611"/>
      <c r="Z1416" s="611"/>
      <c r="AA1416" s="611"/>
      <c r="AB1416" s="611"/>
      <c r="AC1416" s="611"/>
      <c r="AD1416" s="611"/>
      <c r="AE1416" s="611"/>
      <c r="AF1416" s="611"/>
      <c r="AG1416" s="611"/>
    </row>
    <row r="1417" spans="1:33" s="56" customFormat="1" ht="15" hidden="1" customHeight="1" outlineLevel="1" x14ac:dyDescent="0.25">
      <c r="A1417" s="724"/>
      <c r="B1417" s="130"/>
      <c r="C1417" s="616"/>
      <c r="D1417" s="2101"/>
      <c r="E1417" s="2104"/>
      <c r="F1417" s="2110" t="str">
        <f>$E$810</f>
        <v>ASHP SEER 15 MF ER Replace Elec Resist Furnace: HVAC ER2</v>
      </c>
      <c r="G1417" s="2111"/>
      <c r="H1417" s="2111"/>
      <c r="I1417" s="2112"/>
      <c r="J1417" s="709" t="s">
        <v>1168</v>
      </c>
      <c r="K1417" s="730">
        <v>869</v>
      </c>
      <c r="L1417" s="670"/>
      <c r="M1417" s="613" t="s">
        <v>972</v>
      </c>
      <c r="N1417" s="130"/>
      <c r="O1417" s="251"/>
      <c r="P1417" s="766"/>
      <c r="Q1417" s="766"/>
      <c r="R1417" s="766"/>
      <c r="S1417" s="752"/>
      <c r="T1417" s="760"/>
      <c r="U1417" s="130"/>
      <c r="V1417" s="2107"/>
      <c r="W1417" s="611">
        <v>869</v>
      </c>
      <c r="X1417" s="611">
        <v>869</v>
      </c>
      <c r="Y1417" s="611"/>
      <c r="Z1417" s="611"/>
      <c r="AA1417" s="611"/>
      <c r="AB1417" s="611"/>
      <c r="AC1417" s="611"/>
      <c r="AD1417" s="611"/>
      <c r="AE1417" s="611"/>
      <c r="AF1417" s="611"/>
      <c r="AG1417" s="611"/>
    </row>
    <row r="1418" spans="1:33" s="56" customFormat="1" ht="15" hidden="1" customHeight="1" outlineLevel="1" x14ac:dyDescent="0.25">
      <c r="A1418" s="724"/>
      <c r="B1418" s="130"/>
      <c r="C1418" s="616"/>
      <c r="D1418" s="2101"/>
      <c r="E1418" s="2104"/>
      <c r="F1418" s="2110" t="str">
        <f>$E$812</f>
        <v>ASHP SEER 15 MF Replace at Fail Elec Resist Furnace: HVAC</v>
      </c>
      <c r="G1418" s="2111"/>
      <c r="H1418" s="2111"/>
      <c r="I1418" s="2112"/>
      <c r="J1418" s="709">
        <v>1268</v>
      </c>
      <c r="K1418" s="730">
        <v>869</v>
      </c>
      <c r="L1418" s="670"/>
      <c r="M1418" s="613" t="s">
        <v>972</v>
      </c>
      <c r="N1418" s="130"/>
      <c r="O1418" s="251"/>
      <c r="P1418" s="766"/>
      <c r="Q1418" s="766"/>
      <c r="R1418" s="766"/>
      <c r="S1418" s="752"/>
      <c r="T1418" s="760"/>
      <c r="U1418" s="130"/>
      <c r="V1418" s="2107"/>
      <c r="W1418" s="611">
        <v>869</v>
      </c>
      <c r="X1418" s="611">
        <v>869</v>
      </c>
      <c r="Y1418" s="611"/>
      <c r="Z1418" s="611"/>
      <c r="AA1418" s="611"/>
      <c r="AB1418" s="611"/>
      <c r="AC1418" s="611"/>
      <c r="AD1418" s="611"/>
      <c r="AE1418" s="611"/>
      <c r="AF1418" s="611"/>
      <c r="AG1418" s="611"/>
    </row>
    <row r="1419" spans="1:33" s="56" customFormat="1" ht="15" hidden="1" customHeight="1" outlineLevel="1" x14ac:dyDescent="0.25">
      <c r="A1419" s="724"/>
      <c r="B1419" s="130"/>
      <c r="C1419" s="616"/>
      <c r="D1419" s="2101"/>
      <c r="E1419" s="2104"/>
      <c r="F1419" s="2110" t="str">
        <f>$E$814</f>
        <v>ASHP SEER 16 MF ER Replace ASHP: HVAC ER1</v>
      </c>
      <c r="G1419" s="2111"/>
      <c r="H1419" s="2111"/>
      <c r="I1419" s="2112"/>
      <c r="J1419" s="709">
        <v>1240</v>
      </c>
      <c r="K1419" s="730">
        <v>869</v>
      </c>
      <c r="L1419" s="670"/>
      <c r="M1419" s="613" t="s">
        <v>972</v>
      </c>
      <c r="N1419" s="130"/>
      <c r="O1419" s="251"/>
      <c r="P1419" s="766"/>
      <c r="Q1419" s="766"/>
      <c r="R1419" s="766"/>
      <c r="S1419" s="752"/>
      <c r="T1419" s="760"/>
      <c r="U1419" s="130"/>
      <c r="V1419" s="2107"/>
      <c r="W1419" s="611">
        <v>869</v>
      </c>
      <c r="X1419" s="611">
        <v>869</v>
      </c>
      <c r="Y1419" s="611"/>
      <c r="Z1419" s="611"/>
      <c r="AA1419" s="611"/>
      <c r="AB1419" s="611"/>
      <c r="AC1419" s="611"/>
      <c r="AD1419" s="611"/>
      <c r="AE1419" s="611"/>
      <c r="AF1419" s="611"/>
      <c r="AG1419" s="611"/>
    </row>
    <row r="1420" spans="1:33" s="56" customFormat="1" ht="15" hidden="1" customHeight="1" outlineLevel="1" x14ac:dyDescent="0.25">
      <c r="A1420" s="724"/>
      <c r="B1420" s="130"/>
      <c r="C1420" s="616"/>
      <c r="D1420" s="2101"/>
      <c r="E1420" s="2104"/>
      <c r="F1420" s="2110" t="str">
        <f>$E$816</f>
        <v>ASHP SEER 16 MF ER Replace ASHP: HVAC ER2</v>
      </c>
      <c r="G1420" s="2111"/>
      <c r="H1420" s="2111"/>
      <c r="I1420" s="2112"/>
      <c r="J1420" s="709" t="s">
        <v>1170</v>
      </c>
      <c r="K1420" s="730">
        <v>869</v>
      </c>
      <c r="L1420" s="670"/>
      <c r="M1420" s="613" t="s">
        <v>972</v>
      </c>
      <c r="N1420" s="130"/>
      <c r="O1420" s="251"/>
      <c r="P1420" s="766"/>
      <c r="Q1420" s="766"/>
      <c r="R1420" s="766"/>
      <c r="S1420" s="752"/>
      <c r="T1420" s="760"/>
      <c r="U1420" s="130"/>
      <c r="V1420" s="2107"/>
      <c r="W1420" s="611">
        <v>869</v>
      </c>
      <c r="X1420" s="611">
        <v>869</v>
      </c>
      <c r="Y1420" s="611"/>
      <c r="Z1420" s="611"/>
      <c r="AA1420" s="611"/>
      <c r="AB1420" s="611"/>
      <c r="AC1420" s="611"/>
      <c r="AD1420" s="611"/>
      <c r="AE1420" s="611"/>
      <c r="AF1420" s="611"/>
      <c r="AG1420" s="611"/>
    </row>
    <row r="1421" spans="1:33" s="56" customFormat="1" ht="15" hidden="1" customHeight="1" outlineLevel="1" x14ac:dyDescent="0.25">
      <c r="A1421" s="724"/>
      <c r="B1421" s="130"/>
      <c r="C1421" s="616"/>
      <c r="D1421" s="2101"/>
      <c r="E1421" s="2104"/>
      <c r="F1421" s="2110" t="str">
        <f>$E$818</f>
        <v>ASHP - SEER 16 - replace on fail MF</v>
      </c>
      <c r="G1421" s="2111"/>
      <c r="H1421" s="2111"/>
      <c r="I1421" s="2112"/>
      <c r="J1421" s="709">
        <v>1270</v>
      </c>
      <c r="K1421" s="730">
        <v>869</v>
      </c>
      <c r="L1421" s="670"/>
      <c r="M1421" s="613" t="s">
        <v>972</v>
      </c>
      <c r="N1421" s="130"/>
      <c r="O1421" s="251"/>
      <c r="P1421" s="766"/>
      <c r="Q1421" s="766"/>
      <c r="R1421" s="766"/>
      <c r="S1421" s="752"/>
      <c r="T1421" s="760"/>
      <c r="U1421" s="130"/>
      <c r="V1421" s="2107"/>
      <c r="W1421" s="611">
        <v>869</v>
      </c>
      <c r="X1421" s="611">
        <v>869</v>
      </c>
      <c r="Y1421" s="611"/>
      <c r="Z1421" s="611"/>
      <c r="AA1421" s="611"/>
      <c r="AB1421" s="611"/>
      <c r="AC1421" s="611"/>
      <c r="AD1421" s="611"/>
      <c r="AE1421" s="611"/>
      <c r="AF1421" s="611"/>
      <c r="AG1421" s="611"/>
    </row>
    <row r="1422" spans="1:33" s="56" customFormat="1" ht="15" hidden="1" customHeight="1" outlineLevel="1" x14ac:dyDescent="0.25">
      <c r="A1422" s="724"/>
      <c r="B1422" s="130"/>
      <c r="C1422" s="616"/>
      <c r="D1422" s="2101"/>
      <c r="E1422" s="2104"/>
      <c r="F1422" s="2110" t="str">
        <f>$E$820</f>
        <v>ASHP - SEER 16 - replace electric furnace / CAC MF</v>
      </c>
      <c r="G1422" s="2111"/>
      <c r="H1422" s="2111"/>
      <c r="I1422" s="2112"/>
      <c r="J1422" s="709">
        <v>1271</v>
      </c>
      <c r="K1422" s="730">
        <v>869</v>
      </c>
      <c r="L1422" s="670"/>
      <c r="M1422" s="613" t="s">
        <v>972</v>
      </c>
      <c r="N1422" s="130"/>
      <c r="O1422" s="251"/>
      <c r="P1422" s="766"/>
      <c r="Q1422" s="766"/>
      <c r="R1422" s="766"/>
      <c r="S1422" s="752"/>
      <c r="T1422" s="760"/>
      <c r="U1422" s="130"/>
      <c r="V1422" s="2107"/>
      <c r="W1422" s="611">
        <v>869</v>
      </c>
      <c r="X1422" s="611">
        <v>869</v>
      </c>
      <c r="Y1422" s="611"/>
      <c r="Z1422" s="611"/>
      <c r="AA1422" s="611"/>
      <c r="AB1422" s="611"/>
      <c r="AC1422" s="611"/>
      <c r="AD1422" s="611"/>
      <c r="AE1422" s="611"/>
      <c r="AF1422" s="611"/>
      <c r="AG1422" s="611"/>
    </row>
    <row r="1423" spans="1:33" s="56" customFormat="1" ht="15" hidden="1" customHeight="1" outlineLevel="1" x14ac:dyDescent="0.25">
      <c r="A1423" s="724"/>
      <c r="B1423" s="130"/>
      <c r="C1423" s="616"/>
      <c r="D1423" s="2101"/>
      <c r="E1423" s="2104"/>
      <c r="F1423" s="2110" t="str">
        <f>$E$822</f>
        <v>ASHP - SEER 16 - replace electric furnace / CAC - early replacement MF ER1</v>
      </c>
      <c r="G1423" s="2111"/>
      <c r="H1423" s="2111"/>
      <c r="I1423" s="2112"/>
      <c r="J1423" s="709">
        <v>1269</v>
      </c>
      <c r="K1423" s="730">
        <v>869</v>
      </c>
      <c r="L1423" s="670"/>
      <c r="M1423" s="613" t="s">
        <v>972</v>
      </c>
      <c r="N1423" s="130"/>
      <c r="O1423" s="251"/>
      <c r="P1423" s="766"/>
      <c r="Q1423" s="766"/>
      <c r="R1423" s="766"/>
      <c r="S1423" s="752"/>
      <c r="T1423" s="760"/>
      <c r="U1423" s="130"/>
      <c r="V1423" s="2107"/>
      <c r="W1423" s="611">
        <v>869</v>
      </c>
      <c r="X1423" s="611">
        <v>869</v>
      </c>
      <c r="Y1423" s="611"/>
      <c r="Z1423" s="611"/>
      <c r="AA1423" s="611"/>
      <c r="AB1423" s="611"/>
      <c r="AC1423" s="611"/>
      <c r="AD1423" s="611"/>
      <c r="AE1423" s="611"/>
      <c r="AF1423" s="611"/>
      <c r="AG1423" s="611"/>
    </row>
    <row r="1424" spans="1:33" s="56" customFormat="1" ht="15" hidden="1" customHeight="1" outlineLevel="1" x14ac:dyDescent="0.25">
      <c r="A1424" s="724"/>
      <c r="B1424" s="130"/>
      <c r="C1424" s="616"/>
      <c r="D1424" s="2101"/>
      <c r="E1424" s="2104"/>
      <c r="F1424" s="2110" t="str">
        <f>$E$824</f>
        <v>ASHP - SEER 16 - replace electric furnace / CAC - early replacement MF ER2</v>
      </c>
      <c r="G1424" s="2111"/>
      <c r="H1424" s="2111"/>
      <c r="I1424" s="2112"/>
      <c r="J1424" s="709" t="s">
        <v>1171</v>
      </c>
      <c r="K1424" s="730">
        <v>869</v>
      </c>
      <c r="L1424" s="670"/>
      <c r="M1424" s="613" t="s">
        <v>972</v>
      </c>
      <c r="N1424" s="130"/>
      <c r="O1424" s="251"/>
      <c r="P1424" s="766"/>
      <c r="Q1424" s="766"/>
      <c r="R1424" s="766"/>
      <c r="S1424" s="752"/>
      <c r="T1424" s="760"/>
      <c r="U1424" s="130"/>
      <c r="V1424" s="2107"/>
      <c r="W1424" s="611">
        <v>869</v>
      </c>
      <c r="X1424" s="611">
        <v>869</v>
      </c>
      <c r="Y1424" s="611"/>
      <c r="Z1424" s="611"/>
      <c r="AA1424" s="611"/>
      <c r="AB1424" s="611"/>
      <c r="AC1424" s="611"/>
      <c r="AD1424" s="611"/>
      <c r="AE1424" s="611"/>
      <c r="AF1424" s="611"/>
      <c r="AG1424" s="611"/>
    </row>
    <row r="1425" spans="1:33" s="56" customFormat="1" ht="15" hidden="1" customHeight="1" outlineLevel="1" x14ac:dyDescent="0.25">
      <c r="A1425" s="724"/>
      <c r="B1425" s="130"/>
      <c r="C1425" s="616"/>
      <c r="D1425" s="2101"/>
      <c r="E1425" s="2104"/>
      <c r="F1425" s="2110" t="str">
        <f>$E$826</f>
        <v>ASHP SEER 15 MF Replace at Fail ASHP: HVAC</v>
      </c>
      <c r="G1425" s="2111"/>
      <c r="H1425" s="2111"/>
      <c r="I1425" s="2112"/>
      <c r="J1425" s="709">
        <v>1267</v>
      </c>
      <c r="K1425" s="730">
        <v>869</v>
      </c>
      <c r="L1425" s="670"/>
      <c r="M1425" s="613" t="s">
        <v>972</v>
      </c>
      <c r="N1425" s="130"/>
      <c r="O1425" s="251"/>
      <c r="P1425" s="766"/>
      <c r="Q1425" s="766"/>
      <c r="R1425" s="766"/>
      <c r="S1425" s="752"/>
      <c r="T1425" s="760"/>
      <c r="U1425" s="130"/>
      <c r="V1425" s="2107"/>
      <c r="W1425" s="611">
        <v>869</v>
      </c>
      <c r="X1425" s="611">
        <v>869</v>
      </c>
      <c r="Y1425" s="611"/>
      <c r="Z1425" s="611"/>
      <c r="AA1425" s="611"/>
      <c r="AB1425" s="611"/>
      <c r="AC1425" s="611"/>
      <c r="AD1425" s="611"/>
      <c r="AE1425" s="611"/>
      <c r="AF1425" s="611"/>
      <c r="AG1425" s="611"/>
    </row>
    <row r="1426" spans="1:33" s="56" customFormat="1" ht="15" hidden="1" customHeight="1" outlineLevel="1" x14ac:dyDescent="0.25">
      <c r="A1426" s="724"/>
      <c r="B1426" s="130"/>
      <c r="C1426" s="616"/>
      <c r="D1426" s="2101"/>
      <c r="E1426" s="2104"/>
      <c r="F1426" s="2110" t="str">
        <f>$E$828</f>
        <v>ASHP - SEER 17 - replace electric furnace / CAC SF</v>
      </c>
      <c r="G1426" s="2111"/>
      <c r="H1426" s="2111"/>
      <c r="I1426" s="2112"/>
      <c r="J1426" s="709" t="s">
        <v>1172</v>
      </c>
      <c r="K1426" s="730">
        <v>869</v>
      </c>
      <c r="L1426" s="670"/>
      <c r="M1426" s="613" t="s">
        <v>972</v>
      </c>
      <c r="N1426" s="130"/>
      <c r="O1426" s="251"/>
      <c r="P1426" s="766"/>
      <c r="Q1426" s="766"/>
      <c r="R1426" s="766"/>
      <c r="S1426" s="752"/>
      <c r="T1426" s="760"/>
      <c r="U1426" s="130"/>
      <c r="V1426" s="2107"/>
      <c r="W1426" s="611">
        <v>869</v>
      </c>
      <c r="X1426" s="611">
        <v>869</v>
      </c>
      <c r="Y1426" s="611"/>
      <c r="Z1426" s="611"/>
      <c r="AA1426" s="611"/>
      <c r="AB1426" s="611"/>
      <c r="AC1426" s="611"/>
      <c r="AD1426" s="611"/>
      <c r="AE1426" s="611"/>
      <c r="AF1426" s="611"/>
      <c r="AG1426" s="611"/>
    </row>
    <row r="1427" spans="1:33" s="56" customFormat="1" ht="15" hidden="1" customHeight="1" outlineLevel="1" x14ac:dyDescent="0.25">
      <c r="A1427" s="724"/>
      <c r="B1427" s="130"/>
      <c r="C1427" s="616"/>
      <c r="D1427" s="2101"/>
      <c r="E1427" s="2104"/>
      <c r="F1427" s="2110" t="str">
        <f>$E$830</f>
        <v>ASHP - SEER 17 - replace electric furnace / CAC MF</v>
      </c>
      <c r="G1427" s="2111"/>
      <c r="H1427" s="2111"/>
      <c r="I1427" s="2112"/>
      <c r="J1427" s="709" t="s">
        <v>1174</v>
      </c>
      <c r="K1427" s="730">
        <v>869</v>
      </c>
      <c r="L1427" s="670"/>
      <c r="M1427" s="613" t="s">
        <v>972</v>
      </c>
      <c r="N1427" s="130"/>
      <c r="O1427" s="251"/>
      <c r="P1427" s="766"/>
      <c r="Q1427" s="766"/>
      <c r="R1427" s="766"/>
      <c r="S1427" s="752"/>
      <c r="T1427" s="760"/>
      <c r="U1427" s="130"/>
      <c r="V1427" s="2107"/>
      <c r="W1427" s="611">
        <v>869</v>
      </c>
      <c r="X1427" s="611">
        <v>869</v>
      </c>
      <c r="Y1427" s="611"/>
      <c r="Z1427" s="611"/>
      <c r="AA1427" s="611"/>
      <c r="AB1427" s="611"/>
      <c r="AC1427" s="611"/>
      <c r="AD1427" s="611"/>
      <c r="AE1427" s="611"/>
      <c r="AF1427" s="611"/>
      <c r="AG1427" s="611"/>
    </row>
    <row r="1428" spans="1:33" s="56" customFormat="1" ht="15" hidden="1" customHeight="1" outlineLevel="1" x14ac:dyDescent="0.25">
      <c r="A1428" s="724"/>
      <c r="B1428" s="130"/>
      <c r="C1428" s="616"/>
      <c r="D1428" s="2101"/>
      <c r="E1428" s="2104"/>
      <c r="F1428" s="2110" t="str">
        <f>$E$832</f>
        <v>ASHP - SEER 18 - replace electric furnace / CAC SF</v>
      </c>
      <c r="G1428" s="2111"/>
      <c r="H1428" s="2111"/>
      <c r="I1428" s="2112"/>
      <c r="J1428" s="709" t="s">
        <v>1175</v>
      </c>
      <c r="K1428" s="730">
        <v>869</v>
      </c>
      <c r="L1428" s="670"/>
      <c r="M1428" s="613" t="s">
        <v>972</v>
      </c>
      <c r="N1428" s="130"/>
      <c r="O1428" s="251"/>
      <c r="P1428" s="766"/>
      <c r="Q1428" s="766"/>
      <c r="R1428" s="766"/>
      <c r="S1428" s="752"/>
      <c r="T1428" s="760"/>
      <c r="U1428" s="130"/>
      <c r="V1428" s="2107"/>
      <c r="W1428" s="611">
        <v>869</v>
      </c>
      <c r="X1428" s="611">
        <v>869</v>
      </c>
      <c r="Y1428" s="611"/>
      <c r="Z1428" s="611"/>
      <c r="AA1428" s="611"/>
      <c r="AB1428" s="611"/>
      <c r="AC1428" s="611"/>
      <c r="AD1428" s="611"/>
      <c r="AE1428" s="611"/>
      <c r="AF1428" s="611"/>
      <c r="AG1428" s="611"/>
    </row>
    <row r="1429" spans="1:33" s="56" customFormat="1" ht="15" hidden="1" customHeight="1" outlineLevel="1" x14ac:dyDescent="0.25">
      <c r="A1429" s="724"/>
      <c r="B1429" s="130"/>
      <c r="C1429" s="616"/>
      <c r="D1429" s="2101"/>
      <c r="E1429" s="2104"/>
      <c r="F1429" s="2110" t="str">
        <f>$E$834</f>
        <v>ASHP - SEER 18 - replace electric furnace / CAC MF</v>
      </c>
      <c r="G1429" s="2111"/>
      <c r="H1429" s="2111"/>
      <c r="I1429" s="2112"/>
      <c r="J1429" s="709" t="s">
        <v>1176</v>
      </c>
      <c r="K1429" s="730">
        <v>869</v>
      </c>
      <c r="L1429" s="670"/>
      <c r="M1429" s="613" t="s">
        <v>972</v>
      </c>
      <c r="N1429" s="130"/>
      <c r="O1429" s="251"/>
      <c r="P1429" s="766"/>
      <c r="Q1429" s="766"/>
      <c r="R1429" s="766"/>
      <c r="S1429" s="752"/>
      <c r="T1429" s="760"/>
      <c r="U1429" s="130"/>
      <c r="V1429" s="2107"/>
      <c r="W1429" s="611">
        <v>869</v>
      </c>
      <c r="X1429" s="611">
        <v>869</v>
      </c>
      <c r="Y1429" s="611"/>
      <c r="Z1429" s="611"/>
      <c r="AA1429" s="611"/>
      <c r="AB1429" s="611"/>
      <c r="AC1429" s="611"/>
      <c r="AD1429" s="611"/>
      <c r="AE1429" s="611"/>
      <c r="AF1429" s="611"/>
      <c r="AG1429" s="611"/>
    </row>
    <row r="1430" spans="1:33" s="56" customFormat="1" ht="15" hidden="1" customHeight="1" outlineLevel="1" x14ac:dyDescent="0.25">
      <c r="A1430" s="724"/>
      <c r="B1430" s="130"/>
      <c r="C1430" s="616"/>
      <c r="D1430" s="2101"/>
      <c r="E1430" s="2104"/>
      <c r="F1430" s="2110" t="str">
        <f>$E$836</f>
        <v>ASHP - SEER 19 - replace electric furnace / CAC SF</v>
      </c>
      <c r="G1430" s="2111"/>
      <c r="H1430" s="2111"/>
      <c r="I1430" s="2112"/>
      <c r="J1430" s="709" t="s">
        <v>1177</v>
      </c>
      <c r="K1430" s="730">
        <v>869</v>
      </c>
      <c r="L1430" s="670"/>
      <c r="M1430" s="613" t="s">
        <v>972</v>
      </c>
      <c r="N1430" s="130"/>
      <c r="O1430" s="251"/>
      <c r="P1430" s="766"/>
      <c r="Q1430" s="766"/>
      <c r="R1430" s="766"/>
      <c r="S1430" s="752"/>
      <c r="T1430" s="760"/>
      <c r="U1430" s="130"/>
      <c r="V1430" s="2107"/>
      <c r="W1430" s="611">
        <v>869</v>
      </c>
      <c r="X1430" s="611">
        <v>869</v>
      </c>
      <c r="Y1430" s="611"/>
      <c r="Z1430" s="611"/>
      <c r="AA1430" s="611"/>
      <c r="AB1430" s="611"/>
      <c r="AC1430" s="611"/>
      <c r="AD1430" s="611"/>
      <c r="AE1430" s="611"/>
      <c r="AF1430" s="611"/>
      <c r="AG1430" s="611"/>
    </row>
    <row r="1431" spans="1:33" s="56" customFormat="1" ht="15" hidden="1" customHeight="1" outlineLevel="1" x14ac:dyDescent="0.25">
      <c r="A1431" s="724"/>
      <c r="B1431" s="130"/>
      <c r="C1431" s="616"/>
      <c r="D1431" s="2101"/>
      <c r="E1431" s="2104"/>
      <c r="F1431" s="2110" t="str">
        <f>$E$838</f>
        <v>ASHP - SEER 19 - replace electric furnace / CAC MF</v>
      </c>
      <c r="G1431" s="2111"/>
      <c r="H1431" s="2111"/>
      <c r="I1431" s="2112"/>
      <c r="J1431" s="709" t="s">
        <v>1178</v>
      </c>
      <c r="K1431" s="730">
        <v>869</v>
      </c>
      <c r="L1431" s="670"/>
      <c r="M1431" s="613" t="s">
        <v>972</v>
      </c>
      <c r="N1431" s="130"/>
      <c r="O1431" s="251"/>
      <c r="P1431" s="766"/>
      <c r="Q1431" s="766"/>
      <c r="R1431" s="766"/>
      <c r="S1431" s="752"/>
      <c r="T1431" s="760"/>
      <c r="U1431" s="130"/>
      <c r="V1431" s="2107"/>
      <c r="W1431" s="611">
        <v>869</v>
      </c>
      <c r="X1431" s="611">
        <v>869</v>
      </c>
      <c r="Y1431" s="611"/>
      <c r="Z1431" s="611"/>
      <c r="AA1431" s="611"/>
      <c r="AB1431" s="611"/>
      <c r="AC1431" s="611"/>
      <c r="AD1431" s="611"/>
      <c r="AE1431" s="611"/>
      <c r="AF1431" s="611"/>
      <c r="AG1431" s="611"/>
    </row>
    <row r="1432" spans="1:33" s="56" customFormat="1" ht="15" hidden="1" customHeight="1" outlineLevel="1" x14ac:dyDescent="0.25">
      <c r="A1432" s="724"/>
      <c r="B1432" s="130"/>
      <c r="C1432" s="616"/>
      <c r="D1432" s="2101"/>
      <c r="E1432" s="2104"/>
      <c r="F1432" s="2110" t="str">
        <f>$E$840</f>
        <v>ASHP - SEER 20 - replace electric furnace / CAC - early replacement SF ER1</v>
      </c>
      <c r="G1432" s="2111"/>
      <c r="H1432" s="2111"/>
      <c r="I1432" s="2112"/>
      <c r="J1432" s="709" t="s">
        <v>1179</v>
      </c>
      <c r="K1432" s="730">
        <v>869</v>
      </c>
      <c r="L1432" s="670"/>
      <c r="M1432" s="613" t="s">
        <v>972</v>
      </c>
      <c r="N1432" s="130"/>
      <c r="O1432" s="251"/>
      <c r="P1432" s="766"/>
      <c r="Q1432" s="766"/>
      <c r="R1432" s="766"/>
      <c r="S1432" s="752"/>
      <c r="T1432" s="760"/>
      <c r="U1432" s="130"/>
      <c r="V1432" s="2107"/>
      <c r="W1432" s="611">
        <v>869</v>
      </c>
      <c r="X1432" s="611">
        <v>869</v>
      </c>
      <c r="Y1432" s="611"/>
      <c r="Z1432" s="611"/>
      <c r="AA1432" s="611"/>
      <c r="AB1432" s="611"/>
      <c r="AC1432" s="611"/>
      <c r="AD1432" s="611"/>
      <c r="AE1432" s="611"/>
      <c r="AF1432" s="611"/>
      <c r="AG1432" s="611"/>
    </row>
    <row r="1433" spans="1:33" s="56" customFormat="1" ht="15" hidden="1" customHeight="1" outlineLevel="1" x14ac:dyDescent="0.25">
      <c r="A1433" s="724"/>
      <c r="B1433" s="130"/>
      <c r="C1433" s="616"/>
      <c r="D1433" s="2101"/>
      <c r="E1433" s="2104"/>
      <c r="F1433" s="2110" t="str">
        <f>$E$842</f>
        <v>ASHP - SEER 20 - replace electric furnace / CAC - early replacement SF ER2</v>
      </c>
      <c r="G1433" s="2111"/>
      <c r="H1433" s="2111"/>
      <c r="I1433" s="2112"/>
      <c r="J1433" s="709" t="s">
        <v>1180</v>
      </c>
      <c r="K1433" s="730">
        <v>869</v>
      </c>
      <c r="L1433" s="670"/>
      <c r="M1433" s="613" t="s">
        <v>972</v>
      </c>
      <c r="N1433" s="130"/>
      <c r="O1433" s="251"/>
      <c r="P1433" s="766"/>
      <c r="Q1433" s="766"/>
      <c r="R1433" s="766"/>
      <c r="S1433" s="752"/>
      <c r="T1433" s="760"/>
      <c r="U1433" s="130"/>
      <c r="V1433" s="2107"/>
      <c r="W1433" s="611">
        <v>869</v>
      </c>
      <c r="X1433" s="611">
        <v>869</v>
      </c>
      <c r="Y1433" s="611"/>
      <c r="Z1433" s="611"/>
      <c r="AA1433" s="611"/>
      <c r="AB1433" s="611"/>
      <c r="AC1433" s="611"/>
      <c r="AD1433" s="611"/>
      <c r="AE1433" s="611"/>
      <c r="AF1433" s="611"/>
      <c r="AG1433" s="611"/>
    </row>
    <row r="1434" spans="1:33" s="56" customFormat="1" ht="15" hidden="1" customHeight="1" outlineLevel="1" x14ac:dyDescent="0.25">
      <c r="A1434" s="724"/>
      <c r="B1434" s="130"/>
      <c r="C1434" s="616"/>
      <c r="D1434" s="2101"/>
      <c r="E1434" s="2104"/>
      <c r="F1434" s="2110" t="str">
        <f>$E$844</f>
        <v>ASHP - SEER 20 - replace electric furnace / CAC SF</v>
      </c>
      <c r="G1434" s="2111"/>
      <c r="H1434" s="2111"/>
      <c r="I1434" s="2112"/>
      <c r="J1434" s="709" t="s">
        <v>1181</v>
      </c>
      <c r="K1434" s="730">
        <v>869</v>
      </c>
      <c r="L1434" s="670"/>
      <c r="M1434" s="613" t="s">
        <v>972</v>
      </c>
      <c r="N1434" s="130"/>
      <c r="O1434" s="251"/>
      <c r="P1434" s="766"/>
      <c r="Q1434" s="766"/>
      <c r="R1434" s="766"/>
      <c r="S1434" s="752"/>
      <c r="T1434" s="760"/>
      <c r="U1434" s="130"/>
      <c r="V1434" s="2107"/>
      <c r="W1434" s="611">
        <v>869</v>
      </c>
      <c r="X1434" s="611">
        <v>869</v>
      </c>
      <c r="Y1434" s="611"/>
      <c r="Z1434" s="611"/>
      <c r="AA1434" s="611"/>
      <c r="AB1434" s="611"/>
      <c r="AC1434" s="611"/>
      <c r="AD1434" s="611"/>
      <c r="AE1434" s="611"/>
      <c r="AF1434" s="611"/>
      <c r="AG1434" s="611"/>
    </row>
    <row r="1435" spans="1:33" s="56" customFormat="1" ht="15" hidden="1" customHeight="1" outlineLevel="1" x14ac:dyDescent="0.25">
      <c r="A1435" s="724"/>
      <c r="B1435" s="130"/>
      <c r="C1435" s="616"/>
      <c r="D1435" s="2101"/>
      <c r="E1435" s="2104"/>
      <c r="F1435" s="2110" t="str">
        <f>$E$846</f>
        <v>ASHP - SEER 20 - replace electric furnace / CAC MF</v>
      </c>
      <c r="G1435" s="2111"/>
      <c r="H1435" s="2111"/>
      <c r="I1435" s="2112"/>
      <c r="J1435" s="709" t="s">
        <v>1182</v>
      </c>
      <c r="K1435" s="730">
        <v>869</v>
      </c>
      <c r="L1435" s="670"/>
      <c r="M1435" s="613" t="s">
        <v>972</v>
      </c>
      <c r="N1435" s="130"/>
      <c r="O1435" s="251"/>
      <c r="P1435" s="766"/>
      <c r="Q1435" s="767"/>
      <c r="R1435" s="766"/>
      <c r="S1435" s="752"/>
      <c r="T1435" s="760"/>
      <c r="U1435" s="130"/>
      <c r="V1435" s="2107"/>
      <c r="W1435" s="611">
        <v>869</v>
      </c>
      <c r="X1435" s="611">
        <v>869</v>
      </c>
      <c r="Y1435" s="611"/>
      <c r="Z1435" s="611"/>
      <c r="AA1435" s="611"/>
      <c r="AB1435" s="611"/>
      <c r="AC1435" s="611"/>
      <c r="AD1435" s="611"/>
      <c r="AE1435" s="611"/>
      <c r="AF1435" s="611"/>
      <c r="AG1435" s="611"/>
    </row>
    <row r="1436" spans="1:33" s="56" customFormat="1" ht="15" hidden="1" customHeight="1" outlineLevel="1" x14ac:dyDescent="0.25">
      <c r="A1436" s="724"/>
      <c r="B1436" s="130"/>
      <c r="C1436" s="616"/>
      <c r="D1436" s="2101"/>
      <c r="E1436" s="2104"/>
      <c r="F1436" s="2110" t="str">
        <f>$E$848</f>
        <v>ASHP - SEER 21 - replace electric furnace / CAC - early replacement SF ER1</v>
      </c>
      <c r="G1436" s="2111"/>
      <c r="H1436" s="2111"/>
      <c r="I1436" s="2112"/>
      <c r="J1436" s="709" t="s">
        <v>1183</v>
      </c>
      <c r="K1436" s="730">
        <v>869</v>
      </c>
      <c r="L1436" s="670"/>
      <c r="M1436" s="613" t="s">
        <v>972</v>
      </c>
      <c r="N1436" s="130"/>
      <c r="O1436" s="251"/>
      <c r="P1436" s="766"/>
      <c r="Q1436" s="767"/>
      <c r="R1436" s="766"/>
      <c r="S1436" s="752"/>
      <c r="T1436" s="760"/>
      <c r="U1436" s="130"/>
      <c r="V1436" s="2107"/>
      <c r="W1436" s="611">
        <v>869</v>
      </c>
      <c r="X1436" s="611">
        <v>869</v>
      </c>
      <c r="Y1436" s="611"/>
      <c r="Z1436" s="611"/>
      <c r="AA1436" s="611"/>
      <c r="AB1436" s="611"/>
      <c r="AC1436" s="611"/>
      <c r="AD1436" s="611"/>
      <c r="AE1436" s="611"/>
      <c r="AF1436" s="611"/>
      <c r="AG1436" s="611"/>
    </row>
    <row r="1437" spans="1:33" s="56" customFormat="1" ht="15" hidden="1" customHeight="1" outlineLevel="1" x14ac:dyDescent="0.25">
      <c r="A1437" s="724"/>
      <c r="B1437" s="130"/>
      <c r="C1437" s="616"/>
      <c r="D1437" s="2101"/>
      <c r="E1437" s="2104"/>
      <c r="F1437" s="2110" t="str">
        <f>$E$850</f>
        <v>ASHP - SEER 21 - replace electric furnace / CAC - early replacement SF ER2</v>
      </c>
      <c r="G1437" s="2111"/>
      <c r="H1437" s="2111"/>
      <c r="I1437" s="2112"/>
      <c r="J1437" s="709" t="s">
        <v>1184</v>
      </c>
      <c r="K1437" s="730">
        <v>869</v>
      </c>
      <c r="L1437" s="670"/>
      <c r="M1437" s="613" t="s">
        <v>972</v>
      </c>
      <c r="N1437" s="130"/>
      <c r="O1437" s="251"/>
      <c r="P1437" s="766"/>
      <c r="Q1437" s="767"/>
      <c r="R1437" s="766"/>
      <c r="S1437" s="752"/>
      <c r="T1437" s="760"/>
      <c r="U1437" s="130"/>
      <c r="V1437" s="2107"/>
      <c r="W1437" s="611">
        <v>869</v>
      </c>
      <c r="X1437" s="611">
        <v>869</v>
      </c>
      <c r="Y1437" s="611"/>
      <c r="Z1437" s="611"/>
      <c r="AA1437" s="611"/>
      <c r="AB1437" s="611"/>
      <c r="AC1437" s="611"/>
      <c r="AD1437" s="611"/>
      <c r="AE1437" s="611"/>
      <c r="AF1437" s="611"/>
      <c r="AG1437" s="611"/>
    </row>
    <row r="1438" spans="1:33" s="56" customFormat="1" ht="15" hidden="1" customHeight="1" outlineLevel="1" x14ac:dyDescent="0.25">
      <c r="A1438" s="724"/>
      <c r="B1438" s="130"/>
      <c r="C1438" s="616"/>
      <c r="D1438" s="2101"/>
      <c r="E1438" s="2104"/>
      <c r="F1438" s="2110" t="str">
        <f>$E$852</f>
        <v>ASHP - SEER 21 - replace electric furnace / CAC - early replacement MF ER1</v>
      </c>
      <c r="G1438" s="2111"/>
      <c r="H1438" s="2111"/>
      <c r="I1438" s="2112"/>
      <c r="J1438" s="709" t="s">
        <v>1185</v>
      </c>
      <c r="K1438" s="730">
        <v>869</v>
      </c>
      <c r="L1438" s="670"/>
      <c r="M1438" s="613" t="s">
        <v>972</v>
      </c>
      <c r="N1438" s="130"/>
      <c r="O1438" s="251"/>
      <c r="P1438" s="766"/>
      <c r="Q1438" s="767"/>
      <c r="R1438" s="766"/>
      <c r="S1438" s="752"/>
      <c r="T1438" s="760"/>
      <c r="U1438" s="130"/>
      <c r="V1438" s="2107"/>
      <c r="W1438" s="611">
        <v>869</v>
      </c>
      <c r="X1438" s="611">
        <v>869</v>
      </c>
      <c r="Y1438" s="611"/>
      <c r="Z1438" s="611"/>
      <c r="AA1438" s="611"/>
      <c r="AB1438" s="611"/>
      <c r="AC1438" s="611"/>
      <c r="AD1438" s="611"/>
      <c r="AE1438" s="611"/>
      <c r="AF1438" s="611"/>
      <c r="AG1438" s="611"/>
    </row>
    <row r="1439" spans="1:33" s="56" customFormat="1" ht="15" hidden="1" customHeight="1" outlineLevel="1" x14ac:dyDescent="0.25">
      <c r="A1439" s="724"/>
      <c r="B1439" s="130"/>
      <c r="C1439" s="616"/>
      <c r="D1439" s="2101"/>
      <c r="E1439" s="2104"/>
      <c r="F1439" s="2110" t="str">
        <f>$E$854</f>
        <v>ASHP - SEER 21 - replace electric furnace / CAC - early replacement MF ER2</v>
      </c>
      <c r="G1439" s="2111"/>
      <c r="H1439" s="2111"/>
      <c r="I1439" s="2112"/>
      <c r="J1439" s="709" t="s">
        <v>1186</v>
      </c>
      <c r="K1439" s="730">
        <v>869</v>
      </c>
      <c r="L1439" s="670"/>
      <c r="M1439" s="613" t="s">
        <v>972</v>
      </c>
      <c r="N1439" s="130"/>
      <c r="O1439" s="251"/>
      <c r="P1439" s="766"/>
      <c r="Q1439" s="767"/>
      <c r="R1439" s="766"/>
      <c r="S1439" s="752"/>
      <c r="T1439" s="760"/>
      <c r="U1439" s="130"/>
      <c r="V1439" s="2107"/>
      <c r="W1439" s="611">
        <v>869</v>
      </c>
      <c r="X1439" s="611">
        <v>869</v>
      </c>
      <c r="Y1439" s="611"/>
      <c r="Z1439" s="611"/>
      <c r="AA1439" s="611"/>
      <c r="AB1439" s="611"/>
      <c r="AC1439" s="611"/>
      <c r="AD1439" s="611"/>
      <c r="AE1439" s="611"/>
      <c r="AF1439" s="611"/>
      <c r="AG1439" s="611"/>
    </row>
    <row r="1440" spans="1:33" s="56" customFormat="1" ht="15" hidden="1" customHeight="1" outlineLevel="1" x14ac:dyDescent="0.25">
      <c r="A1440" s="724"/>
      <c r="B1440" s="130"/>
      <c r="C1440" s="616"/>
      <c r="D1440" s="2101"/>
      <c r="E1440" s="2104"/>
      <c r="F1440" s="2110" t="str">
        <f>$E$856</f>
        <v>ASHP - SEER 21 - replace electric furnace / CAC SF</v>
      </c>
      <c r="G1440" s="2111"/>
      <c r="H1440" s="2111"/>
      <c r="I1440" s="2112"/>
      <c r="J1440" s="709" t="s">
        <v>1187</v>
      </c>
      <c r="K1440" s="730">
        <v>869</v>
      </c>
      <c r="L1440" s="670"/>
      <c r="M1440" s="613" t="s">
        <v>972</v>
      </c>
      <c r="N1440" s="130"/>
      <c r="O1440" s="251"/>
      <c r="P1440" s="766"/>
      <c r="Q1440" s="767"/>
      <c r="R1440" s="766"/>
      <c r="S1440" s="752"/>
      <c r="T1440" s="760"/>
      <c r="U1440" s="130"/>
      <c r="V1440" s="2107"/>
      <c r="W1440" s="611">
        <v>869</v>
      </c>
      <c r="X1440" s="611">
        <v>869</v>
      </c>
      <c r="Y1440" s="611"/>
      <c r="Z1440" s="611"/>
      <c r="AA1440" s="611"/>
      <c r="AB1440" s="611"/>
      <c r="AC1440" s="611"/>
      <c r="AD1440" s="611"/>
      <c r="AE1440" s="611"/>
      <c r="AF1440" s="611"/>
      <c r="AG1440" s="611"/>
    </row>
    <row r="1441" spans="1:33" s="56" customFormat="1" ht="15" hidden="1" customHeight="1" outlineLevel="1" x14ac:dyDescent="0.25">
      <c r="A1441" s="597"/>
      <c r="B1441" s="130"/>
      <c r="C1441" s="616"/>
      <c r="D1441" s="2101"/>
      <c r="E1441" s="2104"/>
      <c r="F1441" s="2110" t="str">
        <f>$E$858</f>
        <v>ASHP-  SEER 21+ Replace at Fail Elec Resist Furnace: HVAC</v>
      </c>
      <c r="G1441" s="2111"/>
      <c r="H1441" s="2111"/>
      <c r="I1441" s="2112"/>
      <c r="J1441" s="709" t="s">
        <v>614</v>
      </c>
      <c r="K1441" s="730">
        <v>869</v>
      </c>
      <c r="L1441" s="670"/>
      <c r="M1441" s="613" t="s">
        <v>972</v>
      </c>
      <c r="N1441" s="130"/>
      <c r="O1441" s="251"/>
      <c r="P1441" s="251"/>
      <c r="Q1441" s="251"/>
      <c r="R1441" s="251"/>
      <c r="S1441" s="130"/>
      <c r="T1441" s="130"/>
      <c r="U1441" s="130"/>
      <c r="V1441" s="2107"/>
      <c r="W1441" s="611">
        <v>869</v>
      </c>
      <c r="X1441" s="611">
        <v>869</v>
      </c>
      <c r="Y1441" s="611"/>
      <c r="Z1441" s="611"/>
      <c r="AA1441" s="611"/>
      <c r="AB1441" s="611"/>
      <c r="AC1441" s="611"/>
      <c r="AD1441" s="611"/>
      <c r="AE1441" s="611"/>
      <c r="AF1441" s="611"/>
      <c r="AG1441" s="611"/>
    </row>
    <row r="1442" spans="1:33" s="56" customFormat="1" ht="15" hidden="1" customHeight="1" outlineLevel="1" x14ac:dyDescent="0.25">
      <c r="A1442" s="724"/>
      <c r="B1442" s="130"/>
      <c r="C1442" s="616"/>
      <c r="D1442" s="2101"/>
      <c r="E1442" s="2104"/>
      <c r="F1442" s="2110" t="str">
        <f>$E$860</f>
        <v>ASHP SEER 17 replace ASHP - early replacement SF ER1</v>
      </c>
      <c r="G1442" s="2111"/>
      <c r="H1442" s="2111"/>
      <c r="I1442" s="2112"/>
      <c r="J1442" s="709" t="s">
        <v>1188</v>
      </c>
      <c r="K1442" s="730">
        <v>869</v>
      </c>
      <c r="L1442" s="670"/>
      <c r="M1442" s="613" t="s">
        <v>972</v>
      </c>
      <c r="N1442" s="130"/>
      <c r="O1442" s="251"/>
      <c r="P1442" s="766"/>
      <c r="Q1442" s="767"/>
      <c r="R1442" s="766"/>
      <c r="S1442" s="752"/>
      <c r="T1442" s="760"/>
      <c r="U1442" s="130"/>
      <c r="V1442" s="2107"/>
      <c r="W1442" s="611">
        <v>869</v>
      </c>
      <c r="X1442" s="611">
        <v>869</v>
      </c>
      <c r="Y1442" s="611"/>
      <c r="Z1442" s="611"/>
      <c r="AA1442" s="611"/>
      <c r="AB1442" s="611"/>
      <c r="AC1442" s="611"/>
      <c r="AD1442" s="611"/>
      <c r="AE1442" s="611"/>
      <c r="AF1442" s="611"/>
      <c r="AG1442" s="611"/>
    </row>
    <row r="1443" spans="1:33" s="56" customFormat="1" ht="15" hidden="1" customHeight="1" outlineLevel="1" x14ac:dyDescent="0.25">
      <c r="A1443" s="597"/>
      <c r="B1443" s="130"/>
      <c r="C1443" s="616"/>
      <c r="D1443" s="2101"/>
      <c r="E1443" s="2104"/>
      <c r="F1443" s="2110" t="str">
        <f>$E$862</f>
        <v>ASHP SEER 17 replace ASHP - early replacement SF ER2</v>
      </c>
      <c r="G1443" s="2111"/>
      <c r="H1443" s="2111"/>
      <c r="I1443" s="2112"/>
      <c r="J1443" s="709" t="s">
        <v>1189</v>
      </c>
      <c r="K1443" s="730">
        <v>869</v>
      </c>
      <c r="L1443" s="670"/>
      <c r="M1443" s="613" t="s">
        <v>972</v>
      </c>
      <c r="N1443" s="130"/>
      <c r="O1443" s="251"/>
      <c r="P1443" s="251"/>
      <c r="Q1443" s="251"/>
      <c r="R1443" s="251"/>
      <c r="S1443" s="130"/>
      <c r="T1443" s="130"/>
      <c r="U1443" s="130"/>
      <c r="V1443" s="2107"/>
      <c r="W1443" s="611">
        <v>869</v>
      </c>
      <c r="X1443" s="611">
        <v>869</v>
      </c>
      <c r="Y1443" s="611"/>
      <c r="Z1443" s="611"/>
      <c r="AA1443" s="611"/>
      <c r="AB1443" s="611"/>
      <c r="AC1443" s="611"/>
      <c r="AD1443" s="611"/>
      <c r="AE1443" s="611"/>
      <c r="AF1443" s="611"/>
      <c r="AG1443" s="611"/>
    </row>
    <row r="1444" spans="1:33" s="56" customFormat="1" ht="15" hidden="1" customHeight="1" outlineLevel="1" x14ac:dyDescent="0.25">
      <c r="A1444" s="724"/>
      <c r="B1444" s="130"/>
      <c r="C1444" s="616"/>
      <c r="D1444" s="2101"/>
      <c r="E1444" s="2104"/>
      <c r="F1444" s="2110" t="str">
        <f>$E$864</f>
        <v>ASHP SEER 17 replace ASHP - replace on fail SF</v>
      </c>
      <c r="G1444" s="2111"/>
      <c r="H1444" s="2111"/>
      <c r="I1444" s="2112"/>
      <c r="J1444" s="709" t="s">
        <v>1190</v>
      </c>
      <c r="K1444" s="730">
        <v>869</v>
      </c>
      <c r="L1444" s="670"/>
      <c r="M1444" s="613" t="s">
        <v>972</v>
      </c>
      <c r="N1444" s="130"/>
      <c r="O1444" s="251"/>
      <c r="P1444" s="766"/>
      <c r="Q1444" s="767"/>
      <c r="R1444" s="766"/>
      <c r="S1444" s="752"/>
      <c r="T1444" s="760"/>
      <c r="U1444" s="130"/>
      <c r="V1444" s="2107"/>
      <c r="W1444" s="611">
        <v>869</v>
      </c>
      <c r="X1444" s="611">
        <v>869</v>
      </c>
      <c r="Y1444" s="611"/>
      <c r="Z1444" s="611"/>
      <c r="AA1444" s="611"/>
      <c r="AB1444" s="611"/>
      <c r="AC1444" s="611"/>
      <c r="AD1444" s="611"/>
      <c r="AE1444" s="611"/>
      <c r="AF1444" s="611"/>
      <c r="AG1444" s="611"/>
    </row>
    <row r="1445" spans="1:33" s="56" customFormat="1" ht="15" hidden="1" customHeight="1" outlineLevel="1" x14ac:dyDescent="0.25">
      <c r="A1445" s="597"/>
      <c r="B1445" s="130"/>
      <c r="C1445" s="616"/>
      <c r="D1445" s="2101"/>
      <c r="E1445" s="2104"/>
      <c r="F1445" s="2110" t="str">
        <f>$E$866</f>
        <v>ASHP SEER 18 replace ASHP - early replacement SF ER1</v>
      </c>
      <c r="G1445" s="2111"/>
      <c r="H1445" s="2111"/>
      <c r="I1445" s="2112"/>
      <c r="J1445" s="709" t="s">
        <v>1191</v>
      </c>
      <c r="K1445" s="730">
        <v>869</v>
      </c>
      <c r="L1445" s="670"/>
      <c r="M1445" s="613" t="s">
        <v>972</v>
      </c>
      <c r="N1445" s="130"/>
      <c r="O1445" s="251"/>
      <c r="P1445" s="251"/>
      <c r="Q1445" s="251"/>
      <c r="R1445" s="251"/>
      <c r="S1445" s="130"/>
      <c r="T1445" s="130"/>
      <c r="U1445" s="130"/>
      <c r="V1445" s="2107"/>
      <c r="W1445" s="611">
        <v>869</v>
      </c>
      <c r="X1445" s="611">
        <v>869</v>
      </c>
      <c r="Y1445" s="611"/>
      <c r="Z1445" s="611"/>
      <c r="AA1445" s="611"/>
      <c r="AB1445" s="611"/>
      <c r="AC1445" s="611"/>
      <c r="AD1445" s="611"/>
      <c r="AE1445" s="611"/>
      <c r="AF1445" s="611"/>
      <c r="AG1445" s="611"/>
    </row>
    <row r="1446" spans="1:33" s="56" customFormat="1" ht="15" hidden="1" customHeight="1" outlineLevel="1" x14ac:dyDescent="0.25">
      <c r="A1446" s="597"/>
      <c r="B1446" s="130"/>
      <c r="C1446" s="616"/>
      <c r="D1446" s="2101"/>
      <c r="E1446" s="2104"/>
      <c r="F1446" s="2110" t="str">
        <f>$E$868</f>
        <v>ASHP SEER 18 replace ASHP - early replacement SF ER2</v>
      </c>
      <c r="G1446" s="2111"/>
      <c r="H1446" s="2111"/>
      <c r="I1446" s="2112"/>
      <c r="J1446" s="709" t="s">
        <v>1192</v>
      </c>
      <c r="K1446" s="730">
        <v>869</v>
      </c>
      <c r="L1446" s="670"/>
      <c r="M1446" s="613" t="s">
        <v>972</v>
      </c>
      <c r="N1446" s="130"/>
      <c r="O1446" s="251"/>
      <c r="P1446" s="251"/>
      <c r="Q1446" s="251"/>
      <c r="R1446" s="251"/>
      <c r="S1446" s="130"/>
      <c r="T1446" s="130"/>
      <c r="U1446" s="130"/>
      <c r="V1446" s="2107"/>
      <c r="W1446" s="611">
        <v>869</v>
      </c>
      <c r="X1446" s="611">
        <v>869</v>
      </c>
      <c r="Y1446" s="611"/>
      <c r="Z1446" s="611"/>
      <c r="AA1446" s="611"/>
      <c r="AB1446" s="611"/>
      <c r="AC1446" s="611"/>
      <c r="AD1446" s="611"/>
      <c r="AE1446" s="611"/>
      <c r="AF1446" s="611"/>
      <c r="AG1446" s="611"/>
    </row>
    <row r="1447" spans="1:33" s="56" customFormat="1" ht="15" hidden="1" customHeight="1" outlineLevel="1" x14ac:dyDescent="0.25">
      <c r="A1447" s="724"/>
      <c r="B1447" s="130"/>
      <c r="C1447" s="616"/>
      <c r="D1447" s="2101"/>
      <c r="E1447" s="2104"/>
      <c r="F1447" s="2110" t="str">
        <f>$E$870</f>
        <v>ASHP SEER 18 replace ASHP - replace on fail SF</v>
      </c>
      <c r="G1447" s="2111"/>
      <c r="H1447" s="2111"/>
      <c r="I1447" s="2112"/>
      <c r="J1447" s="709" t="s">
        <v>1193</v>
      </c>
      <c r="K1447" s="730">
        <v>869</v>
      </c>
      <c r="L1447" s="670"/>
      <c r="M1447" s="613" t="s">
        <v>972</v>
      </c>
      <c r="N1447" s="130"/>
      <c r="O1447" s="251"/>
      <c r="P1447" s="766"/>
      <c r="Q1447" s="767"/>
      <c r="R1447" s="766"/>
      <c r="S1447" s="752"/>
      <c r="T1447" s="760"/>
      <c r="U1447" s="130"/>
      <c r="V1447" s="2107"/>
      <c r="W1447" s="611">
        <v>869</v>
      </c>
      <c r="X1447" s="611">
        <v>869</v>
      </c>
      <c r="Y1447" s="611"/>
      <c r="Z1447" s="611"/>
      <c r="AA1447" s="611"/>
      <c r="AB1447" s="611"/>
      <c r="AC1447" s="611"/>
      <c r="AD1447" s="611"/>
      <c r="AE1447" s="611"/>
      <c r="AF1447" s="611"/>
      <c r="AG1447" s="611"/>
    </row>
    <row r="1448" spans="1:33" s="56" customFormat="1" ht="15" hidden="1" customHeight="1" outlineLevel="1" x14ac:dyDescent="0.25">
      <c r="A1448" s="724"/>
      <c r="B1448" s="130"/>
      <c r="C1448" s="616"/>
      <c r="D1448" s="2101"/>
      <c r="E1448" s="2104"/>
      <c r="F1448" s="2110" t="str">
        <f>$E$872</f>
        <v>ASHP - SEER 18 - replace on fail SF</v>
      </c>
      <c r="G1448" s="2111"/>
      <c r="H1448" s="2111"/>
      <c r="I1448" s="2112"/>
      <c r="J1448" s="709" t="s">
        <v>1194</v>
      </c>
      <c r="K1448" s="730">
        <v>869</v>
      </c>
      <c r="L1448" s="670"/>
      <c r="M1448" s="613" t="s">
        <v>972</v>
      </c>
      <c r="N1448" s="130"/>
      <c r="O1448" s="251"/>
      <c r="P1448" s="766"/>
      <c r="Q1448" s="767"/>
      <c r="R1448" s="766"/>
      <c r="S1448" s="752"/>
      <c r="T1448" s="760"/>
      <c r="U1448" s="130"/>
      <c r="V1448" s="2107"/>
      <c r="W1448" s="611">
        <v>869</v>
      </c>
      <c r="X1448" s="611">
        <v>869</v>
      </c>
      <c r="Y1448" s="611"/>
      <c r="Z1448" s="611"/>
      <c r="AA1448" s="611"/>
      <c r="AB1448" s="611"/>
      <c r="AC1448" s="611"/>
      <c r="AD1448" s="611"/>
      <c r="AE1448" s="611"/>
      <c r="AF1448" s="611"/>
      <c r="AG1448" s="611"/>
    </row>
    <row r="1449" spans="1:33" s="56" customFormat="1" ht="15" hidden="1" customHeight="1" outlineLevel="1" x14ac:dyDescent="0.25">
      <c r="A1449" s="597"/>
      <c r="B1449" s="130"/>
      <c r="C1449" s="616"/>
      <c r="D1449" s="2101"/>
      <c r="E1449" s="2104"/>
      <c r="F1449" s="2110" t="str">
        <f>$E$874</f>
        <v>ASHP SEER 19 replace ASHP - early replacement SF ER1</v>
      </c>
      <c r="G1449" s="2111"/>
      <c r="H1449" s="2111"/>
      <c r="I1449" s="2112"/>
      <c r="J1449" s="709" t="s">
        <v>1195</v>
      </c>
      <c r="K1449" s="730">
        <v>869</v>
      </c>
      <c r="L1449" s="670"/>
      <c r="M1449" s="613" t="s">
        <v>972</v>
      </c>
      <c r="N1449" s="130"/>
      <c r="O1449" s="251"/>
      <c r="P1449" s="251"/>
      <c r="Q1449" s="251"/>
      <c r="R1449" s="251"/>
      <c r="S1449" s="130"/>
      <c r="T1449" s="130"/>
      <c r="U1449" s="130"/>
      <c r="V1449" s="2107"/>
      <c r="W1449" s="611">
        <v>869</v>
      </c>
      <c r="X1449" s="611">
        <v>869</v>
      </c>
      <c r="Y1449" s="611"/>
      <c r="Z1449" s="611"/>
      <c r="AA1449" s="611"/>
      <c r="AB1449" s="611"/>
      <c r="AC1449" s="611"/>
      <c r="AD1449" s="611"/>
      <c r="AE1449" s="611"/>
      <c r="AF1449" s="611"/>
      <c r="AG1449" s="611"/>
    </row>
    <row r="1450" spans="1:33" s="56" customFormat="1" ht="15" hidden="1" customHeight="1" outlineLevel="1" x14ac:dyDescent="0.25">
      <c r="A1450" s="597"/>
      <c r="B1450" s="130"/>
      <c r="C1450" s="616"/>
      <c r="D1450" s="2101"/>
      <c r="E1450" s="2104"/>
      <c r="F1450" s="2110" t="str">
        <f>$E$876</f>
        <v>ASHP SEER 19 replace ASHP - early replacement SF ER2</v>
      </c>
      <c r="G1450" s="2111"/>
      <c r="H1450" s="2111"/>
      <c r="I1450" s="2112"/>
      <c r="J1450" s="709" t="s">
        <v>1196</v>
      </c>
      <c r="K1450" s="730">
        <v>869</v>
      </c>
      <c r="L1450" s="670"/>
      <c r="M1450" s="613" t="s">
        <v>972</v>
      </c>
      <c r="N1450" s="130"/>
      <c r="O1450" s="251"/>
      <c r="P1450" s="251"/>
      <c r="Q1450" s="251"/>
      <c r="R1450" s="251"/>
      <c r="S1450" s="130"/>
      <c r="T1450" s="130"/>
      <c r="U1450" s="130"/>
      <c r="V1450" s="2107"/>
      <c r="W1450" s="611">
        <v>869</v>
      </c>
      <c r="X1450" s="611">
        <v>869</v>
      </c>
      <c r="Y1450" s="611"/>
      <c r="Z1450" s="611"/>
      <c r="AA1450" s="611"/>
      <c r="AB1450" s="611"/>
      <c r="AC1450" s="611"/>
      <c r="AD1450" s="611"/>
      <c r="AE1450" s="611"/>
      <c r="AF1450" s="611"/>
      <c r="AG1450" s="611"/>
    </row>
    <row r="1451" spans="1:33" s="56" customFormat="1" ht="15" hidden="1" customHeight="1" outlineLevel="1" x14ac:dyDescent="0.25">
      <c r="A1451" s="724"/>
      <c r="B1451" s="130"/>
      <c r="C1451" s="616"/>
      <c r="D1451" s="2101"/>
      <c r="E1451" s="2104"/>
      <c r="F1451" s="2110" t="str">
        <f>$E$878</f>
        <v>ASHP SEER 19 replace ASHP - replace on fail SF</v>
      </c>
      <c r="G1451" s="2111"/>
      <c r="H1451" s="2111"/>
      <c r="I1451" s="2112"/>
      <c r="J1451" s="709" t="s">
        <v>1197</v>
      </c>
      <c r="K1451" s="730">
        <v>869</v>
      </c>
      <c r="L1451" s="670"/>
      <c r="M1451" s="613" t="s">
        <v>972</v>
      </c>
      <c r="N1451" s="130"/>
      <c r="O1451" s="251"/>
      <c r="P1451" s="766"/>
      <c r="Q1451" s="767"/>
      <c r="R1451" s="766"/>
      <c r="S1451" s="752"/>
      <c r="T1451" s="760"/>
      <c r="U1451" s="130"/>
      <c r="V1451" s="2107"/>
      <c r="W1451" s="611">
        <v>869</v>
      </c>
      <c r="X1451" s="611">
        <v>869</v>
      </c>
      <c r="Y1451" s="611"/>
      <c r="Z1451" s="611"/>
      <c r="AA1451" s="611"/>
      <c r="AB1451" s="611"/>
      <c r="AC1451" s="611"/>
      <c r="AD1451" s="611"/>
      <c r="AE1451" s="611"/>
      <c r="AF1451" s="611"/>
      <c r="AG1451" s="611"/>
    </row>
    <row r="1452" spans="1:33" s="56" customFormat="1" ht="15" hidden="1" customHeight="1" outlineLevel="1" x14ac:dyDescent="0.25">
      <c r="A1452" s="724"/>
      <c r="B1452" s="130"/>
      <c r="C1452" s="616"/>
      <c r="D1452" s="2101"/>
      <c r="E1452" s="2104"/>
      <c r="F1452" s="2110" t="str">
        <f>$E$880</f>
        <v>ASHP - SEER 17 - replace electric furnace / CAC - early replacement SF ER1</v>
      </c>
      <c r="G1452" s="2111"/>
      <c r="H1452" s="2111"/>
      <c r="I1452" s="2112"/>
      <c r="J1452" s="709"/>
      <c r="K1452" s="730">
        <v>869</v>
      </c>
      <c r="L1452" s="670"/>
      <c r="M1452" s="613"/>
      <c r="N1452" s="130"/>
      <c r="O1452" s="251"/>
      <c r="P1452" s="766"/>
      <c r="Q1452" s="767"/>
      <c r="R1452" s="766"/>
      <c r="S1452" s="752"/>
      <c r="T1452" s="760"/>
      <c r="U1452" s="130"/>
      <c r="V1452" s="2107"/>
      <c r="W1452" s="611">
        <v>869</v>
      </c>
      <c r="X1452" s="611">
        <v>869</v>
      </c>
      <c r="Y1452" s="611"/>
      <c r="Z1452" s="611"/>
      <c r="AA1452" s="611"/>
      <c r="AB1452" s="611"/>
      <c r="AC1452" s="611"/>
      <c r="AD1452" s="611"/>
      <c r="AE1452" s="611"/>
      <c r="AF1452" s="611"/>
      <c r="AG1452" s="611"/>
    </row>
    <row r="1453" spans="1:33" s="56" customFormat="1" ht="15" hidden="1" customHeight="1" outlineLevel="1" x14ac:dyDescent="0.25">
      <c r="A1453" s="724"/>
      <c r="B1453" s="130"/>
      <c r="C1453" s="616"/>
      <c r="D1453" s="2101"/>
      <c r="E1453" s="2104"/>
      <c r="F1453" s="2110" t="str">
        <f>$E$882</f>
        <v>ASHP - SEER 17 - replace electric furnace / CAC - early replacement SF ER2</v>
      </c>
      <c r="G1453" s="2111"/>
      <c r="H1453" s="2111"/>
      <c r="I1453" s="2112"/>
      <c r="J1453" s="709"/>
      <c r="K1453" s="730">
        <v>869</v>
      </c>
      <c r="L1453" s="670"/>
      <c r="M1453" s="613"/>
      <c r="N1453" s="130"/>
      <c r="O1453" s="251"/>
      <c r="P1453" s="766"/>
      <c r="Q1453" s="767"/>
      <c r="R1453" s="766"/>
      <c r="S1453" s="752"/>
      <c r="T1453" s="760"/>
      <c r="U1453" s="130"/>
      <c r="V1453" s="2107"/>
      <c r="W1453" s="611">
        <v>869</v>
      </c>
      <c r="X1453" s="611">
        <v>869</v>
      </c>
      <c r="Y1453" s="611"/>
      <c r="Z1453" s="611"/>
      <c r="AA1453" s="611"/>
      <c r="AB1453" s="611"/>
      <c r="AC1453" s="611"/>
      <c r="AD1453" s="611"/>
      <c r="AE1453" s="611"/>
      <c r="AF1453" s="611"/>
      <c r="AG1453" s="611"/>
    </row>
    <row r="1454" spans="1:33" s="56" customFormat="1" ht="15" hidden="1" customHeight="1" outlineLevel="1" x14ac:dyDescent="0.25">
      <c r="A1454" s="724"/>
      <c r="B1454" s="130"/>
      <c r="C1454" s="616"/>
      <c r="D1454" s="2101"/>
      <c r="E1454" s="2104"/>
      <c r="F1454" s="2110" t="str">
        <f>$E$884</f>
        <v>ASHP - SEER 17 - replace electric furnace / CAC - early replacement MF ER1</v>
      </c>
      <c r="G1454" s="2111"/>
      <c r="H1454" s="2111"/>
      <c r="I1454" s="2112"/>
      <c r="J1454" s="709"/>
      <c r="K1454" s="730">
        <v>869</v>
      </c>
      <c r="L1454" s="670"/>
      <c r="M1454" s="613"/>
      <c r="N1454" s="130"/>
      <c r="O1454" s="251"/>
      <c r="P1454" s="766"/>
      <c r="Q1454" s="767"/>
      <c r="R1454" s="766"/>
      <c r="S1454" s="752"/>
      <c r="T1454" s="760"/>
      <c r="U1454" s="130"/>
      <c r="V1454" s="2107"/>
      <c r="W1454" s="611">
        <v>869</v>
      </c>
      <c r="X1454" s="611">
        <v>869</v>
      </c>
      <c r="Y1454" s="611"/>
      <c r="Z1454" s="611"/>
      <c r="AA1454" s="611"/>
      <c r="AB1454" s="611"/>
      <c r="AC1454" s="611"/>
      <c r="AD1454" s="611"/>
      <c r="AE1454" s="611"/>
      <c r="AF1454" s="611"/>
      <c r="AG1454" s="611"/>
    </row>
    <row r="1455" spans="1:33" s="56" customFormat="1" ht="15" hidden="1" customHeight="1" outlineLevel="1" x14ac:dyDescent="0.25">
      <c r="A1455" s="724"/>
      <c r="B1455" s="130"/>
      <c r="C1455" s="616"/>
      <c r="D1455" s="2101"/>
      <c r="E1455" s="2104"/>
      <c r="F1455" s="2110" t="str">
        <f>$E$886</f>
        <v>ASHP - SEER 17 - replace electric furnace / CAC - early replacement MF ER2</v>
      </c>
      <c r="G1455" s="2111"/>
      <c r="H1455" s="2111"/>
      <c r="I1455" s="2112"/>
      <c r="J1455" s="709"/>
      <c r="K1455" s="730">
        <v>869</v>
      </c>
      <c r="L1455" s="670"/>
      <c r="M1455" s="770"/>
      <c r="N1455" s="130"/>
      <c r="O1455" s="251"/>
      <c r="P1455" s="766"/>
      <c r="Q1455" s="767"/>
      <c r="R1455" s="766"/>
      <c r="S1455" s="752"/>
      <c r="T1455" s="760"/>
      <c r="U1455" s="130"/>
      <c r="V1455" s="2107"/>
      <c r="W1455" s="611">
        <v>869</v>
      </c>
      <c r="X1455" s="611">
        <v>869</v>
      </c>
      <c r="Y1455" s="611"/>
      <c r="Z1455" s="611"/>
      <c r="AA1455" s="611"/>
      <c r="AB1455" s="611"/>
      <c r="AC1455" s="611"/>
      <c r="AD1455" s="611"/>
      <c r="AE1455" s="611"/>
      <c r="AF1455" s="611"/>
      <c r="AG1455" s="611"/>
    </row>
    <row r="1456" spans="1:33" s="56" customFormat="1" ht="15" hidden="1" customHeight="1" outlineLevel="1" x14ac:dyDescent="0.25">
      <c r="A1456" s="724"/>
      <c r="B1456" s="130"/>
      <c r="C1456" s="616"/>
      <c r="D1456" s="2101"/>
      <c r="E1456" s="2104"/>
      <c r="F1456" s="2110" t="str">
        <f>$E$888</f>
        <v>ASHP SEER 17 replace ASHP - early replacement MF ER1</v>
      </c>
      <c r="G1456" s="2111"/>
      <c r="H1456" s="2111"/>
      <c r="I1456" s="2112"/>
      <c r="J1456" s="709"/>
      <c r="K1456" s="730">
        <v>869</v>
      </c>
      <c r="L1456" s="670"/>
      <c r="M1456" s="770"/>
      <c r="N1456" s="130"/>
      <c r="O1456" s="251"/>
      <c r="P1456" s="766"/>
      <c r="Q1456" s="767"/>
      <c r="R1456" s="766"/>
      <c r="S1456" s="752"/>
      <c r="T1456" s="760"/>
      <c r="U1456" s="130"/>
      <c r="V1456" s="2107"/>
      <c r="W1456" s="611">
        <v>869</v>
      </c>
      <c r="X1456" s="611">
        <v>869</v>
      </c>
      <c r="Y1456" s="611"/>
      <c r="Z1456" s="611"/>
      <c r="AA1456" s="611"/>
      <c r="AB1456" s="611"/>
      <c r="AC1456" s="611"/>
      <c r="AD1456" s="611"/>
      <c r="AE1456" s="611"/>
      <c r="AF1456" s="611"/>
      <c r="AG1456" s="611"/>
    </row>
    <row r="1457" spans="1:33" s="56" customFormat="1" ht="15" hidden="1" customHeight="1" outlineLevel="1" x14ac:dyDescent="0.25">
      <c r="A1457" s="724"/>
      <c r="B1457" s="130"/>
      <c r="C1457" s="616"/>
      <c r="D1457" s="2101"/>
      <c r="E1457" s="2104"/>
      <c r="F1457" s="2110" t="str">
        <f>$E$890</f>
        <v>ASHP SEER 17 replace ASHP - early replacement MF ER2</v>
      </c>
      <c r="G1457" s="2111"/>
      <c r="H1457" s="2111"/>
      <c r="I1457" s="2112"/>
      <c r="J1457" s="709"/>
      <c r="K1457" s="730">
        <v>869</v>
      </c>
      <c r="L1457" s="670"/>
      <c r="M1457" s="770"/>
      <c r="N1457" s="130"/>
      <c r="O1457" s="251"/>
      <c r="P1457" s="766"/>
      <c r="Q1457" s="767"/>
      <c r="R1457" s="766"/>
      <c r="S1457" s="752"/>
      <c r="T1457" s="760"/>
      <c r="U1457" s="130"/>
      <c r="V1457" s="2107"/>
      <c r="W1457" s="611">
        <v>869</v>
      </c>
      <c r="X1457" s="611">
        <v>869</v>
      </c>
      <c r="Y1457" s="611"/>
      <c r="Z1457" s="611"/>
      <c r="AA1457" s="611"/>
      <c r="AB1457" s="611"/>
      <c r="AC1457" s="611"/>
      <c r="AD1457" s="611"/>
      <c r="AE1457" s="611"/>
      <c r="AF1457" s="611"/>
      <c r="AG1457" s="611"/>
    </row>
    <row r="1458" spans="1:33" s="56" customFormat="1" hidden="1" outlineLevel="1" x14ac:dyDescent="0.25">
      <c r="A1458" s="724"/>
      <c r="B1458" s="130"/>
      <c r="C1458" s="616"/>
      <c r="D1458" s="2101"/>
      <c r="E1458" s="2104"/>
      <c r="F1458" s="2110" t="str">
        <f>$E$892</f>
        <v>ASHP - SEER 18 - replace electric furnace / CAC - early replacement SF ER1</v>
      </c>
      <c r="G1458" s="2111"/>
      <c r="H1458" s="2111"/>
      <c r="I1458" s="2112"/>
      <c r="J1458" s="709"/>
      <c r="K1458" s="730">
        <v>869</v>
      </c>
      <c r="L1458" s="670"/>
      <c r="M1458" s="770"/>
      <c r="N1458" s="130"/>
      <c r="O1458" s="251"/>
      <c r="P1458" s="766"/>
      <c r="Q1458" s="767"/>
      <c r="R1458" s="766"/>
      <c r="S1458" s="752"/>
      <c r="T1458" s="760"/>
      <c r="U1458" s="130"/>
      <c r="V1458" s="2107"/>
      <c r="W1458" s="611">
        <v>869</v>
      </c>
      <c r="X1458" s="611">
        <v>869</v>
      </c>
      <c r="Y1458" s="611"/>
      <c r="Z1458" s="611"/>
      <c r="AA1458" s="611"/>
      <c r="AB1458" s="611"/>
      <c r="AC1458" s="611"/>
      <c r="AD1458" s="611"/>
      <c r="AE1458" s="611"/>
      <c r="AF1458" s="611"/>
      <c r="AG1458" s="611"/>
    </row>
    <row r="1459" spans="1:33" s="56" customFormat="1" hidden="1" outlineLevel="1" x14ac:dyDescent="0.25">
      <c r="A1459" s="724"/>
      <c r="B1459" s="130"/>
      <c r="C1459" s="616"/>
      <c r="D1459" s="2101"/>
      <c r="E1459" s="2104"/>
      <c r="F1459" s="2110" t="str">
        <f>$E$894</f>
        <v>ASHP - SEER 18 - replace electric furnace / CAC - early replacement SF ER2</v>
      </c>
      <c r="G1459" s="2111"/>
      <c r="H1459" s="2111"/>
      <c r="I1459" s="2112"/>
      <c r="J1459" s="709"/>
      <c r="K1459" s="730">
        <v>869</v>
      </c>
      <c r="L1459" s="670"/>
      <c r="M1459" s="770"/>
      <c r="N1459" s="130"/>
      <c r="O1459" s="251"/>
      <c r="P1459" s="766"/>
      <c r="Q1459" s="767"/>
      <c r="R1459" s="766"/>
      <c r="S1459" s="752"/>
      <c r="T1459" s="760"/>
      <c r="U1459" s="130"/>
      <c r="V1459" s="2107"/>
      <c r="W1459" s="611">
        <v>869</v>
      </c>
      <c r="X1459" s="611">
        <v>869</v>
      </c>
      <c r="Y1459" s="611"/>
      <c r="Z1459" s="611"/>
      <c r="AA1459" s="611"/>
      <c r="AB1459" s="611"/>
      <c r="AC1459" s="611"/>
      <c r="AD1459" s="611"/>
      <c r="AE1459" s="611"/>
      <c r="AF1459" s="611"/>
      <c r="AG1459" s="611"/>
    </row>
    <row r="1460" spans="1:33" s="56" customFormat="1" hidden="1" outlineLevel="1" x14ac:dyDescent="0.25">
      <c r="A1460" s="724"/>
      <c r="B1460" s="130"/>
      <c r="C1460" s="616"/>
      <c r="D1460" s="2101"/>
      <c r="E1460" s="2104"/>
      <c r="F1460" s="2110" t="str">
        <f>$E$896</f>
        <v>ASHP - SEER 18 - replace electric furnace / CAC - early replacement MF ER1</v>
      </c>
      <c r="G1460" s="2111"/>
      <c r="H1460" s="2111"/>
      <c r="I1460" s="2112"/>
      <c r="J1460" s="709"/>
      <c r="K1460" s="730">
        <v>869</v>
      </c>
      <c r="L1460" s="670"/>
      <c r="M1460" s="770"/>
      <c r="N1460" s="130"/>
      <c r="O1460" s="251"/>
      <c r="P1460" s="766"/>
      <c r="Q1460" s="767"/>
      <c r="R1460" s="766"/>
      <c r="S1460" s="752"/>
      <c r="T1460" s="760"/>
      <c r="U1460" s="130"/>
      <c r="V1460" s="2107"/>
      <c r="W1460" s="611">
        <v>869</v>
      </c>
      <c r="X1460" s="611">
        <v>869</v>
      </c>
      <c r="Y1460" s="611"/>
      <c r="Z1460" s="611"/>
      <c r="AA1460" s="611"/>
      <c r="AB1460" s="611"/>
      <c r="AC1460" s="611"/>
      <c r="AD1460" s="611"/>
      <c r="AE1460" s="611"/>
      <c r="AF1460" s="611"/>
      <c r="AG1460" s="611"/>
    </row>
    <row r="1461" spans="1:33" s="56" customFormat="1" hidden="1" outlineLevel="1" x14ac:dyDescent="0.25">
      <c r="A1461" s="724"/>
      <c r="B1461" s="130"/>
      <c r="C1461" s="616"/>
      <c r="D1461" s="2101"/>
      <c r="E1461" s="2104"/>
      <c r="F1461" s="2110" t="str">
        <f>$E$898</f>
        <v>ASHP - SEER 18 - replace electric furnace / CAC - early replacement MF ER2</v>
      </c>
      <c r="G1461" s="2111"/>
      <c r="H1461" s="2111"/>
      <c r="I1461" s="2112"/>
      <c r="J1461" s="709"/>
      <c r="K1461" s="730">
        <v>869</v>
      </c>
      <c r="L1461" s="670"/>
      <c r="M1461" s="770"/>
      <c r="N1461" s="130"/>
      <c r="O1461" s="251"/>
      <c r="P1461" s="766"/>
      <c r="Q1461" s="767"/>
      <c r="R1461" s="766"/>
      <c r="S1461" s="752"/>
      <c r="T1461" s="760"/>
      <c r="U1461" s="130"/>
      <c r="V1461" s="2107"/>
      <c r="W1461" s="611">
        <v>869</v>
      </c>
      <c r="X1461" s="611">
        <v>869</v>
      </c>
      <c r="Y1461" s="611"/>
      <c r="Z1461" s="611"/>
      <c r="AA1461" s="611"/>
      <c r="AB1461" s="611"/>
      <c r="AC1461" s="611"/>
      <c r="AD1461" s="611"/>
      <c r="AE1461" s="611"/>
      <c r="AF1461" s="611"/>
      <c r="AG1461" s="611"/>
    </row>
    <row r="1462" spans="1:33" s="56" customFormat="1" hidden="1" outlineLevel="1" x14ac:dyDescent="0.25">
      <c r="A1462" s="724"/>
      <c r="B1462" s="130"/>
      <c r="C1462" s="616"/>
      <c r="D1462" s="2101"/>
      <c r="E1462" s="2104"/>
      <c r="F1462" s="2110" t="str">
        <f>$E$900</f>
        <v>ASHP SEER 18 replace ASHP - early replacement MF ER1</v>
      </c>
      <c r="G1462" s="2111"/>
      <c r="H1462" s="2111"/>
      <c r="I1462" s="2112"/>
      <c r="J1462" s="709"/>
      <c r="K1462" s="730">
        <v>869</v>
      </c>
      <c r="L1462" s="670"/>
      <c r="M1462" s="770"/>
      <c r="N1462" s="130"/>
      <c r="O1462" s="251"/>
      <c r="P1462" s="766"/>
      <c r="Q1462" s="767"/>
      <c r="R1462" s="766"/>
      <c r="S1462" s="752"/>
      <c r="T1462" s="760"/>
      <c r="U1462" s="130"/>
      <c r="V1462" s="2107"/>
      <c r="W1462" s="611">
        <v>869</v>
      </c>
      <c r="X1462" s="611">
        <v>869</v>
      </c>
      <c r="Y1462" s="611"/>
      <c r="Z1462" s="611"/>
      <c r="AA1462" s="611"/>
      <c r="AB1462" s="611"/>
      <c r="AC1462" s="611"/>
      <c r="AD1462" s="611"/>
      <c r="AE1462" s="611"/>
      <c r="AF1462" s="611"/>
      <c r="AG1462" s="611"/>
    </row>
    <row r="1463" spans="1:33" s="56" customFormat="1" hidden="1" outlineLevel="1" x14ac:dyDescent="0.25">
      <c r="A1463" s="724"/>
      <c r="B1463" s="130"/>
      <c r="C1463" s="616"/>
      <c r="D1463" s="2101"/>
      <c r="E1463" s="2104"/>
      <c r="F1463" s="2110" t="str">
        <f>$E$902</f>
        <v>ASHP SEER 18 replace ASHP - early replacement MF ER2</v>
      </c>
      <c r="G1463" s="2111"/>
      <c r="H1463" s="2111"/>
      <c r="I1463" s="2112"/>
      <c r="J1463" s="709"/>
      <c r="K1463" s="730">
        <v>869</v>
      </c>
      <c r="L1463" s="670"/>
      <c r="M1463" s="770"/>
      <c r="N1463" s="130"/>
      <c r="O1463" s="251"/>
      <c r="P1463" s="766"/>
      <c r="Q1463" s="767"/>
      <c r="R1463" s="766"/>
      <c r="S1463" s="752"/>
      <c r="T1463" s="760"/>
      <c r="U1463" s="130"/>
      <c r="V1463" s="2107"/>
      <c r="W1463" s="611">
        <v>869</v>
      </c>
      <c r="X1463" s="611">
        <v>869</v>
      </c>
      <c r="Y1463" s="611"/>
      <c r="Z1463" s="611"/>
      <c r="AA1463" s="611"/>
      <c r="AB1463" s="611"/>
      <c r="AC1463" s="611"/>
      <c r="AD1463" s="611"/>
      <c r="AE1463" s="611"/>
      <c r="AF1463" s="611"/>
      <c r="AG1463" s="611"/>
    </row>
    <row r="1464" spans="1:33" s="56" customFormat="1" hidden="1" outlineLevel="1" x14ac:dyDescent="0.25">
      <c r="A1464" s="724"/>
      <c r="B1464" s="130"/>
      <c r="C1464" s="616"/>
      <c r="D1464" s="2101"/>
      <c r="E1464" s="2104"/>
      <c r="F1464" s="2110" t="str">
        <f>$E$904</f>
        <v>ASHP - SEER 19 - replace electric furnace / CAC - early replacement SF ER1</v>
      </c>
      <c r="G1464" s="2111"/>
      <c r="H1464" s="2111"/>
      <c r="I1464" s="2112"/>
      <c r="J1464" s="709"/>
      <c r="K1464" s="730">
        <v>869</v>
      </c>
      <c r="L1464" s="670"/>
      <c r="M1464" s="770"/>
      <c r="N1464" s="130"/>
      <c r="O1464" s="251"/>
      <c r="P1464" s="766"/>
      <c r="Q1464" s="767"/>
      <c r="R1464" s="766"/>
      <c r="S1464" s="752"/>
      <c r="T1464" s="760"/>
      <c r="U1464" s="130"/>
      <c r="V1464" s="2107"/>
      <c r="W1464" s="611">
        <v>869</v>
      </c>
      <c r="X1464" s="611">
        <v>869</v>
      </c>
      <c r="Y1464" s="611"/>
      <c r="Z1464" s="611"/>
      <c r="AA1464" s="611"/>
      <c r="AB1464" s="611"/>
      <c r="AC1464" s="611"/>
      <c r="AD1464" s="611"/>
      <c r="AE1464" s="611"/>
      <c r="AF1464" s="611"/>
      <c r="AG1464" s="611"/>
    </row>
    <row r="1465" spans="1:33" s="56" customFormat="1" hidden="1" outlineLevel="1" x14ac:dyDescent="0.25">
      <c r="A1465" s="724"/>
      <c r="B1465" s="130"/>
      <c r="C1465" s="616"/>
      <c r="D1465" s="2101"/>
      <c r="E1465" s="2104"/>
      <c r="F1465" s="2110" t="str">
        <f>$E$906</f>
        <v>ASHP - SEER 19 - replace electric furnace / CAC - early replacement SF ER2</v>
      </c>
      <c r="G1465" s="2111"/>
      <c r="H1465" s="2111"/>
      <c r="I1465" s="2112"/>
      <c r="J1465" s="709"/>
      <c r="K1465" s="730">
        <v>869</v>
      </c>
      <c r="L1465" s="670"/>
      <c r="M1465" s="770"/>
      <c r="N1465" s="130"/>
      <c r="O1465" s="251"/>
      <c r="P1465" s="766"/>
      <c r="Q1465" s="767"/>
      <c r="R1465" s="766"/>
      <c r="S1465" s="752"/>
      <c r="T1465" s="760"/>
      <c r="U1465" s="130"/>
      <c r="V1465" s="2107"/>
      <c r="W1465" s="611">
        <v>869</v>
      </c>
      <c r="X1465" s="611">
        <v>869</v>
      </c>
      <c r="Y1465" s="611"/>
      <c r="Z1465" s="611"/>
      <c r="AA1465" s="611"/>
      <c r="AB1465" s="611"/>
      <c r="AC1465" s="611"/>
      <c r="AD1465" s="611"/>
      <c r="AE1465" s="611"/>
      <c r="AF1465" s="611"/>
      <c r="AG1465" s="611"/>
    </row>
    <row r="1466" spans="1:33" s="56" customFormat="1" hidden="1" outlineLevel="1" x14ac:dyDescent="0.25">
      <c r="A1466" s="724"/>
      <c r="B1466" s="130"/>
      <c r="C1466" s="616"/>
      <c r="D1466" s="2101"/>
      <c r="E1466" s="2104"/>
      <c r="F1466" s="2110" t="str">
        <f>$E$908</f>
        <v>ASHP - SEER 19 - replace electric furnace / CAC - early replacement MF ER1</v>
      </c>
      <c r="G1466" s="2111"/>
      <c r="H1466" s="2111"/>
      <c r="I1466" s="2112"/>
      <c r="J1466" s="709"/>
      <c r="K1466" s="730">
        <v>869</v>
      </c>
      <c r="L1466" s="670"/>
      <c r="M1466" s="770"/>
      <c r="N1466" s="130"/>
      <c r="O1466" s="251"/>
      <c r="P1466" s="766"/>
      <c r="Q1466" s="767"/>
      <c r="R1466" s="766"/>
      <c r="S1466" s="752"/>
      <c r="T1466" s="760"/>
      <c r="U1466" s="130"/>
      <c r="V1466" s="2107"/>
      <c r="W1466" s="611">
        <v>869</v>
      </c>
      <c r="X1466" s="611">
        <v>869</v>
      </c>
      <c r="Y1466" s="611"/>
      <c r="Z1466" s="611"/>
      <c r="AA1466" s="611"/>
      <c r="AB1466" s="611"/>
      <c r="AC1466" s="611"/>
      <c r="AD1466" s="611"/>
      <c r="AE1466" s="611"/>
      <c r="AF1466" s="611"/>
      <c r="AG1466" s="611"/>
    </row>
    <row r="1467" spans="1:33" s="56" customFormat="1" hidden="1" outlineLevel="1" x14ac:dyDescent="0.25">
      <c r="A1467" s="724"/>
      <c r="B1467" s="130"/>
      <c r="C1467" s="616"/>
      <c r="D1467" s="2101"/>
      <c r="E1467" s="2104"/>
      <c r="F1467" s="2110" t="str">
        <f>$E$910</f>
        <v>ASHP - SEER 19 - replace electric furnace / CAC - early replacement MF ER2</v>
      </c>
      <c r="G1467" s="2111"/>
      <c r="H1467" s="2111"/>
      <c r="I1467" s="2112"/>
      <c r="J1467" s="709"/>
      <c r="K1467" s="730">
        <v>869</v>
      </c>
      <c r="L1467" s="670"/>
      <c r="M1467" s="770"/>
      <c r="N1467" s="130"/>
      <c r="O1467" s="251"/>
      <c r="P1467" s="766"/>
      <c r="Q1467" s="767"/>
      <c r="R1467" s="766"/>
      <c r="S1467" s="752"/>
      <c r="T1467" s="760"/>
      <c r="U1467" s="130"/>
      <c r="V1467" s="2107"/>
      <c r="W1467" s="611">
        <v>869</v>
      </c>
      <c r="X1467" s="611">
        <v>869</v>
      </c>
      <c r="Y1467" s="611"/>
      <c r="Z1467" s="611"/>
      <c r="AA1467" s="611"/>
      <c r="AB1467" s="611"/>
      <c r="AC1467" s="611"/>
      <c r="AD1467" s="611"/>
      <c r="AE1467" s="611"/>
      <c r="AF1467" s="611"/>
      <c r="AG1467" s="611"/>
    </row>
    <row r="1468" spans="1:33" s="56" customFormat="1" hidden="1" outlineLevel="1" x14ac:dyDescent="0.25">
      <c r="A1468" s="724"/>
      <c r="B1468" s="130"/>
      <c r="C1468" s="616"/>
      <c r="D1468" s="2101"/>
      <c r="E1468" s="2104"/>
      <c r="F1468" s="2110" t="str">
        <f>$E$912</f>
        <v>ASHP SEER 19 replace ASHP - early replacement MF ER1</v>
      </c>
      <c r="G1468" s="2111"/>
      <c r="H1468" s="2111"/>
      <c r="I1468" s="2112"/>
      <c r="J1468" s="709"/>
      <c r="K1468" s="730">
        <v>869</v>
      </c>
      <c r="L1468" s="670"/>
      <c r="M1468" s="770"/>
      <c r="N1468" s="130"/>
      <c r="O1468" s="251"/>
      <c r="P1468" s="766"/>
      <c r="Q1468" s="767"/>
      <c r="R1468" s="766"/>
      <c r="S1468" s="752"/>
      <c r="T1468" s="760"/>
      <c r="U1468" s="130"/>
      <c r="V1468" s="2107"/>
      <c r="W1468" s="611">
        <v>869</v>
      </c>
      <c r="X1468" s="611">
        <v>869</v>
      </c>
      <c r="Y1468" s="611"/>
      <c r="Z1468" s="611"/>
      <c r="AA1468" s="611"/>
      <c r="AB1468" s="611"/>
      <c r="AC1468" s="611"/>
      <c r="AD1468" s="611"/>
      <c r="AE1468" s="611"/>
      <c r="AF1468" s="611"/>
      <c r="AG1468" s="611"/>
    </row>
    <row r="1469" spans="1:33" s="56" customFormat="1" hidden="1" outlineLevel="1" x14ac:dyDescent="0.25">
      <c r="A1469" s="724"/>
      <c r="B1469" s="130"/>
      <c r="C1469" s="616"/>
      <c r="D1469" s="2101"/>
      <c r="E1469" s="2104"/>
      <c r="F1469" s="2110" t="str">
        <f>$E$914</f>
        <v>ASHP SEER 19 replace ASHP - early replacement MF ER2</v>
      </c>
      <c r="G1469" s="2111"/>
      <c r="H1469" s="2111"/>
      <c r="I1469" s="2112"/>
      <c r="J1469" s="709"/>
      <c r="K1469" s="730">
        <v>869</v>
      </c>
      <c r="L1469" s="670"/>
      <c r="M1469" s="770"/>
      <c r="N1469" s="130"/>
      <c r="O1469" s="251"/>
      <c r="P1469" s="766"/>
      <c r="Q1469" s="767"/>
      <c r="R1469" s="766"/>
      <c r="S1469" s="752"/>
      <c r="T1469" s="760"/>
      <c r="U1469" s="130"/>
      <c r="V1469" s="2107"/>
      <c r="W1469" s="611">
        <v>869</v>
      </c>
      <c r="X1469" s="611">
        <v>869</v>
      </c>
      <c r="Y1469" s="611"/>
      <c r="Z1469" s="611"/>
      <c r="AA1469" s="611"/>
      <c r="AB1469" s="611"/>
      <c r="AC1469" s="611"/>
      <c r="AD1469" s="611"/>
      <c r="AE1469" s="611"/>
      <c r="AF1469" s="611"/>
      <c r="AG1469" s="611"/>
    </row>
    <row r="1470" spans="1:33" s="56" customFormat="1" hidden="1" outlineLevel="1" x14ac:dyDescent="0.25">
      <c r="A1470" s="724"/>
      <c r="B1470" s="130"/>
      <c r="C1470" s="616"/>
      <c r="D1470" s="2101"/>
      <c r="E1470" s="2104"/>
      <c r="F1470" s="2110" t="str">
        <f>$E$916</f>
        <v>ASHP SEER 20 replace ASHP - early replacement SF ER1</v>
      </c>
      <c r="G1470" s="2111"/>
      <c r="H1470" s="2111"/>
      <c r="I1470" s="2112"/>
      <c r="J1470" s="709"/>
      <c r="K1470" s="730">
        <v>869</v>
      </c>
      <c r="L1470" s="670"/>
      <c r="M1470" s="770"/>
      <c r="N1470" s="130"/>
      <c r="O1470" s="251"/>
      <c r="P1470" s="766"/>
      <c r="Q1470" s="767"/>
      <c r="R1470" s="766"/>
      <c r="S1470" s="752"/>
      <c r="T1470" s="760"/>
      <c r="U1470" s="130"/>
      <c r="V1470" s="2107"/>
      <c r="W1470" s="611">
        <v>869</v>
      </c>
      <c r="X1470" s="611">
        <v>869</v>
      </c>
      <c r="Y1470" s="611"/>
      <c r="Z1470" s="611"/>
      <c r="AA1470" s="611"/>
      <c r="AB1470" s="611"/>
      <c r="AC1470" s="611"/>
      <c r="AD1470" s="611"/>
      <c r="AE1470" s="611"/>
      <c r="AF1470" s="611"/>
      <c r="AG1470" s="611"/>
    </row>
    <row r="1471" spans="1:33" s="56" customFormat="1" hidden="1" outlineLevel="1" x14ac:dyDescent="0.25">
      <c r="A1471" s="724"/>
      <c r="B1471" s="130"/>
      <c r="C1471" s="616"/>
      <c r="D1471" s="2101"/>
      <c r="E1471" s="2104"/>
      <c r="F1471" s="2110" t="str">
        <f>$E$918</f>
        <v>ASHP SEER 20 replace ASHP - early replacement SF ER2</v>
      </c>
      <c r="G1471" s="2111"/>
      <c r="H1471" s="2111"/>
      <c r="I1471" s="2112"/>
      <c r="J1471" s="709"/>
      <c r="K1471" s="730">
        <v>869</v>
      </c>
      <c r="L1471" s="670"/>
      <c r="M1471" s="770"/>
      <c r="N1471" s="130"/>
      <c r="O1471" s="251"/>
      <c r="P1471" s="766"/>
      <c r="Q1471" s="767"/>
      <c r="R1471" s="766"/>
      <c r="S1471" s="752"/>
      <c r="T1471" s="760"/>
      <c r="U1471" s="130"/>
      <c r="V1471" s="2107"/>
      <c r="W1471" s="611">
        <v>869</v>
      </c>
      <c r="X1471" s="611">
        <v>869</v>
      </c>
      <c r="Y1471" s="611"/>
      <c r="Z1471" s="611"/>
      <c r="AA1471" s="611"/>
      <c r="AB1471" s="611"/>
      <c r="AC1471" s="611"/>
      <c r="AD1471" s="611"/>
      <c r="AE1471" s="611"/>
      <c r="AF1471" s="611"/>
      <c r="AG1471" s="611"/>
    </row>
    <row r="1472" spans="1:33" s="56" customFormat="1" hidden="1" outlineLevel="1" x14ac:dyDescent="0.25">
      <c r="A1472" s="724"/>
      <c r="B1472" s="130"/>
      <c r="C1472" s="616"/>
      <c r="D1472" s="2101"/>
      <c r="E1472" s="2104"/>
      <c r="F1472" s="2110" t="str">
        <f>$E$920</f>
        <v>ASHP SEER 20 replace ASHP - replace on fail SF</v>
      </c>
      <c r="G1472" s="2111"/>
      <c r="H1472" s="2111"/>
      <c r="I1472" s="2112"/>
      <c r="J1472" s="709"/>
      <c r="K1472" s="730">
        <v>869</v>
      </c>
      <c r="L1472" s="670"/>
      <c r="M1472" s="770"/>
      <c r="N1472" s="130"/>
      <c r="O1472" s="251"/>
      <c r="P1472" s="766"/>
      <c r="Q1472" s="767"/>
      <c r="R1472" s="766"/>
      <c r="S1472" s="752"/>
      <c r="T1472" s="760"/>
      <c r="U1472" s="130"/>
      <c r="V1472" s="2107"/>
      <c r="W1472" s="611">
        <v>869</v>
      </c>
      <c r="X1472" s="611">
        <v>869</v>
      </c>
      <c r="Y1472" s="611"/>
      <c r="Z1472" s="611"/>
      <c r="AA1472" s="611"/>
      <c r="AB1472" s="611"/>
      <c r="AC1472" s="611"/>
      <c r="AD1472" s="611"/>
      <c r="AE1472" s="611"/>
      <c r="AF1472" s="611"/>
      <c r="AG1472" s="611"/>
    </row>
    <row r="1473" spans="1:33" s="56" customFormat="1" hidden="1" outlineLevel="1" x14ac:dyDescent="0.25">
      <c r="A1473" s="724"/>
      <c r="B1473" s="130"/>
      <c r="C1473" s="616"/>
      <c r="D1473" s="2101"/>
      <c r="E1473" s="2104"/>
      <c r="F1473" s="2110" t="str">
        <f>$E$922</f>
        <v>ASHP - SEER 20 - replace electric furnace / CAC - early replacement MF ER1</v>
      </c>
      <c r="G1473" s="2111"/>
      <c r="H1473" s="2111"/>
      <c r="I1473" s="2112"/>
      <c r="J1473" s="709"/>
      <c r="K1473" s="730">
        <v>869</v>
      </c>
      <c r="L1473" s="670"/>
      <c r="M1473" s="770"/>
      <c r="N1473" s="130"/>
      <c r="O1473" s="251"/>
      <c r="P1473" s="766"/>
      <c r="Q1473" s="767"/>
      <c r="R1473" s="766"/>
      <c r="S1473" s="752"/>
      <c r="T1473" s="760"/>
      <c r="U1473" s="130"/>
      <c r="V1473" s="2107"/>
      <c r="W1473" s="611">
        <v>869</v>
      </c>
      <c r="X1473" s="611">
        <v>869</v>
      </c>
      <c r="Y1473" s="611"/>
      <c r="Z1473" s="611"/>
      <c r="AA1473" s="611"/>
      <c r="AB1473" s="611"/>
      <c r="AC1473" s="611"/>
      <c r="AD1473" s="611"/>
      <c r="AE1473" s="611"/>
      <c r="AF1473" s="611"/>
      <c r="AG1473" s="611"/>
    </row>
    <row r="1474" spans="1:33" s="56" customFormat="1" hidden="1" outlineLevel="1" x14ac:dyDescent="0.25">
      <c r="A1474" s="724"/>
      <c r="B1474" s="130"/>
      <c r="C1474" s="616"/>
      <c r="D1474" s="2101"/>
      <c r="E1474" s="2104"/>
      <c r="F1474" s="2110" t="str">
        <f>$E$924</f>
        <v>ASHP - SEER 20 - replace electric furnace / CAC - early replacement MF ER2</v>
      </c>
      <c r="G1474" s="2111"/>
      <c r="H1474" s="2111"/>
      <c r="I1474" s="2112"/>
      <c r="J1474" s="709"/>
      <c r="K1474" s="730">
        <v>869</v>
      </c>
      <c r="L1474" s="670"/>
      <c r="M1474" s="770"/>
      <c r="N1474" s="130"/>
      <c r="O1474" s="251"/>
      <c r="P1474" s="766"/>
      <c r="Q1474" s="767"/>
      <c r="R1474" s="766"/>
      <c r="S1474" s="752"/>
      <c r="T1474" s="760"/>
      <c r="U1474" s="130"/>
      <c r="V1474" s="2107"/>
      <c r="W1474" s="611">
        <v>869</v>
      </c>
      <c r="X1474" s="611">
        <v>869</v>
      </c>
      <c r="Y1474" s="611"/>
      <c r="Z1474" s="611"/>
      <c r="AA1474" s="611"/>
      <c r="AB1474" s="611"/>
      <c r="AC1474" s="611"/>
      <c r="AD1474" s="611"/>
      <c r="AE1474" s="611"/>
      <c r="AF1474" s="611"/>
      <c r="AG1474" s="611"/>
    </row>
    <row r="1475" spans="1:33" s="56" customFormat="1" hidden="1" outlineLevel="1" x14ac:dyDescent="0.25">
      <c r="A1475" s="724"/>
      <c r="B1475" s="130"/>
      <c r="C1475" s="616"/>
      <c r="D1475" s="2101"/>
      <c r="E1475" s="2104"/>
      <c r="F1475" s="2110" t="str">
        <f>$E$926</f>
        <v>ASHP SEER 20 replace ASHP - early replacement MF ER1</v>
      </c>
      <c r="G1475" s="2111"/>
      <c r="H1475" s="2111"/>
      <c r="I1475" s="2112"/>
      <c r="J1475" s="709"/>
      <c r="K1475" s="730">
        <v>869</v>
      </c>
      <c r="L1475" s="670"/>
      <c r="M1475" s="770"/>
      <c r="N1475" s="130"/>
      <c r="O1475" s="251"/>
      <c r="P1475" s="766"/>
      <c r="Q1475" s="767"/>
      <c r="R1475" s="766"/>
      <c r="S1475" s="752"/>
      <c r="T1475" s="760"/>
      <c r="U1475" s="130"/>
      <c r="V1475" s="2107"/>
      <c r="W1475" s="611">
        <v>869</v>
      </c>
      <c r="X1475" s="611">
        <v>869</v>
      </c>
      <c r="Y1475" s="611"/>
      <c r="Z1475" s="611"/>
      <c r="AA1475" s="611"/>
      <c r="AB1475" s="611"/>
      <c r="AC1475" s="611"/>
      <c r="AD1475" s="611"/>
      <c r="AE1475" s="611"/>
      <c r="AF1475" s="611"/>
      <c r="AG1475" s="611"/>
    </row>
    <row r="1476" spans="1:33" s="56" customFormat="1" hidden="1" outlineLevel="1" x14ac:dyDescent="0.25">
      <c r="A1476" s="724"/>
      <c r="B1476" s="130"/>
      <c r="C1476" s="616"/>
      <c r="D1476" s="2101"/>
      <c r="E1476" s="2104"/>
      <c r="F1476" s="2110" t="str">
        <f>$E$928</f>
        <v>ASHP SEER 20 replace ASHP - early replacement MF ER2</v>
      </c>
      <c r="G1476" s="2111"/>
      <c r="H1476" s="2111"/>
      <c r="I1476" s="2112"/>
      <c r="J1476" s="709"/>
      <c r="K1476" s="730">
        <v>869</v>
      </c>
      <c r="L1476" s="670"/>
      <c r="M1476" s="770"/>
      <c r="N1476" s="130"/>
      <c r="O1476" s="251"/>
      <c r="P1476" s="766"/>
      <c r="Q1476" s="767"/>
      <c r="R1476" s="766"/>
      <c r="S1476" s="752"/>
      <c r="T1476" s="760"/>
      <c r="U1476" s="130"/>
      <c r="V1476" s="2107"/>
      <c r="W1476" s="611">
        <v>869</v>
      </c>
      <c r="X1476" s="611">
        <v>869</v>
      </c>
      <c r="Y1476" s="611"/>
      <c r="Z1476" s="611"/>
      <c r="AA1476" s="611"/>
      <c r="AB1476" s="611"/>
      <c r="AC1476" s="611"/>
      <c r="AD1476" s="611"/>
      <c r="AE1476" s="611"/>
      <c r="AF1476" s="611"/>
      <c r="AG1476" s="611"/>
    </row>
    <row r="1477" spans="1:33" s="56" customFormat="1" hidden="1" outlineLevel="1" x14ac:dyDescent="0.25">
      <c r="A1477" s="724"/>
      <c r="B1477" s="130"/>
      <c r="C1477" s="616"/>
      <c r="D1477" s="2101"/>
      <c r="E1477" s="2104"/>
      <c r="F1477" s="2110" t="str">
        <f>$E$930</f>
        <v>ASHP SEER 21 replace ASHP - early replacement SF ER1</v>
      </c>
      <c r="G1477" s="2111"/>
      <c r="H1477" s="2111"/>
      <c r="I1477" s="2112"/>
      <c r="J1477" s="709"/>
      <c r="K1477" s="730">
        <v>869</v>
      </c>
      <c r="L1477" s="670"/>
      <c r="M1477" s="770"/>
      <c r="N1477" s="130"/>
      <c r="O1477" s="251"/>
      <c r="P1477" s="766"/>
      <c r="Q1477" s="767"/>
      <c r="R1477" s="766"/>
      <c r="S1477" s="752"/>
      <c r="T1477" s="760"/>
      <c r="U1477" s="130"/>
      <c r="V1477" s="2107"/>
      <c r="W1477" s="611">
        <v>869</v>
      </c>
      <c r="X1477" s="611">
        <v>869</v>
      </c>
      <c r="Y1477" s="611"/>
      <c r="Z1477" s="611"/>
      <c r="AA1477" s="611"/>
      <c r="AB1477" s="611"/>
      <c r="AC1477" s="611"/>
      <c r="AD1477" s="611"/>
      <c r="AE1477" s="611"/>
      <c r="AF1477" s="611"/>
      <c r="AG1477" s="611"/>
    </row>
    <row r="1478" spans="1:33" s="56" customFormat="1" hidden="1" outlineLevel="1" x14ac:dyDescent="0.25">
      <c r="A1478" s="724"/>
      <c r="B1478" s="130"/>
      <c r="C1478" s="616"/>
      <c r="D1478" s="2101"/>
      <c r="E1478" s="2104"/>
      <c r="F1478" s="2110" t="str">
        <f>$E$932</f>
        <v>ASHP SEER 21 replace ASHP - early replacement SF ER2</v>
      </c>
      <c r="G1478" s="2111"/>
      <c r="H1478" s="2111"/>
      <c r="I1478" s="2112"/>
      <c r="J1478" s="709"/>
      <c r="K1478" s="730">
        <v>869</v>
      </c>
      <c r="L1478" s="670"/>
      <c r="M1478" s="770"/>
      <c r="N1478" s="130"/>
      <c r="O1478" s="251"/>
      <c r="P1478" s="766"/>
      <c r="Q1478" s="767"/>
      <c r="R1478" s="766"/>
      <c r="S1478" s="752"/>
      <c r="T1478" s="760"/>
      <c r="U1478" s="130"/>
      <c r="V1478" s="2107"/>
      <c r="W1478" s="611">
        <v>869</v>
      </c>
      <c r="X1478" s="611">
        <v>869</v>
      </c>
      <c r="Y1478" s="611"/>
      <c r="Z1478" s="611"/>
      <c r="AA1478" s="611"/>
      <c r="AB1478" s="611"/>
      <c r="AC1478" s="611"/>
      <c r="AD1478" s="611"/>
      <c r="AE1478" s="611"/>
      <c r="AF1478" s="611"/>
      <c r="AG1478" s="611"/>
    </row>
    <row r="1479" spans="1:33" s="56" customFormat="1" hidden="1" outlineLevel="1" x14ac:dyDescent="0.25">
      <c r="A1479" s="724"/>
      <c r="B1479" s="130"/>
      <c r="C1479" s="616"/>
      <c r="D1479" s="2101"/>
      <c r="E1479" s="2104"/>
      <c r="F1479" s="2110" t="str">
        <f>$E$934</f>
        <v>ASHP SEER 21 replace ASHP - replace on fail SF</v>
      </c>
      <c r="G1479" s="2111"/>
      <c r="H1479" s="2111"/>
      <c r="I1479" s="2112"/>
      <c r="J1479" s="709"/>
      <c r="K1479" s="730">
        <v>869</v>
      </c>
      <c r="L1479" s="670"/>
      <c r="M1479" s="770"/>
      <c r="N1479" s="130"/>
      <c r="O1479" s="251"/>
      <c r="P1479" s="766"/>
      <c r="Q1479" s="767"/>
      <c r="R1479" s="766"/>
      <c r="S1479" s="752"/>
      <c r="T1479" s="760"/>
      <c r="U1479" s="130"/>
      <c r="V1479" s="2107"/>
      <c r="W1479" s="611">
        <v>869</v>
      </c>
      <c r="X1479" s="611">
        <v>869</v>
      </c>
      <c r="Y1479" s="611"/>
      <c r="Z1479" s="611"/>
      <c r="AA1479" s="611"/>
      <c r="AB1479" s="611"/>
      <c r="AC1479" s="611"/>
      <c r="AD1479" s="611"/>
      <c r="AE1479" s="611"/>
      <c r="AF1479" s="611"/>
      <c r="AG1479" s="611"/>
    </row>
    <row r="1480" spans="1:33" s="56" customFormat="1" hidden="1" outlineLevel="1" x14ac:dyDescent="0.25">
      <c r="A1480" s="724"/>
      <c r="B1480" s="130"/>
      <c r="C1480" s="616"/>
      <c r="D1480" s="2101"/>
      <c r="E1480" s="2104"/>
      <c r="F1480" s="2110" t="str">
        <f>$E$936</f>
        <v>ASHP - SEER 21 - replace electric furnace / CAC MF</v>
      </c>
      <c r="G1480" s="2111"/>
      <c r="H1480" s="2111"/>
      <c r="I1480" s="2112"/>
      <c r="J1480" s="709"/>
      <c r="K1480" s="730">
        <v>869</v>
      </c>
      <c r="L1480" s="670"/>
      <c r="M1480" s="770"/>
      <c r="N1480" s="130"/>
      <c r="O1480" s="251"/>
      <c r="P1480" s="766"/>
      <c r="Q1480" s="767"/>
      <c r="R1480" s="766"/>
      <c r="S1480" s="752"/>
      <c r="T1480" s="760"/>
      <c r="U1480" s="130"/>
      <c r="V1480" s="2107"/>
      <c r="W1480" s="611">
        <v>869</v>
      </c>
      <c r="X1480" s="611">
        <v>869</v>
      </c>
      <c r="Y1480" s="611"/>
      <c r="Z1480" s="611"/>
      <c r="AA1480" s="611"/>
      <c r="AB1480" s="611"/>
      <c r="AC1480" s="611"/>
      <c r="AD1480" s="611"/>
      <c r="AE1480" s="611"/>
      <c r="AF1480" s="611"/>
      <c r="AG1480" s="611"/>
    </row>
    <row r="1481" spans="1:33" s="56" customFormat="1" hidden="1" outlineLevel="1" x14ac:dyDescent="0.25">
      <c r="A1481" s="724"/>
      <c r="B1481" s="130"/>
      <c r="C1481" s="616"/>
      <c r="D1481" s="2101"/>
      <c r="E1481" s="2104"/>
      <c r="F1481" s="2110" t="str">
        <f>$E$938</f>
        <v>ASHP SEER 21 replace ASHP - early replacement MF ER1</v>
      </c>
      <c r="G1481" s="2111"/>
      <c r="H1481" s="2111"/>
      <c r="I1481" s="2112"/>
      <c r="J1481" s="709"/>
      <c r="K1481" s="730">
        <v>869</v>
      </c>
      <c r="L1481" s="670"/>
      <c r="M1481" s="770"/>
      <c r="N1481" s="130"/>
      <c r="O1481" s="251"/>
      <c r="P1481" s="766"/>
      <c r="Q1481" s="767"/>
      <c r="R1481" s="766"/>
      <c r="S1481" s="752"/>
      <c r="T1481" s="760"/>
      <c r="U1481" s="130"/>
      <c r="V1481" s="2107"/>
      <c r="W1481" s="611">
        <v>869</v>
      </c>
      <c r="X1481" s="611">
        <v>869</v>
      </c>
      <c r="Y1481" s="611"/>
      <c r="Z1481" s="611"/>
      <c r="AA1481" s="611"/>
      <c r="AB1481" s="611"/>
      <c r="AC1481" s="611"/>
      <c r="AD1481" s="611"/>
      <c r="AE1481" s="611"/>
      <c r="AF1481" s="611"/>
      <c r="AG1481" s="611"/>
    </row>
    <row r="1482" spans="1:33" s="56" customFormat="1" hidden="1" outlineLevel="1" x14ac:dyDescent="0.25">
      <c r="A1482" s="724"/>
      <c r="B1482" s="130"/>
      <c r="C1482" s="616"/>
      <c r="D1482" s="2101"/>
      <c r="E1482" s="2104"/>
      <c r="F1482" s="2110" t="str">
        <f>$E$940</f>
        <v>ASHP SEER 21 replace ASHP - early replacement MF ER2</v>
      </c>
      <c r="G1482" s="2111"/>
      <c r="H1482" s="2111"/>
      <c r="I1482" s="2112"/>
      <c r="J1482" s="709"/>
      <c r="K1482" s="730">
        <v>869</v>
      </c>
      <c r="L1482" s="670"/>
      <c r="M1482" s="770"/>
      <c r="N1482" s="130"/>
      <c r="O1482" s="251"/>
      <c r="P1482" s="766"/>
      <c r="Q1482" s="767"/>
      <c r="R1482" s="766"/>
      <c r="S1482" s="752"/>
      <c r="T1482" s="760"/>
      <c r="U1482" s="130"/>
      <c r="V1482" s="2107"/>
      <c r="W1482" s="611">
        <v>869</v>
      </c>
      <c r="X1482" s="611">
        <v>869</v>
      </c>
      <c r="Y1482" s="611"/>
      <c r="Z1482" s="611"/>
      <c r="AA1482" s="611"/>
      <c r="AB1482" s="611"/>
      <c r="AC1482" s="611"/>
      <c r="AD1482" s="611"/>
      <c r="AE1482" s="611"/>
      <c r="AF1482" s="611"/>
      <c r="AG1482" s="611"/>
    </row>
    <row r="1483" spans="1:33" s="56" customFormat="1" ht="15" hidden="1" customHeight="1" outlineLevel="1" x14ac:dyDescent="0.25">
      <c r="A1483" s="724"/>
      <c r="B1483" s="130"/>
      <c r="C1483" s="616"/>
      <c r="D1483" s="2101"/>
      <c r="E1483" s="2104"/>
      <c r="F1483" s="2110" t="str">
        <f>$E$942</f>
        <v>ASHP - SEER 17 - replace on fail MF</v>
      </c>
      <c r="G1483" s="2111"/>
      <c r="H1483" s="2111"/>
      <c r="I1483" s="2112"/>
      <c r="J1483" s="709" t="s">
        <v>1198</v>
      </c>
      <c r="K1483" s="730">
        <v>869</v>
      </c>
      <c r="L1483" s="670"/>
      <c r="M1483" s="770" t="s">
        <v>972</v>
      </c>
      <c r="N1483" s="130"/>
      <c r="O1483" s="251"/>
      <c r="P1483" s="766"/>
      <c r="Q1483" s="767"/>
      <c r="R1483" s="766"/>
      <c r="S1483" s="752"/>
      <c r="T1483" s="760"/>
      <c r="U1483" s="130"/>
      <c r="V1483" s="2107"/>
      <c r="W1483" s="611">
        <v>869</v>
      </c>
      <c r="X1483" s="611">
        <v>869</v>
      </c>
      <c r="Y1483" s="611"/>
      <c r="Z1483" s="611"/>
      <c r="AA1483" s="611"/>
      <c r="AB1483" s="611"/>
      <c r="AC1483" s="611"/>
      <c r="AD1483" s="611"/>
      <c r="AE1483" s="611"/>
      <c r="AF1483" s="611"/>
      <c r="AG1483" s="611"/>
    </row>
    <row r="1484" spans="1:33" s="56" customFormat="1" ht="15" hidden="1" customHeight="1" outlineLevel="1" x14ac:dyDescent="0.25">
      <c r="A1484" s="597"/>
      <c r="B1484" s="130"/>
      <c r="C1484" s="616"/>
      <c r="D1484" s="2101"/>
      <c r="E1484" s="2104"/>
      <c r="F1484" s="2110" t="str">
        <f>$E$944</f>
        <v>ASHP - SEER 18 - replace on fail MF</v>
      </c>
      <c r="G1484" s="2111"/>
      <c r="H1484" s="2111"/>
      <c r="I1484" s="2112"/>
      <c r="J1484" s="709" t="s">
        <v>1199</v>
      </c>
      <c r="K1484" s="730">
        <v>869</v>
      </c>
      <c r="L1484" s="670"/>
      <c r="M1484" s="770" t="s">
        <v>972</v>
      </c>
      <c r="N1484" s="130"/>
      <c r="O1484" s="251"/>
      <c r="P1484" s="251"/>
      <c r="Q1484" s="251"/>
      <c r="R1484" s="251"/>
      <c r="S1484" s="130"/>
      <c r="T1484" s="130"/>
      <c r="U1484" s="130"/>
      <c r="V1484" s="2107"/>
      <c r="W1484" s="611">
        <v>869</v>
      </c>
      <c r="X1484" s="611">
        <v>869</v>
      </c>
      <c r="Y1484" s="611"/>
      <c r="Z1484" s="611"/>
      <c r="AA1484" s="611"/>
      <c r="AB1484" s="611"/>
      <c r="AC1484" s="611"/>
      <c r="AD1484" s="611"/>
      <c r="AE1484" s="611"/>
      <c r="AF1484" s="611"/>
      <c r="AG1484" s="611"/>
    </row>
    <row r="1485" spans="1:33" s="56" customFormat="1" ht="15" hidden="1" customHeight="1" outlineLevel="1" x14ac:dyDescent="0.25">
      <c r="A1485" s="597"/>
      <c r="B1485" s="130"/>
      <c r="C1485" s="616"/>
      <c r="D1485" s="2101"/>
      <c r="E1485" s="2104"/>
      <c r="F1485" s="2110" t="str">
        <f>$E$946</f>
        <v>ASHP - SEER 19 - replace on fail MF</v>
      </c>
      <c r="G1485" s="2111"/>
      <c r="H1485" s="2111"/>
      <c r="I1485" s="2112"/>
      <c r="J1485" s="709" t="s">
        <v>1200</v>
      </c>
      <c r="K1485" s="730">
        <v>869</v>
      </c>
      <c r="L1485" s="670"/>
      <c r="M1485" s="770" t="s">
        <v>972</v>
      </c>
      <c r="N1485" s="130"/>
      <c r="O1485" s="251"/>
      <c r="P1485" s="251"/>
      <c r="Q1485" s="251"/>
      <c r="R1485" s="251"/>
      <c r="S1485" s="130"/>
      <c r="T1485" s="130"/>
      <c r="U1485" s="130"/>
      <c r="V1485" s="2107"/>
      <c r="W1485" s="611">
        <v>869</v>
      </c>
      <c r="X1485" s="611">
        <v>869</v>
      </c>
      <c r="Y1485" s="611"/>
      <c r="Z1485" s="611"/>
      <c r="AA1485" s="611"/>
      <c r="AB1485" s="611"/>
      <c r="AC1485" s="611"/>
      <c r="AD1485" s="611"/>
      <c r="AE1485" s="611"/>
      <c r="AF1485" s="611"/>
      <c r="AG1485" s="611"/>
    </row>
    <row r="1486" spans="1:33" s="56" customFormat="1" ht="15" hidden="1" customHeight="1" outlineLevel="1" x14ac:dyDescent="0.25">
      <c r="A1486" s="724"/>
      <c r="B1486" s="130"/>
      <c r="C1486" s="616"/>
      <c r="D1486" s="2101"/>
      <c r="E1486" s="2104"/>
      <c r="F1486" s="2110" t="str">
        <f>$E$948</f>
        <v>ASHP - SEER 20 - replace on fail MF</v>
      </c>
      <c r="G1486" s="2111"/>
      <c r="H1486" s="2111"/>
      <c r="I1486" s="2112"/>
      <c r="J1486" s="709" t="s">
        <v>1201</v>
      </c>
      <c r="K1486" s="730">
        <v>869</v>
      </c>
      <c r="L1486" s="670"/>
      <c r="M1486" s="770" t="s">
        <v>972</v>
      </c>
      <c r="N1486" s="130"/>
      <c r="O1486" s="251"/>
      <c r="P1486" s="766"/>
      <c r="Q1486" s="767"/>
      <c r="R1486" s="766"/>
      <c r="S1486" s="752"/>
      <c r="T1486" s="760"/>
      <c r="U1486" s="130"/>
      <c r="V1486" s="2107"/>
      <c r="W1486" s="611">
        <v>869</v>
      </c>
      <c r="X1486" s="611">
        <v>869</v>
      </c>
      <c r="Y1486" s="611"/>
      <c r="Z1486" s="611"/>
      <c r="AA1486" s="611"/>
      <c r="AB1486" s="611"/>
      <c r="AC1486" s="611"/>
      <c r="AD1486" s="611"/>
      <c r="AE1486" s="611"/>
      <c r="AF1486" s="611"/>
      <c r="AG1486" s="611"/>
    </row>
    <row r="1487" spans="1:33" s="56" customFormat="1" ht="15.75" hidden="1" customHeight="1" outlineLevel="1" thickBot="1" x14ac:dyDescent="0.3">
      <c r="A1487" s="724"/>
      <c r="B1487" s="130"/>
      <c r="C1487" s="616"/>
      <c r="D1487" s="2102"/>
      <c r="E1487" s="2105"/>
      <c r="F1487" s="2110" t="str">
        <f>$E$950</f>
        <v>ASHP - SEER 21 - replace on fail MF</v>
      </c>
      <c r="G1487" s="2111"/>
      <c r="H1487" s="2111"/>
      <c r="I1487" s="2112"/>
      <c r="J1487" s="712" t="s">
        <v>1202</v>
      </c>
      <c r="K1487" s="622">
        <v>869</v>
      </c>
      <c r="L1487" s="771"/>
      <c r="M1487" s="770" t="s">
        <v>972</v>
      </c>
      <c r="N1487" s="130"/>
      <c r="O1487" s="251"/>
      <c r="P1487" s="766"/>
      <c r="Q1487" s="767"/>
      <c r="R1487" s="766"/>
      <c r="S1487" s="752"/>
      <c r="T1487" s="760"/>
      <c r="U1487" s="130"/>
      <c r="V1487" s="2108"/>
      <c r="W1487" s="622">
        <v>869</v>
      </c>
      <c r="X1487" s="622">
        <v>869</v>
      </c>
      <c r="Y1487" s="622"/>
      <c r="Z1487" s="622"/>
      <c r="AA1487" s="622"/>
      <c r="AB1487" s="622"/>
      <c r="AC1487" s="622"/>
      <c r="AD1487" s="622"/>
      <c r="AE1487" s="622"/>
      <c r="AF1487" s="622"/>
      <c r="AG1487" s="622"/>
    </row>
    <row r="1488" spans="1:33" s="56" customFormat="1" ht="15" hidden="1" customHeight="1" outlineLevel="1" x14ac:dyDescent="0.25">
      <c r="A1488" s="724"/>
      <c r="B1488" s="130"/>
      <c r="C1488" s="616"/>
      <c r="D1488" s="2100" t="s">
        <v>1042</v>
      </c>
      <c r="E1488" s="2103" t="s">
        <v>1043</v>
      </c>
      <c r="F1488" s="2109" t="str">
        <f>$E$780</f>
        <v>ASHP - SEER 15 ER Elec Resist Furnace: HVAC ER1</v>
      </c>
      <c r="G1488" s="2109"/>
      <c r="H1488" s="2109"/>
      <c r="I1488" s="2109"/>
      <c r="J1488" s="707">
        <v>919</v>
      </c>
      <c r="K1488" s="727">
        <v>8.33</v>
      </c>
      <c r="L1488" s="660"/>
      <c r="M1488" s="783" t="s">
        <v>1800</v>
      </c>
      <c r="N1488" s="130"/>
      <c r="O1488" s="251"/>
      <c r="P1488" s="766"/>
      <c r="Q1488" s="766"/>
      <c r="R1488" s="766"/>
      <c r="S1488" s="752"/>
      <c r="T1488" s="760"/>
      <c r="U1488" s="130"/>
      <c r="V1488" s="2106" t="s">
        <v>1042</v>
      </c>
      <c r="W1488" s="605">
        <v>6.8</v>
      </c>
      <c r="X1488" s="624">
        <v>8.33</v>
      </c>
      <c r="Y1488" s="605"/>
      <c r="Z1488" s="605"/>
      <c r="AA1488" s="605"/>
      <c r="AB1488" s="605"/>
      <c r="AC1488" s="605"/>
      <c r="AD1488" s="605"/>
      <c r="AE1488" s="605"/>
      <c r="AF1488" s="605"/>
      <c r="AG1488" s="605"/>
    </row>
    <row r="1489" spans="1:33" s="56" customFormat="1" ht="15" hidden="1" customHeight="1" outlineLevel="1" x14ac:dyDescent="0.25">
      <c r="A1489" s="724"/>
      <c r="B1489" s="130"/>
      <c r="C1489" s="616"/>
      <c r="D1489" s="2101"/>
      <c r="E1489" s="2104"/>
      <c r="F1489" s="2110" t="str">
        <f>$E$782</f>
        <v>ASHP - SEER 15 ER Elec Resist Furnace: HVAC ER2</v>
      </c>
      <c r="G1489" s="2111"/>
      <c r="H1489" s="2111"/>
      <c r="I1489" s="2112"/>
      <c r="J1489" s="709" t="s">
        <v>1156</v>
      </c>
      <c r="K1489" s="730">
        <v>13</v>
      </c>
      <c r="L1489" s="669"/>
      <c r="M1489" s="770" t="s">
        <v>972</v>
      </c>
      <c r="N1489" s="130"/>
      <c r="O1489" s="251"/>
      <c r="P1489" s="766"/>
      <c r="Q1489" s="766"/>
      <c r="R1489" s="766"/>
      <c r="S1489" s="752"/>
      <c r="T1489" s="760"/>
      <c r="U1489" s="130"/>
      <c r="V1489" s="2107"/>
      <c r="W1489" s="611">
        <v>13</v>
      </c>
      <c r="X1489" s="611">
        <v>13</v>
      </c>
      <c r="Y1489" s="611"/>
      <c r="Z1489" s="611"/>
      <c r="AA1489" s="611"/>
      <c r="AB1489" s="611"/>
      <c r="AC1489" s="611"/>
      <c r="AD1489" s="611"/>
      <c r="AE1489" s="611"/>
      <c r="AF1489" s="611"/>
      <c r="AG1489" s="611"/>
    </row>
    <row r="1490" spans="1:33" s="56" customFormat="1" ht="15" hidden="1" customHeight="1" outlineLevel="1" x14ac:dyDescent="0.25">
      <c r="A1490" s="724"/>
      <c r="B1490" s="130"/>
      <c r="C1490" s="616"/>
      <c r="D1490" s="2101"/>
      <c r="E1490" s="2104"/>
      <c r="F1490" s="2110" t="str">
        <f>$E$784</f>
        <v>ASHP - SEER 15 ER with ASHP: HVAC ER1</v>
      </c>
      <c r="G1490" s="2111"/>
      <c r="H1490" s="2111"/>
      <c r="I1490" s="2112"/>
      <c r="J1490" s="709">
        <v>920</v>
      </c>
      <c r="K1490" s="730">
        <v>8.33</v>
      </c>
      <c r="L1490" s="669"/>
      <c r="M1490" s="770" t="s">
        <v>1800</v>
      </c>
      <c r="N1490" s="130"/>
      <c r="O1490" s="251"/>
      <c r="P1490" s="766"/>
      <c r="Q1490" s="766"/>
      <c r="R1490" s="766"/>
      <c r="S1490" s="752"/>
      <c r="T1490" s="760"/>
      <c r="U1490" s="130"/>
      <c r="V1490" s="2107"/>
      <c r="W1490" s="611">
        <v>7.2</v>
      </c>
      <c r="X1490" s="614">
        <v>8.33</v>
      </c>
      <c r="Y1490" s="611"/>
      <c r="Z1490" s="611"/>
      <c r="AA1490" s="611"/>
      <c r="AB1490" s="611"/>
      <c r="AC1490" s="611"/>
      <c r="AD1490" s="611"/>
      <c r="AE1490" s="611"/>
      <c r="AF1490" s="611"/>
      <c r="AG1490" s="611"/>
    </row>
    <row r="1491" spans="1:33" s="56" customFormat="1" ht="15" hidden="1" customHeight="1" outlineLevel="1" x14ac:dyDescent="0.25">
      <c r="A1491" s="724"/>
      <c r="B1491" s="130"/>
      <c r="C1491" s="616"/>
      <c r="D1491" s="2101"/>
      <c r="E1491" s="2104"/>
      <c r="F1491" s="2110" t="str">
        <f>$E$786</f>
        <v>ASHP - SEER 15 ER with ASHP: HVAC ER2</v>
      </c>
      <c r="G1491" s="2111"/>
      <c r="H1491" s="2111"/>
      <c r="I1491" s="2112"/>
      <c r="J1491" s="709" t="s">
        <v>1159</v>
      </c>
      <c r="K1491" s="730">
        <v>14</v>
      </c>
      <c r="L1491" s="669"/>
      <c r="M1491" s="770" t="s">
        <v>972</v>
      </c>
      <c r="N1491" s="130"/>
      <c r="O1491" s="251"/>
      <c r="P1491" s="766"/>
      <c r="Q1491" s="766"/>
      <c r="R1491" s="766"/>
      <c r="S1491" s="752"/>
      <c r="T1491" s="760"/>
      <c r="U1491" s="130"/>
      <c r="V1491" s="2107"/>
      <c r="W1491" s="611">
        <v>14</v>
      </c>
      <c r="X1491" s="611">
        <v>14</v>
      </c>
      <c r="Y1491" s="611"/>
      <c r="Z1491" s="611"/>
      <c r="AA1491" s="611"/>
      <c r="AB1491" s="611"/>
      <c r="AC1491" s="611"/>
      <c r="AD1491" s="611"/>
      <c r="AE1491" s="611"/>
      <c r="AF1491" s="611"/>
      <c r="AG1491" s="611"/>
    </row>
    <row r="1492" spans="1:33" s="56" customFormat="1" ht="15" hidden="1" customHeight="1" outlineLevel="1" x14ac:dyDescent="0.25">
      <c r="A1492" s="724"/>
      <c r="B1492" s="130"/>
      <c r="C1492" s="616"/>
      <c r="D1492" s="2101"/>
      <c r="E1492" s="2104"/>
      <c r="F1492" s="2110" t="str">
        <f>$E$788</f>
        <v>ASHP-  SEER 15 Replace at Fail Elec Resist Furnace: HVAC</v>
      </c>
      <c r="G1492" s="2111"/>
      <c r="H1492" s="2111"/>
      <c r="I1492" s="2112"/>
      <c r="J1492" s="709">
        <v>921</v>
      </c>
      <c r="K1492" s="730">
        <v>13</v>
      </c>
      <c r="L1492" s="669"/>
      <c r="M1492" s="770" t="s">
        <v>972</v>
      </c>
      <c r="N1492" s="130"/>
      <c r="O1492" s="251"/>
      <c r="P1492" s="766"/>
      <c r="Q1492" s="766"/>
      <c r="R1492" s="766"/>
      <c r="S1492" s="752"/>
      <c r="T1492" s="760"/>
      <c r="U1492" s="130"/>
      <c r="V1492" s="2107"/>
      <c r="W1492" s="611">
        <v>13</v>
      </c>
      <c r="X1492" s="611">
        <v>13</v>
      </c>
      <c r="Y1492" s="611"/>
      <c r="Z1492" s="611"/>
      <c r="AA1492" s="611"/>
      <c r="AB1492" s="611"/>
      <c r="AC1492" s="611"/>
      <c r="AD1492" s="611"/>
      <c r="AE1492" s="611"/>
      <c r="AF1492" s="611"/>
      <c r="AG1492" s="611"/>
    </row>
    <row r="1493" spans="1:33" s="56" customFormat="1" ht="15" hidden="1" customHeight="1" outlineLevel="1" x14ac:dyDescent="0.25">
      <c r="A1493" s="724"/>
      <c r="B1493" s="130"/>
      <c r="C1493" s="616"/>
      <c r="D1493" s="2101"/>
      <c r="E1493" s="2104"/>
      <c r="F1493" s="2110" t="str">
        <f>$E$790</f>
        <v>ASHP - SEER 15 Replace at Fail with ASHP: HVAC</v>
      </c>
      <c r="G1493" s="2111"/>
      <c r="H1493" s="2111"/>
      <c r="I1493" s="2112"/>
      <c r="J1493" s="709">
        <v>922</v>
      </c>
      <c r="K1493" s="730">
        <v>14</v>
      </c>
      <c r="L1493" s="669"/>
      <c r="M1493" s="770" t="s">
        <v>972</v>
      </c>
      <c r="N1493" s="130"/>
      <c r="O1493" s="251"/>
      <c r="P1493" s="766"/>
      <c r="Q1493" s="766"/>
      <c r="R1493" s="766"/>
      <c r="S1493" s="752"/>
      <c r="T1493" s="760"/>
      <c r="U1493" s="130"/>
      <c r="V1493" s="2107"/>
      <c r="W1493" s="611">
        <v>14</v>
      </c>
      <c r="X1493" s="611">
        <v>14</v>
      </c>
      <c r="Y1493" s="611"/>
      <c r="Z1493" s="611"/>
      <c r="AA1493" s="611"/>
      <c r="AB1493" s="611"/>
      <c r="AC1493" s="611"/>
      <c r="AD1493" s="611"/>
      <c r="AE1493" s="611"/>
      <c r="AF1493" s="611"/>
      <c r="AG1493" s="611"/>
    </row>
    <row r="1494" spans="1:33" s="56" customFormat="1" ht="15" hidden="1" customHeight="1" outlineLevel="1" x14ac:dyDescent="0.25">
      <c r="A1494" s="724"/>
      <c r="B1494" s="130"/>
      <c r="C1494" s="616"/>
      <c r="D1494" s="2101"/>
      <c r="E1494" s="2104"/>
      <c r="F1494" s="2110" t="str">
        <f>$E$792</f>
        <v>ASHP - SEER 16 - replace electric furnace / CAC - early replacement SF ER1</v>
      </c>
      <c r="G1494" s="2111"/>
      <c r="H1494" s="2111"/>
      <c r="I1494" s="2112"/>
      <c r="J1494" s="709">
        <v>923</v>
      </c>
      <c r="K1494" s="730">
        <v>8.33</v>
      </c>
      <c r="L1494" s="669"/>
      <c r="M1494" s="770" t="s">
        <v>1800</v>
      </c>
      <c r="N1494" s="130"/>
      <c r="O1494" s="251"/>
      <c r="P1494" s="766"/>
      <c r="Q1494" s="766"/>
      <c r="R1494" s="766"/>
      <c r="S1494" s="752"/>
      <c r="T1494" s="760"/>
      <c r="U1494" s="130"/>
      <c r="V1494" s="2107"/>
      <c r="W1494" s="611">
        <v>6.8</v>
      </c>
      <c r="X1494" s="614">
        <v>8.33</v>
      </c>
      <c r="Y1494" s="611"/>
      <c r="Z1494" s="611"/>
      <c r="AA1494" s="611"/>
      <c r="AB1494" s="611"/>
      <c r="AC1494" s="611"/>
      <c r="AD1494" s="611"/>
      <c r="AE1494" s="611"/>
      <c r="AF1494" s="611"/>
      <c r="AG1494" s="611"/>
    </row>
    <row r="1495" spans="1:33" s="56" customFormat="1" ht="15" hidden="1" customHeight="1" outlineLevel="1" x14ac:dyDescent="0.25">
      <c r="A1495" s="597"/>
      <c r="B1495" s="130"/>
      <c r="C1495" s="616"/>
      <c r="D1495" s="2101"/>
      <c r="E1495" s="2104"/>
      <c r="F1495" s="2110" t="str">
        <f>$E$794</f>
        <v>ASHP - SEER 16 - replace electric furnace / CAC - early replacement SF ER2</v>
      </c>
      <c r="G1495" s="2111"/>
      <c r="H1495" s="2111"/>
      <c r="I1495" s="2112"/>
      <c r="J1495" s="709" t="s">
        <v>1161</v>
      </c>
      <c r="K1495" s="730">
        <v>13</v>
      </c>
      <c r="L1495" s="669"/>
      <c r="M1495" s="770" t="s">
        <v>972</v>
      </c>
      <c r="N1495" s="130"/>
      <c r="O1495" s="251"/>
      <c r="P1495" s="766"/>
      <c r="Q1495" s="766"/>
      <c r="R1495" s="766"/>
      <c r="S1495" s="752"/>
      <c r="T1495" s="760"/>
      <c r="U1495" s="130"/>
      <c r="V1495" s="2107"/>
      <c r="W1495" s="611">
        <v>13</v>
      </c>
      <c r="X1495" s="611">
        <v>13</v>
      </c>
      <c r="Y1495" s="611"/>
      <c r="Z1495" s="611"/>
      <c r="AA1495" s="611"/>
      <c r="AB1495" s="611"/>
      <c r="AC1495" s="611"/>
      <c r="AD1495" s="611"/>
      <c r="AE1495" s="611"/>
      <c r="AF1495" s="611"/>
      <c r="AG1495" s="611"/>
    </row>
    <row r="1496" spans="1:33" s="56" customFormat="1" ht="15" hidden="1" customHeight="1" outlineLevel="1" x14ac:dyDescent="0.25">
      <c r="A1496" s="724"/>
      <c r="B1496" s="130"/>
      <c r="C1496" s="616"/>
      <c r="D1496" s="2101"/>
      <c r="E1496" s="2104"/>
      <c r="F1496" s="2110" t="str">
        <f>$E$796</f>
        <v>ASHP SEER 16 replace ASHP - early replacement SF ER1</v>
      </c>
      <c r="G1496" s="2111"/>
      <c r="H1496" s="2111"/>
      <c r="I1496" s="2112"/>
      <c r="J1496" s="709">
        <v>924</v>
      </c>
      <c r="K1496" s="730">
        <v>8.33</v>
      </c>
      <c r="L1496" s="669"/>
      <c r="M1496" s="770" t="s">
        <v>1800</v>
      </c>
      <c r="N1496" s="130"/>
      <c r="O1496" s="251"/>
      <c r="P1496" s="766"/>
      <c r="Q1496" s="766"/>
      <c r="R1496" s="766"/>
      <c r="S1496" s="752"/>
      <c r="T1496" s="760"/>
      <c r="U1496" s="130"/>
      <c r="V1496" s="2107"/>
      <c r="W1496" s="611">
        <v>7.2</v>
      </c>
      <c r="X1496" s="614">
        <v>8.33</v>
      </c>
      <c r="Y1496" s="611"/>
      <c r="Z1496" s="611"/>
      <c r="AA1496" s="611"/>
      <c r="AB1496" s="611"/>
      <c r="AC1496" s="611"/>
      <c r="AD1496" s="611"/>
      <c r="AE1496" s="611"/>
      <c r="AF1496" s="611"/>
      <c r="AG1496" s="611"/>
    </row>
    <row r="1497" spans="1:33" s="56" customFormat="1" ht="15" hidden="1" customHeight="1" outlineLevel="1" x14ac:dyDescent="0.25">
      <c r="A1497" s="724"/>
      <c r="B1497" s="130"/>
      <c r="C1497" s="616"/>
      <c r="D1497" s="2101"/>
      <c r="E1497" s="2104"/>
      <c r="F1497" s="2110" t="str">
        <f>$E$798</f>
        <v>ASHP SEER 16 replace ASHP - early replacement SF ER2</v>
      </c>
      <c r="G1497" s="2111"/>
      <c r="H1497" s="2111"/>
      <c r="I1497" s="2112"/>
      <c r="J1497" s="709" t="s">
        <v>1163</v>
      </c>
      <c r="K1497" s="730">
        <v>14</v>
      </c>
      <c r="L1497" s="670"/>
      <c r="M1497" s="770" t="s">
        <v>972</v>
      </c>
      <c r="N1497" s="130"/>
      <c r="O1497" s="251"/>
      <c r="P1497" s="766"/>
      <c r="Q1497" s="766"/>
      <c r="R1497" s="766"/>
      <c r="S1497" s="752"/>
      <c r="T1497" s="760"/>
      <c r="U1497" s="130"/>
      <c r="V1497" s="2107"/>
      <c r="W1497" s="611">
        <v>14</v>
      </c>
      <c r="X1497" s="611">
        <v>14</v>
      </c>
      <c r="Y1497" s="611"/>
      <c r="Z1497" s="611"/>
      <c r="AA1497" s="611"/>
      <c r="AB1497" s="611"/>
      <c r="AC1497" s="611"/>
      <c r="AD1497" s="611"/>
      <c r="AE1497" s="611"/>
      <c r="AF1497" s="611"/>
      <c r="AG1497" s="611"/>
    </row>
    <row r="1498" spans="1:33" s="56" customFormat="1" ht="15" hidden="1" customHeight="1" outlineLevel="1" x14ac:dyDescent="0.25">
      <c r="A1498" s="724"/>
      <c r="B1498" s="130"/>
      <c r="C1498" s="616"/>
      <c r="D1498" s="2101"/>
      <c r="E1498" s="2104"/>
      <c r="F1498" s="2110" t="str">
        <f>$E$800</f>
        <v>ASHP - SEER 16 - replace electric furnace / CAC SF</v>
      </c>
      <c r="G1498" s="2111"/>
      <c r="H1498" s="2111"/>
      <c r="I1498" s="2112"/>
      <c r="J1498" s="709">
        <v>925</v>
      </c>
      <c r="K1498" s="730">
        <v>13</v>
      </c>
      <c r="L1498" s="670"/>
      <c r="M1498" s="770" t="s">
        <v>972</v>
      </c>
      <c r="N1498" s="130"/>
      <c r="O1498" s="251"/>
      <c r="P1498" s="766"/>
      <c r="Q1498" s="766"/>
      <c r="R1498" s="766"/>
      <c r="S1498" s="752"/>
      <c r="T1498" s="760"/>
      <c r="U1498" s="130"/>
      <c r="V1498" s="2107"/>
      <c r="W1498" s="611">
        <v>13</v>
      </c>
      <c r="X1498" s="611">
        <v>13</v>
      </c>
      <c r="Y1498" s="611"/>
      <c r="Z1498" s="611"/>
      <c r="AA1498" s="611"/>
      <c r="AB1498" s="611"/>
      <c r="AC1498" s="611"/>
      <c r="AD1498" s="611"/>
      <c r="AE1498" s="611"/>
      <c r="AF1498" s="611"/>
      <c r="AG1498" s="611"/>
    </row>
    <row r="1499" spans="1:33" s="56" customFormat="1" ht="15" hidden="1" customHeight="1" outlineLevel="1" x14ac:dyDescent="0.25">
      <c r="A1499" s="724"/>
      <c r="B1499" s="130"/>
      <c r="C1499" s="616"/>
      <c r="D1499" s="2101"/>
      <c r="E1499" s="2104"/>
      <c r="F1499" s="2110" t="str">
        <f>$E$802</f>
        <v>ASHP SEER 16 replace ASHP - replace on fail SF</v>
      </c>
      <c r="G1499" s="2111"/>
      <c r="H1499" s="2111"/>
      <c r="I1499" s="2112"/>
      <c r="J1499" s="709">
        <v>926</v>
      </c>
      <c r="K1499" s="730">
        <v>14</v>
      </c>
      <c r="L1499" s="670"/>
      <c r="M1499" s="770" t="s">
        <v>972</v>
      </c>
      <c r="N1499" s="130"/>
      <c r="O1499" s="251"/>
      <c r="P1499" s="766"/>
      <c r="Q1499" s="766"/>
      <c r="R1499" s="766"/>
      <c r="S1499" s="752"/>
      <c r="T1499" s="760"/>
      <c r="U1499" s="130"/>
      <c r="V1499" s="2107"/>
      <c r="W1499" s="611">
        <v>14</v>
      </c>
      <c r="X1499" s="611">
        <v>14</v>
      </c>
      <c r="Y1499" s="611"/>
      <c r="Z1499" s="611"/>
      <c r="AA1499" s="611"/>
      <c r="AB1499" s="611"/>
      <c r="AC1499" s="611"/>
      <c r="AD1499" s="611"/>
      <c r="AE1499" s="611"/>
      <c r="AF1499" s="611"/>
      <c r="AG1499" s="611"/>
    </row>
    <row r="1500" spans="1:33" s="56" customFormat="1" ht="15" hidden="1" customHeight="1" outlineLevel="1" x14ac:dyDescent="0.25">
      <c r="A1500" s="724"/>
      <c r="B1500" s="130"/>
      <c r="C1500" s="616"/>
      <c r="D1500" s="2101"/>
      <c r="E1500" s="2104"/>
      <c r="F1500" s="2110" t="str">
        <f>$E$804</f>
        <v>ASHP SEER 15 MFMR / MFLI ER Replace ASHP: HVAC ER1</v>
      </c>
      <c r="G1500" s="2111"/>
      <c r="H1500" s="2111"/>
      <c r="I1500" s="2112"/>
      <c r="J1500" s="709">
        <v>1239</v>
      </c>
      <c r="K1500" s="730">
        <v>8.33</v>
      </c>
      <c r="L1500" s="670"/>
      <c r="M1500" s="770" t="s">
        <v>1800</v>
      </c>
      <c r="N1500" s="130"/>
      <c r="O1500" s="251"/>
      <c r="P1500" s="766"/>
      <c r="Q1500" s="766"/>
      <c r="R1500" s="766"/>
      <c r="S1500" s="752"/>
      <c r="T1500" s="760"/>
      <c r="U1500" s="130"/>
      <c r="V1500" s="2107"/>
      <c r="W1500" s="611">
        <v>7.2</v>
      </c>
      <c r="X1500" s="614">
        <v>8.33</v>
      </c>
      <c r="Y1500" s="611"/>
      <c r="Z1500" s="611"/>
      <c r="AA1500" s="611"/>
      <c r="AB1500" s="611"/>
      <c r="AC1500" s="611"/>
      <c r="AD1500" s="611"/>
      <c r="AE1500" s="611"/>
      <c r="AF1500" s="611"/>
      <c r="AG1500" s="611"/>
    </row>
    <row r="1501" spans="1:33" s="56" customFormat="1" ht="15" hidden="1" customHeight="1" outlineLevel="1" x14ac:dyDescent="0.25">
      <c r="A1501" s="724"/>
      <c r="B1501" s="130"/>
      <c r="C1501" s="616"/>
      <c r="D1501" s="2101"/>
      <c r="E1501" s="2104"/>
      <c r="F1501" s="2110" t="str">
        <f>$E$806</f>
        <v>ASHP SEER 15 MF ER Replace ASHP: HVAC ER2</v>
      </c>
      <c r="G1501" s="2111"/>
      <c r="H1501" s="2111"/>
      <c r="I1501" s="2112"/>
      <c r="J1501" s="709" t="s">
        <v>1166</v>
      </c>
      <c r="K1501" s="730">
        <v>14</v>
      </c>
      <c r="L1501" s="670"/>
      <c r="M1501" s="770" t="s">
        <v>972</v>
      </c>
      <c r="N1501" s="130"/>
      <c r="O1501" s="251"/>
      <c r="P1501" s="766"/>
      <c r="Q1501" s="766"/>
      <c r="R1501" s="766"/>
      <c r="S1501" s="752"/>
      <c r="T1501" s="760"/>
      <c r="U1501" s="130"/>
      <c r="V1501" s="2107"/>
      <c r="W1501" s="611">
        <v>14</v>
      </c>
      <c r="X1501" s="611">
        <v>14</v>
      </c>
      <c r="Y1501" s="611"/>
      <c r="Z1501" s="611"/>
      <c r="AA1501" s="611"/>
      <c r="AB1501" s="611"/>
      <c r="AC1501" s="611"/>
      <c r="AD1501" s="611"/>
      <c r="AE1501" s="611"/>
      <c r="AF1501" s="611"/>
      <c r="AG1501" s="611"/>
    </row>
    <row r="1502" spans="1:33" s="56" customFormat="1" ht="15" hidden="1" customHeight="1" outlineLevel="1" x14ac:dyDescent="0.25">
      <c r="A1502" s="724"/>
      <c r="B1502" s="130"/>
      <c r="C1502" s="616"/>
      <c r="D1502" s="2101"/>
      <c r="E1502" s="2104"/>
      <c r="F1502" s="2110" t="str">
        <f>$E$808</f>
        <v>ASHP SEER 15 MF ER Replace Elec Resist Furnace: HVAC ER1</v>
      </c>
      <c r="G1502" s="2111"/>
      <c r="H1502" s="2111"/>
      <c r="I1502" s="2112"/>
      <c r="J1502" s="709">
        <v>1266</v>
      </c>
      <c r="K1502" s="730">
        <v>8.33</v>
      </c>
      <c r="L1502" s="670"/>
      <c r="M1502" s="770" t="s">
        <v>1800</v>
      </c>
      <c r="N1502" s="130"/>
      <c r="O1502" s="251"/>
      <c r="P1502" s="766"/>
      <c r="Q1502" s="766"/>
      <c r="R1502" s="766"/>
      <c r="S1502" s="752"/>
      <c r="T1502" s="760"/>
      <c r="U1502" s="130"/>
      <c r="V1502" s="2107"/>
      <c r="W1502" s="611">
        <v>6.8</v>
      </c>
      <c r="X1502" s="614">
        <v>8.33</v>
      </c>
      <c r="Y1502" s="611"/>
      <c r="Z1502" s="611"/>
      <c r="AA1502" s="611"/>
      <c r="AB1502" s="611"/>
      <c r="AC1502" s="611"/>
      <c r="AD1502" s="611"/>
      <c r="AE1502" s="611"/>
      <c r="AF1502" s="611"/>
      <c r="AG1502" s="611"/>
    </row>
    <row r="1503" spans="1:33" s="56" customFormat="1" ht="15" hidden="1" customHeight="1" outlineLevel="1" x14ac:dyDescent="0.25">
      <c r="A1503" s="724"/>
      <c r="B1503" s="130"/>
      <c r="C1503" s="616"/>
      <c r="D1503" s="2101"/>
      <c r="E1503" s="2104"/>
      <c r="F1503" s="2110" t="str">
        <f>$E$810</f>
        <v>ASHP SEER 15 MF ER Replace Elec Resist Furnace: HVAC ER2</v>
      </c>
      <c r="G1503" s="2111"/>
      <c r="H1503" s="2111"/>
      <c r="I1503" s="2112"/>
      <c r="J1503" s="709" t="s">
        <v>1168</v>
      </c>
      <c r="K1503" s="730">
        <v>13</v>
      </c>
      <c r="L1503" s="670"/>
      <c r="M1503" s="770" t="s">
        <v>972</v>
      </c>
      <c r="N1503" s="130"/>
      <c r="O1503" s="251"/>
      <c r="P1503" s="766"/>
      <c r="Q1503" s="766"/>
      <c r="R1503" s="766"/>
      <c r="S1503" s="752"/>
      <c r="T1503" s="760"/>
      <c r="U1503" s="130"/>
      <c r="V1503" s="2107"/>
      <c r="W1503" s="611">
        <v>13</v>
      </c>
      <c r="X1503" s="611">
        <v>13</v>
      </c>
      <c r="Y1503" s="611"/>
      <c r="Z1503" s="611"/>
      <c r="AA1503" s="611"/>
      <c r="AB1503" s="611"/>
      <c r="AC1503" s="611"/>
      <c r="AD1503" s="611"/>
      <c r="AE1503" s="611"/>
      <c r="AF1503" s="611"/>
      <c r="AG1503" s="611"/>
    </row>
    <row r="1504" spans="1:33" s="56" customFormat="1" ht="15" hidden="1" customHeight="1" outlineLevel="1" x14ac:dyDescent="0.25">
      <c r="A1504" s="724"/>
      <c r="B1504" s="130"/>
      <c r="C1504" s="616"/>
      <c r="D1504" s="2101"/>
      <c r="E1504" s="2104"/>
      <c r="F1504" s="2110" t="str">
        <f>$E$812</f>
        <v>ASHP SEER 15 MF Replace at Fail Elec Resist Furnace: HVAC</v>
      </c>
      <c r="G1504" s="2111"/>
      <c r="H1504" s="2111"/>
      <c r="I1504" s="2112"/>
      <c r="J1504" s="709">
        <v>1268</v>
      </c>
      <c r="K1504" s="730">
        <v>13</v>
      </c>
      <c r="L1504" s="670"/>
      <c r="M1504" s="770" t="s">
        <v>972</v>
      </c>
      <c r="N1504" s="130"/>
      <c r="O1504" s="251"/>
      <c r="P1504" s="766"/>
      <c r="Q1504" s="766"/>
      <c r="R1504" s="766"/>
      <c r="S1504" s="752"/>
      <c r="T1504" s="760"/>
      <c r="U1504" s="130"/>
      <c r="V1504" s="2107"/>
      <c r="W1504" s="611">
        <v>13</v>
      </c>
      <c r="X1504" s="611">
        <v>13</v>
      </c>
      <c r="Y1504" s="611"/>
      <c r="Z1504" s="611"/>
      <c r="AA1504" s="611"/>
      <c r="AB1504" s="611"/>
      <c r="AC1504" s="611"/>
      <c r="AD1504" s="611"/>
      <c r="AE1504" s="611"/>
      <c r="AF1504" s="611"/>
      <c r="AG1504" s="611"/>
    </row>
    <row r="1505" spans="1:33" s="56" customFormat="1" ht="15" hidden="1" customHeight="1" outlineLevel="1" x14ac:dyDescent="0.25">
      <c r="A1505" s="724"/>
      <c r="B1505" s="130"/>
      <c r="C1505" s="616"/>
      <c r="D1505" s="2101"/>
      <c r="E1505" s="2104"/>
      <c r="F1505" s="2110" t="str">
        <f>$E$814</f>
        <v>ASHP SEER 16 MF ER Replace ASHP: HVAC ER1</v>
      </c>
      <c r="G1505" s="2111"/>
      <c r="H1505" s="2111"/>
      <c r="I1505" s="2112"/>
      <c r="J1505" s="709">
        <v>1240</v>
      </c>
      <c r="K1505" s="730">
        <v>8.33</v>
      </c>
      <c r="L1505" s="670"/>
      <c r="M1505" s="770" t="s">
        <v>1800</v>
      </c>
      <c r="N1505" s="130"/>
      <c r="O1505" s="251"/>
      <c r="P1505" s="766"/>
      <c r="Q1505" s="766"/>
      <c r="R1505" s="766"/>
      <c r="S1505" s="752"/>
      <c r="T1505" s="760"/>
      <c r="U1505" s="130"/>
      <c r="V1505" s="2107"/>
      <c r="W1505" s="611">
        <v>7.2</v>
      </c>
      <c r="X1505" s="614">
        <v>8.33</v>
      </c>
      <c r="Y1505" s="611"/>
      <c r="Z1505" s="611"/>
      <c r="AA1505" s="611"/>
      <c r="AB1505" s="611"/>
      <c r="AC1505" s="611"/>
      <c r="AD1505" s="611"/>
      <c r="AE1505" s="611"/>
      <c r="AF1505" s="611"/>
      <c r="AG1505" s="611"/>
    </row>
    <row r="1506" spans="1:33" s="56" customFormat="1" ht="15" hidden="1" customHeight="1" outlineLevel="1" x14ac:dyDescent="0.25">
      <c r="A1506" s="724"/>
      <c r="B1506" s="130"/>
      <c r="C1506" s="616"/>
      <c r="D1506" s="2101"/>
      <c r="E1506" s="2104"/>
      <c r="F1506" s="2110" t="str">
        <f>$E$816</f>
        <v>ASHP SEER 16 MF ER Replace ASHP: HVAC ER2</v>
      </c>
      <c r="G1506" s="2111"/>
      <c r="H1506" s="2111"/>
      <c r="I1506" s="2112"/>
      <c r="J1506" s="709" t="s">
        <v>1170</v>
      </c>
      <c r="K1506" s="730">
        <v>14</v>
      </c>
      <c r="L1506" s="670"/>
      <c r="M1506" s="770" t="s">
        <v>972</v>
      </c>
      <c r="N1506" s="130"/>
      <c r="O1506" s="251"/>
      <c r="P1506" s="766"/>
      <c r="Q1506" s="766"/>
      <c r="R1506" s="766"/>
      <c r="S1506" s="752"/>
      <c r="T1506" s="760"/>
      <c r="U1506" s="130"/>
      <c r="V1506" s="2107"/>
      <c r="W1506" s="611">
        <v>14</v>
      </c>
      <c r="X1506" s="611">
        <v>14</v>
      </c>
      <c r="Y1506" s="611"/>
      <c r="Z1506" s="611"/>
      <c r="AA1506" s="611"/>
      <c r="AB1506" s="611"/>
      <c r="AC1506" s="611"/>
      <c r="AD1506" s="611"/>
      <c r="AE1506" s="611"/>
      <c r="AF1506" s="611"/>
      <c r="AG1506" s="611"/>
    </row>
    <row r="1507" spans="1:33" s="56" customFormat="1" ht="15" hidden="1" customHeight="1" outlineLevel="1" x14ac:dyDescent="0.25">
      <c r="A1507" s="724"/>
      <c r="B1507" s="130"/>
      <c r="C1507" s="616"/>
      <c r="D1507" s="2101"/>
      <c r="E1507" s="2104"/>
      <c r="F1507" s="2110" t="str">
        <f>$E$818</f>
        <v>ASHP - SEER 16 - replace on fail MF</v>
      </c>
      <c r="G1507" s="2111"/>
      <c r="H1507" s="2111"/>
      <c r="I1507" s="2112"/>
      <c r="J1507" s="709">
        <v>1270</v>
      </c>
      <c r="K1507" s="730">
        <v>14</v>
      </c>
      <c r="L1507" s="670"/>
      <c r="M1507" s="770" t="s">
        <v>972</v>
      </c>
      <c r="N1507" s="130"/>
      <c r="O1507" s="251"/>
      <c r="P1507" s="766"/>
      <c r="Q1507" s="766"/>
      <c r="R1507" s="766"/>
      <c r="S1507" s="752"/>
      <c r="T1507" s="760"/>
      <c r="U1507" s="130"/>
      <c r="V1507" s="2107"/>
      <c r="W1507" s="611">
        <v>14</v>
      </c>
      <c r="X1507" s="611">
        <v>14</v>
      </c>
      <c r="Y1507" s="611"/>
      <c r="Z1507" s="611"/>
      <c r="AA1507" s="611"/>
      <c r="AB1507" s="611"/>
      <c r="AC1507" s="611"/>
      <c r="AD1507" s="611"/>
      <c r="AE1507" s="611"/>
      <c r="AF1507" s="611"/>
      <c r="AG1507" s="611"/>
    </row>
    <row r="1508" spans="1:33" s="56" customFormat="1" ht="15" hidden="1" customHeight="1" outlineLevel="1" x14ac:dyDescent="0.25">
      <c r="A1508" s="724"/>
      <c r="B1508" s="130"/>
      <c r="C1508" s="616"/>
      <c r="D1508" s="2101"/>
      <c r="E1508" s="2104"/>
      <c r="F1508" s="2110" t="str">
        <f>$E$820</f>
        <v>ASHP - SEER 16 - replace electric furnace / CAC MF</v>
      </c>
      <c r="G1508" s="2111"/>
      <c r="H1508" s="2111"/>
      <c r="I1508" s="2112"/>
      <c r="J1508" s="709">
        <v>1271</v>
      </c>
      <c r="K1508" s="730">
        <v>13</v>
      </c>
      <c r="L1508" s="670"/>
      <c r="M1508" s="770" t="s">
        <v>972</v>
      </c>
      <c r="N1508" s="130"/>
      <c r="O1508" s="251"/>
      <c r="P1508" s="766"/>
      <c r="Q1508" s="766"/>
      <c r="R1508" s="766"/>
      <c r="S1508" s="752"/>
      <c r="T1508" s="760"/>
      <c r="U1508" s="130"/>
      <c r="V1508" s="2107"/>
      <c r="W1508" s="611">
        <v>13</v>
      </c>
      <c r="X1508" s="611">
        <v>13</v>
      </c>
      <c r="Y1508" s="611"/>
      <c r="Z1508" s="611"/>
      <c r="AA1508" s="611"/>
      <c r="AB1508" s="611"/>
      <c r="AC1508" s="611"/>
      <c r="AD1508" s="611"/>
      <c r="AE1508" s="611"/>
      <c r="AF1508" s="611"/>
      <c r="AG1508" s="611"/>
    </row>
    <row r="1509" spans="1:33" s="56" customFormat="1" ht="15" hidden="1" customHeight="1" outlineLevel="1" x14ac:dyDescent="0.25">
      <c r="A1509" s="724"/>
      <c r="B1509" s="130"/>
      <c r="C1509" s="616"/>
      <c r="D1509" s="2101"/>
      <c r="E1509" s="2104"/>
      <c r="F1509" s="2110" t="str">
        <f>$E$822</f>
        <v>ASHP - SEER 16 - replace electric furnace / CAC - early replacement MF ER1</v>
      </c>
      <c r="G1509" s="2111"/>
      <c r="H1509" s="2111"/>
      <c r="I1509" s="2112"/>
      <c r="J1509" s="709">
        <v>1269</v>
      </c>
      <c r="K1509" s="730">
        <v>8.33</v>
      </c>
      <c r="L1509" s="670"/>
      <c r="M1509" s="770" t="s">
        <v>1800</v>
      </c>
      <c r="N1509" s="130"/>
      <c r="O1509" s="251"/>
      <c r="P1509" s="766"/>
      <c r="Q1509" s="766"/>
      <c r="R1509" s="766"/>
      <c r="S1509" s="752"/>
      <c r="T1509" s="760"/>
      <c r="U1509" s="130"/>
      <c r="V1509" s="2107"/>
      <c r="W1509" s="611">
        <v>6.8</v>
      </c>
      <c r="X1509" s="614">
        <v>8.33</v>
      </c>
      <c r="Y1509" s="611"/>
      <c r="Z1509" s="611"/>
      <c r="AA1509" s="611"/>
      <c r="AB1509" s="611"/>
      <c r="AC1509" s="611"/>
      <c r="AD1509" s="611"/>
      <c r="AE1509" s="611"/>
      <c r="AF1509" s="611"/>
      <c r="AG1509" s="611"/>
    </row>
    <row r="1510" spans="1:33" s="56" customFormat="1" ht="15" hidden="1" customHeight="1" outlineLevel="1" x14ac:dyDescent="0.25">
      <c r="A1510" s="724"/>
      <c r="B1510" s="130"/>
      <c r="C1510" s="616"/>
      <c r="D1510" s="2101"/>
      <c r="E1510" s="2104"/>
      <c r="F1510" s="2110" t="str">
        <f>$E$824</f>
        <v>ASHP - SEER 16 - replace electric furnace / CAC - early replacement MF ER2</v>
      </c>
      <c r="G1510" s="2111"/>
      <c r="H1510" s="2111"/>
      <c r="I1510" s="2112"/>
      <c r="J1510" s="709" t="s">
        <v>1171</v>
      </c>
      <c r="K1510" s="730">
        <v>13</v>
      </c>
      <c r="L1510" s="670"/>
      <c r="M1510" s="770" t="s">
        <v>972</v>
      </c>
      <c r="N1510" s="130"/>
      <c r="O1510" s="251"/>
      <c r="P1510" s="766"/>
      <c r="Q1510" s="766"/>
      <c r="R1510" s="766"/>
      <c r="S1510" s="752"/>
      <c r="T1510" s="760"/>
      <c r="U1510" s="130"/>
      <c r="V1510" s="2107"/>
      <c r="W1510" s="611">
        <v>13</v>
      </c>
      <c r="X1510" s="611">
        <v>13</v>
      </c>
      <c r="Y1510" s="611"/>
      <c r="Z1510" s="611"/>
      <c r="AA1510" s="611"/>
      <c r="AB1510" s="611"/>
      <c r="AC1510" s="611"/>
      <c r="AD1510" s="611"/>
      <c r="AE1510" s="611"/>
      <c r="AF1510" s="611"/>
      <c r="AG1510" s="611"/>
    </row>
    <row r="1511" spans="1:33" s="56" customFormat="1" ht="15" hidden="1" customHeight="1" outlineLevel="1" x14ac:dyDescent="0.25">
      <c r="A1511" s="724"/>
      <c r="B1511" s="130"/>
      <c r="C1511" s="616"/>
      <c r="D1511" s="2101"/>
      <c r="E1511" s="2104"/>
      <c r="F1511" s="2110" t="str">
        <f>$E$826</f>
        <v>ASHP SEER 15 MF Replace at Fail ASHP: HVAC</v>
      </c>
      <c r="G1511" s="2111"/>
      <c r="H1511" s="2111"/>
      <c r="I1511" s="2112"/>
      <c r="J1511" s="709">
        <v>1267</v>
      </c>
      <c r="K1511" s="730">
        <v>14</v>
      </c>
      <c r="L1511" s="670"/>
      <c r="M1511" s="770" t="s">
        <v>972</v>
      </c>
      <c r="N1511" s="130"/>
      <c r="O1511" s="251"/>
      <c r="P1511" s="766"/>
      <c r="Q1511" s="766"/>
      <c r="R1511" s="766"/>
      <c r="S1511" s="752"/>
      <c r="T1511" s="760"/>
      <c r="U1511" s="130"/>
      <c r="V1511" s="2107"/>
      <c r="W1511" s="611">
        <v>14</v>
      </c>
      <c r="X1511" s="611">
        <v>14</v>
      </c>
      <c r="Y1511" s="611"/>
      <c r="Z1511" s="611"/>
      <c r="AA1511" s="611"/>
      <c r="AB1511" s="611"/>
      <c r="AC1511" s="611"/>
      <c r="AD1511" s="611"/>
      <c r="AE1511" s="611"/>
      <c r="AF1511" s="611"/>
      <c r="AG1511" s="611"/>
    </row>
    <row r="1512" spans="1:33" s="56" customFormat="1" ht="15" hidden="1" customHeight="1" outlineLevel="1" x14ac:dyDescent="0.25">
      <c r="A1512" s="724"/>
      <c r="B1512" s="130"/>
      <c r="C1512" s="616"/>
      <c r="D1512" s="2101"/>
      <c r="E1512" s="2104"/>
      <c r="F1512" s="2110" t="str">
        <f>$E$828</f>
        <v>ASHP - SEER 17 - replace electric furnace / CAC SF</v>
      </c>
      <c r="G1512" s="2111"/>
      <c r="H1512" s="2111"/>
      <c r="I1512" s="2112"/>
      <c r="J1512" s="709" t="s">
        <v>1172</v>
      </c>
      <c r="K1512" s="730">
        <v>8.33</v>
      </c>
      <c r="L1512" s="670"/>
      <c r="M1512" s="770" t="s">
        <v>1800</v>
      </c>
      <c r="N1512" s="130"/>
      <c r="O1512" s="251"/>
      <c r="P1512" s="766"/>
      <c r="Q1512" s="766"/>
      <c r="R1512" s="766"/>
      <c r="S1512" s="752"/>
      <c r="T1512" s="760"/>
      <c r="U1512" s="130"/>
      <c r="V1512" s="2107"/>
      <c r="W1512" s="611">
        <v>6.8</v>
      </c>
      <c r="X1512" s="614">
        <v>8.33</v>
      </c>
      <c r="Y1512" s="611"/>
      <c r="Z1512" s="611"/>
      <c r="AA1512" s="611"/>
      <c r="AB1512" s="611"/>
      <c r="AC1512" s="611"/>
      <c r="AD1512" s="611"/>
      <c r="AE1512" s="611"/>
      <c r="AF1512" s="611"/>
      <c r="AG1512" s="611"/>
    </row>
    <row r="1513" spans="1:33" s="56" customFormat="1" ht="15" hidden="1" customHeight="1" outlineLevel="1" x14ac:dyDescent="0.25">
      <c r="A1513" s="724"/>
      <c r="B1513" s="130"/>
      <c r="C1513" s="616"/>
      <c r="D1513" s="2101"/>
      <c r="E1513" s="2104"/>
      <c r="F1513" s="2110" t="str">
        <f>$E$830</f>
        <v>ASHP - SEER 17 - replace electric furnace / CAC MF</v>
      </c>
      <c r="G1513" s="2111"/>
      <c r="H1513" s="2111"/>
      <c r="I1513" s="2112"/>
      <c r="J1513" s="709" t="s">
        <v>1174</v>
      </c>
      <c r="K1513" s="730">
        <v>8.33</v>
      </c>
      <c r="L1513" s="670"/>
      <c r="M1513" s="770" t="s">
        <v>1800</v>
      </c>
      <c r="N1513" s="130"/>
      <c r="O1513" s="251"/>
      <c r="P1513" s="766"/>
      <c r="Q1513" s="766"/>
      <c r="R1513" s="766"/>
      <c r="S1513" s="752"/>
      <c r="T1513" s="760"/>
      <c r="U1513" s="130"/>
      <c r="V1513" s="2107"/>
      <c r="W1513" s="611">
        <v>6.8</v>
      </c>
      <c r="X1513" s="614">
        <v>8.33</v>
      </c>
      <c r="Y1513" s="611"/>
      <c r="Z1513" s="611"/>
      <c r="AA1513" s="611"/>
      <c r="AB1513" s="611"/>
      <c r="AC1513" s="611"/>
      <c r="AD1513" s="611"/>
      <c r="AE1513" s="611"/>
      <c r="AF1513" s="611"/>
      <c r="AG1513" s="611"/>
    </row>
    <row r="1514" spans="1:33" s="56" customFormat="1" ht="15" hidden="1" customHeight="1" outlineLevel="1" x14ac:dyDescent="0.25">
      <c r="A1514" s="724"/>
      <c r="B1514" s="130"/>
      <c r="C1514" s="616"/>
      <c r="D1514" s="2101"/>
      <c r="E1514" s="2104"/>
      <c r="F1514" s="2110" t="str">
        <f>$E$832</f>
        <v>ASHP - SEER 18 - replace electric furnace / CAC SF</v>
      </c>
      <c r="G1514" s="2111"/>
      <c r="H1514" s="2111"/>
      <c r="I1514" s="2112"/>
      <c r="J1514" s="709" t="s">
        <v>1175</v>
      </c>
      <c r="K1514" s="730">
        <v>8.33</v>
      </c>
      <c r="L1514" s="670"/>
      <c r="M1514" s="770" t="s">
        <v>1800</v>
      </c>
      <c r="N1514" s="130"/>
      <c r="O1514" s="251"/>
      <c r="P1514" s="766"/>
      <c r="Q1514" s="766"/>
      <c r="R1514" s="766"/>
      <c r="S1514" s="752"/>
      <c r="T1514" s="760"/>
      <c r="U1514" s="130"/>
      <c r="V1514" s="2107"/>
      <c r="W1514" s="611">
        <v>6.8</v>
      </c>
      <c r="X1514" s="614">
        <v>8.33</v>
      </c>
      <c r="Y1514" s="611"/>
      <c r="Z1514" s="611"/>
      <c r="AA1514" s="611"/>
      <c r="AB1514" s="611"/>
      <c r="AC1514" s="611"/>
      <c r="AD1514" s="611"/>
      <c r="AE1514" s="611"/>
      <c r="AF1514" s="611"/>
      <c r="AG1514" s="611"/>
    </row>
    <row r="1515" spans="1:33" s="56" customFormat="1" ht="15" hidden="1" customHeight="1" outlineLevel="1" x14ac:dyDescent="0.25">
      <c r="A1515" s="724"/>
      <c r="B1515" s="130"/>
      <c r="C1515" s="616"/>
      <c r="D1515" s="2101"/>
      <c r="E1515" s="2104"/>
      <c r="F1515" s="2110" t="str">
        <f>$E$834</f>
        <v>ASHP - SEER 18 - replace electric furnace / CAC MF</v>
      </c>
      <c r="G1515" s="2111"/>
      <c r="H1515" s="2111"/>
      <c r="I1515" s="2112"/>
      <c r="J1515" s="709" t="s">
        <v>1176</v>
      </c>
      <c r="K1515" s="730">
        <v>8.33</v>
      </c>
      <c r="L1515" s="670"/>
      <c r="M1515" s="770" t="s">
        <v>1800</v>
      </c>
      <c r="N1515" s="130"/>
      <c r="O1515" s="251"/>
      <c r="P1515" s="766"/>
      <c r="Q1515" s="766"/>
      <c r="R1515" s="766"/>
      <c r="S1515" s="752"/>
      <c r="T1515" s="760"/>
      <c r="U1515" s="130"/>
      <c r="V1515" s="2107"/>
      <c r="W1515" s="611">
        <v>6.8</v>
      </c>
      <c r="X1515" s="614">
        <v>8.33</v>
      </c>
      <c r="Y1515" s="611"/>
      <c r="Z1515" s="611"/>
      <c r="AA1515" s="611"/>
      <c r="AB1515" s="611"/>
      <c r="AC1515" s="611"/>
      <c r="AD1515" s="611"/>
      <c r="AE1515" s="611"/>
      <c r="AF1515" s="611"/>
      <c r="AG1515" s="611"/>
    </row>
    <row r="1516" spans="1:33" s="56" customFormat="1" ht="15" hidden="1" customHeight="1" outlineLevel="1" x14ac:dyDescent="0.25">
      <c r="A1516" s="724"/>
      <c r="B1516" s="130"/>
      <c r="C1516" s="616"/>
      <c r="D1516" s="2101"/>
      <c r="E1516" s="2104"/>
      <c r="F1516" s="2110" t="str">
        <f>$E$836</f>
        <v>ASHP - SEER 19 - replace electric furnace / CAC SF</v>
      </c>
      <c r="G1516" s="2111"/>
      <c r="H1516" s="2111"/>
      <c r="I1516" s="2112"/>
      <c r="J1516" s="709" t="s">
        <v>1177</v>
      </c>
      <c r="K1516" s="730">
        <v>8.33</v>
      </c>
      <c r="L1516" s="670"/>
      <c r="M1516" s="770" t="s">
        <v>1800</v>
      </c>
      <c r="N1516" s="130"/>
      <c r="O1516" s="251"/>
      <c r="P1516" s="766"/>
      <c r="Q1516" s="766"/>
      <c r="R1516" s="766"/>
      <c r="S1516" s="752"/>
      <c r="T1516" s="760"/>
      <c r="U1516" s="130"/>
      <c r="V1516" s="2107"/>
      <c r="W1516" s="611">
        <v>6.8</v>
      </c>
      <c r="X1516" s="614">
        <v>8.33</v>
      </c>
      <c r="Y1516" s="611"/>
      <c r="Z1516" s="611"/>
      <c r="AA1516" s="611"/>
      <c r="AB1516" s="611"/>
      <c r="AC1516" s="611"/>
      <c r="AD1516" s="611"/>
      <c r="AE1516" s="611"/>
      <c r="AF1516" s="611"/>
      <c r="AG1516" s="611"/>
    </row>
    <row r="1517" spans="1:33" s="56" customFormat="1" ht="15" hidden="1" customHeight="1" outlineLevel="1" x14ac:dyDescent="0.25">
      <c r="A1517" s="724"/>
      <c r="B1517" s="130"/>
      <c r="C1517" s="616"/>
      <c r="D1517" s="2101"/>
      <c r="E1517" s="2104"/>
      <c r="F1517" s="2110" t="str">
        <f>$E$838</f>
        <v>ASHP - SEER 19 - replace electric furnace / CAC MF</v>
      </c>
      <c r="G1517" s="2111"/>
      <c r="H1517" s="2111"/>
      <c r="I1517" s="2112"/>
      <c r="J1517" s="709" t="s">
        <v>1178</v>
      </c>
      <c r="K1517" s="730">
        <v>8.33</v>
      </c>
      <c r="L1517" s="670"/>
      <c r="M1517" s="770" t="s">
        <v>1800</v>
      </c>
      <c r="N1517" s="130"/>
      <c r="O1517" s="251"/>
      <c r="P1517" s="766"/>
      <c r="Q1517" s="766"/>
      <c r="R1517" s="766"/>
      <c r="S1517" s="752"/>
      <c r="T1517" s="760"/>
      <c r="U1517" s="130"/>
      <c r="V1517" s="2107"/>
      <c r="W1517" s="611">
        <v>6.8</v>
      </c>
      <c r="X1517" s="614">
        <v>8.33</v>
      </c>
      <c r="Y1517" s="611"/>
      <c r="Z1517" s="611"/>
      <c r="AA1517" s="611"/>
      <c r="AB1517" s="611"/>
      <c r="AC1517" s="611"/>
      <c r="AD1517" s="611"/>
      <c r="AE1517" s="611"/>
      <c r="AF1517" s="611"/>
      <c r="AG1517" s="611"/>
    </row>
    <row r="1518" spans="1:33" s="56" customFormat="1" ht="15" hidden="1" customHeight="1" outlineLevel="1" x14ac:dyDescent="0.25">
      <c r="A1518" s="724"/>
      <c r="B1518" s="130"/>
      <c r="C1518" s="616"/>
      <c r="D1518" s="2101"/>
      <c r="E1518" s="2104"/>
      <c r="F1518" s="2110" t="str">
        <f>$E$840</f>
        <v>ASHP - SEER 20 - replace electric furnace / CAC - early replacement SF ER1</v>
      </c>
      <c r="G1518" s="2111"/>
      <c r="H1518" s="2111"/>
      <c r="I1518" s="2112"/>
      <c r="J1518" s="709" t="s">
        <v>1179</v>
      </c>
      <c r="K1518" s="730">
        <v>8.33</v>
      </c>
      <c r="L1518" s="670"/>
      <c r="M1518" s="770" t="s">
        <v>1800</v>
      </c>
      <c r="N1518" s="130"/>
      <c r="O1518" s="251"/>
      <c r="P1518" s="766"/>
      <c r="Q1518" s="766"/>
      <c r="R1518" s="766"/>
      <c r="S1518" s="752"/>
      <c r="T1518" s="760"/>
      <c r="U1518" s="130"/>
      <c r="V1518" s="2107"/>
      <c r="W1518" s="611">
        <v>6.8</v>
      </c>
      <c r="X1518" s="614">
        <v>8.33</v>
      </c>
      <c r="Y1518" s="611"/>
      <c r="Z1518" s="611"/>
      <c r="AA1518" s="611"/>
      <c r="AB1518" s="611"/>
      <c r="AC1518" s="611"/>
      <c r="AD1518" s="611"/>
      <c r="AE1518" s="611"/>
      <c r="AF1518" s="611"/>
      <c r="AG1518" s="611"/>
    </row>
    <row r="1519" spans="1:33" s="56" customFormat="1" ht="15" hidden="1" customHeight="1" outlineLevel="1" x14ac:dyDescent="0.25">
      <c r="A1519" s="724"/>
      <c r="B1519" s="130"/>
      <c r="C1519" s="616"/>
      <c r="D1519" s="2101"/>
      <c r="E1519" s="2104"/>
      <c r="F1519" s="2110" t="str">
        <f>$E$842</f>
        <v>ASHP - SEER 20 - replace electric furnace / CAC - early replacement SF ER2</v>
      </c>
      <c r="G1519" s="2111"/>
      <c r="H1519" s="2111"/>
      <c r="I1519" s="2112"/>
      <c r="J1519" s="709" t="s">
        <v>1180</v>
      </c>
      <c r="K1519" s="730">
        <v>13</v>
      </c>
      <c r="L1519" s="670"/>
      <c r="M1519" s="770" t="s">
        <v>972</v>
      </c>
      <c r="N1519" s="130"/>
      <c r="O1519" s="251"/>
      <c r="P1519" s="766"/>
      <c r="Q1519" s="766"/>
      <c r="R1519" s="766"/>
      <c r="S1519" s="752"/>
      <c r="T1519" s="760"/>
      <c r="U1519" s="130"/>
      <c r="V1519" s="2107"/>
      <c r="W1519" s="611">
        <v>13</v>
      </c>
      <c r="X1519" s="611">
        <v>13</v>
      </c>
      <c r="Y1519" s="611"/>
      <c r="Z1519" s="611"/>
      <c r="AA1519" s="611"/>
      <c r="AB1519" s="611"/>
      <c r="AC1519" s="611"/>
      <c r="AD1519" s="611"/>
      <c r="AE1519" s="611"/>
      <c r="AF1519" s="611"/>
      <c r="AG1519" s="611"/>
    </row>
    <row r="1520" spans="1:33" s="56" customFormat="1" ht="15" hidden="1" customHeight="1" outlineLevel="1" x14ac:dyDescent="0.25">
      <c r="A1520" s="724"/>
      <c r="B1520" s="130"/>
      <c r="C1520" s="616"/>
      <c r="D1520" s="2101"/>
      <c r="E1520" s="2104"/>
      <c r="F1520" s="2110" t="str">
        <f>$E$844</f>
        <v>ASHP - SEER 20 - replace electric furnace / CAC SF</v>
      </c>
      <c r="G1520" s="2111"/>
      <c r="H1520" s="2111"/>
      <c r="I1520" s="2112"/>
      <c r="J1520" s="709" t="s">
        <v>1181</v>
      </c>
      <c r="K1520" s="730">
        <v>13</v>
      </c>
      <c r="L1520" s="670"/>
      <c r="M1520" s="770" t="s">
        <v>972</v>
      </c>
      <c r="N1520" s="130"/>
      <c r="O1520" s="251"/>
      <c r="P1520" s="766"/>
      <c r="Q1520" s="766"/>
      <c r="R1520" s="766"/>
      <c r="S1520" s="752"/>
      <c r="T1520" s="760"/>
      <c r="U1520" s="130"/>
      <c r="V1520" s="2107"/>
      <c r="W1520" s="611">
        <v>13</v>
      </c>
      <c r="X1520" s="611">
        <v>13</v>
      </c>
      <c r="Y1520" s="611"/>
      <c r="Z1520" s="611"/>
      <c r="AA1520" s="611"/>
      <c r="AB1520" s="611"/>
      <c r="AC1520" s="611"/>
      <c r="AD1520" s="611"/>
      <c r="AE1520" s="611"/>
      <c r="AF1520" s="611"/>
      <c r="AG1520" s="611"/>
    </row>
    <row r="1521" spans="1:33" s="56" customFormat="1" ht="15" hidden="1" customHeight="1" outlineLevel="1" x14ac:dyDescent="0.25">
      <c r="A1521" s="724"/>
      <c r="B1521" s="130"/>
      <c r="C1521" s="616"/>
      <c r="D1521" s="2101"/>
      <c r="E1521" s="2104"/>
      <c r="F1521" s="2110" t="str">
        <f>$E$846</f>
        <v>ASHP - SEER 20 - replace electric furnace / CAC MF</v>
      </c>
      <c r="G1521" s="2111"/>
      <c r="H1521" s="2111"/>
      <c r="I1521" s="2112"/>
      <c r="J1521" s="709" t="s">
        <v>1182</v>
      </c>
      <c r="K1521" s="730">
        <v>13</v>
      </c>
      <c r="L1521" s="670"/>
      <c r="M1521" s="770" t="s">
        <v>972</v>
      </c>
      <c r="N1521" s="130"/>
      <c r="O1521" s="251"/>
      <c r="P1521" s="766"/>
      <c r="Q1521" s="766"/>
      <c r="R1521" s="766"/>
      <c r="S1521" s="752"/>
      <c r="T1521" s="760"/>
      <c r="U1521" s="130"/>
      <c r="V1521" s="2107"/>
      <c r="W1521" s="611">
        <v>13</v>
      </c>
      <c r="X1521" s="611">
        <v>13</v>
      </c>
      <c r="Y1521" s="611"/>
      <c r="Z1521" s="611"/>
      <c r="AA1521" s="611"/>
      <c r="AB1521" s="611"/>
      <c r="AC1521" s="611"/>
      <c r="AD1521" s="611"/>
      <c r="AE1521" s="611"/>
      <c r="AF1521" s="611"/>
      <c r="AG1521" s="611"/>
    </row>
    <row r="1522" spans="1:33" s="56" customFormat="1" ht="15" hidden="1" customHeight="1" outlineLevel="1" x14ac:dyDescent="0.25">
      <c r="A1522" s="724"/>
      <c r="B1522" s="130"/>
      <c r="C1522" s="616"/>
      <c r="D1522" s="2101"/>
      <c r="E1522" s="2104"/>
      <c r="F1522" s="2110" t="str">
        <f>$E$848</f>
        <v>ASHP - SEER 21 - replace electric furnace / CAC - early replacement SF ER1</v>
      </c>
      <c r="G1522" s="2111"/>
      <c r="H1522" s="2111"/>
      <c r="I1522" s="2112"/>
      <c r="J1522" s="709" t="s">
        <v>1183</v>
      </c>
      <c r="K1522" s="730">
        <v>8.33</v>
      </c>
      <c r="L1522" s="670"/>
      <c r="M1522" s="770" t="s">
        <v>1800</v>
      </c>
      <c r="N1522" s="130"/>
      <c r="O1522" s="251"/>
      <c r="P1522" s="766"/>
      <c r="Q1522" s="767"/>
      <c r="R1522" s="766"/>
      <c r="S1522" s="752"/>
      <c r="T1522" s="760"/>
      <c r="U1522" s="130"/>
      <c r="V1522" s="2107"/>
      <c r="W1522" s="611">
        <v>6.8</v>
      </c>
      <c r="X1522" s="614">
        <v>8.33</v>
      </c>
      <c r="Y1522" s="611"/>
      <c r="Z1522" s="611"/>
      <c r="AA1522" s="611"/>
      <c r="AB1522" s="611"/>
      <c r="AC1522" s="611"/>
      <c r="AD1522" s="611"/>
      <c r="AE1522" s="611"/>
      <c r="AF1522" s="611"/>
      <c r="AG1522" s="611"/>
    </row>
    <row r="1523" spans="1:33" s="56" customFormat="1" ht="15" hidden="1" customHeight="1" outlineLevel="1" x14ac:dyDescent="0.25">
      <c r="A1523" s="724"/>
      <c r="B1523" s="130"/>
      <c r="C1523" s="616"/>
      <c r="D1523" s="2101"/>
      <c r="E1523" s="2104"/>
      <c r="F1523" s="2110" t="str">
        <f>$E$850</f>
        <v>ASHP - SEER 21 - replace electric furnace / CAC - early replacement SF ER2</v>
      </c>
      <c r="G1523" s="2111"/>
      <c r="H1523" s="2111"/>
      <c r="I1523" s="2112"/>
      <c r="J1523" s="709" t="s">
        <v>1184</v>
      </c>
      <c r="K1523" s="730">
        <v>13</v>
      </c>
      <c r="L1523" s="670"/>
      <c r="M1523" s="770" t="s">
        <v>972</v>
      </c>
      <c r="N1523" s="130"/>
      <c r="O1523" s="251"/>
      <c r="P1523" s="766"/>
      <c r="Q1523" s="767"/>
      <c r="R1523" s="766"/>
      <c r="S1523" s="752"/>
      <c r="T1523" s="760"/>
      <c r="U1523" s="130"/>
      <c r="V1523" s="2107"/>
      <c r="W1523" s="611">
        <v>13</v>
      </c>
      <c r="X1523" s="611">
        <v>13</v>
      </c>
      <c r="Y1523" s="611"/>
      <c r="Z1523" s="611"/>
      <c r="AA1523" s="611"/>
      <c r="AB1523" s="611"/>
      <c r="AC1523" s="611"/>
      <c r="AD1523" s="611"/>
      <c r="AE1523" s="611"/>
      <c r="AF1523" s="611"/>
      <c r="AG1523" s="611"/>
    </row>
    <row r="1524" spans="1:33" s="56" customFormat="1" ht="15" hidden="1" customHeight="1" outlineLevel="1" x14ac:dyDescent="0.25">
      <c r="A1524" s="724"/>
      <c r="B1524" s="130"/>
      <c r="C1524" s="616"/>
      <c r="D1524" s="2101"/>
      <c r="E1524" s="2104"/>
      <c r="F1524" s="2110" t="str">
        <f>$E$852</f>
        <v>ASHP - SEER 21 - replace electric furnace / CAC - early replacement MF ER1</v>
      </c>
      <c r="G1524" s="2111"/>
      <c r="H1524" s="2111"/>
      <c r="I1524" s="2112"/>
      <c r="J1524" s="709" t="s">
        <v>1185</v>
      </c>
      <c r="K1524" s="730">
        <v>8.33</v>
      </c>
      <c r="L1524" s="670"/>
      <c r="M1524" s="770" t="s">
        <v>1800</v>
      </c>
      <c r="N1524" s="130"/>
      <c r="O1524" s="251"/>
      <c r="P1524" s="766"/>
      <c r="Q1524" s="767"/>
      <c r="R1524" s="766"/>
      <c r="S1524" s="752"/>
      <c r="T1524" s="760"/>
      <c r="U1524" s="130"/>
      <c r="V1524" s="2107"/>
      <c r="W1524" s="611">
        <v>6.8</v>
      </c>
      <c r="X1524" s="614">
        <v>8.33</v>
      </c>
      <c r="Y1524" s="611"/>
      <c r="Z1524" s="611"/>
      <c r="AA1524" s="611"/>
      <c r="AB1524" s="611"/>
      <c r="AC1524" s="611"/>
      <c r="AD1524" s="611"/>
      <c r="AE1524" s="611"/>
      <c r="AF1524" s="611"/>
      <c r="AG1524" s="611"/>
    </row>
    <row r="1525" spans="1:33" s="56" customFormat="1" ht="15" hidden="1" customHeight="1" outlineLevel="1" x14ac:dyDescent="0.25">
      <c r="A1525" s="724"/>
      <c r="B1525" s="130"/>
      <c r="C1525" s="616"/>
      <c r="D1525" s="2101"/>
      <c r="E1525" s="2104"/>
      <c r="F1525" s="2110" t="str">
        <f>$E$854</f>
        <v>ASHP - SEER 21 - replace electric furnace / CAC - early replacement MF ER2</v>
      </c>
      <c r="G1525" s="2111"/>
      <c r="H1525" s="2111"/>
      <c r="I1525" s="2112"/>
      <c r="J1525" s="709" t="s">
        <v>1186</v>
      </c>
      <c r="K1525" s="730">
        <v>13</v>
      </c>
      <c r="L1525" s="670"/>
      <c r="M1525" s="770" t="s">
        <v>972</v>
      </c>
      <c r="N1525" s="130"/>
      <c r="O1525" s="251"/>
      <c r="P1525" s="766"/>
      <c r="Q1525" s="767"/>
      <c r="R1525" s="766"/>
      <c r="S1525" s="752"/>
      <c r="T1525" s="760"/>
      <c r="U1525" s="130"/>
      <c r="V1525" s="2107"/>
      <c r="W1525" s="611">
        <v>13</v>
      </c>
      <c r="X1525" s="611">
        <v>13</v>
      </c>
      <c r="Y1525" s="611"/>
      <c r="Z1525" s="611"/>
      <c r="AA1525" s="611"/>
      <c r="AB1525" s="611"/>
      <c r="AC1525" s="611"/>
      <c r="AD1525" s="611"/>
      <c r="AE1525" s="611"/>
      <c r="AF1525" s="611"/>
      <c r="AG1525" s="611"/>
    </row>
    <row r="1526" spans="1:33" s="56" customFormat="1" ht="15" hidden="1" customHeight="1" outlineLevel="1" x14ac:dyDescent="0.25">
      <c r="A1526" s="724"/>
      <c r="B1526" s="130"/>
      <c r="C1526" s="616"/>
      <c r="D1526" s="2101"/>
      <c r="E1526" s="2104"/>
      <c r="F1526" s="2110" t="str">
        <f>$E$856</f>
        <v>ASHP - SEER 21 - replace electric furnace / CAC SF</v>
      </c>
      <c r="G1526" s="2111"/>
      <c r="H1526" s="2111"/>
      <c r="I1526" s="2112"/>
      <c r="J1526" s="709" t="s">
        <v>1187</v>
      </c>
      <c r="K1526" s="730">
        <v>13</v>
      </c>
      <c r="L1526" s="670"/>
      <c r="M1526" s="770" t="s">
        <v>972</v>
      </c>
      <c r="N1526" s="130"/>
      <c r="O1526" s="251"/>
      <c r="P1526" s="766"/>
      <c r="Q1526" s="767"/>
      <c r="R1526" s="766"/>
      <c r="S1526" s="752"/>
      <c r="T1526" s="760"/>
      <c r="U1526" s="130"/>
      <c r="V1526" s="2107"/>
      <c r="W1526" s="611">
        <v>13</v>
      </c>
      <c r="X1526" s="611">
        <v>13</v>
      </c>
      <c r="Y1526" s="611"/>
      <c r="Z1526" s="611"/>
      <c r="AA1526" s="611"/>
      <c r="AB1526" s="611"/>
      <c r="AC1526" s="611"/>
      <c r="AD1526" s="611"/>
      <c r="AE1526" s="611"/>
      <c r="AF1526" s="611"/>
      <c r="AG1526" s="611"/>
    </row>
    <row r="1527" spans="1:33" s="56" customFormat="1" ht="15" hidden="1" customHeight="1" outlineLevel="1" x14ac:dyDescent="0.25">
      <c r="A1527" s="724"/>
      <c r="B1527" s="130"/>
      <c r="C1527" s="616"/>
      <c r="D1527" s="2101"/>
      <c r="E1527" s="2104"/>
      <c r="F1527" s="2110" t="str">
        <f>$E$858</f>
        <v>ASHP-  SEER 21+ Replace at Fail Elec Resist Furnace: HVAC</v>
      </c>
      <c r="G1527" s="2111"/>
      <c r="H1527" s="2111"/>
      <c r="I1527" s="2112"/>
      <c r="J1527" s="709" t="s">
        <v>614</v>
      </c>
      <c r="K1527" s="730">
        <v>13</v>
      </c>
      <c r="L1527" s="670"/>
      <c r="M1527" s="770" t="s">
        <v>972</v>
      </c>
      <c r="N1527" s="130"/>
      <c r="O1527" s="251"/>
      <c r="P1527" s="766"/>
      <c r="Q1527" s="767"/>
      <c r="R1527" s="766"/>
      <c r="S1527" s="752"/>
      <c r="T1527" s="760"/>
      <c r="U1527" s="130"/>
      <c r="V1527" s="2107"/>
      <c r="W1527" s="611">
        <v>13</v>
      </c>
      <c r="X1527" s="611">
        <v>13</v>
      </c>
      <c r="Y1527" s="611"/>
      <c r="Z1527" s="611"/>
      <c r="AA1527" s="611"/>
      <c r="AB1527" s="611"/>
      <c r="AC1527" s="611"/>
      <c r="AD1527" s="611"/>
      <c r="AE1527" s="611"/>
      <c r="AF1527" s="611"/>
      <c r="AG1527" s="611"/>
    </row>
    <row r="1528" spans="1:33" s="56" customFormat="1" ht="15" hidden="1" customHeight="1" outlineLevel="1" x14ac:dyDescent="0.25">
      <c r="A1528" s="597"/>
      <c r="B1528" s="130"/>
      <c r="C1528" s="616"/>
      <c r="D1528" s="2101"/>
      <c r="E1528" s="2104"/>
      <c r="F1528" s="2110" t="str">
        <f>$E$860</f>
        <v>ASHP SEER 17 replace ASHP - early replacement SF ER1</v>
      </c>
      <c r="G1528" s="2111"/>
      <c r="H1528" s="2111"/>
      <c r="I1528" s="2112"/>
      <c r="J1528" s="709" t="s">
        <v>1188</v>
      </c>
      <c r="K1528" s="730">
        <v>8.33</v>
      </c>
      <c r="L1528" s="670"/>
      <c r="M1528" s="770" t="s">
        <v>1800</v>
      </c>
      <c r="N1528" s="130"/>
      <c r="O1528" s="251"/>
      <c r="P1528" s="251"/>
      <c r="Q1528" s="251"/>
      <c r="R1528" s="251"/>
      <c r="S1528" s="130"/>
      <c r="T1528" s="130"/>
      <c r="U1528" s="130"/>
      <c r="V1528" s="2107"/>
      <c r="W1528" s="611">
        <v>7.2</v>
      </c>
      <c r="X1528" s="614">
        <v>8.33</v>
      </c>
      <c r="Y1528" s="611"/>
      <c r="Z1528" s="611"/>
      <c r="AA1528" s="611"/>
      <c r="AB1528" s="611"/>
      <c r="AC1528" s="611"/>
      <c r="AD1528" s="611"/>
      <c r="AE1528" s="611"/>
      <c r="AF1528" s="611"/>
      <c r="AG1528" s="611"/>
    </row>
    <row r="1529" spans="1:33" s="56" customFormat="1" ht="15" hidden="1" customHeight="1" outlineLevel="1" x14ac:dyDescent="0.25">
      <c r="A1529" s="724"/>
      <c r="B1529" s="130"/>
      <c r="C1529" s="616"/>
      <c r="D1529" s="2101"/>
      <c r="E1529" s="2104"/>
      <c r="F1529" s="2110" t="str">
        <f>$E$862</f>
        <v>ASHP SEER 17 replace ASHP - early replacement SF ER2</v>
      </c>
      <c r="G1529" s="2111"/>
      <c r="H1529" s="2111"/>
      <c r="I1529" s="2112"/>
      <c r="J1529" s="709" t="s">
        <v>1189</v>
      </c>
      <c r="K1529" s="730">
        <v>14</v>
      </c>
      <c r="L1529" s="670"/>
      <c r="M1529" s="770" t="s">
        <v>972</v>
      </c>
      <c r="N1529" s="130"/>
      <c r="O1529" s="251"/>
      <c r="P1529" s="766"/>
      <c r="Q1529" s="767"/>
      <c r="R1529" s="766"/>
      <c r="S1529" s="752"/>
      <c r="T1529" s="760"/>
      <c r="U1529" s="130"/>
      <c r="V1529" s="2107"/>
      <c r="W1529" s="611">
        <v>14</v>
      </c>
      <c r="X1529" s="611">
        <v>14</v>
      </c>
      <c r="Y1529" s="611"/>
      <c r="Z1529" s="611"/>
      <c r="AA1529" s="611"/>
      <c r="AB1529" s="611"/>
      <c r="AC1529" s="611"/>
      <c r="AD1529" s="611"/>
      <c r="AE1529" s="611"/>
      <c r="AF1529" s="611"/>
      <c r="AG1529" s="611"/>
    </row>
    <row r="1530" spans="1:33" s="56" customFormat="1" ht="15" hidden="1" customHeight="1" outlineLevel="1" x14ac:dyDescent="0.25">
      <c r="A1530" s="597"/>
      <c r="B1530" s="130"/>
      <c r="C1530" s="616"/>
      <c r="D1530" s="2101"/>
      <c r="E1530" s="2104"/>
      <c r="F1530" s="2110" t="str">
        <f>$E$864</f>
        <v>ASHP SEER 17 replace ASHP - replace on fail SF</v>
      </c>
      <c r="G1530" s="2111"/>
      <c r="H1530" s="2111"/>
      <c r="I1530" s="2112"/>
      <c r="J1530" s="709" t="s">
        <v>1190</v>
      </c>
      <c r="K1530" s="730">
        <v>14</v>
      </c>
      <c r="L1530" s="670"/>
      <c r="M1530" s="770" t="s">
        <v>972</v>
      </c>
      <c r="N1530" s="130"/>
      <c r="O1530" s="251"/>
      <c r="P1530" s="251"/>
      <c r="Q1530" s="251"/>
      <c r="R1530" s="251"/>
      <c r="S1530" s="130"/>
      <c r="T1530" s="130"/>
      <c r="U1530" s="130"/>
      <c r="V1530" s="2107"/>
      <c r="W1530" s="611">
        <v>14</v>
      </c>
      <c r="X1530" s="611">
        <v>14</v>
      </c>
      <c r="Y1530" s="611"/>
      <c r="Z1530" s="611"/>
      <c r="AA1530" s="611"/>
      <c r="AB1530" s="611"/>
      <c r="AC1530" s="611"/>
      <c r="AD1530" s="611"/>
      <c r="AE1530" s="611"/>
      <c r="AF1530" s="611"/>
      <c r="AG1530" s="611"/>
    </row>
    <row r="1531" spans="1:33" s="56" customFormat="1" ht="15" hidden="1" customHeight="1" outlineLevel="1" x14ac:dyDescent="0.25">
      <c r="A1531" s="724"/>
      <c r="B1531" s="130"/>
      <c r="C1531" s="616"/>
      <c r="D1531" s="2101"/>
      <c r="E1531" s="2104"/>
      <c r="F1531" s="2110" t="str">
        <f>$E$866</f>
        <v>ASHP SEER 18 replace ASHP - early replacement SF ER1</v>
      </c>
      <c r="G1531" s="2111"/>
      <c r="H1531" s="2111"/>
      <c r="I1531" s="2112"/>
      <c r="J1531" s="709" t="s">
        <v>1191</v>
      </c>
      <c r="K1531" s="730">
        <v>8.33</v>
      </c>
      <c r="L1531" s="670"/>
      <c r="M1531" s="770" t="s">
        <v>1800</v>
      </c>
      <c r="N1531" s="130"/>
      <c r="O1531" s="251"/>
      <c r="P1531" s="766"/>
      <c r="Q1531" s="767"/>
      <c r="R1531" s="766"/>
      <c r="S1531" s="752"/>
      <c r="T1531" s="760"/>
      <c r="U1531" s="130"/>
      <c r="V1531" s="2107"/>
      <c r="W1531" s="611">
        <v>7.2</v>
      </c>
      <c r="X1531" s="614">
        <v>8.33</v>
      </c>
      <c r="Y1531" s="611"/>
      <c r="Z1531" s="611"/>
      <c r="AA1531" s="611"/>
      <c r="AB1531" s="611"/>
      <c r="AC1531" s="611"/>
      <c r="AD1531" s="611"/>
      <c r="AE1531" s="611"/>
      <c r="AF1531" s="611"/>
      <c r="AG1531" s="611"/>
    </row>
    <row r="1532" spans="1:33" s="56" customFormat="1" ht="15" hidden="1" customHeight="1" outlineLevel="1" x14ac:dyDescent="0.25">
      <c r="A1532" s="597"/>
      <c r="B1532" s="130"/>
      <c r="C1532" s="616"/>
      <c r="D1532" s="2101"/>
      <c r="E1532" s="2104"/>
      <c r="F1532" s="2110" t="str">
        <f>$E$868</f>
        <v>ASHP SEER 18 replace ASHP - early replacement SF ER2</v>
      </c>
      <c r="G1532" s="2111"/>
      <c r="H1532" s="2111"/>
      <c r="I1532" s="2112"/>
      <c r="J1532" s="709" t="s">
        <v>1192</v>
      </c>
      <c r="K1532" s="730">
        <v>14</v>
      </c>
      <c r="L1532" s="670"/>
      <c r="M1532" s="770" t="s">
        <v>972</v>
      </c>
      <c r="N1532" s="130"/>
      <c r="O1532" s="251"/>
      <c r="P1532" s="251"/>
      <c r="Q1532" s="251"/>
      <c r="R1532" s="251"/>
      <c r="S1532" s="130"/>
      <c r="T1532" s="130"/>
      <c r="U1532" s="130"/>
      <c r="V1532" s="2107"/>
      <c r="W1532" s="611">
        <v>14</v>
      </c>
      <c r="X1532" s="611">
        <v>14</v>
      </c>
      <c r="Y1532" s="611"/>
      <c r="Z1532" s="611"/>
      <c r="AA1532" s="611"/>
      <c r="AB1532" s="611"/>
      <c r="AC1532" s="611"/>
      <c r="AD1532" s="611"/>
      <c r="AE1532" s="611"/>
      <c r="AF1532" s="611"/>
      <c r="AG1532" s="611"/>
    </row>
    <row r="1533" spans="1:33" s="56" customFormat="1" ht="15" hidden="1" customHeight="1" outlineLevel="1" x14ac:dyDescent="0.25">
      <c r="A1533" s="597"/>
      <c r="B1533" s="130"/>
      <c r="C1533" s="616"/>
      <c r="D1533" s="2101"/>
      <c r="E1533" s="2104"/>
      <c r="F1533" s="2110" t="str">
        <f>$E$870</f>
        <v>ASHP SEER 18 replace ASHP - replace on fail SF</v>
      </c>
      <c r="G1533" s="2111"/>
      <c r="H1533" s="2111"/>
      <c r="I1533" s="2112"/>
      <c r="J1533" s="709" t="s">
        <v>1193</v>
      </c>
      <c r="K1533" s="730">
        <v>14</v>
      </c>
      <c r="L1533" s="670"/>
      <c r="M1533" s="770" t="s">
        <v>972</v>
      </c>
      <c r="N1533" s="130"/>
      <c r="O1533" s="251"/>
      <c r="P1533" s="251"/>
      <c r="Q1533" s="251"/>
      <c r="R1533" s="251"/>
      <c r="S1533" s="130"/>
      <c r="T1533" s="130"/>
      <c r="U1533" s="130"/>
      <c r="V1533" s="2107"/>
      <c r="W1533" s="611">
        <v>14</v>
      </c>
      <c r="X1533" s="611">
        <v>14</v>
      </c>
      <c r="Y1533" s="611"/>
      <c r="Z1533" s="611"/>
      <c r="AA1533" s="611"/>
      <c r="AB1533" s="611"/>
      <c r="AC1533" s="611"/>
      <c r="AD1533" s="611"/>
      <c r="AE1533" s="611"/>
      <c r="AF1533" s="611"/>
      <c r="AG1533" s="611"/>
    </row>
    <row r="1534" spans="1:33" s="56" customFormat="1" ht="15" hidden="1" customHeight="1" outlineLevel="1" x14ac:dyDescent="0.25">
      <c r="A1534" s="724"/>
      <c r="B1534" s="130"/>
      <c r="C1534" s="616"/>
      <c r="D1534" s="2101"/>
      <c r="E1534" s="2104"/>
      <c r="F1534" s="2110" t="str">
        <f>$E$872</f>
        <v>ASHP - SEER 18 - replace on fail SF</v>
      </c>
      <c r="G1534" s="2111"/>
      <c r="H1534" s="2111"/>
      <c r="I1534" s="2112"/>
      <c r="J1534" s="709" t="s">
        <v>1194</v>
      </c>
      <c r="K1534" s="730">
        <v>14</v>
      </c>
      <c r="L1534" s="670"/>
      <c r="M1534" s="770" t="s">
        <v>972</v>
      </c>
      <c r="N1534" s="130"/>
      <c r="O1534" s="251"/>
      <c r="P1534" s="766"/>
      <c r="Q1534" s="767"/>
      <c r="R1534" s="766"/>
      <c r="S1534" s="752"/>
      <c r="T1534" s="760"/>
      <c r="U1534" s="130"/>
      <c r="V1534" s="2107"/>
      <c r="W1534" s="611">
        <v>14</v>
      </c>
      <c r="X1534" s="611">
        <v>14</v>
      </c>
      <c r="Y1534" s="611"/>
      <c r="Z1534" s="611"/>
      <c r="AA1534" s="611"/>
      <c r="AB1534" s="611"/>
      <c r="AC1534" s="611"/>
      <c r="AD1534" s="611"/>
      <c r="AE1534" s="611"/>
      <c r="AF1534" s="611"/>
      <c r="AG1534" s="611"/>
    </row>
    <row r="1535" spans="1:33" s="56" customFormat="1" ht="15" hidden="1" customHeight="1" outlineLevel="1" x14ac:dyDescent="0.25">
      <c r="A1535" s="724"/>
      <c r="B1535" s="130"/>
      <c r="C1535" s="616"/>
      <c r="D1535" s="2101"/>
      <c r="E1535" s="2104"/>
      <c r="F1535" s="2110" t="str">
        <f>$E$874</f>
        <v>ASHP SEER 19 replace ASHP - early replacement SF ER1</v>
      </c>
      <c r="G1535" s="2111"/>
      <c r="H1535" s="2111"/>
      <c r="I1535" s="2112"/>
      <c r="J1535" s="709" t="s">
        <v>1195</v>
      </c>
      <c r="K1535" s="730">
        <v>8.33</v>
      </c>
      <c r="L1535" s="670"/>
      <c r="M1535" s="770" t="s">
        <v>1800</v>
      </c>
      <c r="N1535" s="130"/>
      <c r="O1535" s="251"/>
      <c r="P1535" s="766"/>
      <c r="Q1535" s="767"/>
      <c r="R1535" s="766"/>
      <c r="S1535" s="752"/>
      <c r="T1535" s="760"/>
      <c r="U1535" s="130"/>
      <c r="V1535" s="2107"/>
      <c r="W1535" s="611">
        <v>7.2</v>
      </c>
      <c r="X1535" s="614">
        <v>8.33</v>
      </c>
      <c r="Y1535" s="611"/>
      <c r="Z1535" s="611"/>
      <c r="AA1535" s="611"/>
      <c r="AB1535" s="611"/>
      <c r="AC1535" s="611"/>
      <c r="AD1535" s="611"/>
      <c r="AE1535" s="611"/>
      <c r="AF1535" s="611"/>
      <c r="AG1535" s="611"/>
    </row>
    <row r="1536" spans="1:33" s="56" customFormat="1" ht="15" hidden="1" customHeight="1" outlineLevel="1" x14ac:dyDescent="0.25">
      <c r="A1536" s="597"/>
      <c r="B1536" s="130"/>
      <c r="C1536" s="616"/>
      <c r="D1536" s="2101"/>
      <c r="E1536" s="2104"/>
      <c r="F1536" s="2110" t="str">
        <f>$E$876</f>
        <v>ASHP SEER 19 replace ASHP - early replacement SF ER2</v>
      </c>
      <c r="G1536" s="2111"/>
      <c r="H1536" s="2111"/>
      <c r="I1536" s="2112"/>
      <c r="J1536" s="709" t="s">
        <v>1196</v>
      </c>
      <c r="K1536" s="730">
        <v>14</v>
      </c>
      <c r="L1536" s="670"/>
      <c r="M1536" s="770" t="s">
        <v>972</v>
      </c>
      <c r="N1536" s="130"/>
      <c r="O1536" s="251"/>
      <c r="P1536" s="251"/>
      <c r="Q1536" s="251"/>
      <c r="R1536" s="251"/>
      <c r="S1536" s="130"/>
      <c r="T1536" s="130"/>
      <c r="U1536" s="130"/>
      <c r="V1536" s="2107"/>
      <c r="W1536" s="611">
        <v>14</v>
      </c>
      <c r="X1536" s="611">
        <v>14</v>
      </c>
      <c r="Y1536" s="611"/>
      <c r="Z1536" s="611"/>
      <c r="AA1536" s="611"/>
      <c r="AB1536" s="611"/>
      <c r="AC1536" s="611"/>
      <c r="AD1536" s="611"/>
      <c r="AE1536" s="611"/>
      <c r="AF1536" s="611"/>
      <c r="AG1536" s="611"/>
    </row>
    <row r="1537" spans="1:33" s="56" customFormat="1" ht="15" hidden="1" customHeight="1" outlineLevel="1" x14ac:dyDescent="0.25">
      <c r="A1537" s="597"/>
      <c r="B1537" s="130"/>
      <c r="C1537" s="616"/>
      <c r="D1537" s="2101"/>
      <c r="E1537" s="2104"/>
      <c r="F1537" s="2110" t="str">
        <f>$E$878</f>
        <v>ASHP SEER 19 replace ASHP - replace on fail SF</v>
      </c>
      <c r="G1537" s="2111"/>
      <c r="H1537" s="2111"/>
      <c r="I1537" s="2112"/>
      <c r="J1537" s="709" t="s">
        <v>1197</v>
      </c>
      <c r="K1537" s="730">
        <v>14</v>
      </c>
      <c r="L1537" s="670"/>
      <c r="M1537" s="770" t="s">
        <v>972</v>
      </c>
      <c r="N1537" s="130"/>
      <c r="O1537" s="251"/>
      <c r="P1537" s="251"/>
      <c r="Q1537" s="251"/>
      <c r="R1537" s="251"/>
      <c r="S1537" s="130"/>
      <c r="T1537" s="130"/>
      <c r="U1537" s="130"/>
      <c r="V1537" s="2107"/>
      <c r="W1537" s="611">
        <v>14</v>
      </c>
      <c r="X1537" s="611">
        <v>14</v>
      </c>
      <c r="Y1537" s="611"/>
      <c r="Z1537" s="611"/>
      <c r="AA1537" s="611"/>
      <c r="AB1537" s="611"/>
      <c r="AC1537" s="611"/>
      <c r="AD1537" s="611"/>
      <c r="AE1537" s="611"/>
      <c r="AF1537" s="611"/>
      <c r="AG1537" s="611"/>
    </row>
    <row r="1538" spans="1:33" s="56" customFormat="1" ht="15" hidden="1" customHeight="1" outlineLevel="1" x14ac:dyDescent="0.25">
      <c r="A1538" s="597"/>
      <c r="B1538" s="130"/>
      <c r="C1538" s="616"/>
      <c r="D1538" s="2101"/>
      <c r="E1538" s="2104"/>
      <c r="F1538" s="2110" t="str">
        <f>$E$880</f>
        <v>ASHP - SEER 17 - replace electric furnace / CAC - early replacement SF ER1</v>
      </c>
      <c r="G1538" s="2111"/>
      <c r="H1538" s="2111"/>
      <c r="I1538" s="2112"/>
      <c r="J1538" s="709"/>
      <c r="K1538" s="730">
        <v>8.33</v>
      </c>
      <c r="L1538" s="670"/>
      <c r="M1538" s="770" t="s">
        <v>1800</v>
      </c>
      <c r="N1538" s="130"/>
      <c r="O1538" s="251"/>
      <c r="P1538" s="251"/>
      <c r="Q1538" s="251"/>
      <c r="R1538" s="251"/>
      <c r="S1538" s="130"/>
      <c r="T1538" s="130"/>
      <c r="U1538" s="130"/>
      <c r="V1538" s="2107"/>
      <c r="W1538" s="611">
        <v>6.8</v>
      </c>
      <c r="X1538" s="614">
        <v>8.33</v>
      </c>
      <c r="Y1538" s="611"/>
      <c r="Z1538" s="611"/>
      <c r="AA1538" s="611"/>
      <c r="AB1538" s="611"/>
      <c r="AC1538" s="611"/>
      <c r="AD1538" s="611"/>
      <c r="AE1538" s="611"/>
      <c r="AF1538" s="611"/>
      <c r="AG1538" s="611"/>
    </row>
    <row r="1539" spans="1:33" s="56" customFormat="1" ht="15" hidden="1" customHeight="1" outlineLevel="1" x14ac:dyDescent="0.25">
      <c r="A1539" s="597"/>
      <c r="B1539" s="130"/>
      <c r="C1539" s="616"/>
      <c r="D1539" s="2101"/>
      <c r="E1539" s="2104"/>
      <c r="F1539" s="2110" t="str">
        <f>$E$882</f>
        <v>ASHP - SEER 17 - replace electric furnace / CAC - early replacement SF ER2</v>
      </c>
      <c r="G1539" s="2111"/>
      <c r="H1539" s="2111"/>
      <c r="I1539" s="2112"/>
      <c r="J1539" s="709"/>
      <c r="K1539" s="730">
        <v>13</v>
      </c>
      <c r="L1539" s="670"/>
      <c r="M1539" s="770" t="s">
        <v>972</v>
      </c>
      <c r="N1539" s="130"/>
      <c r="O1539" s="251"/>
      <c r="P1539" s="251"/>
      <c r="Q1539" s="251"/>
      <c r="R1539" s="251"/>
      <c r="S1539" s="130"/>
      <c r="T1539" s="130"/>
      <c r="U1539" s="130"/>
      <c r="V1539" s="2107"/>
      <c r="W1539" s="611">
        <v>13</v>
      </c>
      <c r="X1539" s="611">
        <v>13</v>
      </c>
      <c r="Y1539" s="611"/>
      <c r="Z1539" s="611"/>
      <c r="AA1539" s="611"/>
      <c r="AB1539" s="611"/>
      <c r="AC1539" s="611"/>
      <c r="AD1539" s="611"/>
      <c r="AE1539" s="611"/>
      <c r="AF1539" s="611"/>
      <c r="AG1539" s="611"/>
    </row>
    <row r="1540" spans="1:33" s="56" customFormat="1" ht="15" hidden="1" customHeight="1" outlineLevel="1" x14ac:dyDescent="0.25">
      <c r="A1540" s="597"/>
      <c r="B1540" s="130"/>
      <c r="C1540" s="616"/>
      <c r="D1540" s="2101"/>
      <c r="E1540" s="2104"/>
      <c r="F1540" s="2110" t="str">
        <f>$E$884</f>
        <v>ASHP - SEER 17 - replace electric furnace / CAC - early replacement MF ER1</v>
      </c>
      <c r="G1540" s="2111"/>
      <c r="H1540" s="2111"/>
      <c r="I1540" s="2112"/>
      <c r="J1540" s="709"/>
      <c r="K1540" s="730">
        <v>8.33</v>
      </c>
      <c r="L1540" s="670"/>
      <c r="M1540" s="770" t="s">
        <v>1800</v>
      </c>
      <c r="N1540" s="130"/>
      <c r="O1540" s="251"/>
      <c r="P1540" s="251"/>
      <c r="Q1540" s="251"/>
      <c r="R1540" s="251"/>
      <c r="S1540" s="130"/>
      <c r="T1540" s="130"/>
      <c r="U1540" s="130"/>
      <c r="V1540" s="2107"/>
      <c r="W1540" s="611">
        <v>6.8</v>
      </c>
      <c r="X1540" s="614">
        <v>8.33</v>
      </c>
      <c r="Y1540" s="611"/>
      <c r="Z1540" s="611"/>
      <c r="AA1540" s="611"/>
      <c r="AB1540" s="611"/>
      <c r="AC1540" s="611"/>
      <c r="AD1540" s="611"/>
      <c r="AE1540" s="611"/>
      <c r="AF1540" s="611"/>
      <c r="AG1540" s="611"/>
    </row>
    <row r="1541" spans="1:33" s="56" customFormat="1" ht="15" hidden="1" customHeight="1" outlineLevel="1" x14ac:dyDescent="0.25">
      <c r="A1541" s="597"/>
      <c r="B1541" s="130"/>
      <c r="C1541" s="616"/>
      <c r="D1541" s="2101"/>
      <c r="E1541" s="2104"/>
      <c r="F1541" s="2110" t="str">
        <f>$E$886</f>
        <v>ASHP - SEER 17 - replace electric furnace / CAC - early replacement MF ER2</v>
      </c>
      <c r="G1541" s="2111"/>
      <c r="H1541" s="2111"/>
      <c r="I1541" s="2112"/>
      <c r="J1541" s="709"/>
      <c r="K1541" s="730">
        <v>13</v>
      </c>
      <c r="L1541" s="670"/>
      <c r="M1541" s="770" t="s">
        <v>972</v>
      </c>
      <c r="N1541" s="130"/>
      <c r="O1541" s="251"/>
      <c r="P1541" s="251"/>
      <c r="Q1541" s="251"/>
      <c r="R1541" s="251"/>
      <c r="S1541" s="130"/>
      <c r="T1541" s="130"/>
      <c r="U1541" s="130"/>
      <c r="V1541" s="2107"/>
      <c r="W1541" s="611">
        <v>13</v>
      </c>
      <c r="X1541" s="611">
        <v>13</v>
      </c>
      <c r="Y1541" s="611"/>
      <c r="Z1541" s="611"/>
      <c r="AA1541" s="611"/>
      <c r="AB1541" s="611"/>
      <c r="AC1541" s="611"/>
      <c r="AD1541" s="611"/>
      <c r="AE1541" s="611"/>
      <c r="AF1541" s="611"/>
      <c r="AG1541" s="611"/>
    </row>
    <row r="1542" spans="1:33" s="56" customFormat="1" ht="15" hidden="1" customHeight="1" outlineLevel="1" x14ac:dyDescent="0.25">
      <c r="A1542" s="597"/>
      <c r="B1542" s="130"/>
      <c r="C1542" s="616"/>
      <c r="D1542" s="2101"/>
      <c r="E1542" s="2104"/>
      <c r="F1542" s="2110" t="str">
        <f>$E$888</f>
        <v>ASHP SEER 17 replace ASHP - early replacement MF ER1</v>
      </c>
      <c r="G1542" s="2111"/>
      <c r="H1542" s="2111"/>
      <c r="I1542" s="2112"/>
      <c r="J1542" s="709"/>
      <c r="K1542" s="730">
        <v>8.33</v>
      </c>
      <c r="L1542" s="670"/>
      <c r="M1542" s="770" t="s">
        <v>1800</v>
      </c>
      <c r="N1542" s="130"/>
      <c r="O1542" s="251"/>
      <c r="P1542" s="251"/>
      <c r="Q1542" s="251"/>
      <c r="R1542" s="251"/>
      <c r="S1542" s="130"/>
      <c r="T1542" s="130"/>
      <c r="U1542" s="130"/>
      <c r="V1542" s="2107"/>
      <c r="W1542" s="611">
        <v>7.2</v>
      </c>
      <c r="X1542" s="614">
        <v>8.33</v>
      </c>
      <c r="Y1542" s="611"/>
      <c r="Z1542" s="611"/>
      <c r="AA1542" s="611"/>
      <c r="AB1542" s="611"/>
      <c r="AC1542" s="611"/>
      <c r="AD1542" s="611"/>
      <c r="AE1542" s="611"/>
      <c r="AF1542" s="611"/>
      <c r="AG1542" s="611"/>
    </row>
    <row r="1543" spans="1:33" s="56" customFormat="1" ht="15" hidden="1" customHeight="1" outlineLevel="1" x14ac:dyDescent="0.25">
      <c r="A1543" s="597"/>
      <c r="B1543" s="130"/>
      <c r="C1543" s="616"/>
      <c r="D1543" s="2101"/>
      <c r="E1543" s="2104"/>
      <c r="F1543" s="2110" t="str">
        <f>$E$890</f>
        <v>ASHP SEER 17 replace ASHP - early replacement MF ER2</v>
      </c>
      <c r="G1543" s="2111"/>
      <c r="H1543" s="2111"/>
      <c r="I1543" s="2112"/>
      <c r="J1543" s="709"/>
      <c r="K1543" s="730">
        <v>14</v>
      </c>
      <c r="L1543" s="670"/>
      <c r="M1543" s="770" t="s">
        <v>972</v>
      </c>
      <c r="N1543" s="130"/>
      <c r="O1543" s="251"/>
      <c r="P1543" s="251"/>
      <c r="Q1543" s="251"/>
      <c r="R1543" s="251"/>
      <c r="S1543" s="130"/>
      <c r="T1543" s="130"/>
      <c r="U1543" s="130"/>
      <c r="V1543" s="2107"/>
      <c r="W1543" s="611">
        <v>14</v>
      </c>
      <c r="X1543" s="611">
        <v>14</v>
      </c>
      <c r="Y1543" s="611"/>
      <c r="Z1543" s="611"/>
      <c r="AA1543" s="611"/>
      <c r="AB1543" s="611"/>
      <c r="AC1543" s="611"/>
      <c r="AD1543" s="611"/>
      <c r="AE1543" s="611"/>
      <c r="AF1543" s="611"/>
      <c r="AG1543" s="611"/>
    </row>
    <row r="1544" spans="1:33" s="56" customFormat="1" hidden="1" outlineLevel="1" x14ac:dyDescent="0.25">
      <c r="A1544" s="597"/>
      <c r="B1544" s="130"/>
      <c r="C1544" s="616"/>
      <c r="D1544" s="2101"/>
      <c r="E1544" s="2104"/>
      <c r="F1544" s="2110" t="str">
        <f>$E$892</f>
        <v>ASHP - SEER 18 - replace electric furnace / CAC - early replacement SF ER1</v>
      </c>
      <c r="G1544" s="2111"/>
      <c r="H1544" s="2111"/>
      <c r="I1544" s="2112"/>
      <c r="J1544" s="709"/>
      <c r="K1544" s="730">
        <v>8.33</v>
      </c>
      <c r="L1544" s="670"/>
      <c r="M1544" s="770" t="s">
        <v>1800</v>
      </c>
      <c r="N1544" s="130"/>
      <c r="O1544" s="251"/>
      <c r="P1544" s="251"/>
      <c r="Q1544" s="251"/>
      <c r="R1544" s="251"/>
      <c r="S1544" s="130"/>
      <c r="T1544" s="130"/>
      <c r="U1544" s="130"/>
      <c r="V1544" s="2107"/>
      <c r="W1544" s="611">
        <v>6.8</v>
      </c>
      <c r="X1544" s="614">
        <v>8.33</v>
      </c>
      <c r="Y1544" s="611"/>
      <c r="Z1544" s="611"/>
      <c r="AA1544" s="611"/>
      <c r="AB1544" s="611"/>
      <c r="AC1544" s="611"/>
      <c r="AD1544" s="611"/>
      <c r="AE1544" s="611"/>
      <c r="AF1544" s="611"/>
      <c r="AG1544" s="611"/>
    </row>
    <row r="1545" spans="1:33" s="56" customFormat="1" hidden="1" outlineLevel="1" x14ac:dyDescent="0.25">
      <c r="A1545" s="597"/>
      <c r="B1545" s="130"/>
      <c r="C1545" s="616"/>
      <c r="D1545" s="2101"/>
      <c r="E1545" s="2104"/>
      <c r="F1545" s="2110" t="str">
        <f>$E$894</f>
        <v>ASHP - SEER 18 - replace electric furnace / CAC - early replacement SF ER2</v>
      </c>
      <c r="G1545" s="2111"/>
      <c r="H1545" s="2111"/>
      <c r="I1545" s="2112"/>
      <c r="J1545" s="709"/>
      <c r="K1545" s="730">
        <v>13</v>
      </c>
      <c r="L1545" s="670"/>
      <c r="M1545" s="770" t="s">
        <v>972</v>
      </c>
      <c r="N1545" s="130"/>
      <c r="O1545" s="251"/>
      <c r="P1545" s="251"/>
      <c r="Q1545" s="251"/>
      <c r="R1545" s="251"/>
      <c r="S1545" s="130"/>
      <c r="T1545" s="130"/>
      <c r="U1545" s="130"/>
      <c r="V1545" s="2107"/>
      <c r="W1545" s="611">
        <v>13</v>
      </c>
      <c r="X1545" s="611">
        <v>13</v>
      </c>
      <c r="Y1545" s="611"/>
      <c r="Z1545" s="611"/>
      <c r="AA1545" s="611"/>
      <c r="AB1545" s="611"/>
      <c r="AC1545" s="611"/>
      <c r="AD1545" s="611"/>
      <c r="AE1545" s="611"/>
      <c r="AF1545" s="611"/>
      <c r="AG1545" s="611"/>
    </row>
    <row r="1546" spans="1:33" s="56" customFormat="1" hidden="1" outlineLevel="1" x14ac:dyDescent="0.25">
      <c r="A1546" s="597"/>
      <c r="B1546" s="130"/>
      <c r="C1546" s="616"/>
      <c r="D1546" s="2101"/>
      <c r="E1546" s="2104"/>
      <c r="F1546" s="2110" t="str">
        <f>$E$896</f>
        <v>ASHP - SEER 18 - replace electric furnace / CAC - early replacement MF ER1</v>
      </c>
      <c r="G1546" s="2111"/>
      <c r="H1546" s="2111"/>
      <c r="I1546" s="2112"/>
      <c r="J1546" s="709"/>
      <c r="K1546" s="730">
        <v>8.33</v>
      </c>
      <c r="L1546" s="670"/>
      <c r="M1546" s="770" t="s">
        <v>1800</v>
      </c>
      <c r="N1546" s="130"/>
      <c r="O1546" s="251"/>
      <c r="P1546" s="251"/>
      <c r="Q1546" s="251"/>
      <c r="R1546" s="251"/>
      <c r="S1546" s="130"/>
      <c r="T1546" s="130"/>
      <c r="U1546" s="130"/>
      <c r="V1546" s="2107"/>
      <c r="W1546" s="611">
        <v>6.8</v>
      </c>
      <c r="X1546" s="614">
        <v>8.33</v>
      </c>
      <c r="Y1546" s="611"/>
      <c r="Z1546" s="611"/>
      <c r="AA1546" s="611"/>
      <c r="AB1546" s="611"/>
      <c r="AC1546" s="611"/>
      <c r="AD1546" s="611"/>
      <c r="AE1546" s="611"/>
      <c r="AF1546" s="611"/>
      <c r="AG1546" s="611"/>
    </row>
    <row r="1547" spans="1:33" s="56" customFormat="1" hidden="1" outlineLevel="1" x14ac:dyDescent="0.25">
      <c r="A1547" s="597"/>
      <c r="B1547" s="130"/>
      <c r="C1547" s="616"/>
      <c r="D1547" s="2101"/>
      <c r="E1547" s="2104"/>
      <c r="F1547" s="2110" t="str">
        <f>$E$898</f>
        <v>ASHP - SEER 18 - replace electric furnace / CAC - early replacement MF ER2</v>
      </c>
      <c r="G1547" s="2111"/>
      <c r="H1547" s="2111"/>
      <c r="I1547" s="2112"/>
      <c r="J1547" s="709"/>
      <c r="K1547" s="730">
        <v>13</v>
      </c>
      <c r="L1547" s="670"/>
      <c r="M1547" s="770" t="s">
        <v>972</v>
      </c>
      <c r="N1547" s="130"/>
      <c r="O1547" s="251"/>
      <c r="P1547" s="251"/>
      <c r="Q1547" s="251"/>
      <c r="R1547" s="251"/>
      <c r="S1547" s="130"/>
      <c r="T1547" s="130"/>
      <c r="U1547" s="130"/>
      <c r="V1547" s="2107"/>
      <c r="W1547" s="611">
        <v>13</v>
      </c>
      <c r="X1547" s="611">
        <v>13</v>
      </c>
      <c r="Y1547" s="611"/>
      <c r="Z1547" s="611"/>
      <c r="AA1547" s="611"/>
      <c r="AB1547" s="611"/>
      <c r="AC1547" s="611"/>
      <c r="AD1547" s="611"/>
      <c r="AE1547" s="611"/>
      <c r="AF1547" s="611"/>
      <c r="AG1547" s="611"/>
    </row>
    <row r="1548" spans="1:33" s="56" customFormat="1" hidden="1" outlineLevel="1" x14ac:dyDescent="0.25">
      <c r="A1548" s="597"/>
      <c r="B1548" s="130"/>
      <c r="C1548" s="616"/>
      <c r="D1548" s="2101"/>
      <c r="E1548" s="2104"/>
      <c r="F1548" s="2110" t="str">
        <f>$E$900</f>
        <v>ASHP SEER 18 replace ASHP - early replacement MF ER1</v>
      </c>
      <c r="G1548" s="2111"/>
      <c r="H1548" s="2111"/>
      <c r="I1548" s="2112"/>
      <c r="J1548" s="709"/>
      <c r="K1548" s="730">
        <v>8.33</v>
      </c>
      <c r="L1548" s="670"/>
      <c r="M1548" s="770" t="s">
        <v>1800</v>
      </c>
      <c r="N1548" s="130"/>
      <c r="O1548" s="251"/>
      <c r="P1548" s="251"/>
      <c r="Q1548" s="251"/>
      <c r="R1548" s="251"/>
      <c r="S1548" s="130"/>
      <c r="T1548" s="130"/>
      <c r="U1548" s="130"/>
      <c r="V1548" s="2107"/>
      <c r="W1548" s="611">
        <v>7.2</v>
      </c>
      <c r="X1548" s="614">
        <v>8.33</v>
      </c>
      <c r="Y1548" s="611"/>
      <c r="Z1548" s="611"/>
      <c r="AA1548" s="611"/>
      <c r="AB1548" s="611"/>
      <c r="AC1548" s="611"/>
      <c r="AD1548" s="611"/>
      <c r="AE1548" s="611"/>
      <c r="AF1548" s="611"/>
      <c r="AG1548" s="611"/>
    </row>
    <row r="1549" spans="1:33" s="56" customFormat="1" hidden="1" outlineLevel="1" x14ac:dyDescent="0.25">
      <c r="A1549" s="597"/>
      <c r="B1549" s="130"/>
      <c r="C1549" s="616"/>
      <c r="D1549" s="2101"/>
      <c r="E1549" s="2104"/>
      <c r="F1549" s="2110" t="str">
        <f>$E$902</f>
        <v>ASHP SEER 18 replace ASHP - early replacement MF ER2</v>
      </c>
      <c r="G1549" s="2111"/>
      <c r="H1549" s="2111"/>
      <c r="I1549" s="2112"/>
      <c r="J1549" s="709"/>
      <c r="K1549" s="730">
        <v>14</v>
      </c>
      <c r="L1549" s="670"/>
      <c r="M1549" s="770" t="s">
        <v>972</v>
      </c>
      <c r="N1549" s="130"/>
      <c r="O1549" s="251"/>
      <c r="P1549" s="251"/>
      <c r="Q1549" s="251"/>
      <c r="R1549" s="251"/>
      <c r="S1549" s="130"/>
      <c r="T1549" s="130"/>
      <c r="U1549" s="130"/>
      <c r="V1549" s="2107"/>
      <c r="W1549" s="611">
        <v>14</v>
      </c>
      <c r="X1549" s="611">
        <v>14</v>
      </c>
      <c r="Y1549" s="611"/>
      <c r="Z1549" s="611"/>
      <c r="AA1549" s="611"/>
      <c r="AB1549" s="611"/>
      <c r="AC1549" s="611"/>
      <c r="AD1549" s="611"/>
      <c r="AE1549" s="611"/>
      <c r="AF1549" s="611"/>
      <c r="AG1549" s="611"/>
    </row>
    <row r="1550" spans="1:33" s="56" customFormat="1" hidden="1" outlineLevel="1" x14ac:dyDescent="0.25">
      <c r="A1550" s="597"/>
      <c r="B1550" s="130"/>
      <c r="C1550" s="616"/>
      <c r="D1550" s="2101"/>
      <c r="E1550" s="2104"/>
      <c r="F1550" s="2110" t="str">
        <f>$E$904</f>
        <v>ASHP - SEER 19 - replace electric furnace / CAC - early replacement SF ER1</v>
      </c>
      <c r="G1550" s="2111"/>
      <c r="H1550" s="2111"/>
      <c r="I1550" s="2112"/>
      <c r="J1550" s="709"/>
      <c r="K1550" s="730">
        <v>8.33</v>
      </c>
      <c r="L1550" s="670"/>
      <c r="M1550" s="770" t="s">
        <v>1800</v>
      </c>
      <c r="N1550" s="130"/>
      <c r="O1550" s="251"/>
      <c r="P1550" s="251"/>
      <c r="Q1550" s="251"/>
      <c r="R1550" s="251"/>
      <c r="S1550" s="130"/>
      <c r="T1550" s="130"/>
      <c r="U1550" s="130"/>
      <c r="V1550" s="2107"/>
      <c r="W1550" s="611">
        <v>6.8</v>
      </c>
      <c r="X1550" s="614">
        <v>8.33</v>
      </c>
      <c r="Y1550" s="611"/>
      <c r="Z1550" s="611"/>
      <c r="AA1550" s="611"/>
      <c r="AB1550" s="611"/>
      <c r="AC1550" s="611"/>
      <c r="AD1550" s="611"/>
      <c r="AE1550" s="611"/>
      <c r="AF1550" s="611"/>
      <c r="AG1550" s="611"/>
    </row>
    <row r="1551" spans="1:33" s="56" customFormat="1" hidden="1" outlineLevel="1" x14ac:dyDescent="0.25">
      <c r="A1551" s="597"/>
      <c r="B1551" s="130"/>
      <c r="C1551" s="616"/>
      <c r="D1551" s="2101"/>
      <c r="E1551" s="2104"/>
      <c r="F1551" s="2110" t="str">
        <f>$E$906</f>
        <v>ASHP - SEER 19 - replace electric furnace / CAC - early replacement SF ER2</v>
      </c>
      <c r="G1551" s="2111"/>
      <c r="H1551" s="2111"/>
      <c r="I1551" s="2112"/>
      <c r="J1551" s="709"/>
      <c r="K1551" s="730">
        <v>13</v>
      </c>
      <c r="L1551" s="670"/>
      <c r="M1551" s="770" t="s">
        <v>972</v>
      </c>
      <c r="N1551" s="130"/>
      <c r="O1551" s="251"/>
      <c r="P1551" s="251"/>
      <c r="Q1551" s="251"/>
      <c r="R1551" s="251"/>
      <c r="S1551" s="130"/>
      <c r="T1551" s="130"/>
      <c r="U1551" s="130"/>
      <c r="V1551" s="2107"/>
      <c r="W1551" s="611">
        <v>13</v>
      </c>
      <c r="X1551" s="611">
        <v>13</v>
      </c>
      <c r="Y1551" s="611"/>
      <c r="Z1551" s="611"/>
      <c r="AA1551" s="611"/>
      <c r="AB1551" s="611"/>
      <c r="AC1551" s="611"/>
      <c r="AD1551" s="611"/>
      <c r="AE1551" s="611"/>
      <c r="AF1551" s="611"/>
      <c r="AG1551" s="611"/>
    </row>
    <row r="1552" spans="1:33" s="56" customFormat="1" hidden="1" outlineLevel="1" x14ac:dyDescent="0.25">
      <c r="A1552" s="597"/>
      <c r="B1552" s="130"/>
      <c r="C1552" s="616"/>
      <c r="D1552" s="2101"/>
      <c r="E1552" s="2104"/>
      <c r="F1552" s="2110" t="str">
        <f>$E$908</f>
        <v>ASHP - SEER 19 - replace electric furnace / CAC - early replacement MF ER1</v>
      </c>
      <c r="G1552" s="2111"/>
      <c r="H1552" s="2111"/>
      <c r="I1552" s="2112"/>
      <c r="J1552" s="709"/>
      <c r="K1552" s="730">
        <v>8.33</v>
      </c>
      <c r="L1552" s="670"/>
      <c r="M1552" s="770" t="s">
        <v>1800</v>
      </c>
      <c r="N1552" s="130"/>
      <c r="O1552" s="251"/>
      <c r="P1552" s="251"/>
      <c r="Q1552" s="251"/>
      <c r="R1552" s="251"/>
      <c r="S1552" s="130"/>
      <c r="T1552" s="130"/>
      <c r="U1552" s="130"/>
      <c r="V1552" s="2107"/>
      <c r="W1552" s="611">
        <v>6.8</v>
      </c>
      <c r="X1552" s="614">
        <v>8.33</v>
      </c>
      <c r="Y1552" s="611"/>
      <c r="Z1552" s="611"/>
      <c r="AA1552" s="611"/>
      <c r="AB1552" s="611"/>
      <c r="AC1552" s="611"/>
      <c r="AD1552" s="611"/>
      <c r="AE1552" s="611"/>
      <c r="AF1552" s="611"/>
      <c r="AG1552" s="611"/>
    </row>
    <row r="1553" spans="1:33" s="56" customFormat="1" hidden="1" outlineLevel="1" x14ac:dyDescent="0.25">
      <c r="A1553" s="597"/>
      <c r="B1553" s="130"/>
      <c r="C1553" s="616"/>
      <c r="D1553" s="2101"/>
      <c r="E1553" s="2104"/>
      <c r="F1553" s="2110" t="str">
        <f>$E$910</f>
        <v>ASHP - SEER 19 - replace electric furnace / CAC - early replacement MF ER2</v>
      </c>
      <c r="G1553" s="2111"/>
      <c r="H1553" s="2111"/>
      <c r="I1553" s="2112"/>
      <c r="J1553" s="709"/>
      <c r="K1553" s="730">
        <v>13</v>
      </c>
      <c r="L1553" s="670"/>
      <c r="M1553" s="770" t="s">
        <v>972</v>
      </c>
      <c r="N1553" s="130"/>
      <c r="O1553" s="251"/>
      <c r="P1553" s="251"/>
      <c r="Q1553" s="251"/>
      <c r="R1553" s="251"/>
      <c r="S1553" s="130"/>
      <c r="T1553" s="130"/>
      <c r="U1553" s="130"/>
      <c r="V1553" s="2107"/>
      <c r="W1553" s="611">
        <v>13</v>
      </c>
      <c r="X1553" s="611">
        <v>13</v>
      </c>
      <c r="Y1553" s="611"/>
      <c r="Z1553" s="611"/>
      <c r="AA1553" s="611"/>
      <c r="AB1553" s="611"/>
      <c r="AC1553" s="611"/>
      <c r="AD1553" s="611"/>
      <c r="AE1553" s="611"/>
      <c r="AF1553" s="611"/>
      <c r="AG1553" s="611"/>
    </row>
    <row r="1554" spans="1:33" s="56" customFormat="1" hidden="1" outlineLevel="1" x14ac:dyDescent="0.25">
      <c r="A1554" s="597"/>
      <c r="B1554" s="130"/>
      <c r="C1554" s="616"/>
      <c r="D1554" s="2101"/>
      <c r="E1554" s="2104"/>
      <c r="F1554" s="2110" t="str">
        <f>$E$912</f>
        <v>ASHP SEER 19 replace ASHP - early replacement MF ER1</v>
      </c>
      <c r="G1554" s="2111"/>
      <c r="H1554" s="2111"/>
      <c r="I1554" s="2112"/>
      <c r="J1554" s="709"/>
      <c r="K1554" s="730">
        <v>8.33</v>
      </c>
      <c r="L1554" s="670"/>
      <c r="M1554" s="770" t="s">
        <v>1800</v>
      </c>
      <c r="N1554" s="130"/>
      <c r="O1554" s="251"/>
      <c r="P1554" s="251"/>
      <c r="Q1554" s="251"/>
      <c r="R1554" s="251"/>
      <c r="S1554" s="130"/>
      <c r="T1554" s="130"/>
      <c r="U1554" s="130"/>
      <c r="V1554" s="2107"/>
      <c r="W1554" s="611">
        <v>7.2</v>
      </c>
      <c r="X1554" s="614">
        <v>8.33</v>
      </c>
      <c r="Y1554" s="611"/>
      <c r="Z1554" s="611"/>
      <c r="AA1554" s="611"/>
      <c r="AB1554" s="611"/>
      <c r="AC1554" s="611"/>
      <c r="AD1554" s="611"/>
      <c r="AE1554" s="611"/>
      <c r="AF1554" s="611"/>
      <c r="AG1554" s="611"/>
    </row>
    <row r="1555" spans="1:33" s="56" customFormat="1" hidden="1" outlineLevel="1" x14ac:dyDescent="0.25">
      <c r="A1555" s="597"/>
      <c r="B1555" s="130"/>
      <c r="C1555" s="616"/>
      <c r="D1555" s="2101"/>
      <c r="E1555" s="2104"/>
      <c r="F1555" s="2110" t="str">
        <f>$E$914</f>
        <v>ASHP SEER 19 replace ASHP - early replacement MF ER2</v>
      </c>
      <c r="G1555" s="2111"/>
      <c r="H1555" s="2111"/>
      <c r="I1555" s="2112"/>
      <c r="J1555" s="709"/>
      <c r="K1555" s="730">
        <v>14</v>
      </c>
      <c r="L1555" s="670"/>
      <c r="M1555" s="770" t="s">
        <v>972</v>
      </c>
      <c r="N1555" s="130"/>
      <c r="O1555" s="251"/>
      <c r="P1555" s="251"/>
      <c r="Q1555" s="251"/>
      <c r="R1555" s="251"/>
      <c r="S1555" s="130"/>
      <c r="T1555" s="130"/>
      <c r="U1555" s="130"/>
      <c r="V1555" s="2107"/>
      <c r="W1555" s="611">
        <v>14</v>
      </c>
      <c r="X1555" s="611">
        <v>14</v>
      </c>
      <c r="Y1555" s="611"/>
      <c r="Z1555" s="611"/>
      <c r="AA1555" s="611"/>
      <c r="AB1555" s="611"/>
      <c r="AC1555" s="611"/>
      <c r="AD1555" s="611"/>
      <c r="AE1555" s="611"/>
      <c r="AF1555" s="611"/>
      <c r="AG1555" s="611"/>
    </row>
    <row r="1556" spans="1:33" s="56" customFormat="1" hidden="1" outlineLevel="1" x14ac:dyDescent="0.25">
      <c r="A1556" s="597"/>
      <c r="B1556" s="130"/>
      <c r="C1556" s="616"/>
      <c r="D1556" s="2101"/>
      <c r="E1556" s="2104"/>
      <c r="F1556" s="2110" t="str">
        <f>$E$916</f>
        <v>ASHP SEER 20 replace ASHP - early replacement SF ER1</v>
      </c>
      <c r="G1556" s="2111"/>
      <c r="H1556" s="2111"/>
      <c r="I1556" s="2112"/>
      <c r="J1556" s="709"/>
      <c r="K1556" s="730">
        <v>8.33</v>
      </c>
      <c r="L1556" s="670"/>
      <c r="M1556" s="770" t="s">
        <v>1800</v>
      </c>
      <c r="N1556" s="130"/>
      <c r="O1556" s="251"/>
      <c r="P1556" s="251"/>
      <c r="Q1556" s="251"/>
      <c r="R1556" s="251"/>
      <c r="S1556" s="130"/>
      <c r="T1556" s="130"/>
      <c r="U1556" s="130"/>
      <c r="V1556" s="2107"/>
      <c r="W1556" s="611">
        <v>7.2</v>
      </c>
      <c r="X1556" s="614">
        <v>8.33</v>
      </c>
      <c r="Y1556" s="611"/>
      <c r="Z1556" s="611"/>
      <c r="AA1556" s="611"/>
      <c r="AB1556" s="611"/>
      <c r="AC1556" s="611"/>
      <c r="AD1556" s="611"/>
      <c r="AE1556" s="611"/>
      <c r="AF1556" s="611"/>
      <c r="AG1556" s="611"/>
    </row>
    <row r="1557" spans="1:33" s="56" customFormat="1" hidden="1" outlineLevel="1" x14ac:dyDescent="0.25">
      <c r="A1557" s="597"/>
      <c r="B1557" s="130"/>
      <c r="C1557" s="616"/>
      <c r="D1557" s="2101"/>
      <c r="E1557" s="2104"/>
      <c r="F1557" s="2110" t="str">
        <f>$E$918</f>
        <v>ASHP SEER 20 replace ASHP - early replacement SF ER2</v>
      </c>
      <c r="G1557" s="2111"/>
      <c r="H1557" s="2111"/>
      <c r="I1557" s="2112"/>
      <c r="J1557" s="709"/>
      <c r="K1557" s="730">
        <v>14</v>
      </c>
      <c r="L1557" s="670"/>
      <c r="M1557" s="770" t="s">
        <v>972</v>
      </c>
      <c r="N1557" s="130"/>
      <c r="O1557" s="251"/>
      <c r="P1557" s="251"/>
      <c r="Q1557" s="251"/>
      <c r="R1557" s="251"/>
      <c r="S1557" s="130"/>
      <c r="T1557" s="130"/>
      <c r="U1557" s="130"/>
      <c r="V1557" s="2107"/>
      <c r="W1557" s="611">
        <v>14</v>
      </c>
      <c r="X1557" s="611">
        <v>14</v>
      </c>
      <c r="Y1557" s="611"/>
      <c r="Z1557" s="611"/>
      <c r="AA1557" s="611"/>
      <c r="AB1557" s="611"/>
      <c r="AC1557" s="611"/>
      <c r="AD1557" s="611"/>
      <c r="AE1557" s="611"/>
      <c r="AF1557" s="611"/>
      <c r="AG1557" s="611"/>
    </row>
    <row r="1558" spans="1:33" s="56" customFormat="1" hidden="1" outlineLevel="1" x14ac:dyDescent="0.25">
      <c r="A1558" s="597"/>
      <c r="B1558" s="130"/>
      <c r="C1558" s="616"/>
      <c r="D1558" s="2101"/>
      <c r="E1558" s="2104"/>
      <c r="F1558" s="2110" t="str">
        <f>$E$920</f>
        <v>ASHP SEER 20 replace ASHP - replace on fail SF</v>
      </c>
      <c r="G1558" s="2111"/>
      <c r="H1558" s="2111"/>
      <c r="I1558" s="2112"/>
      <c r="J1558" s="709"/>
      <c r="K1558" s="730">
        <v>14</v>
      </c>
      <c r="L1558" s="670"/>
      <c r="M1558" s="770" t="s">
        <v>972</v>
      </c>
      <c r="N1558" s="130"/>
      <c r="O1558" s="251"/>
      <c r="P1558" s="251"/>
      <c r="Q1558" s="251"/>
      <c r="R1558" s="251"/>
      <c r="S1558" s="130"/>
      <c r="T1558" s="130"/>
      <c r="U1558" s="130"/>
      <c r="V1558" s="2107"/>
      <c r="W1558" s="611">
        <v>14</v>
      </c>
      <c r="X1558" s="611">
        <v>14</v>
      </c>
      <c r="Y1558" s="611"/>
      <c r="Z1558" s="611"/>
      <c r="AA1558" s="611"/>
      <c r="AB1558" s="611"/>
      <c r="AC1558" s="611"/>
      <c r="AD1558" s="611"/>
      <c r="AE1558" s="611"/>
      <c r="AF1558" s="611"/>
      <c r="AG1558" s="611"/>
    </row>
    <row r="1559" spans="1:33" s="56" customFormat="1" hidden="1" outlineLevel="1" x14ac:dyDescent="0.25">
      <c r="A1559" s="597"/>
      <c r="B1559" s="130"/>
      <c r="C1559" s="616"/>
      <c r="D1559" s="2101"/>
      <c r="E1559" s="2104"/>
      <c r="F1559" s="2110" t="str">
        <f>$E$922</f>
        <v>ASHP - SEER 20 - replace electric furnace / CAC - early replacement MF ER1</v>
      </c>
      <c r="G1559" s="2111"/>
      <c r="H1559" s="2111"/>
      <c r="I1559" s="2112"/>
      <c r="J1559" s="709"/>
      <c r="K1559" s="730">
        <v>8.33</v>
      </c>
      <c r="L1559" s="670"/>
      <c r="M1559" s="770" t="s">
        <v>1800</v>
      </c>
      <c r="N1559" s="130"/>
      <c r="O1559" s="251"/>
      <c r="P1559" s="251"/>
      <c r="Q1559" s="251"/>
      <c r="R1559" s="251"/>
      <c r="S1559" s="130"/>
      <c r="T1559" s="130"/>
      <c r="U1559" s="130"/>
      <c r="V1559" s="2107"/>
      <c r="W1559" s="611">
        <v>6.8</v>
      </c>
      <c r="X1559" s="614">
        <v>8.33</v>
      </c>
      <c r="Y1559" s="611"/>
      <c r="Z1559" s="611"/>
      <c r="AA1559" s="611"/>
      <c r="AB1559" s="611"/>
      <c r="AC1559" s="611"/>
      <c r="AD1559" s="611"/>
      <c r="AE1559" s="611"/>
      <c r="AF1559" s="611"/>
      <c r="AG1559" s="611"/>
    </row>
    <row r="1560" spans="1:33" s="56" customFormat="1" hidden="1" outlineLevel="1" x14ac:dyDescent="0.25">
      <c r="A1560" s="597"/>
      <c r="B1560" s="130"/>
      <c r="C1560" s="616"/>
      <c r="D1560" s="2101"/>
      <c r="E1560" s="2104"/>
      <c r="F1560" s="2110" t="str">
        <f>$E$924</f>
        <v>ASHP - SEER 20 - replace electric furnace / CAC - early replacement MF ER2</v>
      </c>
      <c r="G1560" s="2111"/>
      <c r="H1560" s="2111"/>
      <c r="I1560" s="2112"/>
      <c r="J1560" s="709"/>
      <c r="K1560" s="730">
        <v>13</v>
      </c>
      <c r="L1560" s="670"/>
      <c r="M1560" s="770" t="s">
        <v>972</v>
      </c>
      <c r="N1560" s="130"/>
      <c r="O1560" s="251"/>
      <c r="P1560" s="251"/>
      <c r="Q1560" s="251"/>
      <c r="R1560" s="251"/>
      <c r="S1560" s="130"/>
      <c r="T1560" s="130"/>
      <c r="U1560" s="130"/>
      <c r="V1560" s="2107"/>
      <c r="W1560" s="611">
        <v>13</v>
      </c>
      <c r="X1560" s="611">
        <v>13</v>
      </c>
      <c r="Y1560" s="611"/>
      <c r="Z1560" s="611"/>
      <c r="AA1560" s="611"/>
      <c r="AB1560" s="611"/>
      <c r="AC1560" s="611"/>
      <c r="AD1560" s="611"/>
      <c r="AE1560" s="611"/>
      <c r="AF1560" s="611"/>
      <c r="AG1560" s="611"/>
    </row>
    <row r="1561" spans="1:33" s="56" customFormat="1" hidden="1" outlineLevel="1" x14ac:dyDescent="0.25">
      <c r="A1561" s="597"/>
      <c r="B1561" s="130"/>
      <c r="C1561" s="616"/>
      <c r="D1561" s="2101"/>
      <c r="E1561" s="2104"/>
      <c r="F1561" s="2110" t="str">
        <f>$E$926</f>
        <v>ASHP SEER 20 replace ASHP - early replacement MF ER1</v>
      </c>
      <c r="G1561" s="2111"/>
      <c r="H1561" s="2111"/>
      <c r="I1561" s="2112"/>
      <c r="J1561" s="709"/>
      <c r="K1561" s="730">
        <v>8.33</v>
      </c>
      <c r="L1561" s="670"/>
      <c r="M1561" s="770" t="s">
        <v>1800</v>
      </c>
      <c r="N1561" s="130"/>
      <c r="O1561" s="251"/>
      <c r="P1561" s="251"/>
      <c r="Q1561" s="251"/>
      <c r="R1561" s="251"/>
      <c r="S1561" s="130"/>
      <c r="T1561" s="130"/>
      <c r="U1561" s="130"/>
      <c r="V1561" s="2107"/>
      <c r="W1561" s="611">
        <v>7.2</v>
      </c>
      <c r="X1561" s="614">
        <v>8.33</v>
      </c>
      <c r="Y1561" s="611"/>
      <c r="Z1561" s="611"/>
      <c r="AA1561" s="611"/>
      <c r="AB1561" s="611"/>
      <c r="AC1561" s="611"/>
      <c r="AD1561" s="611"/>
      <c r="AE1561" s="611"/>
      <c r="AF1561" s="611"/>
      <c r="AG1561" s="611"/>
    </row>
    <row r="1562" spans="1:33" s="56" customFormat="1" hidden="1" outlineLevel="1" x14ac:dyDescent="0.25">
      <c r="A1562" s="597"/>
      <c r="B1562" s="130"/>
      <c r="C1562" s="616"/>
      <c r="D1562" s="2101"/>
      <c r="E1562" s="2104"/>
      <c r="F1562" s="2110" t="str">
        <f>$E$928</f>
        <v>ASHP SEER 20 replace ASHP - early replacement MF ER2</v>
      </c>
      <c r="G1562" s="2111"/>
      <c r="H1562" s="2111"/>
      <c r="I1562" s="2112"/>
      <c r="J1562" s="709"/>
      <c r="K1562" s="730">
        <v>14</v>
      </c>
      <c r="L1562" s="670"/>
      <c r="M1562" s="770" t="s">
        <v>972</v>
      </c>
      <c r="N1562" s="130"/>
      <c r="O1562" s="251"/>
      <c r="P1562" s="251"/>
      <c r="Q1562" s="251"/>
      <c r="R1562" s="251"/>
      <c r="S1562" s="130"/>
      <c r="T1562" s="130"/>
      <c r="U1562" s="130"/>
      <c r="V1562" s="2107"/>
      <c r="W1562" s="611">
        <v>14</v>
      </c>
      <c r="X1562" s="611">
        <v>14</v>
      </c>
      <c r="Y1562" s="611"/>
      <c r="Z1562" s="611"/>
      <c r="AA1562" s="611"/>
      <c r="AB1562" s="611"/>
      <c r="AC1562" s="611"/>
      <c r="AD1562" s="611"/>
      <c r="AE1562" s="611"/>
      <c r="AF1562" s="611"/>
      <c r="AG1562" s="611"/>
    </row>
    <row r="1563" spans="1:33" s="56" customFormat="1" hidden="1" outlineLevel="1" x14ac:dyDescent="0.25">
      <c r="A1563" s="597"/>
      <c r="B1563" s="130"/>
      <c r="C1563" s="616"/>
      <c r="D1563" s="2101"/>
      <c r="E1563" s="2104"/>
      <c r="F1563" s="2110" t="str">
        <f>$E$930</f>
        <v>ASHP SEER 21 replace ASHP - early replacement SF ER1</v>
      </c>
      <c r="G1563" s="2111"/>
      <c r="H1563" s="2111"/>
      <c r="I1563" s="2112"/>
      <c r="J1563" s="709"/>
      <c r="K1563" s="730">
        <v>8.33</v>
      </c>
      <c r="L1563" s="670"/>
      <c r="M1563" s="770" t="s">
        <v>1800</v>
      </c>
      <c r="N1563" s="130"/>
      <c r="O1563" s="251"/>
      <c r="P1563" s="251"/>
      <c r="Q1563" s="251"/>
      <c r="R1563" s="251"/>
      <c r="S1563" s="130"/>
      <c r="T1563" s="130"/>
      <c r="U1563" s="130"/>
      <c r="V1563" s="2107"/>
      <c r="W1563" s="611">
        <v>7.2</v>
      </c>
      <c r="X1563" s="614">
        <v>8.33</v>
      </c>
      <c r="Y1563" s="611"/>
      <c r="Z1563" s="611"/>
      <c r="AA1563" s="611"/>
      <c r="AB1563" s="611"/>
      <c r="AC1563" s="611"/>
      <c r="AD1563" s="611"/>
      <c r="AE1563" s="611"/>
      <c r="AF1563" s="611"/>
      <c r="AG1563" s="611"/>
    </row>
    <row r="1564" spans="1:33" s="56" customFormat="1" hidden="1" outlineLevel="1" x14ac:dyDescent="0.25">
      <c r="A1564" s="597"/>
      <c r="B1564" s="130"/>
      <c r="C1564" s="616"/>
      <c r="D1564" s="2101"/>
      <c r="E1564" s="2104"/>
      <c r="F1564" s="2110" t="str">
        <f>$E$932</f>
        <v>ASHP SEER 21 replace ASHP - early replacement SF ER2</v>
      </c>
      <c r="G1564" s="2111"/>
      <c r="H1564" s="2111"/>
      <c r="I1564" s="2112"/>
      <c r="J1564" s="709"/>
      <c r="K1564" s="730">
        <v>14</v>
      </c>
      <c r="L1564" s="670"/>
      <c r="M1564" s="770" t="s">
        <v>972</v>
      </c>
      <c r="N1564" s="130"/>
      <c r="O1564" s="251"/>
      <c r="P1564" s="251"/>
      <c r="Q1564" s="251"/>
      <c r="R1564" s="251"/>
      <c r="S1564" s="130"/>
      <c r="T1564" s="130"/>
      <c r="U1564" s="130"/>
      <c r="V1564" s="2107"/>
      <c r="W1564" s="611">
        <v>14</v>
      </c>
      <c r="X1564" s="611">
        <v>14</v>
      </c>
      <c r="Y1564" s="611"/>
      <c r="Z1564" s="611"/>
      <c r="AA1564" s="611"/>
      <c r="AB1564" s="611"/>
      <c r="AC1564" s="611"/>
      <c r="AD1564" s="611"/>
      <c r="AE1564" s="611"/>
      <c r="AF1564" s="611"/>
      <c r="AG1564" s="611"/>
    </row>
    <row r="1565" spans="1:33" s="56" customFormat="1" hidden="1" outlineLevel="1" x14ac:dyDescent="0.25">
      <c r="A1565" s="597"/>
      <c r="B1565" s="130"/>
      <c r="C1565" s="616"/>
      <c r="D1565" s="2101"/>
      <c r="E1565" s="2104"/>
      <c r="F1565" s="2110" t="str">
        <f>$E$934</f>
        <v>ASHP SEER 21 replace ASHP - replace on fail SF</v>
      </c>
      <c r="G1565" s="2111"/>
      <c r="H1565" s="2111"/>
      <c r="I1565" s="2112"/>
      <c r="J1565" s="709"/>
      <c r="K1565" s="730">
        <v>14</v>
      </c>
      <c r="L1565" s="670"/>
      <c r="M1565" s="770" t="s">
        <v>972</v>
      </c>
      <c r="N1565" s="130"/>
      <c r="O1565" s="251"/>
      <c r="P1565" s="251"/>
      <c r="Q1565" s="251"/>
      <c r="R1565" s="251"/>
      <c r="S1565" s="130"/>
      <c r="T1565" s="130"/>
      <c r="U1565" s="130"/>
      <c r="V1565" s="2107"/>
      <c r="W1565" s="611">
        <v>14</v>
      </c>
      <c r="X1565" s="611">
        <v>14</v>
      </c>
      <c r="Y1565" s="611"/>
      <c r="Z1565" s="611"/>
      <c r="AA1565" s="611"/>
      <c r="AB1565" s="611"/>
      <c r="AC1565" s="611"/>
      <c r="AD1565" s="611"/>
      <c r="AE1565" s="611"/>
      <c r="AF1565" s="611"/>
      <c r="AG1565" s="611"/>
    </row>
    <row r="1566" spans="1:33" s="56" customFormat="1" hidden="1" outlineLevel="1" x14ac:dyDescent="0.25">
      <c r="A1566" s="597"/>
      <c r="B1566" s="130"/>
      <c r="C1566" s="616"/>
      <c r="D1566" s="2101"/>
      <c r="E1566" s="2104"/>
      <c r="F1566" s="2110" t="str">
        <f>$E$936</f>
        <v>ASHP - SEER 21 - replace electric furnace / CAC MF</v>
      </c>
      <c r="G1566" s="2111"/>
      <c r="H1566" s="2111"/>
      <c r="I1566" s="2112"/>
      <c r="J1566" s="709"/>
      <c r="K1566" s="730">
        <v>13</v>
      </c>
      <c r="L1566" s="670"/>
      <c r="M1566" s="770" t="s">
        <v>972</v>
      </c>
      <c r="N1566" s="130"/>
      <c r="O1566" s="251"/>
      <c r="P1566" s="251"/>
      <c r="Q1566" s="251"/>
      <c r="R1566" s="251"/>
      <c r="S1566" s="130"/>
      <c r="T1566" s="130"/>
      <c r="U1566" s="130"/>
      <c r="V1566" s="2107"/>
      <c r="W1566" s="611">
        <v>13</v>
      </c>
      <c r="X1566" s="611">
        <v>13</v>
      </c>
      <c r="Y1566" s="611"/>
      <c r="Z1566" s="611"/>
      <c r="AA1566" s="611"/>
      <c r="AB1566" s="611"/>
      <c r="AC1566" s="611"/>
      <c r="AD1566" s="611"/>
      <c r="AE1566" s="611"/>
      <c r="AF1566" s="611"/>
      <c r="AG1566" s="611"/>
    </row>
    <row r="1567" spans="1:33" s="56" customFormat="1" hidden="1" outlineLevel="1" x14ac:dyDescent="0.25">
      <c r="A1567" s="597"/>
      <c r="B1567" s="130"/>
      <c r="C1567" s="616"/>
      <c r="D1567" s="2101"/>
      <c r="E1567" s="2104"/>
      <c r="F1567" s="2110" t="str">
        <f>$E$938</f>
        <v>ASHP SEER 21 replace ASHP - early replacement MF ER1</v>
      </c>
      <c r="G1567" s="2111"/>
      <c r="H1567" s="2111"/>
      <c r="I1567" s="2112"/>
      <c r="J1567" s="709"/>
      <c r="K1567" s="730">
        <v>8.33</v>
      </c>
      <c r="L1567" s="670"/>
      <c r="M1567" s="770" t="s">
        <v>1800</v>
      </c>
      <c r="N1567" s="130"/>
      <c r="O1567" s="251"/>
      <c r="P1567" s="251"/>
      <c r="Q1567" s="251"/>
      <c r="R1567" s="251"/>
      <c r="S1567" s="130"/>
      <c r="T1567" s="130"/>
      <c r="U1567" s="130"/>
      <c r="V1567" s="2107"/>
      <c r="W1567" s="611">
        <v>7.2</v>
      </c>
      <c r="X1567" s="614">
        <v>8.33</v>
      </c>
      <c r="Y1567" s="611"/>
      <c r="Z1567" s="611"/>
      <c r="AA1567" s="611"/>
      <c r="AB1567" s="611"/>
      <c r="AC1567" s="611"/>
      <c r="AD1567" s="611"/>
      <c r="AE1567" s="611"/>
      <c r="AF1567" s="611"/>
      <c r="AG1567" s="611"/>
    </row>
    <row r="1568" spans="1:33" s="56" customFormat="1" hidden="1" outlineLevel="1" x14ac:dyDescent="0.25">
      <c r="A1568" s="597"/>
      <c r="B1568" s="130"/>
      <c r="C1568" s="616"/>
      <c r="D1568" s="2101"/>
      <c r="E1568" s="2104"/>
      <c r="F1568" s="2110" t="str">
        <f>$E$940</f>
        <v>ASHP SEER 21 replace ASHP - early replacement MF ER2</v>
      </c>
      <c r="G1568" s="2111"/>
      <c r="H1568" s="2111"/>
      <c r="I1568" s="2112"/>
      <c r="J1568" s="709"/>
      <c r="K1568" s="730">
        <v>14</v>
      </c>
      <c r="L1568" s="670"/>
      <c r="M1568" s="770" t="s">
        <v>972</v>
      </c>
      <c r="N1568" s="130"/>
      <c r="O1568" s="251"/>
      <c r="P1568" s="251"/>
      <c r="Q1568" s="251"/>
      <c r="R1568" s="251"/>
      <c r="S1568" s="130"/>
      <c r="T1568" s="130"/>
      <c r="U1568" s="130"/>
      <c r="V1568" s="2107"/>
      <c r="W1568" s="611">
        <v>14</v>
      </c>
      <c r="X1568" s="611">
        <v>14</v>
      </c>
      <c r="Y1568" s="611"/>
      <c r="Z1568" s="611"/>
      <c r="AA1568" s="611"/>
      <c r="AB1568" s="611"/>
      <c r="AC1568" s="611"/>
      <c r="AD1568" s="611"/>
      <c r="AE1568" s="611"/>
      <c r="AF1568" s="611"/>
      <c r="AG1568" s="611"/>
    </row>
    <row r="1569" spans="1:33" s="56" customFormat="1" ht="15" hidden="1" customHeight="1" outlineLevel="1" x14ac:dyDescent="0.25">
      <c r="A1569" s="724"/>
      <c r="B1569" s="130"/>
      <c r="C1569" s="616"/>
      <c r="D1569" s="2101"/>
      <c r="E1569" s="2104"/>
      <c r="F1569" s="2110" t="str">
        <f>$E$942</f>
        <v>ASHP - SEER 17 - replace on fail MF</v>
      </c>
      <c r="G1569" s="2111"/>
      <c r="H1569" s="2111"/>
      <c r="I1569" s="2112"/>
      <c r="J1569" s="709" t="s">
        <v>1198</v>
      </c>
      <c r="K1569" s="730">
        <v>14</v>
      </c>
      <c r="L1569" s="670"/>
      <c r="M1569" s="613" t="s">
        <v>972</v>
      </c>
      <c r="N1569" s="130"/>
      <c r="O1569" s="251"/>
      <c r="P1569" s="766"/>
      <c r="Q1569" s="767"/>
      <c r="R1569" s="766"/>
      <c r="S1569" s="752"/>
      <c r="T1569" s="760"/>
      <c r="U1569" s="130"/>
      <c r="V1569" s="2107"/>
      <c r="W1569" s="611">
        <v>14</v>
      </c>
      <c r="X1569" s="611">
        <v>14</v>
      </c>
      <c r="Y1569" s="611"/>
      <c r="Z1569" s="611"/>
      <c r="AA1569" s="611"/>
      <c r="AB1569" s="611"/>
      <c r="AC1569" s="611"/>
      <c r="AD1569" s="611"/>
      <c r="AE1569" s="611"/>
      <c r="AF1569" s="611"/>
      <c r="AG1569" s="611"/>
    </row>
    <row r="1570" spans="1:33" s="56" customFormat="1" ht="15" hidden="1" customHeight="1" outlineLevel="1" x14ac:dyDescent="0.25">
      <c r="A1570" s="724"/>
      <c r="B1570" s="130"/>
      <c r="C1570" s="616"/>
      <c r="D1570" s="2101"/>
      <c r="E1570" s="2104"/>
      <c r="F1570" s="2110" t="str">
        <f>$E$944</f>
        <v>ASHP - SEER 18 - replace on fail MF</v>
      </c>
      <c r="G1570" s="2111"/>
      <c r="H1570" s="2111"/>
      <c r="I1570" s="2112"/>
      <c r="J1570" s="709" t="s">
        <v>1199</v>
      </c>
      <c r="K1570" s="730">
        <v>14</v>
      </c>
      <c r="L1570" s="670"/>
      <c r="M1570" s="613" t="s">
        <v>972</v>
      </c>
      <c r="N1570" s="130"/>
      <c r="O1570" s="251"/>
      <c r="P1570" s="766"/>
      <c r="Q1570" s="767"/>
      <c r="R1570" s="766"/>
      <c r="S1570" s="752"/>
      <c r="T1570" s="760"/>
      <c r="U1570" s="130"/>
      <c r="V1570" s="2107"/>
      <c r="W1570" s="611">
        <v>14</v>
      </c>
      <c r="X1570" s="611">
        <v>14</v>
      </c>
      <c r="Y1570" s="611"/>
      <c r="Z1570" s="611"/>
      <c r="AA1570" s="611"/>
      <c r="AB1570" s="611"/>
      <c r="AC1570" s="611"/>
      <c r="AD1570" s="611"/>
      <c r="AE1570" s="611"/>
      <c r="AF1570" s="611"/>
      <c r="AG1570" s="611"/>
    </row>
    <row r="1571" spans="1:33" s="56" customFormat="1" ht="15" hidden="1" customHeight="1" outlineLevel="1" x14ac:dyDescent="0.25">
      <c r="A1571" s="597"/>
      <c r="B1571" s="130"/>
      <c r="C1571" s="616"/>
      <c r="D1571" s="2101"/>
      <c r="E1571" s="2104"/>
      <c r="F1571" s="2110" t="str">
        <f>$E$946</f>
        <v>ASHP - SEER 19 - replace on fail MF</v>
      </c>
      <c r="G1571" s="2111"/>
      <c r="H1571" s="2111"/>
      <c r="I1571" s="2112"/>
      <c r="J1571" s="709" t="s">
        <v>1200</v>
      </c>
      <c r="K1571" s="730">
        <v>14</v>
      </c>
      <c r="L1571" s="670"/>
      <c r="M1571" s="613" t="s">
        <v>972</v>
      </c>
      <c r="N1571" s="130"/>
      <c r="O1571" s="251"/>
      <c r="P1571" s="251"/>
      <c r="Q1571" s="251"/>
      <c r="R1571" s="251"/>
      <c r="S1571" s="130"/>
      <c r="T1571" s="130"/>
      <c r="U1571" s="130"/>
      <c r="V1571" s="2107"/>
      <c r="W1571" s="611">
        <v>14</v>
      </c>
      <c r="X1571" s="611">
        <v>14</v>
      </c>
      <c r="Y1571" s="611"/>
      <c r="Z1571" s="611"/>
      <c r="AA1571" s="611"/>
      <c r="AB1571" s="611"/>
      <c r="AC1571" s="611"/>
      <c r="AD1571" s="611"/>
      <c r="AE1571" s="611"/>
      <c r="AF1571" s="611"/>
      <c r="AG1571" s="611"/>
    </row>
    <row r="1572" spans="1:33" s="56" customFormat="1" ht="15" hidden="1" customHeight="1" outlineLevel="1" x14ac:dyDescent="0.25">
      <c r="A1572" s="597"/>
      <c r="B1572" s="130"/>
      <c r="C1572" s="616"/>
      <c r="D1572" s="2101"/>
      <c r="E1572" s="2104"/>
      <c r="F1572" s="2110" t="str">
        <f>$E$948</f>
        <v>ASHP - SEER 20 - replace on fail MF</v>
      </c>
      <c r="G1572" s="2111"/>
      <c r="H1572" s="2111"/>
      <c r="I1572" s="2112"/>
      <c r="J1572" s="709" t="s">
        <v>1201</v>
      </c>
      <c r="K1572" s="730">
        <v>14</v>
      </c>
      <c r="L1572" s="670"/>
      <c r="M1572" s="613" t="s">
        <v>972</v>
      </c>
      <c r="N1572" s="130"/>
      <c r="O1572" s="251"/>
      <c r="P1572" s="251"/>
      <c r="Q1572" s="251"/>
      <c r="R1572" s="251"/>
      <c r="S1572" s="130"/>
      <c r="T1572" s="130"/>
      <c r="U1572" s="130"/>
      <c r="V1572" s="2107"/>
      <c r="W1572" s="611">
        <v>14</v>
      </c>
      <c r="X1572" s="611">
        <v>14</v>
      </c>
      <c r="Y1572" s="611"/>
      <c r="Z1572" s="611"/>
      <c r="AA1572" s="611"/>
      <c r="AB1572" s="611"/>
      <c r="AC1572" s="611"/>
      <c r="AD1572" s="611"/>
      <c r="AE1572" s="611"/>
      <c r="AF1572" s="611"/>
      <c r="AG1572" s="611"/>
    </row>
    <row r="1573" spans="1:33" s="56" customFormat="1" ht="15.75" hidden="1" customHeight="1" outlineLevel="1" thickBot="1" x14ac:dyDescent="0.3">
      <c r="A1573" s="724"/>
      <c r="B1573" s="130"/>
      <c r="C1573" s="616"/>
      <c r="D1573" s="2102"/>
      <c r="E1573" s="2105"/>
      <c r="F1573" s="2110" t="str">
        <f>$E$950</f>
        <v>ASHP - SEER 21 - replace on fail MF</v>
      </c>
      <c r="G1573" s="2111"/>
      <c r="H1573" s="2111"/>
      <c r="I1573" s="2112"/>
      <c r="J1573" s="712" t="s">
        <v>1202</v>
      </c>
      <c r="K1573" s="622">
        <v>14</v>
      </c>
      <c r="L1573" s="771"/>
      <c r="M1573" s="623" t="s">
        <v>972</v>
      </c>
      <c r="N1573" s="130"/>
      <c r="O1573" s="251"/>
      <c r="P1573" s="766"/>
      <c r="Q1573" s="767"/>
      <c r="R1573" s="766"/>
      <c r="S1573" s="752"/>
      <c r="T1573" s="760"/>
      <c r="U1573" s="130"/>
      <c r="V1573" s="2108"/>
      <c r="W1573" s="622">
        <v>14</v>
      </c>
      <c r="X1573" s="622">
        <v>14</v>
      </c>
      <c r="Y1573" s="622"/>
      <c r="Z1573" s="622"/>
      <c r="AA1573" s="622"/>
      <c r="AB1573" s="622"/>
      <c r="AC1573" s="622"/>
      <c r="AD1573" s="622"/>
      <c r="AE1573" s="622"/>
      <c r="AF1573" s="622"/>
      <c r="AG1573" s="622"/>
    </row>
    <row r="1574" spans="1:33" s="56" customFormat="1" ht="15" hidden="1" customHeight="1" outlineLevel="1" x14ac:dyDescent="0.25">
      <c r="A1574" s="724"/>
      <c r="B1574" s="130"/>
      <c r="C1574" s="616"/>
      <c r="D1574" s="2100" t="s">
        <v>1044</v>
      </c>
      <c r="E1574" s="2103" t="s">
        <v>1204</v>
      </c>
      <c r="F1574" s="2109" t="str">
        <f>$E$780</f>
        <v>ASHP - SEER 15 ER Elec Resist Furnace: HVAC ER1</v>
      </c>
      <c r="G1574" s="2109"/>
      <c r="H1574" s="2109"/>
      <c r="I1574" s="2109"/>
      <c r="J1574" s="707">
        <v>919</v>
      </c>
      <c r="K1574" s="727">
        <v>15.12</v>
      </c>
      <c r="L1574" s="660"/>
      <c r="M1574" s="772" t="s">
        <v>1794</v>
      </c>
      <c r="N1574" s="130"/>
      <c r="O1574" s="251"/>
      <c r="P1574" s="766"/>
      <c r="Q1574" s="766"/>
      <c r="R1574" s="766"/>
      <c r="S1574" s="752"/>
      <c r="T1574" s="760"/>
      <c r="U1574" s="130"/>
      <c r="V1574" s="2106" t="s">
        <v>1044</v>
      </c>
      <c r="W1574" s="605">
        <v>15.1</v>
      </c>
      <c r="X1574" s="624">
        <v>15.12</v>
      </c>
      <c r="Y1574" s="605"/>
      <c r="Z1574" s="605"/>
      <c r="AA1574" s="605"/>
      <c r="AB1574" s="605"/>
      <c r="AC1574" s="605"/>
      <c r="AD1574" s="605"/>
      <c r="AE1574" s="605"/>
      <c r="AF1574" s="605"/>
      <c r="AG1574" s="605"/>
    </row>
    <row r="1575" spans="1:33" s="56" customFormat="1" ht="15" hidden="1" customHeight="1" outlineLevel="1" x14ac:dyDescent="0.25">
      <c r="A1575" s="724"/>
      <c r="B1575" s="130"/>
      <c r="C1575" s="616"/>
      <c r="D1575" s="2101"/>
      <c r="E1575" s="2104"/>
      <c r="F1575" s="2110" t="str">
        <f>$E$782</f>
        <v>ASHP - SEER 15 ER Elec Resist Furnace: HVAC ER2</v>
      </c>
      <c r="G1575" s="2111"/>
      <c r="H1575" s="2111"/>
      <c r="I1575" s="2112"/>
      <c r="J1575" s="709" t="s">
        <v>1156</v>
      </c>
      <c r="K1575" s="730">
        <v>15.12</v>
      </c>
      <c r="L1575" s="669"/>
      <c r="M1575" s="754" t="s">
        <v>1794</v>
      </c>
      <c r="N1575" s="130"/>
      <c r="O1575" s="251"/>
      <c r="P1575" s="766"/>
      <c r="Q1575" s="766"/>
      <c r="R1575" s="766"/>
      <c r="S1575" s="752"/>
      <c r="T1575" s="760"/>
      <c r="U1575" s="130"/>
      <c r="V1575" s="2107"/>
      <c r="W1575" s="611">
        <v>15.1</v>
      </c>
      <c r="X1575" s="614">
        <v>15.12</v>
      </c>
      <c r="Y1575" s="611"/>
      <c r="Z1575" s="611"/>
      <c r="AA1575" s="611"/>
      <c r="AB1575" s="611"/>
      <c r="AC1575" s="611"/>
      <c r="AD1575" s="611"/>
      <c r="AE1575" s="611"/>
      <c r="AF1575" s="611"/>
      <c r="AG1575" s="611"/>
    </row>
    <row r="1576" spans="1:33" s="56" customFormat="1" ht="15" hidden="1" customHeight="1" outlineLevel="1" x14ac:dyDescent="0.25">
      <c r="A1576" s="724"/>
      <c r="B1576" s="130"/>
      <c r="C1576" s="616"/>
      <c r="D1576" s="2101"/>
      <c r="E1576" s="2104"/>
      <c r="F1576" s="2110" t="str">
        <f>$E$784</f>
        <v>ASHP - SEER 15 ER with ASHP: HVAC ER1</v>
      </c>
      <c r="G1576" s="2111"/>
      <c r="H1576" s="2111"/>
      <c r="I1576" s="2112"/>
      <c r="J1576" s="709">
        <v>920</v>
      </c>
      <c r="K1576" s="730">
        <v>15.12</v>
      </c>
      <c r="L1576" s="669"/>
      <c r="M1576" s="754" t="s">
        <v>1794</v>
      </c>
      <c r="N1576" s="130"/>
      <c r="O1576" s="251"/>
      <c r="P1576" s="766"/>
      <c r="Q1576" s="766"/>
      <c r="R1576" s="766"/>
      <c r="S1576" s="752"/>
      <c r="T1576" s="760"/>
      <c r="U1576" s="130"/>
      <c r="V1576" s="2107"/>
      <c r="W1576" s="611">
        <v>15.1</v>
      </c>
      <c r="X1576" s="614">
        <v>15.12</v>
      </c>
      <c r="Y1576" s="611"/>
      <c r="Z1576" s="611"/>
      <c r="AA1576" s="611"/>
      <c r="AB1576" s="611"/>
      <c r="AC1576" s="611"/>
      <c r="AD1576" s="611"/>
      <c r="AE1576" s="611"/>
      <c r="AF1576" s="611"/>
      <c r="AG1576" s="611"/>
    </row>
    <row r="1577" spans="1:33" s="56" customFormat="1" ht="15" hidden="1" customHeight="1" outlineLevel="1" x14ac:dyDescent="0.25">
      <c r="A1577" s="724"/>
      <c r="B1577" s="130"/>
      <c r="C1577" s="616"/>
      <c r="D1577" s="2101"/>
      <c r="E1577" s="2104"/>
      <c r="F1577" s="2110" t="str">
        <f>$E$786</f>
        <v>ASHP - SEER 15 ER with ASHP: HVAC ER2</v>
      </c>
      <c r="G1577" s="2111"/>
      <c r="H1577" s="2111"/>
      <c r="I1577" s="2112"/>
      <c r="J1577" s="709" t="s">
        <v>1159</v>
      </c>
      <c r="K1577" s="730">
        <v>15.12</v>
      </c>
      <c r="L1577" s="669"/>
      <c r="M1577" s="754" t="s">
        <v>1794</v>
      </c>
      <c r="N1577" s="130"/>
      <c r="O1577" s="251"/>
      <c r="P1577" s="766"/>
      <c r="Q1577" s="766"/>
      <c r="R1577" s="766"/>
      <c r="S1577" s="752"/>
      <c r="T1577" s="760"/>
      <c r="U1577" s="130"/>
      <c r="V1577" s="2107"/>
      <c r="W1577" s="611">
        <v>15.1</v>
      </c>
      <c r="X1577" s="614">
        <v>15.12</v>
      </c>
      <c r="Y1577" s="611"/>
      <c r="Z1577" s="611"/>
      <c r="AA1577" s="611"/>
      <c r="AB1577" s="611"/>
      <c r="AC1577" s="611"/>
      <c r="AD1577" s="611"/>
      <c r="AE1577" s="611"/>
      <c r="AF1577" s="611"/>
      <c r="AG1577" s="611"/>
    </row>
    <row r="1578" spans="1:33" s="56" customFormat="1" ht="15" hidden="1" customHeight="1" outlineLevel="1" x14ac:dyDescent="0.25">
      <c r="A1578" s="724"/>
      <c r="B1578" s="130"/>
      <c r="C1578" s="616"/>
      <c r="D1578" s="2101"/>
      <c r="E1578" s="2104"/>
      <c r="F1578" s="2110" t="str">
        <f>$E$788</f>
        <v>ASHP-  SEER 15 Replace at Fail Elec Resist Furnace: HVAC</v>
      </c>
      <c r="G1578" s="2111"/>
      <c r="H1578" s="2111"/>
      <c r="I1578" s="2112"/>
      <c r="J1578" s="709">
        <v>921</v>
      </c>
      <c r="K1578" s="730">
        <v>15.12</v>
      </c>
      <c r="L1578" s="670"/>
      <c r="M1578" s="754" t="s">
        <v>1794</v>
      </c>
      <c r="N1578" s="130"/>
      <c r="O1578" s="251"/>
      <c r="P1578" s="766"/>
      <c r="Q1578" s="766"/>
      <c r="R1578" s="766"/>
      <c r="S1578" s="752"/>
      <c r="T1578" s="760"/>
      <c r="U1578" s="130"/>
      <c r="V1578" s="2107"/>
      <c r="W1578" s="611">
        <v>15.2</v>
      </c>
      <c r="X1578" s="614">
        <v>15.12</v>
      </c>
      <c r="Y1578" s="611"/>
      <c r="Z1578" s="611"/>
      <c r="AA1578" s="611"/>
      <c r="AB1578" s="611"/>
      <c r="AC1578" s="611"/>
      <c r="AD1578" s="611"/>
      <c r="AE1578" s="611"/>
      <c r="AF1578" s="611"/>
      <c r="AG1578" s="611"/>
    </row>
    <row r="1579" spans="1:33" s="56" customFormat="1" ht="15" hidden="1" customHeight="1" outlineLevel="1" x14ac:dyDescent="0.25">
      <c r="A1579" s="724"/>
      <c r="B1579" s="130"/>
      <c r="C1579" s="616"/>
      <c r="D1579" s="2101"/>
      <c r="E1579" s="2104"/>
      <c r="F1579" s="2110" t="str">
        <f>$E$790</f>
        <v>ASHP - SEER 15 Replace at Fail with ASHP: HVAC</v>
      </c>
      <c r="G1579" s="2111"/>
      <c r="H1579" s="2111"/>
      <c r="I1579" s="2112"/>
      <c r="J1579" s="709">
        <v>922</v>
      </c>
      <c r="K1579" s="730">
        <v>15.12</v>
      </c>
      <c r="L1579" s="670"/>
      <c r="M1579" s="754" t="s">
        <v>1794</v>
      </c>
      <c r="N1579" s="130"/>
      <c r="O1579" s="251"/>
      <c r="P1579" s="766"/>
      <c r="Q1579" s="766"/>
      <c r="R1579" s="766"/>
      <c r="S1579" s="752"/>
      <c r="T1579" s="760"/>
      <c r="U1579" s="130"/>
      <c r="V1579" s="2107"/>
      <c r="W1579" s="611">
        <v>15.1</v>
      </c>
      <c r="X1579" s="614">
        <v>15.12</v>
      </c>
      <c r="Y1579" s="611"/>
      <c r="Z1579" s="611"/>
      <c r="AA1579" s="611"/>
      <c r="AB1579" s="611"/>
      <c r="AC1579" s="611"/>
      <c r="AD1579" s="611"/>
      <c r="AE1579" s="611"/>
      <c r="AF1579" s="611"/>
      <c r="AG1579" s="611"/>
    </row>
    <row r="1580" spans="1:33" s="56" customFormat="1" ht="15" hidden="1" customHeight="1" outlineLevel="1" x14ac:dyDescent="0.25">
      <c r="A1580" s="724"/>
      <c r="B1580" s="130"/>
      <c r="C1580" s="616"/>
      <c r="D1580" s="2101"/>
      <c r="E1580" s="2104"/>
      <c r="F1580" s="2110" t="str">
        <f>$E$792</f>
        <v>ASHP - SEER 16 - replace electric furnace / CAC - early replacement SF ER1</v>
      </c>
      <c r="G1580" s="2111"/>
      <c r="H1580" s="2111"/>
      <c r="I1580" s="2112"/>
      <c r="J1580" s="709">
        <v>923</v>
      </c>
      <c r="K1580" s="730">
        <v>16</v>
      </c>
      <c r="L1580" s="670"/>
      <c r="M1580" s="754" t="s">
        <v>977</v>
      </c>
      <c r="N1580" s="130"/>
      <c r="O1580" s="251"/>
      <c r="P1580" s="766"/>
      <c r="Q1580" s="766"/>
      <c r="R1580" s="766"/>
      <c r="S1580" s="752"/>
      <c r="T1580" s="760"/>
      <c r="U1580" s="130"/>
      <c r="V1580" s="2107"/>
      <c r="W1580" s="611">
        <v>16</v>
      </c>
      <c r="X1580" s="611">
        <v>16</v>
      </c>
      <c r="Y1580" s="611"/>
      <c r="Z1580" s="611"/>
      <c r="AA1580" s="611"/>
      <c r="AB1580" s="611"/>
      <c r="AC1580" s="611"/>
      <c r="AD1580" s="611"/>
      <c r="AE1580" s="611"/>
      <c r="AF1580" s="611"/>
      <c r="AG1580" s="611"/>
    </row>
    <row r="1581" spans="1:33" s="56" customFormat="1" ht="15" hidden="1" customHeight="1" outlineLevel="1" x14ac:dyDescent="0.25">
      <c r="A1581" s="724"/>
      <c r="B1581" s="130"/>
      <c r="C1581" s="616"/>
      <c r="D1581" s="2101"/>
      <c r="E1581" s="2104"/>
      <c r="F1581" s="2110" t="str">
        <f>$E$794</f>
        <v>ASHP - SEER 16 - replace electric furnace / CAC - early replacement SF ER2</v>
      </c>
      <c r="G1581" s="2111"/>
      <c r="H1581" s="2111"/>
      <c r="I1581" s="2112"/>
      <c r="J1581" s="709" t="s">
        <v>1161</v>
      </c>
      <c r="K1581" s="730">
        <v>16</v>
      </c>
      <c r="L1581" s="670"/>
      <c r="M1581" s="754" t="s">
        <v>977</v>
      </c>
      <c r="N1581" s="130"/>
      <c r="O1581" s="251"/>
      <c r="P1581" s="766"/>
      <c r="Q1581" s="766"/>
      <c r="R1581" s="766"/>
      <c r="S1581" s="752"/>
      <c r="T1581" s="760"/>
      <c r="U1581" s="130"/>
      <c r="V1581" s="2107"/>
      <c r="W1581" s="611">
        <v>16</v>
      </c>
      <c r="X1581" s="611">
        <v>16</v>
      </c>
      <c r="Y1581" s="611"/>
      <c r="Z1581" s="611"/>
      <c r="AA1581" s="611"/>
      <c r="AB1581" s="611"/>
      <c r="AC1581" s="611"/>
      <c r="AD1581" s="611"/>
      <c r="AE1581" s="611"/>
      <c r="AF1581" s="611"/>
      <c r="AG1581" s="611"/>
    </row>
    <row r="1582" spans="1:33" s="56" customFormat="1" ht="15" hidden="1" customHeight="1" outlineLevel="1" x14ac:dyDescent="0.25">
      <c r="A1582" s="724"/>
      <c r="B1582" s="130"/>
      <c r="C1582" s="616"/>
      <c r="D1582" s="2101"/>
      <c r="E1582" s="2104"/>
      <c r="F1582" s="2110" t="str">
        <f>$E$796</f>
        <v>ASHP SEER 16 replace ASHP - early replacement SF ER1</v>
      </c>
      <c r="G1582" s="2111"/>
      <c r="H1582" s="2111"/>
      <c r="I1582" s="2112"/>
      <c r="J1582" s="709">
        <v>924</v>
      </c>
      <c r="K1582" s="730">
        <v>16</v>
      </c>
      <c r="L1582" s="670"/>
      <c r="M1582" s="754" t="s">
        <v>977</v>
      </c>
      <c r="N1582" s="130"/>
      <c r="O1582" s="251"/>
      <c r="P1582" s="766"/>
      <c r="Q1582" s="766"/>
      <c r="R1582" s="766"/>
      <c r="S1582" s="752"/>
      <c r="T1582" s="760"/>
      <c r="U1582" s="130"/>
      <c r="V1582" s="2107"/>
      <c r="W1582" s="611">
        <v>16</v>
      </c>
      <c r="X1582" s="611">
        <v>16</v>
      </c>
      <c r="Y1582" s="611"/>
      <c r="Z1582" s="611"/>
      <c r="AA1582" s="611"/>
      <c r="AB1582" s="611"/>
      <c r="AC1582" s="611"/>
      <c r="AD1582" s="611"/>
      <c r="AE1582" s="611"/>
      <c r="AF1582" s="611"/>
      <c r="AG1582" s="611"/>
    </row>
    <row r="1583" spans="1:33" s="56" customFormat="1" ht="15" hidden="1" customHeight="1" outlineLevel="1" x14ac:dyDescent="0.25">
      <c r="A1583" s="724"/>
      <c r="B1583" s="130"/>
      <c r="C1583" s="616"/>
      <c r="D1583" s="2101"/>
      <c r="E1583" s="2104"/>
      <c r="F1583" s="2110" t="str">
        <f>$E$798</f>
        <v>ASHP SEER 16 replace ASHP - early replacement SF ER2</v>
      </c>
      <c r="G1583" s="2111"/>
      <c r="H1583" s="2111"/>
      <c r="I1583" s="2112"/>
      <c r="J1583" s="709" t="s">
        <v>1163</v>
      </c>
      <c r="K1583" s="730">
        <v>16</v>
      </c>
      <c r="L1583" s="670"/>
      <c r="M1583" s="754" t="s">
        <v>977</v>
      </c>
      <c r="N1583" s="130"/>
      <c r="O1583" s="251"/>
      <c r="P1583" s="766"/>
      <c r="Q1583" s="766"/>
      <c r="R1583" s="766"/>
      <c r="S1583" s="752"/>
      <c r="T1583" s="760"/>
      <c r="U1583" s="130"/>
      <c r="V1583" s="2107"/>
      <c r="W1583" s="611">
        <v>16</v>
      </c>
      <c r="X1583" s="611">
        <v>16</v>
      </c>
      <c r="Y1583" s="611"/>
      <c r="Z1583" s="611"/>
      <c r="AA1583" s="611"/>
      <c r="AB1583" s="611"/>
      <c r="AC1583" s="611"/>
      <c r="AD1583" s="611"/>
      <c r="AE1583" s="611"/>
      <c r="AF1583" s="611"/>
      <c r="AG1583" s="611"/>
    </row>
    <row r="1584" spans="1:33" s="56" customFormat="1" ht="15" hidden="1" customHeight="1" outlineLevel="1" x14ac:dyDescent="0.25">
      <c r="A1584" s="724"/>
      <c r="B1584" s="130"/>
      <c r="C1584" s="616"/>
      <c r="D1584" s="2101"/>
      <c r="E1584" s="2104"/>
      <c r="F1584" s="2110" t="str">
        <f>$E$800</f>
        <v>ASHP - SEER 16 - replace electric furnace / CAC SF</v>
      </c>
      <c r="G1584" s="2111"/>
      <c r="H1584" s="2111"/>
      <c r="I1584" s="2112"/>
      <c r="J1584" s="709">
        <v>925</v>
      </c>
      <c r="K1584" s="730">
        <v>16</v>
      </c>
      <c r="L1584" s="670"/>
      <c r="M1584" s="754" t="s">
        <v>977</v>
      </c>
      <c r="N1584" s="130"/>
      <c r="O1584" s="251"/>
      <c r="P1584" s="766"/>
      <c r="Q1584" s="766"/>
      <c r="R1584" s="766"/>
      <c r="S1584" s="752"/>
      <c r="T1584" s="760"/>
      <c r="U1584" s="130"/>
      <c r="V1584" s="2107"/>
      <c r="W1584" s="611">
        <v>16</v>
      </c>
      <c r="X1584" s="611">
        <v>16</v>
      </c>
      <c r="Y1584" s="611"/>
      <c r="Z1584" s="611"/>
      <c r="AA1584" s="611"/>
      <c r="AB1584" s="611"/>
      <c r="AC1584" s="611"/>
      <c r="AD1584" s="611"/>
      <c r="AE1584" s="611"/>
      <c r="AF1584" s="611"/>
      <c r="AG1584" s="611"/>
    </row>
    <row r="1585" spans="1:33" s="56" customFormat="1" ht="15" hidden="1" customHeight="1" outlineLevel="1" x14ac:dyDescent="0.25">
      <c r="A1585" s="724"/>
      <c r="B1585" s="130"/>
      <c r="C1585" s="616"/>
      <c r="D1585" s="2101"/>
      <c r="E1585" s="2104"/>
      <c r="F1585" s="2110" t="str">
        <f>$E$802</f>
        <v>ASHP SEER 16 replace ASHP - replace on fail SF</v>
      </c>
      <c r="G1585" s="2111"/>
      <c r="H1585" s="2111"/>
      <c r="I1585" s="2112"/>
      <c r="J1585" s="709">
        <v>926</v>
      </c>
      <c r="K1585" s="730">
        <v>16</v>
      </c>
      <c r="L1585" s="670"/>
      <c r="M1585" s="754" t="s">
        <v>977</v>
      </c>
      <c r="N1585" s="130"/>
      <c r="O1585" s="251"/>
      <c r="P1585" s="766"/>
      <c r="Q1585" s="766"/>
      <c r="R1585" s="766"/>
      <c r="S1585" s="752"/>
      <c r="T1585" s="760"/>
      <c r="U1585" s="130"/>
      <c r="V1585" s="2107"/>
      <c r="W1585" s="611">
        <v>16</v>
      </c>
      <c r="X1585" s="611">
        <v>16</v>
      </c>
      <c r="Y1585" s="611"/>
      <c r="Z1585" s="611"/>
      <c r="AA1585" s="611"/>
      <c r="AB1585" s="611"/>
      <c r="AC1585" s="611"/>
      <c r="AD1585" s="611"/>
      <c r="AE1585" s="611"/>
      <c r="AF1585" s="611"/>
      <c r="AG1585" s="611"/>
    </row>
    <row r="1586" spans="1:33" s="56" customFormat="1" ht="15" hidden="1" customHeight="1" outlineLevel="1" x14ac:dyDescent="0.25">
      <c r="A1586" s="724"/>
      <c r="B1586" s="130"/>
      <c r="C1586" s="616"/>
      <c r="D1586" s="2101"/>
      <c r="E1586" s="2104"/>
      <c r="F1586" s="2110" t="str">
        <f>$E$804</f>
        <v>ASHP SEER 15 MFMR / MFLI ER Replace ASHP: HVAC ER1</v>
      </c>
      <c r="G1586" s="2111"/>
      <c r="H1586" s="2111"/>
      <c r="I1586" s="2112"/>
      <c r="J1586" s="709">
        <v>1239</v>
      </c>
      <c r="K1586" s="730">
        <v>15.1</v>
      </c>
      <c r="L1586" s="670"/>
      <c r="M1586" s="754" t="s">
        <v>977</v>
      </c>
      <c r="N1586" s="130"/>
      <c r="O1586" s="251"/>
      <c r="P1586" s="766"/>
      <c r="Q1586" s="766"/>
      <c r="R1586" s="766"/>
      <c r="S1586" s="752"/>
      <c r="T1586" s="760"/>
      <c r="U1586" s="130"/>
      <c r="V1586" s="2107"/>
      <c r="W1586" s="611">
        <v>15.1</v>
      </c>
      <c r="X1586" s="611">
        <v>15.1</v>
      </c>
      <c r="Y1586" s="611"/>
      <c r="Z1586" s="611"/>
      <c r="AA1586" s="611"/>
      <c r="AB1586" s="611"/>
      <c r="AC1586" s="611"/>
      <c r="AD1586" s="611"/>
      <c r="AE1586" s="611"/>
      <c r="AF1586" s="611"/>
      <c r="AG1586" s="611"/>
    </row>
    <row r="1587" spans="1:33" s="56" customFormat="1" ht="15" hidden="1" customHeight="1" outlineLevel="1" x14ac:dyDescent="0.25">
      <c r="A1587" s="724"/>
      <c r="B1587" s="130"/>
      <c r="C1587" s="616"/>
      <c r="D1587" s="2101"/>
      <c r="E1587" s="2104"/>
      <c r="F1587" s="2110" t="str">
        <f>$E$806</f>
        <v>ASHP SEER 15 MF ER Replace ASHP: HVAC ER2</v>
      </c>
      <c r="G1587" s="2111"/>
      <c r="H1587" s="2111"/>
      <c r="I1587" s="2112"/>
      <c r="J1587" s="709" t="s">
        <v>1166</v>
      </c>
      <c r="K1587" s="730">
        <v>15.1</v>
      </c>
      <c r="L1587" s="670"/>
      <c r="M1587" s="754" t="s">
        <v>977</v>
      </c>
      <c r="N1587" s="130"/>
      <c r="O1587" s="251"/>
      <c r="P1587" s="766"/>
      <c r="Q1587" s="766"/>
      <c r="R1587" s="766"/>
      <c r="S1587" s="752"/>
      <c r="T1587" s="760"/>
      <c r="U1587" s="130"/>
      <c r="V1587" s="2107"/>
      <c r="W1587" s="611">
        <v>15.1</v>
      </c>
      <c r="X1587" s="611">
        <v>15.1</v>
      </c>
      <c r="Y1587" s="611"/>
      <c r="Z1587" s="611"/>
      <c r="AA1587" s="611"/>
      <c r="AB1587" s="611"/>
      <c r="AC1587" s="611"/>
      <c r="AD1587" s="611"/>
      <c r="AE1587" s="611"/>
      <c r="AF1587" s="611"/>
      <c r="AG1587" s="611"/>
    </row>
    <row r="1588" spans="1:33" s="56" customFormat="1" ht="15" hidden="1" customHeight="1" outlineLevel="1" x14ac:dyDescent="0.25">
      <c r="A1588" s="724"/>
      <c r="B1588" s="130"/>
      <c r="C1588" s="616"/>
      <c r="D1588" s="2101"/>
      <c r="E1588" s="2104"/>
      <c r="F1588" s="2110" t="str">
        <f>$E$808</f>
        <v>ASHP SEER 15 MF ER Replace Elec Resist Furnace: HVAC ER1</v>
      </c>
      <c r="G1588" s="2111"/>
      <c r="H1588" s="2111"/>
      <c r="I1588" s="2112"/>
      <c r="J1588" s="709">
        <v>1266</v>
      </c>
      <c r="K1588" s="730">
        <v>15.1</v>
      </c>
      <c r="L1588" s="670"/>
      <c r="M1588" s="754" t="s">
        <v>977</v>
      </c>
      <c r="N1588" s="130"/>
      <c r="O1588" s="251"/>
      <c r="P1588" s="766"/>
      <c r="Q1588" s="766"/>
      <c r="R1588" s="766"/>
      <c r="S1588" s="752"/>
      <c r="T1588" s="760"/>
      <c r="U1588" s="130"/>
      <c r="V1588" s="2107"/>
      <c r="W1588" s="611">
        <v>15.1</v>
      </c>
      <c r="X1588" s="611">
        <v>15.1</v>
      </c>
      <c r="Y1588" s="611"/>
      <c r="Z1588" s="611"/>
      <c r="AA1588" s="611"/>
      <c r="AB1588" s="611"/>
      <c r="AC1588" s="611"/>
      <c r="AD1588" s="611"/>
      <c r="AE1588" s="611"/>
      <c r="AF1588" s="611"/>
      <c r="AG1588" s="611"/>
    </row>
    <row r="1589" spans="1:33" s="56" customFormat="1" ht="15" hidden="1" customHeight="1" outlineLevel="1" x14ac:dyDescent="0.25">
      <c r="A1589" s="724"/>
      <c r="B1589" s="130"/>
      <c r="C1589" s="616"/>
      <c r="D1589" s="2101"/>
      <c r="E1589" s="2104"/>
      <c r="F1589" s="2110" t="str">
        <f>$E$810</f>
        <v>ASHP SEER 15 MF ER Replace Elec Resist Furnace: HVAC ER2</v>
      </c>
      <c r="G1589" s="2111"/>
      <c r="H1589" s="2111"/>
      <c r="I1589" s="2112"/>
      <c r="J1589" s="709" t="s">
        <v>1168</v>
      </c>
      <c r="K1589" s="730">
        <v>15.1</v>
      </c>
      <c r="L1589" s="670"/>
      <c r="M1589" s="754" t="s">
        <v>977</v>
      </c>
      <c r="N1589" s="130"/>
      <c r="O1589" s="251"/>
      <c r="P1589" s="766"/>
      <c r="Q1589" s="766"/>
      <c r="R1589" s="766"/>
      <c r="S1589" s="752"/>
      <c r="T1589" s="760"/>
      <c r="U1589" s="130"/>
      <c r="V1589" s="2107"/>
      <c r="W1589" s="611">
        <v>15.1</v>
      </c>
      <c r="X1589" s="611">
        <v>15.1</v>
      </c>
      <c r="Y1589" s="611"/>
      <c r="Z1589" s="611"/>
      <c r="AA1589" s="611"/>
      <c r="AB1589" s="611"/>
      <c r="AC1589" s="611"/>
      <c r="AD1589" s="611"/>
      <c r="AE1589" s="611"/>
      <c r="AF1589" s="611"/>
      <c r="AG1589" s="611"/>
    </row>
    <row r="1590" spans="1:33" s="56" customFormat="1" ht="15" hidden="1" customHeight="1" outlineLevel="1" x14ac:dyDescent="0.25">
      <c r="A1590" s="724"/>
      <c r="B1590" s="130"/>
      <c r="C1590" s="616"/>
      <c r="D1590" s="2101"/>
      <c r="E1590" s="2104"/>
      <c r="F1590" s="2110" t="str">
        <f>$E$812</f>
        <v>ASHP SEER 15 MF Replace at Fail Elec Resist Furnace: HVAC</v>
      </c>
      <c r="G1590" s="2111"/>
      <c r="H1590" s="2111"/>
      <c r="I1590" s="2112"/>
      <c r="J1590" s="709">
        <v>1268</v>
      </c>
      <c r="K1590" s="730">
        <v>15.2</v>
      </c>
      <c r="L1590" s="670"/>
      <c r="M1590" s="754" t="s">
        <v>977</v>
      </c>
      <c r="N1590" s="130"/>
      <c r="O1590" s="251"/>
      <c r="P1590" s="766"/>
      <c r="Q1590" s="766"/>
      <c r="R1590" s="766"/>
      <c r="S1590" s="752"/>
      <c r="T1590" s="760"/>
      <c r="U1590" s="130"/>
      <c r="V1590" s="2107"/>
      <c r="W1590" s="611">
        <v>15.2</v>
      </c>
      <c r="X1590" s="611">
        <v>15.2</v>
      </c>
      <c r="Y1590" s="611"/>
      <c r="Z1590" s="611"/>
      <c r="AA1590" s="611"/>
      <c r="AB1590" s="611"/>
      <c r="AC1590" s="611"/>
      <c r="AD1590" s="611"/>
      <c r="AE1590" s="611"/>
      <c r="AF1590" s="611"/>
      <c r="AG1590" s="611"/>
    </row>
    <row r="1591" spans="1:33" s="56" customFormat="1" ht="15" hidden="1" customHeight="1" outlineLevel="1" x14ac:dyDescent="0.25">
      <c r="A1591" s="724"/>
      <c r="B1591" s="130"/>
      <c r="C1591" s="616"/>
      <c r="D1591" s="2101"/>
      <c r="E1591" s="2104"/>
      <c r="F1591" s="2110" t="str">
        <f>$E$814</f>
        <v>ASHP SEER 16 MF ER Replace ASHP: HVAC ER1</v>
      </c>
      <c r="G1591" s="2111"/>
      <c r="H1591" s="2111"/>
      <c r="I1591" s="2112"/>
      <c r="J1591" s="709">
        <v>1240</v>
      </c>
      <c r="K1591" s="730">
        <v>16</v>
      </c>
      <c r="L1591" s="670"/>
      <c r="M1591" s="754" t="s">
        <v>977</v>
      </c>
      <c r="N1591" s="130"/>
      <c r="O1591" s="251"/>
      <c r="P1591" s="766"/>
      <c r="Q1591" s="766"/>
      <c r="R1591" s="766"/>
      <c r="S1591" s="752"/>
      <c r="T1591" s="760"/>
      <c r="U1591" s="130"/>
      <c r="V1591" s="2107"/>
      <c r="W1591" s="611">
        <v>16</v>
      </c>
      <c r="X1591" s="611">
        <v>16</v>
      </c>
      <c r="Y1591" s="611"/>
      <c r="Z1591" s="611"/>
      <c r="AA1591" s="611"/>
      <c r="AB1591" s="611"/>
      <c r="AC1591" s="611"/>
      <c r="AD1591" s="611"/>
      <c r="AE1591" s="611"/>
      <c r="AF1591" s="611"/>
      <c r="AG1591" s="611"/>
    </row>
    <row r="1592" spans="1:33" s="56" customFormat="1" ht="15" hidden="1" customHeight="1" outlineLevel="1" x14ac:dyDescent="0.25">
      <c r="A1592" s="724"/>
      <c r="B1592" s="130"/>
      <c r="C1592" s="616"/>
      <c r="D1592" s="2101"/>
      <c r="E1592" s="2104"/>
      <c r="F1592" s="2110" t="str">
        <f>$E$816</f>
        <v>ASHP SEER 16 MF ER Replace ASHP: HVAC ER2</v>
      </c>
      <c r="G1592" s="2111"/>
      <c r="H1592" s="2111"/>
      <c r="I1592" s="2112"/>
      <c r="J1592" s="709" t="s">
        <v>1170</v>
      </c>
      <c r="K1592" s="730">
        <v>16</v>
      </c>
      <c r="L1592" s="670"/>
      <c r="M1592" s="754" t="s">
        <v>977</v>
      </c>
      <c r="N1592" s="130"/>
      <c r="O1592" s="251"/>
      <c r="P1592" s="766"/>
      <c r="Q1592" s="766"/>
      <c r="R1592" s="766"/>
      <c r="S1592" s="752"/>
      <c r="T1592" s="760"/>
      <c r="U1592" s="130"/>
      <c r="V1592" s="2107"/>
      <c r="W1592" s="611">
        <v>16</v>
      </c>
      <c r="X1592" s="611">
        <v>16</v>
      </c>
      <c r="Y1592" s="611"/>
      <c r="Z1592" s="611"/>
      <c r="AA1592" s="611"/>
      <c r="AB1592" s="611"/>
      <c r="AC1592" s="611"/>
      <c r="AD1592" s="611"/>
      <c r="AE1592" s="611"/>
      <c r="AF1592" s="611"/>
      <c r="AG1592" s="611"/>
    </row>
    <row r="1593" spans="1:33" s="56" customFormat="1" ht="15" hidden="1" customHeight="1" outlineLevel="1" x14ac:dyDescent="0.25">
      <c r="A1593" s="724"/>
      <c r="B1593" s="130"/>
      <c r="C1593" s="616"/>
      <c r="D1593" s="2101"/>
      <c r="E1593" s="2104"/>
      <c r="F1593" s="2110" t="str">
        <f>$E$818</f>
        <v>ASHP - SEER 16 - replace on fail MF</v>
      </c>
      <c r="G1593" s="2111"/>
      <c r="H1593" s="2111"/>
      <c r="I1593" s="2112"/>
      <c r="J1593" s="709">
        <v>1270</v>
      </c>
      <c r="K1593" s="730">
        <v>16</v>
      </c>
      <c r="L1593" s="670"/>
      <c r="M1593" s="754" t="s">
        <v>977</v>
      </c>
      <c r="N1593" s="130"/>
      <c r="O1593" s="251"/>
      <c r="P1593" s="766"/>
      <c r="Q1593" s="766"/>
      <c r="R1593" s="766"/>
      <c r="S1593" s="752"/>
      <c r="T1593" s="760"/>
      <c r="U1593" s="130"/>
      <c r="V1593" s="2107"/>
      <c r="W1593" s="611">
        <v>16</v>
      </c>
      <c r="X1593" s="611">
        <v>16</v>
      </c>
      <c r="Y1593" s="611"/>
      <c r="Z1593" s="611"/>
      <c r="AA1593" s="611"/>
      <c r="AB1593" s="611"/>
      <c r="AC1593" s="611"/>
      <c r="AD1593" s="611"/>
      <c r="AE1593" s="611"/>
      <c r="AF1593" s="611"/>
      <c r="AG1593" s="611"/>
    </row>
    <row r="1594" spans="1:33" s="56" customFormat="1" ht="15" hidden="1" customHeight="1" outlineLevel="1" x14ac:dyDescent="0.25">
      <c r="A1594" s="724"/>
      <c r="B1594" s="130"/>
      <c r="C1594" s="616"/>
      <c r="D1594" s="2101"/>
      <c r="E1594" s="2104"/>
      <c r="F1594" s="2110" t="str">
        <f>$E$820</f>
        <v>ASHP - SEER 16 - replace electric furnace / CAC MF</v>
      </c>
      <c r="G1594" s="2111"/>
      <c r="H1594" s="2111"/>
      <c r="I1594" s="2112"/>
      <c r="J1594" s="709">
        <v>1271</v>
      </c>
      <c r="K1594" s="730">
        <v>16</v>
      </c>
      <c r="L1594" s="670"/>
      <c r="M1594" s="754" t="s">
        <v>977</v>
      </c>
      <c r="N1594" s="130"/>
      <c r="O1594" s="251"/>
      <c r="P1594" s="766"/>
      <c r="Q1594" s="766"/>
      <c r="R1594" s="766"/>
      <c r="S1594" s="752"/>
      <c r="T1594" s="760"/>
      <c r="U1594" s="130"/>
      <c r="V1594" s="2107"/>
      <c r="W1594" s="611">
        <v>16</v>
      </c>
      <c r="X1594" s="611">
        <v>16</v>
      </c>
      <c r="Y1594" s="611"/>
      <c r="Z1594" s="611"/>
      <c r="AA1594" s="611"/>
      <c r="AB1594" s="611"/>
      <c r="AC1594" s="611"/>
      <c r="AD1594" s="611"/>
      <c r="AE1594" s="611"/>
      <c r="AF1594" s="611"/>
      <c r="AG1594" s="611"/>
    </row>
    <row r="1595" spans="1:33" s="56" customFormat="1" ht="15" hidden="1" customHeight="1" outlineLevel="1" x14ac:dyDescent="0.25">
      <c r="A1595" s="724"/>
      <c r="B1595" s="130"/>
      <c r="C1595" s="616"/>
      <c r="D1595" s="2101"/>
      <c r="E1595" s="2104"/>
      <c r="F1595" s="2110" t="str">
        <f>$E$822</f>
        <v>ASHP - SEER 16 - replace electric furnace / CAC - early replacement MF ER1</v>
      </c>
      <c r="G1595" s="2111"/>
      <c r="H1595" s="2111"/>
      <c r="I1595" s="2112"/>
      <c r="J1595" s="709">
        <v>1269</v>
      </c>
      <c r="K1595" s="730">
        <v>16</v>
      </c>
      <c r="L1595" s="670"/>
      <c r="M1595" s="754" t="s">
        <v>977</v>
      </c>
      <c r="N1595" s="130"/>
      <c r="O1595" s="251"/>
      <c r="P1595" s="766"/>
      <c r="Q1595" s="766"/>
      <c r="R1595" s="766"/>
      <c r="S1595" s="752"/>
      <c r="T1595" s="760"/>
      <c r="U1595" s="130"/>
      <c r="V1595" s="2107"/>
      <c r="W1595" s="611">
        <v>16</v>
      </c>
      <c r="X1595" s="611">
        <v>16</v>
      </c>
      <c r="Y1595" s="611"/>
      <c r="Z1595" s="611"/>
      <c r="AA1595" s="611"/>
      <c r="AB1595" s="611"/>
      <c r="AC1595" s="611"/>
      <c r="AD1595" s="611"/>
      <c r="AE1595" s="611"/>
      <c r="AF1595" s="611"/>
      <c r="AG1595" s="611"/>
    </row>
    <row r="1596" spans="1:33" s="56" customFormat="1" ht="15" hidden="1" customHeight="1" outlineLevel="1" x14ac:dyDescent="0.25">
      <c r="A1596" s="724"/>
      <c r="B1596" s="130"/>
      <c r="C1596" s="616"/>
      <c r="D1596" s="2101"/>
      <c r="E1596" s="2104"/>
      <c r="F1596" s="2110" t="str">
        <f>$E$824</f>
        <v>ASHP - SEER 16 - replace electric furnace / CAC - early replacement MF ER2</v>
      </c>
      <c r="G1596" s="2111"/>
      <c r="H1596" s="2111"/>
      <c r="I1596" s="2112"/>
      <c r="J1596" s="709" t="s">
        <v>1171</v>
      </c>
      <c r="K1596" s="730">
        <v>16</v>
      </c>
      <c r="L1596" s="670"/>
      <c r="M1596" s="754" t="s">
        <v>977</v>
      </c>
      <c r="N1596" s="130"/>
      <c r="O1596" s="251"/>
      <c r="P1596" s="766"/>
      <c r="Q1596" s="766"/>
      <c r="R1596" s="766"/>
      <c r="S1596" s="752"/>
      <c r="T1596" s="760"/>
      <c r="U1596" s="130"/>
      <c r="V1596" s="2107"/>
      <c r="W1596" s="611">
        <v>16</v>
      </c>
      <c r="X1596" s="611">
        <v>16</v>
      </c>
      <c r="Y1596" s="611"/>
      <c r="Z1596" s="611"/>
      <c r="AA1596" s="611"/>
      <c r="AB1596" s="611"/>
      <c r="AC1596" s="611"/>
      <c r="AD1596" s="611"/>
      <c r="AE1596" s="611"/>
      <c r="AF1596" s="611"/>
      <c r="AG1596" s="611"/>
    </row>
    <row r="1597" spans="1:33" s="56" customFormat="1" ht="15" hidden="1" customHeight="1" outlineLevel="1" x14ac:dyDescent="0.25">
      <c r="A1597" s="724"/>
      <c r="B1597" s="130"/>
      <c r="C1597" s="616"/>
      <c r="D1597" s="2101"/>
      <c r="E1597" s="2104"/>
      <c r="F1597" s="2110" t="str">
        <f>$E$826</f>
        <v>ASHP SEER 15 MF Replace at Fail ASHP: HVAC</v>
      </c>
      <c r="G1597" s="2111"/>
      <c r="H1597" s="2111"/>
      <c r="I1597" s="2112"/>
      <c r="J1597" s="709">
        <v>1267</v>
      </c>
      <c r="K1597" s="730">
        <v>15.1</v>
      </c>
      <c r="L1597" s="670"/>
      <c r="M1597" s="754" t="s">
        <v>977</v>
      </c>
      <c r="N1597" s="130"/>
      <c r="O1597" s="251"/>
      <c r="P1597" s="766"/>
      <c r="Q1597" s="766"/>
      <c r="R1597" s="766"/>
      <c r="S1597" s="752"/>
      <c r="T1597" s="760"/>
      <c r="U1597" s="130"/>
      <c r="V1597" s="2107"/>
      <c r="W1597" s="611">
        <v>15.1</v>
      </c>
      <c r="X1597" s="611">
        <v>15.1</v>
      </c>
      <c r="Y1597" s="611"/>
      <c r="Z1597" s="611"/>
      <c r="AA1597" s="611"/>
      <c r="AB1597" s="611"/>
      <c r="AC1597" s="611"/>
      <c r="AD1597" s="611"/>
      <c r="AE1597" s="611"/>
      <c r="AF1597" s="611"/>
      <c r="AG1597" s="611"/>
    </row>
    <row r="1598" spans="1:33" s="56" customFormat="1" ht="15" hidden="1" customHeight="1" outlineLevel="1" x14ac:dyDescent="0.25">
      <c r="A1598" s="724"/>
      <c r="B1598" s="130"/>
      <c r="C1598" s="616"/>
      <c r="D1598" s="2101"/>
      <c r="E1598" s="2104"/>
      <c r="F1598" s="2110" t="str">
        <f>$E$828</f>
        <v>ASHP - SEER 17 - replace electric furnace / CAC SF</v>
      </c>
      <c r="G1598" s="2111"/>
      <c r="H1598" s="2111"/>
      <c r="I1598" s="2112"/>
      <c r="J1598" s="709" t="s">
        <v>1172</v>
      </c>
      <c r="K1598" s="730">
        <v>17</v>
      </c>
      <c r="L1598" s="670"/>
      <c r="M1598" s="754" t="s">
        <v>1205</v>
      </c>
      <c r="N1598" s="130"/>
      <c r="O1598" s="251"/>
      <c r="P1598" s="766"/>
      <c r="Q1598" s="766"/>
      <c r="R1598" s="766"/>
      <c r="S1598" s="752"/>
      <c r="T1598" s="760"/>
      <c r="U1598" s="130"/>
      <c r="V1598" s="2107"/>
      <c r="W1598" s="611">
        <v>17</v>
      </c>
      <c r="X1598" s="611">
        <v>17</v>
      </c>
      <c r="Y1598" s="611"/>
      <c r="Z1598" s="611"/>
      <c r="AA1598" s="611"/>
      <c r="AB1598" s="611"/>
      <c r="AC1598" s="611"/>
      <c r="AD1598" s="611"/>
      <c r="AE1598" s="611"/>
      <c r="AF1598" s="611"/>
      <c r="AG1598" s="611"/>
    </row>
    <row r="1599" spans="1:33" s="56" customFormat="1" ht="15" hidden="1" customHeight="1" outlineLevel="1" x14ac:dyDescent="0.25">
      <c r="A1599" s="724"/>
      <c r="B1599" s="130"/>
      <c r="C1599" s="616"/>
      <c r="D1599" s="2101"/>
      <c r="E1599" s="2104"/>
      <c r="F1599" s="2110" t="str">
        <f>$E$830</f>
        <v>ASHP - SEER 17 - replace electric furnace / CAC MF</v>
      </c>
      <c r="G1599" s="2111"/>
      <c r="H1599" s="2111"/>
      <c r="I1599" s="2112"/>
      <c r="J1599" s="709" t="s">
        <v>1174</v>
      </c>
      <c r="K1599" s="730">
        <v>17</v>
      </c>
      <c r="L1599" s="670"/>
      <c r="M1599" s="754" t="s">
        <v>1205</v>
      </c>
      <c r="N1599" s="130"/>
      <c r="O1599" s="251"/>
      <c r="P1599" s="766"/>
      <c r="Q1599" s="766"/>
      <c r="R1599" s="766"/>
      <c r="S1599" s="752"/>
      <c r="T1599" s="760"/>
      <c r="U1599" s="130"/>
      <c r="V1599" s="2107"/>
      <c r="W1599" s="611">
        <v>17</v>
      </c>
      <c r="X1599" s="611">
        <v>17</v>
      </c>
      <c r="Y1599" s="611"/>
      <c r="Z1599" s="611"/>
      <c r="AA1599" s="611"/>
      <c r="AB1599" s="611"/>
      <c r="AC1599" s="611"/>
      <c r="AD1599" s="611"/>
      <c r="AE1599" s="611"/>
      <c r="AF1599" s="611"/>
      <c r="AG1599" s="611"/>
    </row>
    <row r="1600" spans="1:33" s="56" customFormat="1" ht="15" hidden="1" customHeight="1" outlineLevel="1" x14ac:dyDescent="0.25">
      <c r="A1600" s="724"/>
      <c r="B1600" s="130"/>
      <c r="C1600" s="616"/>
      <c r="D1600" s="2101"/>
      <c r="E1600" s="2104"/>
      <c r="F1600" s="2110" t="str">
        <f>$E$832</f>
        <v>ASHP - SEER 18 - replace electric furnace / CAC SF</v>
      </c>
      <c r="G1600" s="2111"/>
      <c r="H1600" s="2111"/>
      <c r="I1600" s="2112"/>
      <c r="J1600" s="709" t="s">
        <v>1175</v>
      </c>
      <c r="K1600" s="730">
        <v>18</v>
      </c>
      <c r="L1600" s="670"/>
      <c r="M1600" s="754" t="s">
        <v>1205</v>
      </c>
      <c r="N1600" s="130"/>
      <c r="O1600" s="251"/>
      <c r="P1600" s="766"/>
      <c r="Q1600" s="766"/>
      <c r="R1600" s="766"/>
      <c r="S1600" s="752"/>
      <c r="T1600" s="760"/>
      <c r="U1600" s="130"/>
      <c r="V1600" s="2107"/>
      <c r="W1600" s="611">
        <v>18</v>
      </c>
      <c r="X1600" s="611">
        <v>18</v>
      </c>
      <c r="Y1600" s="611"/>
      <c r="Z1600" s="611"/>
      <c r="AA1600" s="611"/>
      <c r="AB1600" s="611"/>
      <c r="AC1600" s="611"/>
      <c r="AD1600" s="611"/>
      <c r="AE1600" s="611"/>
      <c r="AF1600" s="611"/>
      <c r="AG1600" s="611"/>
    </row>
    <row r="1601" spans="1:33" s="56" customFormat="1" ht="15" hidden="1" customHeight="1" outlineLevel="1" x14ac:dyDescent="0.25">
      <c r="A1601" s="724"/>
      <c r="B1601" s="130"/>
      <c r="C1601" s="616"/>
      <c r="D1601" s="2101"/>
      <c r="E1601" s="2104"/>
      <c r="F1601" s="2110" t="str">
        <f>$E$834</f>
        <v>ASHP - SEER 18 - replace electric furnace / CAC MF</v>
      </c>
      <c r="G1601" s="2111"/>
      <c r="H1601" s="2111"/>
      <c r="I1601" s="2112"/>
      <c r="J1601" s="709" t="s">
        <v>1176</v>
      </c>
      <c r="K1601" s="730">
        <v>18</v>
      </c>
      <c r="L1601" s="670"/>
      <c r="M1601" s="754" t="s">
        <v>1205</v>
      </c>
      <c r="N1601" s="130"/>
      <c r="O1601" s="251"/>
      <c r="P1601" s="766"/>
      <c r="Q1601" s="766"/>
      <c r="R1601" s="766"/>
      <c r="S1601" s="752"/>
      <c r="T1601" s="760"/>
      <c r="U1601" s="130"/>
      <c r="V1601" s="2107"/>
      <c r="W1601" s="611">
        <v>18</v>
      </c>
      <c r="X1601" s="611">
        <v>18</v>
      </c>
      <c r="Y1601" s="611"/>
      <c r="Z1601" s="611"/>
      <c r="AA1601" s="611"/>
      <c r="AB1601" s="611"/>
      <c r="AC1601" s="611"/>
      <c r="AD1601" s="611"/>
      <c r="AE1601" s="611"/>
      <c r="AF1601" s="611"/>
      <c r="AG1601" s="611"/>
    </row>
    <row r="1602" spans="1:33" s="56" customFormat="1" ht="15" hidden="1" customHeight="1" outlineLevel="1" x14ac:dyDescent="0.25">
      <c r="A1602" s="724"/>
      <c r="B1602" s="130"/>
      <c r="C1602" s="616"/>
      <c r="D1602" s="2101"/>
      <c r="E1602" s="2104"/>
      <c r="F1602" s="2110" t="str">
        <f>$E$836</f>
        <v>ASHP - SEER 19 - replace electric furnace / CAC SF</v>
      </c>
      <c r="G1602" s="2111"/>
      <c r="H1602" s="2111"/>
      <c r="I1602" s="2112"/>
      <c r="J1602" s="709" t="s">
        <v>1177</v>
      </c>
      <c r="K1602" s="730">
        <v>19</v>
      </c>
      <c r="L1602" s="670"/>
      <c r="M1602" s="754" t="s">
        <v>1205</v>
      </c>
      <c r="N1602" s="130"/>
      <c r="O1602" s="251"/>
      <c r="P1602" s="766"/>
      <c r="Q1602" s="766"/>
      <c r="R1602" s="766"/>
      <c r="S1602" s="752"/>
      <c r="T1602" s="760"/>
      <c r="U1602" s="130"/>
      <c r="V1602" s="2107"/>
      <c r="W1602" s="611">
        <v>19</v>
      </c>
      <c r="X1602" s="611">
        <v>19</v>
      </c>
      <c r="Y1602" s="611"/>
      <c r="Z1602" s="611"/>
      <c r="AA1602" s="611"/>
      <c r="AB1602" s="611"/>
      <c r="AC1602" s="611"/>
      <c r="AD1602" s="611"/>
      <c r="AE1602" s="611"/>
      <c r="AF1602" s="611"/>
      <c r="AG1602" s="611"/>
    </row>
    <row r="1603" spans="1:33" s="56" customFormat="1" ht="15" hidden="1" customHeight="1" outlineLevel="1" x14ac:dyDescent="0.25">
      <c r="A1603" s="724"/>
      <c r="B1603" s="130"/>
      <c r="C1603" s="616"/>
      <c r="D1603" s="2101"/>
      <c r="E1603" s="2104"/>
      <c r="F1603" s="2110" t="str">
        <f>$E$838</f>
        <v>ASHP - SEER 19 - replace electric furnace / CAC MF</v>
      </c>
      <c r="G1603" s="2111"/>
      <c r="H1603" s="2111"/>
      <c r="I1603" s="2112"/>
      <c r="J1603" s="709" t="s">
        <v>1178</v>
      </c>
      <c r="K1603" s="730">
        <v>19</v>
      </c>
      <c r="L1603" s="670"/>
      <c r="M1603" s="754" t="s">
        <v>1205</v>
      </c>
      <c r="N1603" s="130"/>
      <c r="O1603" s="251"/>
      <c r="P1603" s="766"/>
      <c r="Q1603" s="766"/>
      <c r="R1603" s="766"/>
      <c r="S1603" s="752"/>
      <c r="T1603" s="760"/>
      <c r="U1603" s="130"/>
      <c r="V1603" s="2107"/>
      <c r="W1603" s="611">
        <v>19</v>
      </c>
      <c r="X1603" s="611">
        <v>19</v>
      </c>
      <c r="Y1603" s="611"/>
      <c r="Z1603" s="611"/>
      <c r="AA1603" s="611"/>
      <c r="AB1603" s="611"/>
      <c r="AC1603" s="611"/>
      <c r="AD1603" s="611"/>
      <c r="AE1603" s="611"/>
      <c r="AF1603" s="611"/>
      <c r="AG1603" s="611"/>
    </row>
    <row r="1604" spans="1:33" s="56" customFormat="1" ht="15" hidden="1" customHeight="1" outlineLevel="1" x14ac:dyDescent="0.25">
      <c r="A1604" s="724"/>
      <c r="B1604" s="130"/>
      <c r="C1604" s="616"/>
      <c r="D1604" s="2101"/>
      <c r="E1604" s="2104"/>
      <c r="F1604" s="2110" t="str">
        <f>$E$840</f>
        <v>ASHP - SEER 20 - replace electric furnace / CAC - early replacement SF ER1</v>
      </c>
      <c r="G1604" s="2111"/>
      <c r="H1604" s="2111"/>
      <c r="I1604" s="2112"/>
      <c r="J1604" s="709" t="s">
        <v>1179</v>
      </c>
      <c r="K1604" s="730">
        <v>20</v>
      </c>
      <c r="L1604" s="670"/>
      <c r="M1604" s="754" t="s">
        <v>1205</v>
      </c>
      <c r="N1604" s="130"/>
      <c r="O1604" s="251"/>
      <c r="P1604" s="766"/>
      <c r="Q1604" s="766"/>
      <c r="R1604" s="766"/>
      <c r="S1604" s="752"/>
      <c r="T1604" s="760"/>
      <c r="U1604" s="130"/>
      <c r="V1604" s="2107"/>
      <c r="W1604" s="611">
        <v>20</v>
      </c>
      <c r="X1604" s="611">
        <v>20</v>
      </c>
      <c r="Y1604" s="611"/>
      <c r="Z1604" s="611"/>
      <c r="AA1604" s="611"/>
      <c r="AB1604" s="611"/>
      <c r="AC1604" s="611"/>
      <c r="AD1604" s="611"/>
      <c r="AE1604" s="611"/>
      <c r="AF1604" s="611"/>
      <c r="AG1604" s="611"/>
    </row>
    <row r="1605" spans="1:33" s="56" customFormat="1" ht="15" hidden="1" customHeight="1" outlineLevel="1" x14ac:dyDescent="0.25">
      <c r="A1605" s="724"/>
      <c r="B1605" s="130"/>
      <c r="C1605" s="616"/>
      <c r="D1605" s="2101"/>
      <c r="E1605" s="2104"/>
      <c r="F1605" s="2110" t="str">
        <f>$E$842</f>
        <v>ASHP - SEER 20 - replace electric furnace / CAC - early replacement SF ER2</v>
      </c>
      <c r="G1605" s="2111"/>
      <c r="H1605" s="2111"/>
      <c r="I1605" s="2112"/>
      <c r="J1605" s="709" t="s">
        <v>1180</v>
      </c>
      <c r="K1605" s="730">
        <v>20</v>
      </c>
      <c r="L1605" s="670"/>
      <c r="M1605" s="754" t="s">
        <v>1205</v>
      </c>
      <c r="N1605" s="130"/>
      <c r="O1605" s="251"/>
      <c r="P1605" s="766"/>
      <c r="Q1605" s="766"/>
      <c r="R1605" s="766"/>
      <c r="S1605" s="752"/>
      <c r="T1605" s="760"/>
      <c r="U1605" s="130"/>
      <c r="V1605" s="2107"/>
      <c r="W1605" s="611">
        <v>20</v>
      </c>
      <c r="X1605" s="611">
        <v>20</v>
      </c>
      <c r="Y1605" s="611"/>
      <c r="Z1605" s="611"/>
      <c r="AA1605" s="611"/>
      <c r="AB1605" s="611"/>
      <c r="AC1605" s="611"/>
      <c r="AD1605" s="611"/>
      <c r="AE1605" s="611"/>
      <c r="AF1605" s="611"/>
      <c r="AG1605" s="611"/>
    </row>
    <row r="1606" spans="1:33" s="56" customFormat="1" ht="15" hidden="1" customHeight="1" outlineLevel="1" x14ac:dyDescent="0.25">
      <c r="A1606" s="724"/>
      <c r="B1606" s="130"/>
      <c r="C1606" s="616"/>
      <c r="D1606" s="2101"/>
      <c r="E1606" s="2104"/>
      <c r="F1606" s="2110" t="str">
        <f>$E$844</f>
        <v>ASHP - SEER 20 - replace electric furnace / CAC SF</v>
      </c>
      <c r="G1606" s="2111"/>
      <c r="H1606" s="2111"/>
      <c r="I1606" s="2112"/>
      <c r="J1606" s="709" t="s">
        <v>1181</v>
      </c>
      <c r="K1606" s="730">
        <v>20</v>
      </c>
      <c r="L1606" s="670"/>
      <c r="M1606" s="754" t="s">
        <v>1205</v>
      </c>
      <c r="N1606" s="130"/>
      <c r="O1606" s="251"/>
      <c r="P1606" s="766"/>
      <c r="Q1606" s="766"/>
      <c r="R1606" s="766"/>
      <c r="S1606" s="752"/>
      <c r="T1606" s="760"/>
      <c r="U1606" s="130"/>
      <c r="V1606" s="2107"/>
      <c r="W1606" s="611">
        <v>20</v>
      </c>
      <c r="X1606" s="611">
        <v>20</v>
      </c>
      <c r="Y1606" s="611"/>
      <c r="Z1606" s="611"/>
      <c r="AA1606" s="611"/>
      <c r="AB1606" s="611"/>
      <c r="AC1606" s="611"/>
      <c r="AD1606" s="611"/>
      <c r="AE1606" s="611"/>
      <c r="AF1606" s="611"/>
      <c r="AG1606" s="611"/>
    </row>
    <row r="1607" spans="1:33" s="56" customFormat="1" ht="15" hidden="1" customHeight="1" outlineLevel="1" x14ac:dyDescent="0.25">
      <c r="A1607" s="724"/>
      <c r="B1607" s="130"/>
      <c r="C1607" s="616"/>
      <c r="D1607" s="2101"/>
      <c r="E1607" s="2104"/>
      <c r="F1607" s="2110" t="str">
        <f>$E$846</f>
        <v>ASHP - SEER 20 - replace electric furnace / CAC MF</v>
      </c>
      <c r="G1607" s="2111"/>
      <c r="H1607" s="2111"/>
      <c r="I1607" s="2112"/>
      <c r="J1607" s="709" t="s">
        <v>1182</v>
      </c>
      <c r="K1607" s="730">
        <v>20</v>
      </c>
      <c r="L1607" s="670"/>
      <c r="M1607" s="754" t="s">
        <v>1205</v>
      </c>
      <c r="N1607" s="130"/>
      <c r="O1607" s="251"/>
      <c r="P1607" s="766"/>
      <c r="Q1607" s="766"/>
      <c r="R1607" s="766"/>
      <c r="S1607" s="752"/>
      <c r="T1607" s="760"/>
      <c r="U1607" s="130"/>
      <c r="V1607" s="2107"/>
      <c r="W1607" s="611">
        <v>20</v>
      </c>
      <c r="X1607" s="611">
        <v>20</v>
      </c>
      <c r="Y1607" s="611"/>
      <c r="Z1607" s="611"/>
      <c r="AA1607" s="611"/>
      <c r="AB1607" s="611"/>
      <c r="AC1607" s="611"/>
      <c r="AD1607" s="611"/>
      <c r="AE1607" s="611"/>
      <c r="AF1607" s="611"/>
      <c r="AG1607" s="611"/>
    </row>
    <row r="1608" spans="1:33" s="56" customFormat="1" ht="15" hidden="1" customHeight="1" outlineLevel="1" x14ac:dyDescent="0.25">
      <c r="A1608" s="724"/>
      <c r="B1608" s="130"/>
      <c r="C1608" s="616"/>
      <c r="D1608" s="2101"/>
      <c r="E1608" s="2104"/>
      <c r="F1608" s="2110" t="str">
        <f>$E$848</f>
        <v>ASHP - SEER 21 - replace electric furnace / CAC - early replacement SF ER1</v>
      </c>
      <c r="G1608" s="2111"/>
      <c r="H1608" s="2111"/>
      <c r="I1608" s="2112"/>
      <c r="J1608" s="709" t="s">
        <v>1183</v>
      </c>
      <c r="K1608" s="730">
        <v>21</v>
      </c>
      <c r="L1608" s="670"/>
      <c r="M1608" s="754" t="s">
        <v>1205</v>
      </c>
      <c r="N1608" s="130"/>
      <c r="O1608" s="251"/>
      <c r="P1608" s="766"/>
      <c r="Q1608" s="767"/>
      <c r="R1608" s="766"/>
      <c r="S1608" s="752"/>
      <c r="T1608" s="760"/>
      <c r="U1608" s="130"/>
      <c r="V1608" s="2107"/>
      <c r="W1608" s="611">
        <v>21</v>
      </c>
      <c r="X1608" s="611">
        <v>21</v>
      </c>
      <c r="Y1608" s="611"/>
      <c r="Z1608" s="611"/>
      <c r="AA1608" s="611"/>
      <c r="AB1608" s="611"/>
      <c r="AC1608" s="611"/>
      <c r="AD1608" s="611"/>
      <c r="AE1608" s="611"/>
      <c r="AF1608" s="611"/>
      <c r="AG1608" s="611"/>
    </row>
    <row r="1609" spans="1:33" s="56" customFormat="1" ht="15" hidden="1" customHeight="1" outlineLevel="1" x14ac:dyDescent="0.25">
      <c r="A1609" s="724"/>
      <c r="B1609" s="130"/>
      <c r="C1609" s="616"/>
      <c r="D1609" s="2101"/>
      <c r="E1609" s="2104"/>
      <c r="F1609" s="2110" t="str">
        <f>$E$850</f>
        <v>ASHP - SEER 21 - replace electric furnace / CAC - early replacement SF ER2</v>
      </c>
      <c r="G1609" s="2111"/>
      <c r="H1609" s="2111"/>
      <c r="I1609" s="2112"/>
      <c r="J1609" s="709" t="s">
        <v>1184</v>
      </c>
      <c r="K1609" s="730">
        <v>21</v>
      </c>
      <c r="L1609" s="670"/>
      <c r="M1609" s="754" t="s">
        <v>1205</v>
      </c>
      <c r="N1609" s="130"/>
      <c r="O1609" s="251"/>
      <c r="P1609" s="766"/>
      <c r="Q1609" s="767"/>
      <c r="R1609" s="766"/>
      <c r="S1609" s="752"/>
      <c r="T1609" s="760"/>
      <c r="U1609" s="130"/>
      <c r="V1609" s="2107"/>
      <c r="W1609" s="611">
        <v>21</v>
      </c>
      <c r="X1609" s="611">
        <v>21</v>
      </c>
      <c r="Y1609" s="611"/>
      <c r="Z1609" s="611"/>
      <c r="AA1609" s="611"/>
      <c r="AB1609" s="611"/>
      <c r="AC1609" s="611"/>
      <c r="AD1609" s="611"/>
      <c r="AE1609" s="611"/>
      <c r="AF1609" s="611"/>
      <c r="AG1609" s="611"/>
    </row>
    <row r="1610" spans="1:33" s="56" customFormat="1" ht="15" hidden="1" customHeight="1" outlineLevel="1" x14ac:dyDescent="0.25">
      <c r="A1610" s="724"/>
      <c r="B1610" s="130"/>
      <c r="C1610" s="616"/>
      <c r="D1610" s="2101"/>
      <c r="E1610" s="2104"/>
      <c r="F1610" s="2110" t="str">
        <f>$E$852</f>
        <v>ASHP - SEER 21 - replace electric furnace / CAC - early replacement MF ER1</v>
      </c>
      <c r="G1610" s="2111"/>
      <c r="H1610" s="2111"/>
      <c r="I1610" s="2112"/>
      <c r="J1610" s="709" t="s">
        <v>1185</v>
      </c>
      <c r="K1610" s="730">
        <v>21</v>
      </c>
      <c r="L1610" s="670"/>
      <c r="M1610" s="754" t="s">
        <v>1205</v>
      </c>
      <c r="N1610" s="130"/>
      <c r="O1610" s="251"/>
      <c r="P1610" s="766"/>
      <c r="Q1610" s="767"/>
      <c r="R1610" s="766"/>
      <c r="S1610" s="752"/>
      <c r="T1610" s="760"/>
      <c r="U1610" s="130"/>
      <c r="V1610" s="2107"/>
      <c r="W1610" s="611">
        <v>21</v>
      </c>
      <c r="X1610" s="611">
        <v>21</v>
      </c>
      <c r="Y1610" s="611"/>
      <c r="Z1610" s="611"/>
      <c r="AA1610" s="611"/>
      <c r="AB1610" s="611"/>
      <c r="AC1610" s="611"/>
      <c r="AD1610" s="611"/>
      <c r="AE1610" s="611"/>
      <c r="AF1610" s="611"/>
      <c r="AG1610" s="611"/>
    </row>
    <row r="1611" spans="1:33" s="56" customFormat="1" ht="15" hidden="1" customHeight="1" outlineLevel="1" x14ac:dyDescent="0.25">
      <c r="A1611" s="724"/>
      <c r="B1611" s="130"/>
      <c r="C1611" s="616"/>
      <c r="D1611" s="2101"/>
      <c r="E1611" s="2104"/>
      <c r="F1611" s="2110" t="str">
        <f>$E$854</f>
        <v>ASHP - SEER 21 - replace electric furnace / CAC - early replacement MF ER2</v>
      </c>
      <c r="G1611" s="2111"/>
      <c r="H1611" s="2111"/>
      <c r="I1611" s="2112"/>
      <c r="J1611" s="709" t="s">
        <v>1186</v>
      </c>
      <c r="K1611" s="730">
        <v>21</v>
      </c>
      <c r="L1611" s="670"/>
      <c r="M1611" s="754" t="s">
        <v>1205</v>
      </c>
      <c r="N1611" s="130"/>
      <c r="O1611" s="251"/>
      <c r="P1611" s="766"/>
      <c r="Q1611" s="767"/>
      <c r="R1611" s="766"/>
      <c r="S1611" s="752"/>
      <c r="T1611" s="760"/>
      <c r="U1611" s="130"/>
      <c r="V1611" s="2107"/>
      <c r="W1611" s="611">
        <v>21</v>
      </c>
      <c r="X1611" s="611">
        <v>21</v>
      </c>
      <c r="Y1611" s="611"/>
      <c r="Z1611" s="611"/>
      <c r="AA1611" s="611"/>
      <c r="AB1611" s="611"/>
      <c r="AC1611" s="611"/>
      <c r="AD1611" s="611"/>
      <c r="AE1611" s="611"/>
      <c r="AF1611" s="611"/>
      <c r="AG1611" s="611"/>
    </row>
    <row r="1612" spans="1:33" s="56" customFormat="1" ht="15" hidden="1" customHeight="1" outlineLevel="1" x14ac:dyDescent="0.25">
      <c r="A1612" s="724"/>
      <c r="B1612" s="130"/>
      <c r="C1612" s="616"/>
      <c r="D1612" s="2101"/>
      <c r="E1612" s="2104"/>
      <c r="F1612" s="2110" t="str">
        <f>$E$856</f>
        <v>ASHP - SEER 21 - replace electric furnace / CAC SF</v>
      </c>
      <c r="G1612" s="2111"/>
      <c r="H1612" s="2111"/>
      <c r="I1612" s="2112"/>
      <c r="J1612" s="709" t="s">
        <v>1187</v>
      </c>
      <c r="K1612" s="730">
        <v>21</v>
      </c>
      <c r="L1612" s="670"/>
      <c r="M1612" s="754" t="s">
        <v>1205</v>
      </c>
      <c r="N1612" s="130"/>
      <c r="O1612" s="251"/>
      <c r="P1612" s="766"/>
      <c r="Q1612" s="767"/>
      <c r="R1612" s="766"/>
      <c r="S1612" s="752"/>
      <c r="T1612" s="760"/>
      <c r="U1612" s="130"/>
      <c r="V1612" s="2107"/>
      <c r="W1612" s="611">
        <v>21</v>
      </c>
      <c r="X1612" s="611">
        <v>21</v>
      </c>
      <c r="Y1612" s="611"/>
      <c r="Z1612" s="611"/>
      <c r="AA1612" s="611"/>
      <c r="AB1612" s="611"/>
      <c r="AC1612" s="611"/>
      <c r="AD1612" s="611"/>
      <c r="AE1612" s="611"/>
      <c r="AF1612" s="611"/>
      <c r="AG1612" s="611"/>
    </row>
    <row r="1613" spans="1:33" s="56" customFormat="1" ht="15" hidden="1" customHeight="1" outlineLevel="1" x14ac:dyDescent="0.25">
      <c r="A1613" s="724"/>
      <c r="B1613" s="130"/>
      <c r="C1613" s="616"/>
      <c r="D1613" s="2101"/>
      <c r="E1613" s="2104"/>
      <c r="F1613" s="2110" t="str">
        <f>$E$858</f>
        <v>ASHP-  SEER 21+ Replace at Fail Elec Resist Furnace: HVAC</v>
      </c>
      <c r="G1613" s="2111"/>
      <c r="H1613" s="2111"/>
      <c r="I1613" s="2112"/>
      <c r="J1613" s="709" t="s">
        <v>614</v>
      </c>
      <c r="K1613" s="730">
        <v>21</v>
      </c>
      <c r="L1613" s="670"/>
      <c r="M1613" s="754" t="s">
        <v>1205</v>
      </c>
      <c r="N1613" s="130"/>
      <c r="O1613" s="251"/>
      <c r="P1613" s="766"/>
      <c r="Q1613" s="767"/>
      <c r="R1613" s="766"/>
      <c r="S1613" s="752"/>
      <c r="T1613" s="760"/>
      <c r="U1613" s="130"/>
      <c r="V1613" s="2107"/>
      <c r="W1613" s="611">
        <v>21</v>
      </c>
      <c r="X1613" s="611">
        <v>21</v>
      </c>
      <c r="Y1613" s="611"/>
      <c r="Z1613" s="611"/>
      <c r="AA1613" s="611"/>
      <c r="AB1613" s="611"/>
      <c r="AC1613" s="611"/>
      <c r="AD1613" s="611"/>
      <c r="AE1613" s="611"/>
      <c r="AF1613" s="611"/>
      <c r="AG1613" s="611"/>
    </row>
    <row r="1614" spans="1:33" s="56" customFormat="1" ht="15" hidden="1" customHeight="1" outlineLevel="1" x14ac:dyDescent="0.25">
      <c r="A1614" s="597"/>
      <c r="B1614" s="130"/>
      <c r="C1614" s="616"/>
      <c r="D1614" s="2101"/>
      <c r="E1614" s="2104"/>
      <c r="F1614" s="2110" t="str">
        <f>$E$860</f>
        <v>ASHP SEER 17 replace ASHP - early replacement SF ER1</v>
      </c>
      <c r="G1614" s="2111"/>
      <c r="H1614" s="2111"/>
      <c r="I1614" s="2112"/>
      <c r="J1614" s="709" t="s">
        <v>1188</v>
      </c>
      <c r="K1614" s="730">
        <v>17</v>
      </c>
      <c r="L1614" s="670"/>
      <c r="M1614" s="754" t="s">
        <v>1205</v>
      </c>
      <c r="N1614" s="130"/>
      <c r="O1614" s="251"/>
      <c r="P1614" s="251"/>
      <c r="Q1614" s="251"/>
      <c r="R1614" s="251"/>
      <c r="S1614" s="130"/>
      <c r="T1614" s="130"/>
      <c r="U1614" s="130"/>
      <c r="V1614" s="2107"/>
      <c r="W1614" s="611">
        <v>17</v>
      </c>
      <c r="X1614" s="611">
        <v>17</v>
      </c>
      <c r="Y1614" s="611"/>
      <c r="Z1614" s="611"/>
      <c r="AA1614" s="611"/>
      <c r="AB1614" s="611"/>
      <c r="AC1614" s="611"/>
      <c r="AD1614" s="611"/>
      <c r="AE1614" s="611"/>
      <c r="AF1614" s="611"/>
      <c r="AG1614" s="611"/>
    </row>
    <row r="1615" spans="1:33" s="56" customFormat="1" ht="15" hidden="1" customHeight="1" outlineLevel="1" x14ac:dyDescent="0.25">
      <c r="A1615" s="724"/>
      <c r="B1615" s="130"/>
      <c r="C1615" s="616"/>
      <c r="D1615" s="2101"/>
      <c r="E1615" s="2104"/>
      <c r="F1615" s="2110" t="str">
        <f>$E$862</f>
        <v>ASHP SEER 17 replace ASHP - early replacement SF ER2</v>
      </c>
      <c r="G1615" s="2111"/>
      <c r="H1615" s="2111"/>
      <c r="I1615" s="2112"/>
      <c r="J1615" s="709" t="s">
        <v>1189</v>
      </c>
      <c r="K1615" s="730">
        <v>17</v>
      </c>
      <c r="L1615" s="670"/>
      <c r="M1615" s="754" t="s">
        <v>1205</v>
      </c>
      <c r="N1615" s="130"/>
      <c r="O1615" s="251"/>
      <c r="P1615" s="766"/>
      <c r="Q1615" s="767"/>
      <c r="R1615" s="766"/>
      <c r="S1615" s="752"/>
      <c r="T1615" s="760"/>
      <c r="U1615" s="130"/>
      <c r="V1615" s="2107"/>
      <c r="W1615" s="611">
        <v>17</v>
      </c>
      <c r="X1615" s="611">
        <v>17</v>
      </c>
      <c r="Y1615" s="611"/>
      <c r="Z1615" s="611"/>
      <c r="AA1615" s="611"/>
      <c r="AB1615" s="611"/>
      <c r="AC1615" s="611"/>
      <c r="AD1615" s="611"/>
      <c r="AE1615" s="611"/>
      <c r="AF1615" s="611"/>
      <c r="AG1615" s="611"/>
    </row>
    <row r="1616" spans="1:33" s="56" customFormat="1" ht="15" hidden="1" customHeight="1" outlineLevel="1" x14ac:dyDescent="0.25">
      <c r="A1616" s="597"/>
      <c r="B1616" s="130"/>
      <c r="C1616" s="616"/>
      <c r="D1616" s="2101"/>
      <c r="E1616" s="2104"/>
      <c r="F1616" s="2110" t="str">
        <f>$E$864</f>
        <v>ASHP SEER 17 replace ASHP - replace on fail SF</v>
      </c>
      <c r="G1616" s="2111"/>
      <c r="H1616" s="2111"/>
      <c r="I1616" s="2112"/>
      <c r="J1616" s="709" t="s">
        <v>1190</v>
      </c>
      <c r="K1616" s="730">
        <v>17</v>
      </c>
      <c r="L1616" s="670"/>
      <c r="M1616" s="754" t="s">
        <v>1205</v>
      </c>
      <c r="N1616" s="130"/>
      <c r="O1616" s="251"/>
      <c r="P1616" s="251"/>
      <c r="Q1616" s="251"/>
      <c r="R1616" s="251"/>
      <c r="S1616" s="130"/>
      <c r="T1616" s="130"/>
      <c r="U1616" s="130"/>
      <c r="V1616" s="2107"/>
      <c r="W1616" s="611">
        <v>17</v>
      </c>
      <c r="X1616" s="611">
        <v>17</v>
      </c>
      <c r="Y1616" s="611"/>
      <c r="Z1616" s="611"/>
      <c r="AA1616" s="611"/>
      <c r="AB1616" s="611"/>
      <c r="AC1616" s="611"/>
      <c r="AD1616" s="611"/>
      <c r="AE1616" s="611"/>
      <c r="AF1616" s="611"/>
      <c r="AG1616" s="611"/>
    </row>
    <row r="1617" spans="1:33" s="56" customFormat="1" ht="15" hidden="1" customHeight="1" outlineLevel="1" x14ac:dyDescent="0.25">
      <c r="A1617" s="724"/>
      <c r="B1617" s="130"/>
      <c r="C1617" s="616"/>
      <c r="D1617" s="2101"/>
      <c r="E1617" s="2104"/>
      <c r="F1617" s="2110" t="str">
        <f>$E$866</f>
        <v>ASHP SEER 18 replace ASHP - early replacement SF ER1</v>
      </c>
      <c r="G1617" s="2111"/>
      <c r="H1617" s="2111"/>
      <c r="I1617" s="2112"/>
      <c r="J1617" s="709" t="s">
        <v>1191</v>
      </c>
      <c r="K1617" s="730">
        <v>18</v>
      </c>
      <c r="L1617" s="670"/>
      <c r="M1617" s="754" t="s">
        <v>1205</v>
      </c>
      <c r="N1617" s="130"/>
      <c r="O1617" s="251"/>
      <c r="P1617" s="766"/>
      <c r="Q1617" s="767"/>
      <c r="R1617" s="766"/>
      <c r="S1617" s="752"/>
      <c r="T1617" s="760"/>
      <c r="U1617" s="130"/>
      <c r="V1617" s="2107"/>
      <c r="W1617" s="611">
        <v>18</v>
      </c>
      <c r="X1617" s="611">
        <v>18</v>
      </c>
      <c r="Y1617" s="611"/>
      <c r="Z1617" s="611"/>
      <c r="AA1617" s="611"/>
      <c r="AB1617" s="611"/>
      <c r="AC1617" s="611"/>
      <c r="AD1617" s="611"/>
      <c r="AE1617" s="611"/>
      <c r="AF1617" s="611"/>
      <c r="AG1617" s="611"/>
    </row>
    <row r="1618" spans="1:33" s="56" customFormat="1" ht="15" hidden="1" customHeight="1" outlineLevel="1" x14ac:dyDescent="0.25">
      <c r="A1618" s="597"/>
      <c r="B1618" s="130"/>
      <c r="C1618" s="616"/>
      <c r="D1618" s="2101"/>
      <c r="E1618" s="2104"/>
      <c r="F1618" s="2110" t="str">
        <f>$E$868</f>
        <v>ASHP SEER 18 replace ASHP - early replacement SF ER2</v>
      </c>
      <c r="G1618" s="2111"/>
      <c r="H1618" s="2111"/>
      <c r="I1618" s="2112"/>
      <c r="J1618" s="709" t="s">
        <v>1192</v>
      </c>
      <c r="K1618" s="730">
        <v>18</v>
      </c>
      <c r="L1618" s="670"/>
      <c r="M1618" s="754" t="s">
        <v>1205</v>
      </c>
      <c r="N1618" s="130"/>
      <c r="O1618" s="251"/>
      <c r="P1618" s="251"/>
      <c r="Q1618" s="251"/>
      <c r="R1618" s="251"/>
      <c r="S1618" s="130"/>
      <c r="T1618" s="130"/>
      <c r="U1618" s="130"/>
      <c r="V1618" s="2107"/>
      <c r="W1618" s="611">
        <v>18</v>
      </c>
      <c r="X1618" s="611">
        <v>18</v>
      </c>
      <c r="Y1618" s="611"/>
      <c r="Z1618" s="611"/>
      <c r="AA1618" s="611"/>
      <c r="AB1618" s="611"/>
      <c r="AC1618" s="611"/>
      <c r="AD1618" s="611"/>
      <c r="AE1618" s="611"/>
      <c r="AF1618" s="611"/>
      <c r="AG1618" s="611"/>
    </row>
    <row r="1619" spans="1:33" s="56" customFormat="1" ht="15" hidden="1" customHeight="1" outlineLevel="1" x14ac:dyDescent="0.25">
      <c r="A1619" s="597"/>
      <c r="B1619" s="130"/>
      <c r="C1619" s="616"/>
      <c r="D1619" s="2101"/>
      <c r="E1619" s="2104"/>
      <c r="F1619" s="2110" t="str">
        <f>$E$870</f>
        <v>ASHP SEER 18 replace ASHP - replace on fail SF</v>
      </c>
      <c r="G1619" s="2111"/>
      <c r="H1619" s="2111"/>
      <c r="I1619" s="2112"/>
      <c r="J1619" s="709" t="s">
        <v>1193</v>
      </c>
      <c r="K1619" s="730">
        <v>18</v>
      </c>
      <c r="L1619" s="670"/>
      <c r="M1619" s="754" t="s">
        <v>1205</v>
      </c>
      <c r="N1619" s="130"/>
      <c r="O1619" s="251"/>
      <c r="P1619" s="251"/>
      <c r="Q1619" s="251"/>
      <c r="R1619" s="251"/>
      <c r="S1619" s="130"/>
      <c r="T1619" s="130"/>
      <c r="U1619" s="130"/>
      <c r="V1619" s="2107"/>
      <c r="W1619" s="611">
        <v>18</v>
      </c>
      <c r="X1619" s="611">
        <v>18</v>
      </c>
      <c r="Y1619" s="611"/>
      <c r="Z1619" s="611"/>
      <c r="AA1619" s="611"/>
      <c r="AB1619" s="611"/>
      <c r="AC1619" s="611"/>
      <c r="AD1619" s="611"/>
      <c r="AE1619" s="611"/>
      <c r="AF1619" s="611"/>
      <c r="AG1619" s="611"/>
    </row>
    <row r="1620" spans="1:33" s="56" customFormat="1" ht="15" hidden="1" customHeight="1" outlineLevel="1" x14ac:dyDescent="0.25">
      <c r="A1620" s="724"/>
      <c r="B1620" s="130"/>
      <c r="C1620" s="616"/>
      <c r="D1620" s="2101"/>
      <c r="E1620" s="2104"/>
      <c r="F1620" s="2110" t="str">
        <f>$E$872</f>
        <v>ASHP - SEER 18 - replace on fail SF</v>
      </c>
      <c r="G1620" s="2111"/>
      <c r="H1620" s="2111"/>
      <c r="I1620" s="2112"/>
      <c r="J1620" s="709" t="s">
        <v>1194</v>
      </c>
      <c r="K1620" s="730">
        <v>18</v>
      </c>
      <c r="L1620" s="670"/>
      <c r="M1620" s="754" t="s">
        <v>1205</v>
      </c>
      <c r="N1620" s="130"/>
      <c r="O1620" s="251"/>
      <c r="P1620" s="766"/>
      <c r="Q1620" s="767"/>
      <c r="R1620" s="766"/>
      <c r="S1620" s="752"/>
      <c r="T1620" s="760"/>
      <c r="U1620" s="130"/>
      <c r="V1620" s="2107"/>
      <c r="W1620" s="611">
        <v>18</v>
      </c>
      <c r="X1620" s="611">
        <v>18</v>
      </c>
      <c r="Y1620" s="611"/>
      <c r="Z1620" s="611"/>
      <c r="AA1620" s="611"/>
      <c r="AB1620" s="611"/>
      <c r="AC1620" s="611"/>
      <c r="AD1620" s="611"/>
      <c r="AE1620" s="611"/>
      <c r="AF1620" s="611"/>
      <c r="AG1620" s="611"/>
    </row>
    <row r="1621" spans="1:33" s="56" customFormat="1" ht="15" hidden="1" customHeight="1" outlineLevel="1" x14ac:dyDescent="0.25">
      <c r="A1621" s="724"/>
      <c r="B1621" s="130"/>
      <c r="C1621" s="616"/>
      <c r="D1621" s="2101"/>
      <c r="E1621" s="2104"/>
      <c r="F1621" s="2110" t="str">
        <f>$E$874</f>
        <v>ASHP SEER 19 replace ASHP - early replacement SF ER1</v>
      </c>
      <c r="G1621" s="2111"/>
      <c r="H1621" s="2111"/>
      <c r="I1621" s="2112"/>
      <c r="J1621" s="709" t="s">
        <v>1195</v>
      </c>
      <c r="K1621" s="730">
        <v>19</v>
      </c>
      <c r="L1621" s="670"/>
      <c r="M1621" s="754" t="s">
        <v>1205</v>
      </c>
      <c r="N1621" s="130"/>
      <c r="O1621" s="251"/>
      <c r="P1621" s="766"/>
      <c r="Q1621" s="767"/>
      <c r="R1621" s="766"/>
      <c r="S1621" s="752"/>
      <c r="T1621" s="760"/>
      <c r="U1621" s="130"/>
      <c r="V1621" s="2107"/>
      <c r="W1621" s="611">
        <v>19</v>
      </c>
      <c r="X1621" s="611">
        <v>19</v>
      </c>
      <c r="Y1621" s="611"/>
      <c r="Z1621" s="611"/>
      <c r="AA1621" s="611"/>
      <c r="AB1621" s="611"/>
      <c r="AC1621" s="611"/>
      <c r="AD1621" s="611"/>
      <c r="AE1621" s="611"/>
      <c r="AF1621" s="611"/>
      <c r="AG1621" s="611"/>
    </row>
    <row r="1622" spans="1:33" s="56" customFormat="1" ht="15" hidden="1" customHeight="1" outlineLevel="1" x14ac:dyDescent="0.25">
      <c r="A1622" s="597"/>
      <c r="B1622" s="130"/>
      <c r="C1622" s="616"/>
      <c r="D1622" s="2101"/>
      <c r="E1622" s="2104"/>
      <c r="F1622" s="2110" t="str">
        <f>$E$876</f>
        <v>ASHP SEER 19 replace ASHP - early replacement SF ER2</v>
      </c>
      <c r="G1622" s="2111"/>
      <c r="H1622" s="2111"/>
      <c r="I1622" s="2112"/>
      <c r="J1622" s="709" t="s">
        <v>1196</v>
      </c>
      <c r="K1622" s="730">
        <v>19</v>
      </c>
      <c r="L1622" s="670"/>
      <c r="M1622" s="754" t="s">
        <v>1205</v>
      </c>
      <c r="N1622" s="130"/>
      <c r="O1622" s="251"/>
      <c r="P1622" s="251"/>
      <c r="Q1622" s="251"/>
      <c r="R1622" s="251"/>
      <c r="S1622" s="130"/>
      <c r="T1622" s="130"/>
      <c r="U1622" s="130"/>
      <c r="V1622" s="2107"/>
      <c r="W1622" s="611">
        <v>19</v>
      </c>
      <c r="X1622" s="611">
        <v>19</v>
      </c>
      <c r="Y1622" s="611"/>
      <c r="Z1622" s="611"/>
      <c r="AA1622" s="611"/>
      <c r="AB1622" s="611"/>
      <c r="AC1622" s="611"/>
      <c r="AD1622" s="611"/>
      <c r="AE1622" s="611"/>
      <c r="AF1622" s="611"/>
      <c r="AG1622" s="611"/>
    </row>
    <row r="1623" spans="1:33" s="56" customFormat="1" ht="15" hidden="1" customHeight="1" outlineLevel="1" x14ac:dyDescent="0.25">
      <c r="A1623" s="597"/>
      <c r="B1623" s="130"/>
      <c r="C1623" s="616"/>
      <c r="D1623" s="2101"/>
      <c r="E1623" s="2104"/>
      <c r="F1623" s="2110" t="str">
        <f>$E$878</f>
        <v>ASHP SEER 19 replace ASHP - replace on fail SF</v>
      </c>
      <c r="G1623" s="2111"/>
      <c r="H1623" s="2111"/>
      <c r="I1623" s="2112"/>
      <c r="J1623" s="709" t="s">
        <v>1197</v>
      </c>
      <c r="K1623" s="730">
        <v>19</v>
      </c>
      <c r="L1623" s="670"/>
      <c r="M1623" s="754" t="s">
        <v>1205</v>
      </c>
      <c r="N1623" s="130"/>
      <c r="O1623" s="251"/>
      <c r="P1623" s="251"/>
      <c r="Q1623" s="251"/>
      <c r="R1623" s="251"/>
      <c r="S1623" s="130"/>
      <c r="T1623" s="130"/>
      <c r="U1623" s="130"/>
      <c r="V1623" s="2107"/>
      <c r="W1623" s="611">
        <v>19</v>
      </c>
      <c r="X1623" s="611">
        <v>19</v>
      </c>
      <c r="Y1623" s="611"/>
      <c r="Z1623" s="611"/>
      <c r="AA1623" s="611"/>
      <c r="AB1623" s="611"/>
      <c r="AC1623" s="611"/>
      <c r="AD1623" s="611"/>
      <c r="AE1623" s="611"/>
      <c r="AF1623" s="611"/>
      <c r="AG1623" s="611"/>
    </row>
    <row r="1624" spans="1:33" s="56" customFormat="1" ht="15" hidden="1" customHeight="1" outlineLevel="1" x14ac:dyDescent="0.25">
      <c r="A1624" s="597"/>
      <c r="B1624" s="130"/>
      <c r="C1624" s="616"/>
      <c r="D1624" s="2101"/>
      <c r="E1624" s="2104"/>
      <c r="F1624" s="2110" t="str">
        <f>$E$880</f>
        <v>ASHP - SEER 17 - replace electric furnace / CAC - early replacement SF ER1</v>
      </c>
      <c r="G1624" s="2111"/>
      <c r="H1624" s="2111"/>
      <c r="I1624" s="2112"/>
      <c r="J1624" s="709"/>
      <c r="K1624" s="730">
        <v>17</v>
      </c>
      <c r="L1624" s="670"/>
      <c r="M1624" s="754" t="s">
        <v>1205</v>
      </c>
      <c r="N1624" s="130"/>
      <c r="O1624" s="251"/>
      <c r="P1624" s="251"/>
      <c r="Q1624" s="251"/>
      <c r="R1624" s="251"/>
      <c r="S1624" s="130"/>
      <c r="T1624" s="130"/>
      <c r="U1624" s="130"/>
      <c r="V1624" s="2107"/>
      <c r="W1624" s="611">
        <v>17</v>
      </c>
      <c r="X1624" s="611">
        <v>17</v>
      </c>
      <c r="Y1624" s="611"/>
      <c r="Z1624" s="611"/>
      <c r="AA1624" s="611"/>
      <c r="AB1624" s="611"/>
      <c r="AC1624" s="611"/>
      <c r="AD1624" s="611"/>
      <c r="AE1624" s="611"/>
      <c r="AF1624" s="611"/>
      <c r="AG1624" s="611"/>
    </row>
    <row r="1625" spans="1:33" s="56" customFormat="1" ht="15" hidden="1" customHeight="1" outlineLevel="1" x14ac:dyDescent="0.25">
      <c r="A1625" s="597"/>
      <c r="B1625" s="130"/>
      <c r="C1625" s="616"/>
      <c r="D1625" s="2101"/>
      <c r="E1625" s="2104"/>
      <c r="F1625" s="2110" t="str">
        <f>$E$882</f>
        <v>ASHP - SEER 17 - replace electric furnace / CAC - early replacement SF ER2</v>
      </c>
      <c r="G1625" s="2111"/>
      <c r="H1625" s="2111"/>
      <c r="I1625" s="2112"/>
      <c r="J1625" s="709"/>
      <c r="K1625" s="730">
        <v>17</v>
      </c>
      <c r="L1625" s="670"/>
      <c r="M1625" s="754" t="s">
        <v>1205</v>
      </c>
      <c r="N1625" s="130"/>
      <c r="O1625" s="251"/>
      <c r="P1625" s="251"/>
      <c r="Q1625" s="251"/>
      <c r="R1625" s="251"/>
      <c r="S1625" s="130"/>
      <c r="T1625" s="130"/>
      <c r="U1625" s="130"/>
      <c r="V1625" s="2107"/>
      <c r="W1625" s="611">
        <v>17</v>
      </c>
      <c r="X1625" s="611">
        <v>17</v>
      </c>
      <c r="Y1625" s="611"/>
      <c r="Z1625" s="611"/>
      <c r="AA1625" s="611"/>
      <c r="AB1625" s="611"/>
      <c r="AC1625" s="611"/>
      <c r="AD1625" s="611"/>
      <c r="AE1625" s="611"/>
      <c r="AF1625" s="611"/>
      <c r="AG1625" s="611"/>
    </row>
    <row r="1626" spans="1:33" s="56" customFormat="1" ht="15" hidden="1" customHeight="1" outlineLevel="1" x14ac:dyDescent="0.25">
      <c r="A1626" s="597"/>
      <c r="B1626" s="130"/>
      <c r="C1626" s="616"/>
      <c r="D1626" s="2101"/>
      <c r="E1626" s="2104"/>
      <c r="F1626" s="2110" t="str">
        <f>$E$884</f>
        <v>ASHP - SEER 17 - replace electric furnace / CAC - early replacement MF ER1</v>
      </c>
      <c r="G1626" s="2111"/>
      <c r="H1626" s="2111"/>
      <c r="I1626" s="2112"/>
      <c r="J1626" s="709"/>
      <c r="K1626" s="730">
        <v>17</v>
      </c>
      <c r="L1626" s="670"/>
      <c r="M1626" s="754" t="s">
        <v>1205</v>
      </c>
      <c r="N1626" s="130"/>
      <c r="O1626" s="251"/>
      <c r="P1626" s="251"/>
      <c r="Q1626" s="251"/>
      <c r="R1626" s="251"/>
      <c r="S1626" s="130"/>
      <c r="T1626" s="130"/>
      <c r="U1626" s="130"/>
      <c r="V1626" s="2107"/>
      <c r="W1626" s="611">
        <v>17</v>
      </c>
      <c r="X1626" s="611">
        <v>17</v>
      </c>
      <c r="Y1626" s="611"/>
      <c r="Z1626" s="611"/>
      <c r="AA1626" s="611"/>
      <c r="AB1626" s="611"/>
      <c r="AC1626" s="611"/>
      <c r="AD1626" s="611"/>
      <c r="AE1626" s="611"/>
      <c r="AF1626" s="611"/>
      <c r="AG1626" s="611"/>
    </row>
    <row r="1627" spans="1:33" s="56" customFormat="1" ht="15" hidden="1" customHeight="1" outlineLevel="1" x14ac:dyDescent="0.25">
      <c r="A1627" s="597"/>
      <c r="B1627" s="130"/>
      <c r="C1627" s="616"/>
      <c r="D1627" s="2101"/>
      <c r="E1627" s="2104"/>
      <c r="F1627" s="2110" t="str">
        <f>$E$886</f>
        <v>ASHP - SEER 17 - replace electric furnace / CAC - early replacement MF ER2</v>
      </c>
      <c r="G1627" s="2111"/>
      <c r="H1627" s="2111"/>
      <c r="I1627" s="2112"/>
      <c r="J1627" s="709"/>
      <c r="K1627" s="730">
        <v>17</v>
      </c>
      <c r="L1627" s="670"/>
      <c r="M1627" s="754" t="s">
        <v>1205</v>
      </c>
      <c r="N1627" s="130"/>
      <c r="O1627" s="251"/>
      <c r="P1627" s="251"/>
      <c r="Q1627" s="251"/>
      <c r="R1627" s="251"/>
      <c r="S1627" s="130"/>
      <c r="T1627" s="130"/>
      <c r="U1627" s="130"/>
      <c r="V1627" s="2107"/>
      <c r="W1627" s="611">
        <v>17</v>
      </c>
      <c r="X1627" s="611">
        <v>17</v>
      </c>
      <c r="Y1627" s="611"/>
      <c r="Z1627" s="611"/>
      <c r="AA1627" s="611"/>
      <c r="AB1627" s="611"/>
      <c r="AC1627" s="611"/>
      <c r="AD1627" s="611"/>
      <c r="AE1627" s="611"/>
      <c r="AF1627" s="611"/>
      <c r="AG1627" s="611"/>
    </row>
    <row r="1628" spans="1:33" s="56" customFormat="1" ht="15" hidden="1" customHeight="1" outlineLevel="1" x14ac:dyDescent="0.25">
      <c r="A1628" s="597"/>
      <c r="B1628" s="130"/>
      <c r="C1628" s="616"/>
      <c r="D1628" s="2101"/>
      <c r="E1628" s="2104"/>
      <c r="F1628" s="2110" t="str">
        <f>$E$888</f>
        <v>ASHP SEER 17 replace ASHP - early replacement MF ER1</v>
      </c>
      <c r="G1628" s="2111"/>
      <c r="H1628" s="2111"/>
      <c r="I1628" s="2112"/>
      <c r="J1628" s="709"/>
      <c r="K1628" s="730">
        <v>17</v>
      </c>
      <c r="L1628" s="670"/>
      <c r="M1628" s="754" t="s">
        <v>1205</v>
      </c>
      <c r="N1628" s="130"/>
      <c r="O1628" s="251"/>
      <c r="P1628" s="251"/>
      <c r="Q1628" s="251"/>
      <c r="R1628" s="251"/>
      <c r="S1628" s="130"/>
      <c r="T1628" s="130"/>
      <c r="U1628" s="130"/>
      <c r="V1628" s="2107"/>
      <c r="W1628" s="611">
        <v>17</v>
      </c>
      <c r="X1628" s="611">
        <v>17</v>
      </c>
      <c r="Y1628" s="611"/>
      <c r="Z1628" s="611"/>
      <c r="AA1628" s="611"/>
      <c r="AB1628" s="611"/>
      <c r="AC1628" s="611"/>
      <c r="AD1628" s="611"/>
      <c r="AE1628" s="611"/>
      <c r="AF1628" s="611"/>
      <c r="AG1628" s="611"/>
    </row>
    <row r="1629" spans="1:33" s="56" customFormat="1" ht="15" hidden="1" customHeight="1" outlineLevel="1" x14ac:dyDescent="0.25">
      <c r="A1629" s="597"/>
      <c r="B1629" s="130"/>
      <c r="C1629" s="616"/>
      <c r="D1629" s="2101"/>
      <c r="E1629" s="2104"/>
      <c r="F1629" s="2110" t="str">
        <f>$E$890</f>
        <v>ASHP SEER 17 replace ASHP - early replacement MF ER2</v>
      </c>
      <c r="G1629" s="2111"/>
      <c r="H1629" s="2111"/>
      <c r="I1629" s="2112"/>
      <c r="J1629" s="709"/>
      <c r="K1629" s="730">
        <v>17</v>
      </c>
      <c r="L1629" s="670"/>
      <c r="M1629" s="754" t="s">
        <v>1205</v>
      </c>
      <c r="N1629" s="130"/>
      <c r="O1629" s="251"/>
      <c r="P1629" s="251"/>
      <c r="Q1629" s="251"/>
      <c r="R1629" s="251"/>
      <c r="S1629" s="130"/>
      <c r="T1629" s="130"/>
      <c r="U1629" s="130"/>
      <c r="V1629" s="2107"/>
      <c r="W1629" s="611">
        <v>17</v>
      </c>
      <c r="X1629" s="611">
        <v>17</v>
      </c>
      <c r="Y1629" s="611"/>
      <c r="Z1629" s="611"/>
      <c r="AA1629" s="611"/>
      <c r="AB1629" s="611"/>
      <c r="AC1629" s="611"/>
      <c r="AD1629" s="611"/>
      <c r="AE1629" s="611"/>
      <c r="AF1629" s="611"/>
      <c r="AG1629" s="611"/>
    </row>
    <row r="1630" spans="1:33" s="56" customFormat="1" hidden="1" outlineLevel="1" x14ac:dyDescent="0.25">
      <c r="A1630" s="597"/>
      <c r="B1630" s="130"/>
      <c r="C1630" s="616"/>
      <c r="D1630" s="2101"/>
      <c r="E1630" s="2104"/>
      <c r="F1630" s="2110" t="str">
        <f>$E$892</f>
        <v>ASHP - SEER 18 - replace electric furnace / CAC - early replacement SF ER1</v>
      </c>
      <c r="G1630" s="2111"/>
      <c r="H1630" s="2111"/>
      <c r="I1630" s="2112"/>
      <c r="J1630" s="709"/>
      <c r="K1630" s="730">
        <v>18</v>
      </c>
      <c r="L1630" s="670"/>
      <c r="M1630" s="754" t="s">
        <v>1205</v>
      </c>
      <c r="N1630" s="130"/>
      <c r="O1630" s="251"/>
      <c r="P1630" s="251"/>
      <c r="Q1630" s="251"/>
      <c r="R1630" s="251"/>
      <c r="S1630" s="130"/>
      <c r="T1630" s="130"/>
      <c r="U1630" s="130"/>
      <c r="V1630" s="2107"/>
      <c r="W1630" s="611">
        <v>18</v>
      </c>
      <c r="X1630" s="611">
        <v>18</v>
      </c>
      <c r="Y1630" s="611"/>
      <c r="Z1630" s="611"/>
      <c r="AA1630" s="611"/>
      <c r="AB1630" s="611"/>
      <c r="AC1630" s="611"/>
      <c r="AD1630" s="611"/>
      <c r="AE1630" s="611"/>
      <c r="AF1630" s="611"/>
      <c r="AG1630" s="611"/>
    </row>
    <row r="1631" spans="1:33" s="56" customFormat="1" hidden="1" outlineLevel="1" x14ac:dyDescent="0.25">
      <c r="A1631" s="597"/>
      <c r="B1631" s="130"/>
      <c r="C1631" s="616"/>
      <c r="D1631" s="2101"/>
      <c r="E1631" s="2104"/>
      <c r="F1631" s="2110" t="str">
        <f>$E$894</f>
        <v>ASHP - SEER 18 - replace electric furnace / CAC - early replacement SF ER2</v>
      </c>
      <c r="G1631" s="2111"/>
      <c r="H1631" s="2111"/>
      <c r="I1631" s="2112"/>
      <c r="J1631" s="709"/>
      <c r="K1631" s="730">
        <v>18</v>
      </c>
      <c r="L1631" s="670"/>
      <c r="M1631" s="754" t="s">
        <v>1205</v>
      </c>
      <c r="N1631" s="130"/>
      <c r="O1631" s="251"/>
      <c r="P1631" s="251"/>
      <c r="Q1631" s="251"/>
      <c r="R1631" s="251"/>
      <c r="S1631" s="130"/>
      <c r="T1631" s="130"/>
      <c r="U1631" s="130"/>
      <c r="V1631" s="2107"/>
      <c r="W1631" s="611">
        <v>18</v>
      </c>
      <c r="X1631" s="611">
        <v>18</v>
      </c>
      <c r="Y1631" s="611"/>
      <c r="Z1631" s="611"/>
      <c r="AA1631" s="611"/>
      <c r="AB1631" s="611"/>
      <c r="AC1631" s="611"/>
      <c r="AD1631" s="611"/>
      <c r="AE1631" s="611"/>
      <c r="AF1631" s="611"/>
      <c r="AG1631" s="611"/>
    </row>
    <row r="1632" spans="1:33" s="56" customFormat="1" hidden="1" outlineLevel="1" x14ac:dyDescent="0.25">
      <c r="A1632" s="597"/>
      <c r="B1632" s="130"/>
      <c r="C1632" s="616"/>
      <c r="D1632" s="2101"/>
      <c r="E1632" s="2104"/>
      <c r="F1632" s="2110" t="str">
        <f>$E$896</f>
        <v>ASHP - SEER 18 - replace electric furnace / CAC - early replacement MF ER1</v>
      </c>
      <c r="G1632" s="2111"/>
      <c r="H1632" s="2111"/>
      <c r="I1632" s="2112"/>
      <c r="J1632" s="709"/>
      <c r="K1632" s="730">
        <v>18</v>
      </c>
      <c r="L1632" s="670"/>
      <c r="M1632" s="754" t="s">
        <v>1205</v>
      </c>
      <c r="N1632" s="130"/>
      <c r="O1632" s="251"/>
      <c r="P1632" s="251"/>
      <c r="Q1632" s="251"/>
      <c r="R1632" s="251"/>
      <c r="S1632" s="130"/>
      <c r="T1632" s="130"/>
      <c r="U1632" s="130"/>
      <c r="V1632" s="2107"/>
      <c r="W1632" s="611">
        <v>18</v>
      </c>
      <c r="X1632" s="611">
        <v>18</v>
      </c>
      <c r="Y1632" s="611"/>
      <c r="Z1632" s="611"/>
      <c r="AA1632" s="611"/>
      <c r="AB1632" s="611"/>
      <c r="AC1632" s="611"/>
      <c r="AD1632" s="611"/>
      <c r="AE1632" s="611"/>
      <c r="AF1632" s="611"/>
      <c r="AG1632" s="611"/>
    </row>
    <row r="1633" spans="1:33" s="56" customFormat="1" hidden="1" outlineLevel="1" x14ac:dyDescent="0.25">
      <c r="A1633" s="597"/>
      <c r="B1633" s="130"/>
      <c r="C1633" s="616"/>
      <c r="D1633" s="2101"/>
      <c r="E1633" s="2104"/>
      <c r="F1633" s="2110" t="str">
        <f>$E$898</f>
        <v>ASHP - SEER 18 - replace electric furnace / CAC - early replacement MF ER2</v>
      </c>
      <c r="G1633" s="2111"/>
      <c r="H1633" s="2111"/>
      <c r="I1633" s="2112"/>
      <c r="J1633" s="709"/>
      <c r="K1633" s="730">
        <v>18</v>
      </c>
      <c r="L1633" s="670"/>
      <c r="M1633" s="754" t="s">
        <v>1205</v>
      </c>
      <c r="N1633" s="130"/>
      <c r="O1633" s="251"/>
      <c r="P1633" s="251"/>
      <c r="Q1633" s="251"/>
      <c r="R1633" s="251"/>
      <c r="S1633" s="130"/>
      <c r="T1633" s="130"/>
      <c r="U1633" s="130"/>
      <c r="V1633" s="2107"/>
      <c r="W1633" s="611">
        <v>18</v>
      </c>
      <c r="X1633" s="611">
        <v>18</v>
      </c>
      <c r="Y1633" s="611"/>
      <c r="Z1633" s="611"/>
      <c r="AA1633" s="611"/>
      <c r="AB1633" s="611"/>
      <c r="AC1633" s="611"/>
      <c r="AD1633" s="611"/>
      <c r="AE1633" s="611"/>
      <c r="AF1633" s="611"/>
      <c r="AG1633" s="611"/>
    </row>
    <row r="1634" spans="1:33" s="56" customFormat="1" hidden="1" outlineLevel="1" x14ac:dyDescent="0.25">
      <c r="A1634" s="597"/>
      <c r="B1634" s="130"/>
      <c r="C1634" s="616"/>
      <c r="D1634" s="2101"/>
      <c r="E1634" s="2104"/>
      <c r="F1634" s="2110" t="str">
        <f>$E$900</f>
        <v>ASHP SEER 18 replace ASHP - early replacement MF ER1</v>
      </c>
      <c r="G1634" s="2111"/>
      <c r="H1634" s="2111"/>
      <c r="I1634" s="2112"/>
      <c r="J1634" s="709"/>
      <c r="K1634" s="730">
        <v>18</v>
      </c>
      <c r="L1634" s="670"/>
      <c r="M1634" s="754" t="s">
        <v>1205</v>
      </c>
      <c r="N1634" s="130"/>
      <c r="O1634" s="251"/>
      <c r="P1634" s="251"/>
      <c r="Q1634" s="251"/>
      <c r="R1634" s="251"/>
      <c r="S1634" s="130"/>
      <c r="T1634" s="130"/>
      <c r="U1634" s="130"/>
      <c r="V1634" s="2107"/>
      <c r="W1634" s="611">
        <v>18</v>
      </c>
      <c r="X1634" s="611">
        <v>18</v>
      </c>
      <c r="Y1634" s="611"/>
      <c r="Z1634" s="611"/>
      <c r="AA1634" s="611"/>
      <c r="AB1634" s="611"/>
      <c r="AC1634" s="611"/>
      <c r="AD1634" s="611"/>
      <c r="AE1634" s="611"/>
      <c r="AF1634" s="611"/>
      <c r="AG1634" s="611"/>
    </row>
    <row r="1635" spans="1:33" s="56" customFormat="1" hidden="1" outlineLevel="1" x14ac:dyDescent="0.25">
      <c r="A1635" s="597"/>
      <c r="B1635" s="130"/>
      <c r="C1635" s="616"/>
      <c r="D1635" s="2101"/>
      <c r="E1635" s="2104"/>
      <c r="F1635" s="2110" t="str">
        <f>$E$902</f>
        <v>ASHP SEER 18 replace ASHP - early replacement MF ER2</v>
      </c>
      <c r="G1635" s="2111"/>
      <c r="H1635" s="2111"/>
      <c r="I1635" s="2112"/>
      <c r="J1635" s="709"/>
      <c r="K1635" s="730">
        <v>18</v>
      </c>
      <c r="L1635" s="670"/>
      <c r="M1635" s="754" t="s">
        <v>1205</v>
      </c>
      <c r="N1635" s="130"/>
      <c r="O1635" s="251"/>
      <c r="P1635" s="251"/>
      <c r="Q1635" s="251"/>
      <c r="R1635" s="251"/>
      <c r="S1635" s="130"/>
      <c r="T1635" s="130"/>
      <c r="U1635" s="130"/>
      <c r="V1635" s="2107"/>
      <c r="W1635" s="611">
        <v>18</v>
      </c>
      <c r="X1635" s="611">
        <v>18</v>
      </c>
      <c r="Y1635" s="611"/>
      <c r="Z1635" s="611"/>
      <c r="AA1635" s="611"/>
      <c r="AB1635" s="611"/>
      <c r="AC1635" s="611"/>
      <c r="AD1635" s="611"/>
      <c r="AE1635" s="611"/>
      <c r="AF1635" s="611"/>
      <c r="AG1635" s="611"/>
    </row>
    <row r="1636" spans="1:33" s="56" customFormat="1" hidden="1" outlineLevel="1" x14ac:dyDescent="0.25">
      <c r="A1636" s="597"/>
      <c r="B1636" s="130"/>
      <c r="C1636" s="616"/>
      <c r="D1636" s="2101"/>
      <c r="E1636" s="2104"/>
      <c r="F1636" s="2110" t="str">
        <f>$E$904</f>
        <v>ASHP - SEER 19 - replace electric furnace / CAC - early replacement SF ER1</v>
      </c>
      <c r="G1636" s="2111"/>
      <c r="H1636" s="2111"/>
      <c r="I1636" s="2112"/>
      <c r="J1636" s="709"/>
      <c r="K1636" s="730">
        <v>19</v>
      </c>
      <c r="L1636" s="670"/>
      <c r="M1636" s="754" t="s">
        <v>1205</v>
      </c>
      <c r="N1636" s="130"/>
      <c r="O1636" s="251"/>
      <c r="P1636" s="251"/>
      <c r="Q1636" s="251"/>
      <c r="R1636" s="251"/>
      <c r="S1636" s="130"/>
      <c r="T1636" s="130"/>
      <c r="U1636" s="130"/>
      <c r="V1636" s="2107"/>
      <c r="W1636" s="611">
        <v>19</v>
      </c>
      <c r="X1636" s="611">
        <v>19</v>
      </c>
      <c r="Y1636" s="611"/>
      <c r="Z1636" s="611"/>
      <c r="AA1636" s="611"/>
      <c r="AB1636" s="611"/>
      <c r="AC1636" s="611"/>
      <c r="AD1636" s="611"/>
      <c r="AE1636" s="611"/>
      <c r="AF1636" s="611"/>
      <c r="AG1636" s="611"/>
    </row>
    <row r="1637" spans="1:33" s="56" customFormat="1" hidden="1" outlineLevel="1" x14ac:dyDescent="0.25">
      <c r="A1637" s="597"/>
      <c r="B1637" s="130"/>
      <c r="C1637" s="616"/>
      <c r="D1637" s="2101"/>
      <c r="E1637" s="2104"/>
      <c r="F1637" s="2110" t="str">
        <f>$E$906</f>
        <v>ASHP - SEER 19 - replace electric furnace / CAC - early replacement SF ER2</v>
      </c>
      <c r="G1637" s="2111"/>
      <c r="H1637" s="2111"/>
      <c r="I1637" s="2112"/>
      <c r="J1637" s="709"/>
      <c r="K1637" s="730">
        <v>19</v>
      </c>
      <c r="L1637" s="670"/>
      <c r="M1637" s="754" t="s">
        <v>1205</v>
      </c>
      <c r="N1637" s="130"/>
      <c r="O1637" s="251"/>
      <c r="P1637" s="251"/>
      <c r="Q1637" s="251"/>
      <c r="R1637" s="251"/>
      <c r="S1637" s="130"/>
      <c r="T1637" s="130"/>
      <c r="U1637" s="130"/>
      <c r="V1637" s="2107"/>
      <c r="W1637" s="611">
        <v>19</v>
      </c>
      <c r="X1637" s="611">
        <v>19</v>
      </c>
      <c r="Y1637" s="611"/>
      <c r="Z1637" s="611"/>
      <c r="AA1637" s="611"/>
      <c r="AB1637" s="611"/>
      <c r="AC1637" s="611"/>
      <c r="AD1637" s="611"/>
      <c r="AE1637" s="611"/>
      <c r="AF1637" s="611"/>
      <c r="AG1637" s="611"/>
    </row>
    <row r="1638" spans="1:33" s="56" customFormat="1" hidden="1" outlineLevel="1" x14ac:dyDescent="0.25">
      <c r="A1638" s="597"/>
      <c r="B1638" s="130"/>
      <c r="C1638" s="616"/>
      <c r="D1638" s="2101"/>
      <c r="E1638" s="2104"/>
      <c r="F1638" s="2110" t="str">
        <f>$E$908</f>
        <v>ASHP - SEER 19 - replace electric furnace / CAC - early replacement MF ER1</v>
      </c>
      <c r="G1638" s="2111"/>
      <c r="H1638" s="2111"/>
      <c r="I1638" s="2112"/>
      <c r="J1638" s="709"/>
      <c r="K1638" s="730">
        <v>19</v>
      </c>
      <c r="L1638" s="670"/>
      <c r="M1638" s="754" t="s">
        <v>1205</v>
      </c>
      <c r="N1638" s="130"/>
      <c r="O1638" s="251"/>
      <c r="P1638" s="251"/>
      <c r="Q1638" s="251"/>
      <c r="R1638" s="251"/>
      <c r="S1638" s="130"/>
      <c r="T1638" s="130"/>
      <c r="U1638" s="130"/>
      <c r="V1638" s="2107"/>
      <c r="W1638" s="611">
        <v>19</v>
      </c>
      <c r="X1638" s="611">
        <v>19</v>
      </c>
      <c r="Y1638" s="611"/>
      <c r="Z1638" s="611"/>
      <c r="AA1638" s="611"/>
      <c r="AB1638" s="611"/>
      <c r="AC1638" s="611"/>
      <c r="AD1638" s="611"/>
      <c r="AE1638" s="611"/>
      <c r="AF1638" s="611"/>
      <c r="AG1638" s="611"/>
    </row>
    <row r="1639" spans="1:33" s="56" customFormat="1" hidden="1" outlineLevel="1" x14ac:dyDescent="0.25">
      <c r="A1639" s="597"/>
      <c r="B1639" s="130"/>
      <c r="C1639" s="616"/>
      <c r="D1639" s="2101"/>
      <c r="E1639" s="2104"/>
      <c r="F1639" s="2110" t="str">
        <f>$E$910</f>
        <v>ASHP - SEER 19 - replace electric furnace / CAC - early replacement MF ER2</v>
      </c>
      <c r="G1639" s="2111"/>
      <c r="H1639" s="2111"/>
      <c r="I1639" s="2112"/>
      <c r="J1639" s="709"/>
      <c r="K1639" s="730">
        <v>19</v>
      </c>
      <c r="L1639" s="670"/>
      <c r="M1639" s="754" t="s">
        <v>1205</v>
      </c>
      <c r="N1639" s="130"/>
      <c r="O1639" s="251"/>
      <c r="P1639" s="251"/>
      <c r="Q1639" s="251"/>
      <c r="R1639" s="251"/>
      <c r="S1639" s="130"/>
      <c r="T1639" s="130"/>
      <c r="U1639" s="130"/>
      <c r="V1639" s="2107"/>
      <c r="W1639" s="611">
        <v>19</v>
      </c>
      <c r="X1639" s="611">
        <v>19</v>
      </c>
      <c r="Y1639" s="611"/>
      <c r="Z1639" s="611"/>
      <c r="AA1639" s="611"/>
      <c r="AB1639" s="611"/>
      <c r="AC1639" s="611"/>
      <c r="AD1639" s="611"/>
      <c r="AE1639" s="611"/>
      <c r="AF1639" s="611"/>
      <c r="AG1639" s="611"/>
    </row>
    <row r="1640" spans="1:33" s="56" customFormat="1" hidden="1" outlineLevel="1" x14ac:dyDescent="0.25">
      <c r="A1640" s="597"/>
      <c r="B1640" s="130"/>
      <c r="C1640" s="616"/>
      <c r="D1640" s="2101"/>
      <c r="E1640" s="2104"/>
      <c r="F1640" s="2110" t="str">
        <f>$E$912</f>
        <v>ASHP SEER 19 replace ASHP - early replacement MF ER1</v>
      </c>
      <c r="G1640" s="2111"/>
      <c r="H1640" s="2111"/>
      <c r="I1640" s="2112"/>
      <c r="J1640" s="709"/>
      <c r="K1640" s="730">
        <v>19</v>
      </c>
      <c r="L1640" s="670"/>
      <c r="M1640" s="754" t="s">
        <v>1205</v>
      </c>
      <c r="N1640" s="130"/>
      <c r="O1640" s="251"/>
      <c r="P1640" s="251"/>
      <c r="Q1640" s="251"/>
      <c r="R1640" s="251"/>
      <c r="S1640" s="130"/>
      <c r="T1640" s="130"/>
      <c r="U1640" s="130"/>
      <c r="V1640" s="2107"/>
      <c r="W1640" s="611">
        <v>19</v>
      </c>
      <c r="X1640" s="611">
        <v>19</v>
      </c>
      <c r="Y1640" s="611"/>
      <c r="Z1640" s="611"/>
      <c r="AA1640" s="611"/>
      <c r="AB1640" s="611"/>
      <c r="AC1640" s="611"/>
      <c r="AD1640" s="611"/>
      <c r="AE1640" s="611"/>
      <c r="AF1640" s="611"/>
      <c r="AG1640" s="611"/>
    </row>
    <row r="1641" spans="1:33" s="56" customFormat="1" hidden="1" outlineLevel="1" x14ac:dyDescent="0.25">
      <c r="A1641" s="597"/>
      <c r="B1641" s="130"/>
      <c r="C1641" s="616"/>
      <c r="D1641" s="2101"/>
      <c r="E1641" s="2104"/>
      <c r="F1641" s="2110" t="str">
        <f>$E$914</f>
        <v>ASHP SEER 19 replace ASHP - early replacement MF ER2</v>
      </c>
      <c r="G1641" s="2111"/>
      <c r="H1641" s="2111"/>
      <c r="I1641" s="2112"/>
      <c r="J1641" s="709"/>
      <c r="K1641" s="730">
        <v>19</v>
      </c>
      <c r="L1641" s="670"/>
      <c r="M1641" s="754" t="s">
        <v>1205</v>
      </c>
      <c r="N1641" s="130"/>
      <c r="O1641" s="251"/>
      <c r="P1641" s="251"/>
      <c r="Q1641" s="251"/>
      <c r="R1641" s="251"/>
      <c r="S1641" s="130"/>
      <c r="T1641" s="130"/>
      <c r="U1641" s="130"/>
      <c r="V1641" s="2107"/>
      <c r="W1641" s="611">
        <v>19</v>
      </c>
      <c r="X1641" s="611">
        <v>19</v>
      </c>
      <c r="Y1641" s="611"/>
      <c r="Z1641" s="611"/>
      <c r="AA1641" s="611"/>
      <c r="AB1641" s="611"/>
      <c r="AC1641" s="611"/>
      <c r="AD1641" s="611"/>
      <c r="AE1641" s="611"/>
      <c r="AF1641" s="611"/>
      <c r="AG1641" s="611"/>
    </row>
    <row r="1642" spans="1:33" s="56" customFormat="1" hidden="1" outlineLevel="1" x14ac:dyDescent="0.25">
      <c r="A1642" s="597"/>
      <c r="B1642" s="130"/>
      <c r="C1642" s="616"/>
      <c r="D1642" s="2101"/>
      <c r="E1642" s="2104"/>
      <c r="F1642" s="2110" t="str">
        <f>$E$916</f>
        <v>ASHP SEER 20 replace ASHP - early replacement SF ER1</v>
      </c>
      <c r="G1642" s="2111"/>
      <c r="H1642" s="2111"/>
      <c r="I1642" s="2112"/>
      <c r="J1642" s="709"/>
      <c r="K1642" s="730">
        <v>20</v>
      </c>
      <c r="L1642" s="670"/>
      <c r="M1642" s="754" t="s">
        <v>1205</v>
      </c>
      <c r="N1642" s="130"/>
      <c r="O1642" s="251"/>
      <c r="P1642" s="251"/>
      <c r="Q1642" s="251"/>
      <c r="R1642" s="251"/>
      <c r="S1642" s="130"/>
      <c r="T1642" s="130"/>
      <c r="U1642" s="130"/>
      <c r="V1642" s="2107"/>
      <c r="W1642" s="611">
        <v>20</v>
      </c>
      <c r="X1642" s="611">
        <v>20</v>
      </c>
      <c r="Y1642" s="611"/>
      <c r="Z1642" s="611"/>
      <c r="AA1642" s="611"/>
      <c r="AB1642" s="611"/>
      <c r="AC1642" s="611"/>
      <c r="AD1642" s="611"/>
      <c r="AE1642" s="611"/>
      <c r="AF1642" s="611"/>
      <c r="AG1642" s="611"/>
    </row>
    <row r="1643" spans="1:33" s="56" customFormat="1" hidden="1" outlineLevel="1" x14ac:dyDescent="0.25">
      <c r="A1643" s="597"/>
      <c r="B1643" s="130"/>
      <c r="C1643" s="616"/>
      <c r="D1643" s="2101"/>
      <c r="E1643" s="2104"/>
      <c r="F1643" s="2110" t="str">
        <f>$E$918</f>
        <v>ASHP SEER 20 replace ASHP - early replacement SF ER2</v>
      </c>
      <c r="G1643" s="2111"/>
      <c r="H1643" s="2111"/>
      <c r="I1643" s="2112"/>
      <c r="J1643" s="709"/>
      <c r="K1643" s="730">
        <v>20</v>
      </c>
      <c r="L1643" s="670"/>
      <c r="M1643" s="754" t="s">
        <v>1205</v>
      </c>
      <c r="N1643" s="130"/>
      <c r="O1643" s="251"/>
      <c r="P1643" s="251"/>
      <c r="Q1643" s="251"/>
      <c r="R1643" s="251"/>
      <c r="S1643" s="130"/>
      <c r="T1643" s="130"/>
      <c r="U1643" s="130"/>
      <c r="V1643" s="2107"/>
      <c r="W1643" s="611">
        <v>20</v>
      </c>
      <c r="X1643" s="611">
        <v>20</v>
      </c>
      <c r="Y1643" s="611"/>
      <c r="Z1643" s="611"/>
      <c r="AA1643" s="611"/>
      <c r="AB1643" s="611"/>
      <c r="AC1643" s="611"/>
      <c r="AD1643" s="611"/>
      <c r="AE1643" s="611"/>
      <c r="AF1643" s="611"/>
      <c r="AG1643" s="611"/>
    </row>
    <row r="1644" spans="1:33" s="56" customFormat="1" hidden="1" outlineLevel="1" x14ac:dyDescent="0.25">
      <c r="A1644" s="597"/>
      <c r="B1644" s="130"/>
      <c r="C1644" s="616"/>
      <c r="D1644" s="2101"/>
      <c r="E1644" s="2104"/>
      <c r="F1644" s="2110" t="str">
        <f>$E$920</f>
        <v>ASHP SEER 20 replace ASHP - replace on fail SF</v>
      </c>
      <c r="G1644" s="2111"/>
      <c r="H1644" s="2111"/>
      <c r="I1644" s="2112"/>
      <c r="J1644" s="709"/>
      <c r="K1644" s="730">
        <v>20</v>
      </c>
      <c r="L1644" s="670"/>
      <c r="M1644" s="754" t="s">
        <v>1205</v>
      </c>
      <c r="N1644" s="130"/>
      <c r="O1644" s="251"/>
      <c r="P1644" s="251"/>
      <c r="Q1644" s="251"/>
      <c r="R1644" s="251"/>
      <c r="S1644" s="130"/>
      <c r="T1644" s="130"/>
      <c r="U1644" s="130"/>
      <c r="V1644" s="2107"/>
      <c r="W1644" s="611">
        <v>20</v>
      </c>
      <c r="X1644" s="611">
        <v>20</v>
      </c>
      <c r="Y1644" s="611"/>
      <c r="Z1644" s="611"/>
      <c r="AA1644" s="611"/>
      <c r="AB1644" s="611"/>
      <c r="AC1644" s="611"/>
      <c r="AD1644" s="611"/>
      <c r="AE1644" s="611"/>
      <c r="AF1644" s="611"/>
      <c r="AG1644" s="611"/>
    </row>
    <row r="1645" spans="1:33" s="56" customFormat="1" hidden="1" outlineLevel="1" x14ac:dyDescent="0.25">
      <c r="A1645" s="597"/>
      <c r="B1645" s="130"/>
      <c r="C1645" s="616"/>
      <c r="D1645" s="2101"/>
      <c r="E1645" s="2104"/>
      <c r="F1645" s="2110" t="str">
        <f>$E$922</f>
        <v>ASHP - SEER 20 - replace electric furnace / CAC - early replacement MF ER1</v>
      </c>
      <c r="G1645" s="2111"/>
      <c r="H1645" s="2111"/>
      <c r="I1645" s="2112"/>
      <c r="J1645" s="709"/>
      <c r="K1645" s="730">
        <v>20</v>
      </c>
      <c r="L1645" s="670"/>
      <c r="M1645" s="754" t="s">
        <v>1205</v>
      </c>
      <c r="N1645" s="130"/>
      <c r="O1645" s="251"/>
      <c r="P1645" s="251"/>
      <c r="Q1645" s="251"/>
      <c r="R1645" s="251"/>
      <c r="S1645" s="130"/>
      <c r="T1645" s="130"/>
      <c r="U1645" s="130"/>
      <c r="V1645" s="2107"/>
      <c r="W1645" s="611">
        <v>20</v>
      </c>
      <c r="X1645" s="611">
        <v>20</v>
      </c>
      <c r="Y1645" s="611"/>
      <c r="Z1645" s="611"/>
      <c r="AA1645" s="611"/>
      <c r="AB1645" s="611"/>
      <c r="AC1645" s="611"/>
      <c r="AD1645" s="611"/>
      <c r="AE1645" s="611"/>
      <c r="AF1645" s="611"/>
      <c r="AG1645" s="611"/>
    </row>
    <row r="1646" spans="1:33" s="56" customFormat="1" hidden="1" outlineLevel="1" x14ac:dyDescent="0.25">
      <c r="A1646" s="597"/>
      <c r="B1646" s="130"/>
      <c r="C1646" s="616"/>
      <c r="D1646" s="2101"/>
      <c r="E1646" s="2104"/>
      <c r="F1646" s="2110" t="str">
        <f>$E$924</f>
        <v>ASHP - SEER 20 - replace electric furnace / CAC - early replacement MF ER2</v>
      </c>
      <c r="G1646" s="2111"/>
      <c r="H1646" s="2111"/>
      <c r="I1646" s="2112"/>
      <c r="J1646" s="709"/>
      <c r="K1646" s="730">
        <v>20</v>
      </c>
      <c r="L1646" s="670"/>
      <c r="M1646" s="754" t="s">
        <v>1205</v>
      </c>
      <c r="N1646" s="130"/>
      <c r="O1646" s="251"/>
      <c r="P1646" s="251"/>
      <c r="Q1646" s="251"/>
      <c r="R1646" s="251"/>
      <c r="S1646" s="130"/>
      <c r="T1646" s="130"/>
      <c r="U1646" s="130"/>
      <c r="V1646" s="2107"/>
      <c r="W1646" s="611">
        <v>20</v>
      </c>
      <c r="X1646" s="611">
        <v>20</v>
      </c>
      <c r="Y1646" s="611"/>
      <c r="Z1646" s="611"/>
      <c r="AA1646" s="611"/>
      <c r="AB1646" s="611"/>
      <c r="AC1646" s="611"/>
      <c r="AD1646" s="611"/>
      <c r="AE1646" s="611"/>
      <c r="AF1646" s="611"/>
      <c r="AG1646" s="611"/>
    </row>
    <row r="1647" spans="1:33" s="56" customFormat="1" hidden="1" outlineLevel="1" x14ac:dyDescent="0.25">
      <c r="A1647" s="597"/>
      <c r="B1647" s="130"/>
      <c r="C1647" s="616"/>
      <c r="D1647" s="2101"/>
      <c r="E1647" s="2104"/>
      <c r="F1647" s="2110" t="str">
        <f>$E$926</f>
        <v>ASHP SEER 20 replace ASHP - early replacement MF ER1</v>
      </c>
      <c r="G1647" s="2111"/>
      <c r="H1647" s="2111"/>
      <c r="I1647" s="2112"/>
      <c r="J1647" s="709"/>
      <c r="K1647" s="730">
        <v>20</v>
      </c>
      <c r="L1647" s="670"/>
      <c r="M1647" s="754" t="s">
        <v>1205</v>
      </c>
      <c r="N1647" s="130"/>
      <c r="O1647" s="251"/>
      <c r="P1647" s="251"/>
      <c r="Q1647" s="251"/>
      <c r="R1647" s="251"/>
      <c r="S1647" s="130"/>
      <c r="T1647" s="130"/>
      <c r="U1647" s="130"/>
      <c r="V1647" s="2107"/>
      <c r="W1647" s="611">
        <v>20</v>
      </c>
      <c r="X1647" s="611">
        <v>20</v>
      </c>
      <c r="Y1647" s="611"/>
      <c r="Z1647" s="611"/>
      <c r="AA1647" s="611"/>
      <c r="AB1647" s="611"/>
      <c r="AC1647" s="611"/>
      <c r="AD1647" s="611"/>
      <c r="AE1647" s="611"/>
      <c r="AF1647" s="611"/>
      <c r="AG1647" s="611"/>
    </row>
    <row r="1648" spans="1:33" s="56" customFormat="1" hidden="1" outlineLevel="1" x14ac:dyDescent="0.25">
      <c r="A1648" s="597"/>
      <c r="B1648" s="130"/>
      <c r="C1648" s="616"/>
      <c r="D1648" s="2101"/>
      <c r="E1648" s="2104"/>
      <c r="F1648" s="2110" t="str">
        <f>$E$928</f>
        <v>ASHP SEER 20 replace ASHP - early replacement MF ER2</v>
      </c>
      <c r="G1648" s="2111"/>
      <c r="H1648" s="2111"/>
      <c r="I1648" s="2112"/>
      <c r="J1648" s="709"/>
      <c r="K1648" s="730">
        <v>20</v>
      </c>
      <c r="L1648" s="670"/>
      <c r="M1648" s="754" t="s">
        <v>1205</v>
      </c>
      <c r="N1648" s="130"/>
      <c r="O1648" s="251"/>
      <c r="P1648" s="251"/>
      <c r="Q1648" s="251"/>
      <c r="R1648" s="251"/>
      <c r="S1648" s="130"/>
      <c r="T1648" s="130"/>
      <c r="U1648" s="130"/>
      <c r="V1648" s="2107"/>
      <c r="W1648" s="611">
        <v>20</v>
      </c>
      <c r="X1648" s="611">
        <v>20</v>
      </c>
      <c r="Y1648" s="611"/>
      <c r="Z1648" s="611"/>
      <c r="AA1648" s="611"/>
      <c r="AB1648" s="611"/>
      <c r="AC1648" s="611"/>
      <c r="AD1648" s="611"/>
      <c r="AE1648" s="611"/>
      <c r="AF1648" s="611"/>
      <c r="AG1648" s="611"/>
    </row>
    <row r="1649" spans="1:33" s="56" customFormat="1" hidden="1" outlineLevel="1" x14ac:dyDescent="0.25">
      <c r="A1649" s="597"/>
      <c r="B1649" s="130"/>
      <c r="C1649" s="616"/>
      <c r="D1649" s="2101"/>
      <c r="E1649" s="2104"/>
      <c r="F1649" s="2110" t="str">
        <f>$E$930</f>
        <v>ASHP SEER 21 replace ASHP - early replacement SF ER1</v>
      </c>
      <c r="G1649" s="2111"/>
      <c r="H1649" s="2111"/>
      <c r="I1649" s="2112"/>
      <c r="J1649" s="709"/>
      <c r="K1649" s="730">
        <v>21</v>
      </c>
      <c r="L1649" s="670"/>
      <c r="M1649" s="754" t="s">
        <v>1205</v>
      </c>
      <c r="N1649" s="130"/>
      <c r="O1649" s="251"/>
      <c r="P1649" s="251"/>
      <c r="Q1649" s="251"/>
      <c r="R1649" s="251"/>
      <c r="S1649" s="130"/>
      <c r="T1649" s="130"/>
      <c r="U1649" s="130"/>
      <c r="V1649" s="2107"/>
      <c r="W1649" s="611">
        <v>21</v>
      </c>
      <c r="X1649" s="611">
        <v>21</v>
      </c>
      <c r="Y1649" s="611"/>
      <c r="Z1649" s="611"/>
      <c r="AA1649" s="611"/>
      <c r="AB1649" s="611"/>
      <c r="AC1649" s="611"/>
      <c r="AD1649" s="611"/>
      <c r="AE1649" s="611"/>
      <c r="AF1649" s="611"/>
      <c r="AG1649" s="611"/>
    </row>
    <row r="1650" spans="1:33" s="56" customFormat="1" hidden="1" outlineLevel="1" x14ac:dyDescent="0.25">
      <c r="A1650" s="597"/>
      <c r="B1650" s="130"/>
      <c r="C1650" s="616"/>
      <c r="D1650" s="2101"/>
      <c r="E1650" s="2104"/>
      <c r="F1650" s="2110" t="str">
        <f>$E$932</f>
        <v>ASHP SEER 21 replace ASHP - early replacement SF ER2</v>
      </c>
      <c r="G1650" s="2111"/>
      <c r="H1650" s="2111"/>
      <c r="I1650" s="2112"/>
      <c r="J1650" s="709"/>
      <c r="K1650" s="730">
        <v>21</v>
      </c>
      <c r="L1650" s="670"/>
      <c r="M1650" s="754" t="s">
        <v>1205</v>
      </c>
      <c r="N1650" s="130"/>
      <c r="O1650" s="251"/>
      <c r="P1650" s="251"/>
      <c r="Q1650" s="251"/>
      <c r="R1650" s="251"/>
      <c r="S1650" s="130"/>
      <c r="T1650" s="130"/>
      <c r="U1650" s="130"/>
      <c r="V1650" s="2107"/>
      <c r="W1650" s="611">
        <v>21</v>
      </c>
      <c r="X1650" s="611">
        <v>21</v>
      </c>
      <c r="Y1650" s="611"/>
      <c r="Z1650" s="611"/>
      <c r="AA1650" s="611"/>
      <c r="AB1650" s="611"/>
      <c r="AC1650" s="611"/>
      <c r="AD1650" s="611"/>
      <c r="AE1650" s="611"/>
      <c r="AF1650" s="611"/>
      <c r="AG1650" s="611"/>
    </row>
    <row r="1651" spans="1:33" s="56" customFormat="1" hidden="1" outlineLevel="1" x14ac:dyDescent="0.25">
      <c r="A1651" s="597"/>
      <c r="B1651" s="130"/>
      <c r="C1651" s="616"/>
      <c r="D1651" s="2101"/>
      <c r="E1651" s="2104"/>
      <c r="F1651" s="2110" t="str">
        <f>$E$934</f>
        <v>ASHP SEER 21 replace ASHP - replace on fail SF</v>
      </c>
      <c r="G1651" s="2111"/>
      <c r="H1651" s="2111"/>
      <c r="I1651" s="2112"/>
      <c r="J1651" s="709"/>
      <c r="K1651" s="730">
        <v>21</v>
      </c>
      <c r="L1651" s="670"/>
      <c r="M1651" s="754" t="s">
        <v>1205</v>
      </c>
      <c r="N1651" s="130"/>
      <c r="O1651" s="251"/>
      <c r="P1651" s="251"/>
      <c r="Q1651" s="251"/>
      <c r="R1651" s="251"/>
      <c r="S1651" s="130"/>
      <c r="T1651" s="130"/>
      <c r="U1651" s="130"/>
      <c r="V1651" s="2107"/>
      <c r="W1651" s="611">
        <v>21</v>
      </c>
      <c r="X1651" s="611">
        <v>21</v>
      </c>
      <c r="Y1651" s="611"/>
      <c r="Z1651" s="611"/>
      <c r="AA1651" s="611"/>
      <c r="AB1651" s="611"/>
      <c r="AC1651" s="611"/>
      <c r="AD1651" s="611"/>
      <c r="AE1651" s="611"/>
      <c r="AF1651" s="611"/>
      <c r="AG1651" s="611"/>
    </row>
    <row r="1652" spans="1:33" s="56" customFormat="1" hidden="1" outlineLevel="1" x14ac:dyDescent="0.25">
      <c r="A1652" s="597"/>
      <c r="B1652" s="130"/>
      <c r="C1652" s="616"/>
      <c r="D1652" s="2101"/>
      <c r="E1652" s="2104"/>
      <c r="F1652" s="2110" t="str">
        <f>$E$936</f>
        <v>ASHP - SEER 21 - replace electric furnace / CAC MF</v>
      </c>
      <c r="G1652" s="2111"/>
      <c r="H1652" s="2111"/>
      <c r="I1652" s="2112"/>
      <c r="J1652" s="709"/>
      <c r="K1652" s="730">
        <v>21</v>
      </c>
      <c r="L1652" s="670"/>
      <c r="M1652" s="754" t="s">
        <v>1205</v>
      </c>
      <c r="N1652" s="130"/>
      <c r="O1652" s="251"/>
      <c r="P1652" s="251"/>
      <c r="Q1652" s="251"/>
      <c r="R1652" s="251"/>
      <c r="S1652" s="130"/>
      <c r="T1652" s="130"/>
      <c r="U1652" s="130"/>
      <c r="V1652" s="2107"/>
      <c r="W1652" s="611">
        <v>21</v>
      </c>
      <c r="X1652" s="611">
        <v>21</v>
      </c>
      <c r="Y1652" s="611"/>
      <c r="Z1652" s="611"/>
      <c r="AA1652" s="611"/>
      <c r="AB1652" s="611"/>
      <c r="AC1652" s="611"/>
      <c r="AD1652" s="611"/>
      <c r="AE1652" s="611"/>
      <c r="AF1652" s="611"/>
      <c r="AG1652" s="611"/>
    </row>
    <row r="1653" spans="1:33" s="56" customFormat="1" hidden="1" outlineLevel="1" x14ac:dyDescent="0.25">
      <c r="A1653" s="597"/>
      <c r="B1653" s="130"/>
      <c r="C1653" s="616"/>
      <c r="D1653" s="2101"/>
      <c r="E1653" s="2104"/>
      <c r="F1653" s="2110" t="str">
        <f>$E$938</f>
        <v>ASHP SEER 21 replace ASHP - early replacement MF ER1</v>
      </c>
      <c r="G1653" s="2111"/>
      <c r="H1653" s="2111"/>
      <c r="I1653" s="2112"/>
      <c r="J1653" s="709"/>
      <c r="K1653" s="730">
        <v>21</v>
      </c>
      <c r="L1653" s="670"/>
      <c r="M1653" s="754" t="s">
        <v>1205</v>
      </c>
      <c r="N1653" s="130"/>
      <c r="O1653" s="251"/>
      <c r="P1653" s="251"/>
      <c r="Q1653" s="251"/>
      <c r="R1653" s="251"/>
      <c r="S1653" s="130"/>
      <c r="T1653" s="130"/>
      <c r="U1653" s="130"/>
      <c r="V1653" s="2107"/>
      <c r="W1653" s="611">
        <v>21</v>
      </c>
      <c r="X1653" s="611">
        <v>21</v>
      </c>
      <c r="Y1653" s="611"/>
      <c r="Z1653" s="611"/>
      <c r="AA1653" s="611"/>
      <c r="AB1653" s="611"/>
      <c r="AC1653" s="611"/>
      <c r="AD1653" s="611"/>
      <c r="AE1653" s="611"/>
      <c r="AF1653" s="611"/>
      <c r="AG1653" s="611"/>
    </row>
    <row r="1654" spans="1:33" s="56" customFormat="1" hidden="1" outlineLevel="1" x14ac:dyDescent="0.25">
      <c r="A1654" s="597"/>
      <c r="B1654" s="130"/>
      <c r="C1654" s="616"/>
      <c r="D1654" s="2101"/>
      <c r="E1654" s="2104"/>
      <c r="F1654" s="2110" t="str">
        <f>$E$940</f>
        <v>ASHP SEER 21 replace ASHP - early replacement MF ER2</v>
      </c>
      <c r="G1654" s="2111"/>
      <c r="H1654" s="2111"/>
      <c r="I1654" s="2112"/>
      <c r="J1654" s="709"/>
      <c r="K1654" s="730">
        <v>21</v>
      </c>
      <c r="L1654" s="670"/>
      <c r="M1654" s="754" t="s">
        <v>1205</v>
      </c>
      <c r="N1654" s="130"/>
      <c r="O1654" s="251"/>
      <c r="P1654" s="251"/>
      <c r="Q1654" s="251"/>
      <c r="R1654" s="251"/>
      <c r="S1654" s="130"/>
      <c r="T1654" s="130"/>
      <c r="U1654" s="130"/>
      <c r="V1654" s="2107"/>
      <c r="W1654" s="611">
        <v>21</v>
      </c>
      <c r="X1654" s="611">
        <v>21</v>
      </c>
      <c r="Y1654" s="611"/>
      <c r="Z1654" s="611"/>
      <c r="AA1654" s="611"/>
      <c r="AB1654" s="611"/>
      <c r="AC1654" s="611"/>
      <c r="AD1654" s="611"/>
      <c r="AE1654" s="611"/>
      <c r="AF1654" s="611"/>
      <c r="AG1654" s="611"/>
    </row>
    <row r="1655" spans="1:33" s="56" customFormat="1" ht="15" hidden="1" customHeight="1" outlineLevel="1" x14ac:dyDescent="0.25">
      <c r="A1655" s="724"/>
      <c r="B1655" s="130"/>
      <c r="C1655" s="616"/>
      <c r="D1655" s="2101"/>
      <c r="E1655" s="2104"/>
      <c r="F1655" s="2110" t="str">
        <f>$E$942</f>
        <v>ASHP - SEER 17 - replace on fail MF</v>
      </c>
      <c r="G1655" s="2111"/>
      <c r="H1655" s="2111"/>
      <c r="I1655" s="2112"/>
      <c r="J1655" s="709" t="s">
        <v>1198</v>
      </c>
      <c r="K1655" s="730">
        <v>17</v>
      </c>
      <c r="L1655" s="670"/>
      <c r="M1655" s="754" t="s">
        <v>1205</v>
      </c>
      <c r="N1655" s="130"/>
      <c r="O1655" s="251"/>
      <c r="P1655" s="766"/>
      <c r="Q1655" s="767"/>
      <c r="R1655" s="766"/>
      <c r="S1655" s="752"/>
      <c r="T1655" s="760"/>
      <c r="U1655" s="130"/>
      <c r="V1655" s="2107"/>
      <c r="W1655" s="611">
        <v>17</v>
      </c>
      <c r="X1655" s="611">
        <v>17</v>
      </c>
      <c r="Y1655" s="611"/>
      <c r="Z1655" s="611"/>
      <c r="AA1655" s="611"/>
      <c r="AB1655" s="611"/>
      <c r="AC1655" s="611"/>
      <c r="AD1655" s="611"/>
      <c r="AE1655" s="611"/>
      <c r="AF1655" s="611"/>
      <c r="AG1655" s="611"/>
    </row>
    <row r="1656" spans="1:33" s="56" customFormat="1" ht="15" hidden="1" customHeight="1" outlineLevel="1" x14ac:dyDescent="0.25">
      <c r="A1656" s="724"/>
      <c r="B1656" s="130"/>
      <c r="C1656" s="616"/>
      <c r="D1656" s="2101"/>
      <c r="E1656" s="2104"/>
      <c r="F1656" s="2110" t="str">
        <f>$E$944</f>
        <v>ASHP - SEER 18 - replace on fail MF</v>
      </c>
      <c r="G1656" s="2111"/>
      <c r="H1656" s="2111"/>
      <c r="I1656" s="2112"/>
      <c r="J1656" s="709" t="s">
        <v>1199</v>
      </c>
      <c r="K1656" s="730">
        <v>18</v>
      </c>
      <c r="L1656" s="670"/>
      <c r="M1656" s="754" t="s">
        <v>1205</v>
      </c>
      <c r="N1656" s="130"/>
      <c r="O1656" s="251"/>
      <c r="P1656" s="766"/>
      <c r="Q1656" s="767"/>
      <c r="R1656" s="766"/>
      <c r="S1656" s="752"/>
      <c r="T1656" s="760"/>
      <c r="U1656" s="130"/>
      <c r="V1656" s="2107"/>
      <c r="W1656" s="611">
        <v>18</v>
      </c>
      <c r="X1656" s="611">
        <v>18</v>
      </c>
      <c r="Y1656" s="611"/>
      <c r="Z1656" s="611"/>
      <c r="AA1656" s="611"/>
      <c r="AB1656" s="611"/>
      <c r="AC1656" s="611"/>
      <c r="AD1656" s="611"/>
      <c r="AE1656" s="611"/>
      <c r="AF1656" s="611"/>
      <c r="AG1656" s="611"/>
    </row>
    <row r="1657" spans="1:33" s="56" customFormat="1" ht="15" hidden="1" customHeight="1" outlineLevel="1" x14ac:dyDescent="0.25">
      <c r="A1657" s="597"/>
      <c r="B1657" s="130"/>
      <c r="C1657" s="616"/>
      <c r="D1657" s="2101"/>
      <c r="E1657" s="2104"/>
      <c r="F1657" s="2110" t="str">
        <f>$E$946</f>
        <v>ASHP - SEER 19 - replace on fail MF</v>
      </c>
      <c r="G1657" s="2111"/>
      <c r="H1657" s="2111"/>
      <c r="I1657" s="2112"/>
      <c r="J1657" s="709" t="s">
        <v>1200</v>
      </c>
      <c r="K1657" s="730">
        <v>19</v>
      </c>
      <c r="L1657" s="670"/>
      <c r="M1657" s="754" t="s">
        <v>1205</v>
      </c>
      <c r="N1657" s="130"/>
      <c r="O1657" s="251"/>
      <c r="P1657" s="251"/>
      <c r="Q1657" s="251"/>
      <c r="R1657" s="251"/>
      <c r="S1657" s="130"/>
      <c r="T1657" s="130"/>
      <c r="U1657" s="130"/>
      <c r="V1657" s="2107"/>
      <c r="W1657" s="611">
        <v>19</v>
      </c>
      <c r="X1657" s="611">
        <v>19</v>
      </c>
      <c r="Y1657" s="611"/>
      <c r="Z1657" s="611"/>
      <c r="AA1657" s="611"/>
      <c r="AB1657" s="611"/>
      <c r="AC1657" s="611"/>
      <c r="AD1657" s="611"/>
      <c r="AE1657" s="611"/>
      <c r="AF1657" s="611"/>
      <c r="AG1657" s="611"/>
    </row>
    <row r="1658" spans="1:33" s="56" customFormat="1" ht="15" hidden="1" customHeight="1" outlineLevel="1" x14ac:dyDescent="0.25">
      <c r="A1658" s="597"/>
      <c r="B1658" s="130"/>
      <c r="C1658" s="616"/>
      <c r="D1658" s="2101"/>
      <c r="E1658" s="2104"/>
      <c r="F1658" s="2110" t="str">
        <f>$E$948</f>
        <v>ASHP - SEER 20 - replace on fail MF</v>
      </c>
      <c r="G1658" s="2111"/>
      <c r="H1658" s="2111"/>
      <c r="I1658" s="2112"/>
      <c r="J1658" s="709" t="s">
        <v>1201</v>
      </c>
      <c r="K1658" s="730">
        <v>20</v>
      </c>
      <c r="L1658" s="670"/>
      <c r="M1658" s="754" t="s">
        <v>1205</v>
      </c>
      <c r="N1658" s="130"/>
      <c r="O1658" s="251"/>
      <c r="P1658" s="251"/>
      <c r="Q1658" s="251"/>
      <c r="R1658" s="251"/>
      <c r="S1658" s="130"/>
      <c r="T1658" s="130"/>
      <c r="U1658" s="130"/>
      <c r="V1658" s="2107"/>
      <c r="W1658" s="611">
        <v>20</v>
      </c>
      <c r="X1658" s="611">
        <v>20</v>
      </c>
      <c r="Y1658" s="611"/>
      <c r="Z1658" s="611"/>
      <c r="AA1658" s="611"/>
      <c r="AB1658" s="611"/>
      <c r="AC1658" s="611"/>
      <c r="AD1658" s="611"/>
      <c r="AE1658" s="611"/>
      <c r="AF1658" s="611"/>
      <c r="AG1658" s="611"/>
    </row>
    <row r="1659" spans="1:33" s="56" customFormat="1" ht="15.75" hidden="1" customHeight="1" outlineLevel="1" thickBot="1" x14ac:dyDescent="0.3">
      <c r="A1659" s="724"/>
      <c r="B1659" s="130"/>
      <c r="C1659" s="616"/>
      <c r="D1659" s="2102"/>
      <c r="E1659" s="2105"/>
      <c r="F1659" s="2110" t="str">
        <f>$E$950</f>
        <v>ASHP - SEER 21 - replace on fail MF</v>
      </c>
      <c r="G1659" s="2111"/>
      <c r="H1659" s="2111"/>
      <c r="I1659" s="2112"/>
      <c r="J1659" s="712" t="s">
        <v>1202</v>
      </c>
      <c r="K1659" s="622">
        <v>21</v>
      </c>
      <c r="L1659" s="771"/>
      <c r="M1659" s="769" t="s">
        <v>1205</v>
      </c>
      <c r="N1659" s="130"/>
      <c r="O1659" s="251"/>
      <c r="P1659" s="766"/>
      <c r="Q1659" s="767"/>
      <c r="R1659" s="766"/>
      <c r="S1659" s="752"/>
      <c r="T1659" s="760"/>
      <c r="U1659" s="130"/>
      <c r="V1659" s="2108"/>
      <c r="W1659" s="622">
        <v>21</v>
      </c>
      <c r="X1659" s="622">
        <v>21</v>
      </c>
      <c r="Y1659" s="622"/>
      <c r="Z1659" s="622"/>
      <c r="AA1659" s="622"/>
      <c r="AB1659" s="622"/>
      <c r="AC1659" s="622"/>
      <c r="AD1659" s="622"/>
      <c r="AE1659" s="622"/>
      <c r="AF1659" s="622"/>
      <c r="AG1659" s="622"/>
    </row>
    <row r="1660" spans="1:33" s="56" customFormat="1" ht="15" hidden="1" customHeight="1" outlineLevel="1" x14ac:dyDescent="0.25">
      <c r="A1660" s="724"/>
      <c r="B1660" s="130"/>
      <c r="C1660" s="616"/>
      <c r="D1660" s="2100" t="s">
        <v>598</v>
      </c>
      <c r="E1660" s="2103" t="s">
        <v>1001</v>
      </c>
      <c r="F1660" s="2109" t="str">
        <f>$E$780</f>
        <v>ASHP - SEER 15 ER Elec Resist Furnace: HVAC ER1</v>
      </c>
      <c r="G1660" s="2109"/>
      <c r="H1660" s="2109"/>
      <c r="I1660" s="2109"/>
      <c r="J1660" s="707">
        <v>919</v>
      </c>
      <c r="K1660" s="708">
        <v>1</v>
      </c>
      <c r="L1660" s="660"/>
      <c r="M1660" s="783"/>
      <c r="N1660" s="130"/>
      <c r="O1660" s="251"/>
      <c r="P1660" s="766"/>
      <c r="Q1660" s="766"/>
      <c r="R1660" s="766"/>
      <c r="S1660" s="752"/>
      <c r="T1660" s="760"/>
      <c r="U1660" s="130"/>
      <c r="V1660" s="2106" t="s">
        <v>598</v>
      </c>
      <c r="W1660" s="708">
        <v>1</v>
      </c>
      <c r="X1660" s="708">
        <v>1</v>
      </c>
      <c r="Y1660" s="708"/>
      <c r="Z1660" s="708"/>
      <c r="AA1660" s="708"/>
      <c r="AB1660" s="708"/>
      <c r="AC1660" s="708"/>
      <c r="AD1660" s="708"/>
      <c r="AE1660" s="708"/>
      <c r="AF1660" s="708"/>
      <c r="AG1660" s="708"/>
    </row>
    <row r="1661" spans="1:33" s="56" customFormat="1" ht="15" hidden="1" customHeight="1" outlineLevel="1" x14ac:dyDescent="0.25">
      <c r="A1661" s="724"/>
      <c r="B1661" s="130"/>
      <c r="C1661" s="616"/>
      <c r="D1661" s="2101"/>
      <c r="E1661" s="2104"/>
      <c r="F1661" s="2110" t="str">
        <f>$E$782</f>
        <v>ASHP - SEER 15 ER Elec Resist Furnace: HVAC ER2</v>
      </c>
      <c r="G1661" s="2111"/>
      <c r="H1661" s="2111"/>
      <c r="I1661" s="2112"/>
      <c r="J1661" s="709" t="s">
        <v>1156</v>
      </c>
      <c r="K1661" s="710">
        <v>1</v>
      </c>
      <c r="L1661" s="669"/>
      <c r="M1661" s="770"/>
      <c r="N1661" s="130"/>
      <c r="O1661" s="251"/>
      <c r="P1661" s="766"/>
      <c r="Q1661" s="766"/>
      <c r="R1661" s="766"/>
      <c r="S1661" s="752"/>
      <c r="T1661" s="760"/>
      <c r="U1661" s="130"/>
      <c r="V1661" s="2107"/>
      <c r="W1661" s="710">
        <v>1</v>
      </c>
      <c r="X1661" s="710">
        <v>1</v>
      </c>
      <c r="Y1661" s="710"/>
      <c r="Z1661" s="710"/>
      <c r="AA1661" s="710"/>
      <c r="AB1661" s="710"/>
      <c r="AC1661" s="710"/>
      <c r="AD1661" s="710"/>
      <c r="AE1661" s="710"/>
      <c r="AF1661" s="710"/>
      <c r="AG1661" s="710"/>
    </row>
    <row r="1662" spans="1:33" s="56" customFormat="1" ht="15" hidden="1" customHeight="1" outlineLevel="1" x14ac:dyDescent="0.25">
      <c r="A1662" s="724"/>
      <c r="B1662" s="130"/>
      <c r="C1662" s="616"/>
      <c r="D1662" s="2101"/>
      <c r="E1662" s="2104"/>
      <c r="F1662" s="2110" t="str">
        <f>$E$784</f>
        <v>ASHP - SEER 15 ER with ASHP: HVAC ER1</v>
      </c>
      <c r="G1662" s="2111"/>
      <c r="H1662" s="2111"/>
      <c r="I1662" s="2112"/>
      <c r="J1662" s="709">
        <v>920</v>
      </c>
      <c r="K1662" s="710">
        <v>1</v>
      </c>
      <c r="L1662" s="669"/>
      <c r="M1662" s="770"/>
      <c r="N1662" s="130"/>
      <c r="O1662" s="251"/>
      <c r="P1662" s="766"/>
      <c r="Q1662" s="766"/>
      <c r="R1662" s="766"/>
      <c r="S1662" s="752"/>
      <c r="T1662" s="760"/>
      <c r="U1662" s="130"/>
      <c r="V1662" s="2107"/>
      <c r="W1662" s="710">
        <v>1</v>
      </c>
      <c r="X1662" s="710">
        <v>1</v>
      </c>
      <c r="Y1662" s="710"/>
      <c r="Z1662" s="710"/>
      <c r="AA1662" s="710"/>
      <c r="AB1662" s="710"/>
      <c r="AC1662" s="710"/>
      <c r="AD1662" s="710"/>
      <c r="AE1662" s="710"/>
      <c r="AF1662" s="710"/>
      <c r="AG1662" s="710"/>
    </row>
    <row r="1663" spans="1:33" s="56" customFormat="1" ht="15" hidden="1" customHeight="1" outlineLevel="1" x14ac:dyDescent="0.25">
      <c r="A1663" s="724"/>
      <c r="B1663" s="130"/>
      <c r="C1663" s="616"/>
      <c r="D1663" s="2101"/>
      <c r="E1663" s="2104"/>
      <c r="F1663" s="2110" t="str">
        <f>$E$786</f>
        <v>ASHP - SEER 15 ER with ASHP: HVAC ER2</v>
      </c>
      <c r="G1663" s="2111"/>
      <c r="H1663" s="2111"/>
      <c r="I1663" s="2112"/>
      <c r="J1663" s="709" t="s">
        <v>1159</v>
      </c>
      <c r="K1663" s="710">
        <v>1</v>
      </c>
      <c r="L1663" s="669"/>
      <c r="M1663" s="770"/>
      <c r="N1663" s="130"/>
      <c r="O1663" s="251"/>
      <c r="P1663" s="766"/>
      <c r="Q1663" s="766"/>
      <c r="R1663" s="766"/>
      <c r="S1663" s="752"/>
      <c r="T1663" s="760"/>
      <c r="U1663" s="130"/>
      <c r="V1663" s="2107"/>
      <c r="W1663" s="710">
        <v>1</v>
      </c>
      <c r="X1663" s="710">
        <v>1</v>
      </c>
      <c r="Y1663" s="710"/>
      <c r="Z1663" s="710"/>
      <c r="AA1663" s="710"/>
      <c r="AB1663" s="710"/>
      <c r="AC1663" s="710"/>
      <c r="AD1663" s="710"/>
      <c r="AE1663" s="710"/>
      <c r="AF1663" s="710"/>
      <c r="AG1663" s="710"/>
    </row>
    <row r="1664" spans="1:33" s="56" customFormat="1" ht="15" hidden="1" customHeight="1" outlineLevel="1" x14ac:dyDescent="0.25">
      <c r="A1664" s="724"/>
      <c r="B1664" s="130"/>
      <c r="C1664" s="616"/>
      <c r="D1664" s="2101"/>
      <c r="E1664" s="2104"/>
      <c r="F1664" s="2110" t="str">
        <f>$E$788</f>
        <v>ASHP-  SEER 15 Replace at Fail Elec Resist Furnace: HVAC</v>
      </c>
      <c r="G1664" s="2111"/>
      <c r="H1664" s="2111"/>
      <c r="I1664" s="2112"/>
      <c r="J1664" s="709">
        <v>921</v>
      </c>
      <c r="K1664" s="710">
        <v>1</v>
      </c>
      <c r="L1664" s="669"/>
      <c r="M1664" s="770"/>
      <c r="N1664" s="130"/>
      <c r="O1664" s="251"/>
      <c r="P1664" s="766"/>
      <c r="Q1664" s="766"/>
      <c r="R1664" s="766"/>
      <c r="S1664" s="752"/>
      <c r="T1664" s="760"/>
      <c r="U1664" s="130"/>
      <c r="V1664" s="2107"/>
      <c r="W1664" s="710">
        <v>1</v>
      </c>
      <c r="X1664" s="710">
        <v>1</v>
      </c>
      <c r="Y1664" s="710"/>
      <c r="Z1664" s="710"/>
      <c r="AA1664" s="710"/>
      <c r="AB1664" s="710"/>
      <c r="AC1664" s="710"/>
      <c r="AD1664" s="710"/>
      <c r="AE1664" s="710"/>
      <c r="AF1664" s="710"/>
      <c r="AG1664" s="710"/>
    </row>
    <row r="1665" spans="1:33" s="56" customFormat="1" ht="15" hidden="1" customHeight="1" outlineLevel="1" x14ac:dyDescent="0.25">
      <c r="A1665" s="724"/>
      <c r="B1665" s="130"/>
      <c r="C1665" s="616"/>
      <c r="D1665" s="2101"/>
      <c r="E1665" s="2104"/>
      <c r="F1665" s="2110" t="str">
        <f>$E$790</f>
        <v>ASHP - SEER 15 Replace at Fail with ASHP: HVAC</v>
      </c>
      <c r="G1665" s="2111"/>
      <c r="H1665" s="2111"/>
      <c r="I1665" s="2112"/>
      <c r="J1665" s="709">
        <v>922</v>
      </c>
      <c r="K1665" s="710">
        <v>1</v>
      </c>
      <c r="L1665" s="669"/>
      <c r="M1665" s="770"/>
      <c r="N1665" s="130"/>
      <c r="O1665" s="251"/>
      <c r="P1665" s="766"/>
      <c r="Q1665" s="766"/>
      <c r="R1665" s="766"/>
      <c r="S1665" s="752"/>
      <c r="T1665" s="760"/>
      <c r="U1665" s="130"/>
      <c r="V1665" s="2107"/>
      <c r="W1665" s="710">
        <v>1</v>
      </c>
      <c r="X1665" s="710">
        <v>1</v>
      </c>
      <c r="Y1665" s="710"/>
      <c r="Z1665" s="710"/>
      <c r="AA1665" s="710"/>
      <c r="AB1665" s="710"/>
      <c r="AC1665" s="710"/>
      <c r="AD1665" s="710"/>
      <c r="AE1665" s="710"/>
      <c r="AF1665" s="710"/>
      <c r="AG1665" s="710"/>
    </row>
    <row r="1666" spans="1:33" s="56" customFormat="1" ht="15" hidden="1" customHeight="1" outlineLevel="1" x14ac:dyDescent="0.25">
      <c r="A1666" s="724"/>
      <c r="B1666" s="130"/>
      <c r="C1666" s="616"/>
      <c r="D1666" s="2101"/>
      <c r="E1666" s="2104"/>
      <c r="F1666" s="2110" t="str">
        <f>$E$792</f>
        <v>ASHP - SEER 16 - replace electric furnace / CAC - early replacement SF ER1</v>
      </c>
      <c r="G1666" s="2111"/>
      <c r="H1666" s="2111"/>
      <c r="I1666" s="2112"/>
      <c r="J1666" s="709">
        <v>923</v>
      </c>
      <c r="K1666" s="710">
        <v>1</v>
      </c>
      <c r="L1666" s="669"/>
      <c r="M1666" s="770"/>
      <c r="N1666" s="130"/>
      <c r="O1666" s="251"/>
      <c r="P1666" s="766"/>
      <c r="Q1666" s="766"/>
      <c r="R1666" s="766"/>
      <c r="S1666" s="752"/>
      <c r="T1666" s="760"/>
      <c r="U1666" s="130"/>
      <c r="V1666" s="2107"/>
      <c r="W1666" s="710">
        <v>1</v>
      </c>
      <c r="X1666" s="710">
        <v>1</v>
      </c>
      <c r="Y1666" s="710"/>
      <c r="Z1666" s="710"/>
      <c r="AA1666" s="710"/>
      <c r="AB1666" s="710"/>
      <c r="AC1666" s="710"/>
      <c r="AD1666" s="710"/>
      <c r="AE1666" s="710"/>
      <c r="AF1666" s="710"/>
      <c r="AG1666" s="710"/>
    </row>
    <row r="1667" spans="1:33" s="56" customFormat="1" ht="15" hidden="1" customHeight="1" outlineLevel="1" x14ac:dyDescent="0.25">
      <c r="A1667" s="724"/>
      <c r="B1667" s="130"/>
      <c r="C1667" s="616"/>
      <c r="D1667" s="2101"/>
      <c r="E1667" s="2104"/>
      <c r="F1667" s="2110" t="str">
        <f>$E$794</f>
        <v>ASHP - SEER 16 - replace electric furnace / CAC - early replacement SF ER2</v>
      </c>
      <c r="G1667" s="2111"/>
      <c r="H1667" s="2111"/>
      <c r="I1667" s="2112"/>
      <c r="J1667" s="709" t="s">
        <v>1161</v>
      </c>
      <c r="K1667" s="710">
        <v>1</v>
      </c>
      <c r="L1667" s="669"/>
      <c r="M1667" s="770"/>
      <c r="N1667" s="130"/>
      <c r="O1667" s="251"/>
      <c r="P1667" s="766"/>
      <c r="Q1667" s="766"/>
      <c r="R1667" s="766"/>
      <c r="S1667" s="752"/>
      <c r="T1667" s="760"/>
      <c r="U1667" s="130"/>
      <c r="V1667" s="2107"/>
      <c r="W1667" s="710">
        <v>1</v>
      </c>
      <c r="X1667" s="710">
        <v>1</v>
      </c>
      <c r="Y1667" s="710"/>
      <c r="Z1667" s="710"/>
      <c r="AA1667" s="710"/>
      <c r="AB1667" s="710"/>
      <c r="AC1667" s="710"/>
      <c r="AD1667" s="710"/>
      <c r="AE1667" s="710"/>
      <c r="AF1667" s="710"/>
      <c r="AG1667" s="710"/>
    </row>
    <row r="1668" spans="1:33" s="56" customFormat="1" ht="15" hidden="1" customHeight="1" outlineLevel="1" x14ac:dyDescent="0.25">
      <c r="A1668" s="724"/>
      <c r="B1668" s="130"/>
      <c r="C1668" s="616"/>
      <c r="D1668" s="2101"/>
      <c r="E1668" s="2104"/>
      <c r="F1668" s="2110" t="str">
        <f>$E$796</f>
        <v>ASHP SEER 16 replace ASHP - early replacement SF ER1</v>
      </c>
      <c r="G1668" s="2111"/>
      <c r="H1668" s="2111"/>
      <c r="I1668" s="2112"/>
      <c r="J1668" s="709">
        <v>924</v>
      </c>
      <c r="K1668" s="710">
        <v>1</v>
      </c>
      <c r="L1668" s="669"/>
      <c r="M1668" s="770"/>
      <c r="N1668" s="130"/>
      <c r="O1668" s="251"/>
      <c r="P1668" s="766"/>
      <c r="Q1668" s="766"/>
      <c r="R1668" s="766"/>
      <c r="S1668" s="752"/>
      <c r="T1668" s="760"/>
      <c r="U1668" s="130"/>
      <c r="V1668" s="2107"/>
      <c r="W1668" s="710">
        <v>1</v>
      </c>
      <c r="X1668" s="710">
        <v>1</v>
      </c>
      <c r="Y1668" s="710"/>
      <c r="Z1668" s="710"/>
      <c r="AA1668" s="710"/>
      <c r="AB1668" s="710"/>
      <c r="AC1668" s="710"/>
      <c r="AD1668" s="710"/>
      <c r="AE1668" s="710"/>
      <c r="AF1668" s="710"/>
      <c r="AG1668" s="710"/>
    </row>
    <row r="1669" spans="1:33" s="56" customFormat="1" ht="15" hidden="1" customHeight="1" outlineLevel="1" x14ac:dyDescent="0.25">
      <c r="A1669" s="724"/>
      <c r="B1669" s="130"/>
      <c r="C1669" s="616"/>
      <c r="D1669" s="2101"/>
      <c r="E1669" s="2104"/>
      <c r="F1669" s="2110" t="str">
        <f>$E$798</f>
        <v>ASHP SEER 16 replace ASHP - early replacement SF ER2</v>
      </c>
      <c r="G1669" s="2111"/>
      <c r="H1669" s="2111"/>
      <c r="I1669" s="2112"/>
      <c r="J1669" s="709" t="s">
        <v>1163</v>
      </c>
      <c r="K1669" s="710">
        <v>1</v>
      </c>
      <c r="L1669" s="670"/>
      <c r="M1669" s="770"/>
      <c r="N1669" s="130"/>
      <c r="O1669" s="251"/>
      <c r="P1669" s="766"/>
      <c r="Q1669" s="766"/>
      <c r="R1669" s="766"/>
      <c r="S1669" s="752"/>
      <c r="T1669" s="760"/>
      <c r="U1669" s="130"/>
      <c r="V1669" s="2107"/>
      <c r="W1669" s="710">
        <v>1</v>
      </c>
      <c r="X1669" s="710">
        <v>1</v>
      </c>
      <c r="Y1669" s="710"/>
      <c r="Z1669" s="710"/>
      <c r="AA1669" s="710"/>
      <c r="AB1669" s="710"/>
      <c r="AC1669" s="710"/>
      <c r="AD1669" s="710"/>
      <c r="AE1669" s="710"/>
      <c r="AF1669" s="710"/>
      <c r="AG1669" s="710"/>
    </row>
    <row r="1670" spans="1:33" s="56" customFormat="1" ht="15" hidden="1" customHeight="1" outlineLevel="1" x14ac:dyDescent="0.25">
      <c r="A1670" s="724"/>
      <c r="B1670" s="130"/>
      <c r="C1670" s="616"/>
      <c r="D1670" s="2101"/>
      <c r="E1670" s="2104"/>
      <c r="F1670" s="2110" t="str">
        <f>$E$800</f>
        <v>ASHP - SEER 16 - replace electric furnace / CAC SF</v>
      </c>
      <c r="G1670" s="2111"/>
      <c r="H1670" s="2111"/>
      <c r="I1670" s="2112"/>
      <c r="J1670" s="709">
        <v>925</v>
      </c>
      <c r="K1670" s="710">
        <v>1</v>
      </c>
      <c r="L1670" s="670"/>
      <c r="M1670" s="770"/>
      <c r="N1670" s="130"/>
      <c r="O1670" s="251"/>
      <c r="P1670" s="766"/>
      <c r="Q1670" s="766"/>
      <c r="R1670" s="766"/>
      <c r="S1670" s="752"/>
      <c r="T1670" s="760"/>
      <c r="U1670" s="130"/>
      <c r="V1670" s="2107"/>
      <c r="W1670" s="710">
        <v>1</v>
      </c>
      <c r="X1670" s="710">
        <v>1</v>
      </c>
      <c r="Y1670" s="710"/>
      <c r="Z1670" s="710"/>
      <c r="AA1670" s="710"/>
      <c r="AB1670" s="710"/>
      <c r="AC1670" s="710"/>
      <c r="AD1670" s="710"/>
      <c r="AE1670" s="710"/>
      <c r="AF1670" s="710"/>
      <c r="AG1670" s="710"/>
    </row>
    <row r="1671" spans="1:33" s="56" customFormat="1" ht="15" hidden="1" customHeight="1" outlineLevel="1" x14ac:dyDescent="0.25">
      <c r="A1671" s="724"/>
      <c r="B1671" s="130"/>
      <c r="C1671" s="616"/>
      <c r="D1671" s="2101"/>
      <c r="E1671" s="2104"/>
      <c r="F1671" s="2110" t="str">
        <f>$E$802</f>
        <v>ASHP SEER 16 replace ASHP - replace on fail SF</v>
      </c>
      <c r="G1671" s="2111"/>
      <c r="H1671" s="2111"/>
      <c r="I1671" s="2112"/>
      <c r="J1671" s="709">
        <v>926</v>
      </c>
      <c r="K1671" s="710">
        <v>1</v>
      </c>
      <c r="L1671" s="670"/>
      <c r="M1671" s="770"/>
      <c r="N1671" s="130"/>
      <c r="O1671" s="251"/>
      <c r="P1671" s="766"/>
      <c r="Q1671" s="766"/>
      <c r="R1671" s="766"/>
      <c r="S1671" s="752"/>
      <c r="T1671" s="760"/>
      <c r="U1671" s="130"/>
      <c r="V1671" s="2107"/>
      <c r="W1671" s="710">
        <v>1</v>
      </c>
      <c r="X1671" s="710">
        <v>1</v>
      </c>
      <c r="Y1671" s="710"/>
      <c r="Z1671" s="710"/>
      <c r="AA1671" s="710"/>
      <c r="AB1671" s="710"/>
      <c r="AC1671" s="710"/>
      <c r="AD1671" s="710"/>
      <c r="AE1671" s="710"/>
      <c r="AF1671" s="710"/>
      <c r="AG1671" s="710"/>
    </row>
    <row r="1672" spans="1:33" s="56" customFormat="1" ht="15" hidden="1" customHeight="1" outlineLevel="1" x14ac:dyDescent="0.25">
      <c r="A1672" s="724"/>
      <c r="B1672" s="130"/>
      <c r="C1672" s="616"/>
      <c r="D1672" s="2101"/>
      <c r="E1672" s="2104"/>
      <c r="F1672" s="2110" t="str">
        <f>$E$804</f>
        <v>ASHP SEER 15 MFMR / MFLI ER Replace ASHP: HVAC ER1</v>
      </c>
      <c r="G1672" s="2111"/>
      <c r="H1672" s="2111"/>
      <c r="I1672" s="2112"/>
      <c r="J1672" s="709">
        <v>1239</v>
      </c>
      <c r="K1672" s="710">
        <v>0.65</v>
      </c>
      <c r="L1672" s="670"/>
      <c r="M1672" s="613" t="s">
        <v>972</v>
      </c>
      <c r="N1672" s="130"/>
      <c r="O1672" s="251"/>
      <c r="P1672" s="766"/>
      <c r="Q1672" s="766"/>
      <c r="R1672" s="766"/>
      <c r="S1672" s="752"/>
      <c r="T1672" s="760"/>
      <c r="U1672" s="130"/>
      <c r="V1672" s="2107"/>
      <c r="W1672" s="710">
        <v>0.65</v>
      </c>
      <c r="X1672" s="710">
        <v>0.65</v>
      </c>
      <c r="Y1672" s="710"/>
      <c r="Z1672" s="710"/>
      <c r="AA1672" s="710"/>
      <c r="AB1672" s="710"/>
      <c r="AC1672" s="710"/>
      <c r="AD1672" s="710"/>
      <c r="AE1672" s="710"/>
      <c r="AF1672" s="710"/>
      <c r="AG1672" s="710"/>
    </row>
    <row r="1673" spans="1:33" s="56" customFormat="1" ht="15" hidden="1" customHeight="1" outlineLevel="1" x14ac:dyDescent="0.25">
      <c r="A1673" s="724"/>
      <c r="B1673" s="130"/>
      <c r="C1673" s="616"/>
      <c r="D1673" s="2101"/>
      <c r="E1673" s="2104"/>
      <c r="F1673" s="2110" t="str">
        <f>$E$806</f>
        <v>ASHP SEER 15 MF ER Replace ASHP: HVAC ER2</v>
      </c>
      <c r="G1673" s="2111"/>
      <c r="H1673" s="2111"/>
      <c r="I1673" s="2112"/>
      <c r="J1673" s="709" t="s">
        <v>1166</v>
      </c>
      <c r="K1673" s="710">
        <v>0.65</v>
      </c>
      <c r="L1673" s="670"/>
      <c r="M1673" s="613" t="s">
        <v>972</v>
      </c>
      <c r="N1673" s="130"/>
      <c r="O1673" s="251"/>
      <c r="P1673" s="766"/>
      <c r="Q1673" s="766"/>
      <c r="R1673" s="766"/>
      <c r="S1673" s="752"/>
      <c r="T1673" s="760"/>
      <c r="U1673" s="130"/>
      <c r="V1673" s="2107"/>
      <c r="W1673" s="710">
        <v>0.65</v>
      </c>
      <c r="X1673" s="710">
        <v>0.65</v>
      </c>
      <c r="Y1673" s="710"/>
      <c r="Z1673" s="710"/>
      <c r="AA1673" s="710"/>
      <c r="AB1673" s="710"/>
      <c r="AC1673" s="710"/>
      <c r="AD1673" s="710"/>
      <c r="AE1673" s="710"/>
      <c r="AF1673" s="710"/>
      <c r="AG1673" s="710"/>
    </row>
    <row r="1674" spans="1:33" s="56" customFormat="1" ht="15" hidden="1" customHeight="1" outlineLevel="1" x14ac:dyDescent="0.25">
      <c r="A1674" s="724"/>
      <c r="B1674" s="130"/>
      <c r="C1674" s="616"/>
      <c r="D1674" s="2101"/>
      <c r="E1674" s="2104"/>
      <c r="F1674" s="2110" t="str">
        <f>$E$808</f>
        <v>ASHP SEER 15 MF ER Replace Elec Resist Furnace: HVAC ER1</v>
      </c>
      <c r="G1674" s="2111"/>
      <c r="H1674" s="2111"/>
      <c r="I1674" s="2112"/>
      <c r="J1674" s="709">
        <v>1266</v>
      </c>
      <c r="K1674" s="710">
        <v>0.65</v>
      </c>
      <c r="L1674" s="670"/>
      <c r="M1674" s="613" t="s">
        <v>972</v>
      </c>
      <c r="N1674" s="130"/>
      <c r="O1674" s="251"/>
      <c r="P1674" s="766"/>
      <c r="Q1674" s="766"/>
      <c r="R1674" s="766"/>
      <c r="S1674" s="752"/>
      <c r="T1674" s="760"/>
      <c r="U1674" s="130"/>
      <c r="V1674" s="2107"/>
      <c r="W1674" s="710">
        <v>0.65</v>
      </c>
      <c r="X1674" s="710">
        <v>0.65</v>
      </c>
      <c r="Y1674" s="710"/>
      <c r="Z1674" s="710"/>
      <c r="AA1674" s="710"/>
      <c r="AB1674" s="710"/>
      <c r="AC1674" s="710"/>
      <c r="AD1674" s="710"/>
      <c r="AE1674" s="710"/>
      <c r="AF1674" s="710"/>
      <c r="AG1674" s="710"/>
    </row>
    <row r="1675" spans="1:33" s="56" customFormat="1" ht="15" hidden="1" customHeight="1" outlineLevel="1" x14ac:dyDescent="0.25">
      <c r="A1675" s="724"/>
      <c r="B1675" s="130"/>
      <c r="C1675" s="616"/>
      <c r="D1675" s="2101"/>
      <c r="E1675" s="2104"/>
      <c r="F1675" s="2110" t="str">
        <f>$E$810</f>
        <v>ASHP SEER 15 MF ER Replace Elec Resist Furnace: HVAC ER2</v>
      </c>
      <c r="G1675" s="2111"/>
      <c r="H1675" s="2111"/>
      <c r="I1675" s="2112"/>
      <c r="J1675" s="709" t="s">
        <v>1168</v>
      </c>
      <c r="K1675" s="710">
        <v>0.65</v>
      </c>
      <c r="L1675" s="670"/>
      <c r="M1675" s="613" t="s">
        <v>972</v>
      </c>
      <c r="N1675" s="130"/>
      <c r="O1675" s="251"/>
      <c r="P1675" s="766"/>
      <c r="Q1675" s="766"/>
      <c r="R1675" s="766"/>
      <c r="S1675" s="752"/>
      <c r="T1675" s="760"/>
      <c r="U1675" s="130"/>
      <c r="V1675" s="2107"/>
      <c r="W1675" s="710">
        <v>0.65</v>
      </c>
      <c r="X1675" s="710">
        <v>0.65</v>
      </c>
      <c r="Y1675" s="710"/>
      <c r="Z1675" s="710"/>
      <c r="AA1675" s="710"/>
      <c r="AB1675" s="710"/>
      <c r="AC1675" s="710"/>
      <c r="AD1675" s="710"/>
      <c r="AE1675" s="710"/>
      <c r="AF1675" s="710"/>
      <c r="AG1675" s="710"/>
    </row>
    <row r="1676" spans="1:33" s="56" customFormat="1" ht="15" hidden="1" customHeight="1" outlineLevel="1" x14ac:dyDescent="0.25">
      <c r="A1676" s="724"/>
      <c r="B1676" s="130"/>
      <c r="C1676" s="616"/>
      <c r="D1676" s="2101"/>
      <c r="E1676" s="2104"/>
      <c r="F1676" s="2110" t="str">
        <f>$E$812</f>
        <v>ASHP SEER 15 MF Replace at Fail Elec Resist Furnace: HVAC</v>
      </c>
      <c r="G1676" s="2111"/>
      <c r="H1676" s="2111"/>
      <c r="I1676" s="2112"/>
      <c r="J1676" s="709">
        <v>1268</v>
      </c>
      <c r="K1676" s="710">
        <v>0.65</v>
      </c>
      <c r="L1676" s="670"/>
      <c r="M1676" s="613" t="s">
        <v>972</v>
      </c>
      <c r="N1676" s="130"/>
      <c r="O1676" s="251"/>
      <c r="P1676" s="766"/>
      <c r="Q1676" s="766"/>
      <c r="R1676" s="766"/>
      <c r="S1676" s="752"/>
      <c r="T1676" s="760"/>
      <c r="U1676" s="130"/>
      <c r="V1676" s="2107"/>
      <c r="W1676" s="710">
        <v>0.65</v>
      </c>
      <c r="X1676" s="710">
        <v>0.65</v>
      </c>
      <c r="Y1676" s="710"/>
      <c r="Z1676" s="710"/>
      <c r="AA1676" s="710"/>
      <c r="AB1676" s="710"/>
      <c r="AC1676" s="710"/>
      <c r="AD1676" s="710"/>
      <c r="AE1676" s="710"/>
      <c r="AF1676" s="710"/>
      <c r="AG1676" s="710"/>
    </row>
    <row r="1677" spans="1:33" s="56" customFormat="1" ht="15" hidden="1" customHeight="1" outlineLevel="1" x14ac:dyDescent="0.25">
      <c r="A1677" s="724"/>
      <c r="B1677" s="130"/>
      <c r="C1677" s="616"/>
      <c r="D1677" s="2101"/>
      <c r="E1677" s="2104"/>
      <c r="F1677" s="2110" t="str">
        <f>$E$814</f>
        <v>ASHP SEER 16 MF ER Replace ASHP: HVAC ER1</v>
      </c>
      <c r="G1677" s="2111"/>
      <c r="H1677" s="2111"/>
      <c r="I1677" s="2112"/>
      <c r="J1677" s="709">
        <v>1240</v>
      </c>
      <c r="K1677" s="710">
        <v>0.65</v>
      </c>
      <c r="L1677" s="670"/>
      <c r="M1677" s="613" t="s">
        <v>972</v>
      </c>
      <c r="N1677" s="130"/>
      <c r="O1677" s="251"/>
      <c r="P1677" s="766"/>
      <c r="Q1677" s="766"/>
      <c r="R1677" s="766"/>
      <c r="S1677" s="752"/>
      <c r="T1677" s="760"/>
      <c r="U1677" s="130"/>
      <c r="V1677" s="2107"/>
      <c r="W1677" s="710">
        <v>0.65</v>
      </c>
      <c r="X1677" s="710">
        <v>0.65</v>
      </c>
      <c r="Y1677" s="710"/>
      <c r="Z1677" s="710"/>
      <c r="AA1677" s="710"/>
      <c r="AB1677" s="710"/>
      <c r="AC1677" s="710"/>
      <c r="AD1677" s="710"/>
      <c r="AE1677" s="710"/>
      <c r="AF1677" s="710"/>
      <c r="AG1677" s="710"/>
    </row>
    <row r="1678" spans="1:33" s="56" customFormat="1" ht="15" hidden="1" customHeight="1" outlineLevel="1" x14ac:dyDescent="0.25">
      <c r="A1678" s="724"/>
      <c r="B1678" s="130"/>
      <c r="C1678" s="616"/>
      <c r="D1678" s="2101"/>
      <c r="E1678" s="2104"/>
      <c r="F1678" s="2110" t="str">
        <f>$E$816</f>
        <v>ASHP SEER 16 MF ER Replace ASHP: HVAC ER2</v>
      </c>
      <c r="G1678" s="2111"/>
      <c r="H1678" s="2111"/>
      <c r="I1678" s="2112"/>
      <c r="J1678" s="709" t="s">
        <v>1170</v>
      </c>
      <c r="K1678" s="710">
        <v>0.65</v>
      </c>
      <c r="L1678" s="670"/>
      <c r="M1678" s="613" t="s">
        <v>972</v>
      </c>
      <c r="N1678" s="130"/>
      <c r="O1678" s="251"/>
      <c r="P1678" s="766"/>
      <c r="Q1678" s="766"/>
      <c r="R1678" s="766"/>
      <c r="S1678" s="752"/>
      <c r="T1678" s="760"/>
      <c r="U1678" s="130"/>
      <c r="V1678" s="2107"/>
      <c r="W1678" s="710">
        <v>0.65</v>
      </c>
      <c r="X1678" s="710">
        <v>0.65</v>
      </c>
      <c r="Y1678" s="710"/>
      <c r="Z1678" s="710"/>
      <c r="AA1678" s="710"/>
      <c r="AB1678" s="710"/>
      <c r="AC1678" s="710"/>
      <c r="AD1678" s="710"/>
      <c r="AE1678" s="710"/>
      <c r="AF1678" s="710"/>
      <c r="AG1678" s="710"/>
    </row>
    <row r="1679" spans="1:33" s="56" customFormat="1" ht="15" hidden="1" customHeight="1" outlineLevel="1" x14ac:dyDescent="0.25">
      <c r="A1679" s="724"/>
      <c r="B1679" s="130"/>
      <c r="C1679" s="616"/>
      <c r="D1679" s="2101"/>
      <c r="E1679" s="2104"/>
      <c r="F1679" s="2110" t="str">
        <f>$E$818</f>
        <v>ASHP - SEER 16 - replace on fail MF</v>
      </c>
      <c r="G1679" s="2111"/>
      <c r="H1679" s="2111"/>
      <c r="I1679" s="2112"/>
      <c r="J1679" s="709">
        <v>1270</v>
      </c>
      <c r="K1679" s="710">
        <v>0.65</v>
      </c>
      <c r="L1679" s="670"/>
      <c r="M1679" s="613" t="s">
        <v>972</v>
      </c>
      <c r="N1679" s="130"/>
      <c r="O1679" s="251"/>
      <c r="P1679" s="766"/>
      <c r="Q1679" s="766"/>
      <c r="R1679" s="766"/>
      <c r="S1679" s="752"/>
      <c r="T1679" s="760"/>
      <c r="U1679" s="130"/>
      <c r="V1679" s="2107"/>
      <c r="W1679" s="710">
        <v>0.65</v>
      </c>
      <c r="X1679" s="710">
        <v>0.65</v>
      </c>
      <c r="Y1679" s="710"/>
      <c r="Z1679" s="710"/>
      <c r="AA1679" s="710"/>
      <c r="AB1679" s="710"/>
      <c r="AC1679" s="710"/>
      <c r="AD1679" s="710"/>
      <c r="AE1679" s="710"/>
      <c r="AF1679" s="710"/>
      <c r="AG1679" s="710"/>
    </row>
    <row r="1680" spans="1:33" s="56" customFormat="1" ht="15" hidden="1" customHeight="1" outlineLevel="1" x14ac:dyDescent="0.25">
      <c r="A1680" s="724"/>
      <c r="B1680" s="130"/>
      <c r="C1680" s="616"/>
      <c r="D1680" s="2101"/>
      <c r="E1680" s="2104"/>
      <c r="F1680" s="2110" t="str">
        <f>$E$820</f>
        <v>ASHP - SEER 16 - replace electric furnace / CAC MF</v>
      </c>
      <c r="G1680" s="2111"/>
      <c r="H1680" s="2111"/>
      <c r="I1680" s="2112"/>
      <c r="J1680" s="709">
        <v>1271</v>
      </c>
      <c r="K1680" s="710">
        <v>0.65</v>
      </c>
      <c r="L1680" s="670"/>
      <c r="M1680" s="613" t="s">
        <v>972</v>
      </c>
      <c r="N1680" s="130"/>
      <c r="O1680" s="251"/>
      <c r="P1680" s="766"/>
      <c r="Q1680" s="766"/>
      <c r="R1680" s="766"/>
      <c r="S1680" s="752"/>
      <c r="T1680" s="760"/>
      <c r="U1680" s="130"/>
      <c r="V1680" s="2107"/>
      <c r="W1680" s="710">
        <v>0.65</v>
      </c>
      <c r="X1680" s="710">
        <v>0.65</v>
      </c>
      <c r="Y1680" s="710"/>
      <c r="Z1680" s="710"/>
      <c r="AA1680" s="710"/>
      <c r="AB1680" s="710"/>
      <c r="AC1680" s="710"/>
      <c r="AD1680" s="710"/>
      <c r="AE1680" s="710"/>
      <c r="AF1680" s="710"/>
      <c r="AG1680" s="710"/>
    </row>
    <row r="1681" spans="1:33" s="56" customFormat="1" ht="15" hidden="1" customHeight="1" outlineLevel="1" x14ac:dyDescent="0.25">
      <c r="A1681" s="724"/>
      <c r="B1681" s="130"/>
      <c r="C1681" s="616"/>
      <c r="D1681" s="2101"/>
      <c r="E1681" s="2104"/>
      <c r="F1681" s="2110" t="str">
        <f>$E$822</f>
        <v>ASHP - SEER 16 - replace electric furnace / CAC - early replacement MF ER1</v>
      </c>
      <c r="G1681" s="2111"/>
      <c r="H1681" s="2111"/>
      <c r="I1681" s="2112"/>
      <c r="J1681" s="709">
        <v>1269</v>
      </c>
      <c r="K1681" s="710">
        <v>0.65</v>
      </c>
      <c r="L1681" s="670"/>
      <c r="M1681" s="613" t="s">
        <v>972</v>
      </c>
      <c r="N1681" s="130"/>
      <c r="O1681" s="251"/>
      <c r="P1681" s="766"/>
      <c r="Q1681" s="766"/>
      <c r="R1681" s="766"/>
      <c r="S1681" s="752"/>
      <c r="T1681" s="760"/>
      <c r="U1681" s="130"/>
      <c r="V1681" s="2107"/>
      <c r="W1681" s="710">
        <v>0.65</v>
      </c>
      <c r="X1681" s="710">
        <v>0.65</v>
      </c>
      <c r="Y1681" s="710"/>
      <c r="Z1681" s="710"/>
      <c r="AA1681" s="710"/>
      <c r="AB1681" s="710"/>
      <c r="AC1681" s="710"/>
      <c r="AD1681" s="710"/>
      <c r="AE1681" s="710"/>
      <c r="AF1681" s="710"/>
      <c r="AG1681" s="710"/>
    </row>
    <row r="1682" spans="1:33" s="56" customFormat="1" ht="15" hidden="1" customHeight="1" outlineLevel="1" x14ac:dyDescent="0.25">
      <c r="A1682" s="724"/>
      <c r="B1682" s="130"/>
      <c r="C1682" s="616"/>
      <c r="D1682" s="2101"/>
      <c r="E1682" s="2104"/>
      <c r="F1682" s="2110" t="str">
        <f>$E$824</f>
        <v>ASHP - SEER 16 - replace electric furnace / CAC - early replacement MF ER2</v>
      </c>
      <c r="G1682" s="2111"/>
      <c r="H1682" s="2111"/>
      <c r="I1682" s="2112"/>
      <c r="J1682" s="709" t="s">
        <v>1171</v>
      </c>
      <c r="K1682" s="710">
        <v>0.65</v>
      </c>
      <c r="L1682" s="670"/>
      <c r="M1682" s="613" t="s">
        <v>972</v>
      </c>
      <c r="N1682" s="130"/>
      <c r="O1682" s="251"/>
      <c r="P1682" s="766"/>
      <c r="Q1682" s="766"/>
      <c r="R1682" s="766"/>
      <c r="S1682" s="752"/>
      <c r="T1682" s="760"/>
      <c r="U1682" s="130"/>
      <c r="V1682" s="2107"/>
      <c r="W1682" s="710">
        <v>0.65</v>
      </c>
      <c r="X1682" s="710">
        <v>0.65</v>
      </c>
      <c r="Y1682" s="710"/>
      <c r="Z1682" s="710"/>
      <c r="AA1682" s="710"/>
      <c r="AB1682" s="710"/>
      <c r="AC1682" s="710"/>
      <c r="AD1682" s="710"/>
      <c r="AE1682" s="710"/>
      <c r="AF1682" s="710"/>
      <c r="AG1682" s="710"/>
    </row>
    <row r="1683" spans="1:33" s="56" customFormat="1" ht="15" hidden="1" customHeight="1" outlineLevel="1" x14ac:dyDescent="0.25">
      <c r="A1683" s="724"/>
      <c r="B1683" s="130"/>
      <c r="C1683" s="616"/>
      <c r="D1683" s="2101"/>
      <c r="E1683" s="2104"/>
      <c r="F1683" s="2110" t="str">
        <f>$E$826</f>
        <v>ASHP SEER 15 MF Replace at Fail ASHP: HVAC</v>
      </c>
      <c r="G1683" s="2111"/>
      <c r="H1683" s="2111"/>
      <c r="I1683" s="2112"/>
      <c r="J1683" s="709">
        <v>1267</v>
      </c>
      <c r="K1683" s="710">
        <v>0.65</v>
      </c>
      <c r="L1683" s="670"/>
      <c r="M1683" s="613" t="s">
        <v>972</v>
      </c>
      <c r="N1683" s="130"/>
      <c r="O1683" s="251"/>
      <c r="P1683" s="766"/>
      <c r="Q1683" s="766"/>
      <c r="R1683" s="766"/>
      <c r="S1683" s="752"/>
      <c r="T1683" s="760"/>
      <c r="U1683" s="130"/>
      <c r="V1683" s="2107"/>
      <c r="W1683" s="710">
        <v>0.65</v>
      </c>
      <c r="X1683" s="710">
        <v>0.65</v>
      </c>
      <c r="Y1683" s="710"/>
      <c r="Z1683" s="710"/>
      <c r="AA1683" s="710"/>
      <c r="AB1683" s="710"/>
      <c r="AC1683" s="710"/>
      <c r="AD1683" s="710"/>
      <c r="AE1683" s="710"/>
      <c r="AF1683" s="710"/>
      <c r="AG1683" s="710"/>
    </row>
    <row r="1684" spans="1:33" s="56" customFormat="1" ht="15" hidden="1" customHeight="1" outlineLevel="1" x14ac:dyDescent="0.25">
      <c r="A1684" s="724"/>
      <c r="B1684" s="130"/>
      <c r="C1684" s="616"/>
      <c r="D1684" s="2101"/>
      <c r="E1684" s="2104"/>
      <c r="F1684" s="2110" t="str">
        <f>$E$828</f>
        <v>ASHP - SEER 17 - replace electric furnace / CAC SF</v>
      </c>
      <c r="G1684" s="2111"/>
      <c r="H1684" s="2111"/>
      <c r="I1684" s="2112"/>
      <c r="J1684" s="709" t="s">
        <v>1172</v>
      </c>
      <c r="K1684" s="710">
        <v>1</v>
      </c>
      <c r="L1684" s="670"/>
      <c r="M1684" s="613"/>
      <c r="N1684" s="130"/>
      <c r="O1684" s="251"/>
      <c r="P1684" s="766"/>
      <c r="Q1684" s="766"/>
      <c r="R1684" s="766"/>
      <c r="S1684" s="752"/>
      <c r="T1684" s="760"/>
      <c r="U1684" s="130"/>
      <c r="V1684" s="2107"/>
      <c r="W1684" s="710">
        <v>1</v>
      </c>
      <c r="X1684" s="710">
        <v>1</v>
      </c>
      <c r="Y1684" s="710"/>
      <c r="Z1684" s="710"/>
      <c r="AA1684" s="710"/>
      <c r="AB1684" s="710"/>
      <c r="AC1684" s="710"/>
      <c r="AD1684" s="710"/>
      <c r="AE1684" s="710"/>
      <c r="AF1684" s="710"/>
      <c r="AG1684" s="710"/>
    </row>
    <row r="1685" spans="1:33" s="56" customFormat="1" ht="15" hidden="1" customHeight="1" outlineLevel="1" x14ac:dyDescent="0.25">
      <c r="A1685" s="724"/>
      <c r="B1685" s="130"/>
      <c r="C1685" s="616"/>
      <c r="D1685" s="2101"/>
      <c r="E1685" s="2104"/>
      <c r="F1685" s="2110" t="str">
        <f>$E$830</f>
        <v>ASHP - SEER 17 - replace electric furnace / CAC MF</v>
      </c>
      <c r="G1685" s="2111"/>
      <c r="H1685" s="2111"/>
      <c r="I1685" s="2112"/>
      <c r="J1685" s="709" t="s">
        <v>1174</v>
      </c>
      <c r="K1685" s="710">
        <v>0.65</v>
      </c>
      <c r="L1685" s="670"/>
      <c r="M1685" s="613" t="s">
        <v>972</v>
      </c>
      <c r="N1685" s="130"/>
      <c r="O1685" s="251"/>
      <c r="P1685" s="766"/>
      <c r="Q1685" s="766"/>
      <c r="R1685" s="766"/>
      <c r="S1685" s="752"/>
      <c r="T1685" s="760"/>
      <c r="U1685" s="130"/>
      <c r="V1685" s="2107"/>
      <c r="W1685" s="710">
        <v>0.65</v>
      </c>
      <c r="X1685" s="710">
        <v>0.65</v>
      </c>
      <c r="Y1685" s="710"/>
      <c r="Z1685" s="710"/>
      <c r="AA1685" s="710"/>
      <c r="AB1685" s="710"/>
      <c r="AC1685" s="710"/>
      <c r="AD1685" s="710"/>
      <c r="AE1685" s="710"/>
      <c r="AF1685" s="710"/>
      <c r="AG1685" s="710"/>
    </row>
    <row r="1686" spans="1:33" s="56" customFormat="1" ht="15" hidden="1" customHeight="1" outlineLevel="1" x14ac:dyDescent="0.25">
      <c r="A1686" s="724"/>
      <c r="B1686" s="130"/>
      <c r="C1686" s="616"/>
      <c r="D1686" s="2101"/>
      <c r="E1686" s="2104"/>
      <c r="F1686" s="2110" t="str">
        <f>$E$832</f>
        <v>ASHP - SEER 18 - replace electric furnace / CAC SF</v>
      </c>
      <c r="G1686" s="2111"/>
      <c r="H1686" s="2111"/>
      <c r="I1686" s="2112"/>
      <c r="J1686" s="709" t="s">
        <v>1175</v>
      </c>
      <c r="K1686" s="710">
        <v>1</v>
      </c>
      <c r="L1686" s="670"/>
      <c r="M1686" s="613"/>
      <c r="N1686" s="130"/>
      <c r="O1686" s="251"/>
      <c r="P1686" s="766"/>
      <c r="Q1686" s="766"/>
      <c r="R1686" s="766"/>
      <c r="S1686" s="752"/>
      <c r="T1686" s="760"/>
      <c r="U1686" s="130"/>
      <c r="V1686" s="2107"/>
      <c r="W1686" s="710">
        <v>1</v>
      </c>
      <c r="X1686" s="710">
        <v>1</v>
      </c>
      <c r="Y1686" s="710"/>
      <c r="Z1686" s="710"/>
      <c r="AA1686" s="710"/>
      <c r="AB1686" s="710"/>
      <c r="AC1686" s="710"/>
      <c r="AD1686" s="710"/>
      <c r="AE1686" s="710"/>
      <c r="AF1686" s="710"/>
      <c r="AG1686" s="710"/>
    </row>
    <row r="1687" spans="1:33" s="56" customFormat="1" ht="15" hidden="1" customHeight="1" outlineLevel="1" x14ac:dyDescent="0.25">
      <c r="A1687" s="724"/>
      <c r="B1687" s="130"/>
      <c r="C1687" s="616"/>
      <c r="D1687" s="2101"/>
      <c r="E1687" s="2104"/>
      <c r="F1687" s="2110" t="str">
        <f>$E$834</f>
        <v>ASHP - SEER 18 - replace electric furnace / CAC MF</v>
      </c>
      <c r="G1687" s="2111"/>
      <c r="H1687" s="2111"/>
      <c r="I1687" s="2112"/>
      <c r="J1687" s="709" t="s">
        <v>1176</v>
      </c>
      <c r="K1687" s="710">
        <v>0.65</v>
      </c>
      <c r="L1687" s="670"/>
      <c r="M1687" s="613" t="s">
        <v>972</v>
      </c>
      <c r="N1687" s="130"/>
      <c r="O1687" s="251"/>
      <c r="P1687" s="766"/>
      <c r="Q1687" s="766"/>
      <c r="R1687" s="766"/>
      <c r="S1687" s="752"/>
      <c r="T1687" s="760"/>
      <c r="U1687" s="130"/>
      <c r="V1687" s="2107"/>
      <c r="W1687" s="710">
        <v>0.65</v>
      </c>
      <c r="X1687" s="710">
        <v>0.65</v>
      </c>
      <c r="Y1687" s="710"/>
      <c r="Z1687" s="710"/>
      <c r="AA1687" s="710"/>
      <c r="AB1687" s="710"/>
      <c r="AC1687" s="710"/>
      <c r="AD1687" s="710"/>
      <c r="AE1687" s="710"/>
      <c r="AF1687" s="710"/>
      <c r="AG1687" s="710"/>
    </row>
    <row r="1688" spans="1:33" s="56" customFormat="1" ht="15" hidden="1" customHeight="1" outlineLevel="1" x14ac:dyDescent="0.25">
      <c r="A1688" s="724"/>
      <c r="B1688" s="130"/>
      <c r="C1688" s="616"/>
      <c r="D1688" s="2101"/>
      <c r="E1688" s="2104"/>
      <c r="F1688" s="2110" t="str">
        <f>$E$836</f>
        <v>ASHP - SEER 19 - replace electric furnace / CAC SF</v>
      </c>
      <c r="G1688" s="2111"/>
      <c r="H1688" s="2111"/>
      <c r="I1688" s="2112"/>
      <c r="J1688" s="709" t="s">
        <v>1177</v>
      </c>
      <c r="K1688" s="710">
        <v>1</v>
      </c>
      <c r="L1688" s="670"/>
      <c r="M1688" s="613"/>
      <c r="N1688" s="130"/>
      <c r="O1688" s="251"/>
      <c r="P1688" s="766"/>
      <c r="Q1688" s="766"/>
      <c r="R1688" s="766"/>
      <c r="S1688" s="752"/>
      <c r="T1688" s="760"/>
      <c r="U1688" s="130"/>
      <c r="V1688" s="2107"/>
      <c r="W1688" s="710">
        <v>1</v>
      </c>
      <c r="X1688" s="710">
        <v>1</v>
      </c>
      <c r="Y1688" s="710"/>
      <c r="Z1688" s="710"/>
      <c r="AA1688" s="710"/>
      <c r="AB1688" s="710"/>
      <c r="AC1688" s="710"/>
      <c r="AD1688" s="710"/>
      <c r="AE1688" s="710"/>
      <c r="AF1688" s="710"/>
      <c r="AG1688" s="710"/>
    </row>
    <row r="1689" spans="1:33" s="56" customFormat="1" ht="15" hidden="1" customHeight="1" outlineLevel="1" x14ac:dyDescent="0.25">
      <c r="A1689" s="724"/>
      <c r="B1689" s="130"/>
      <c r="C1689" s="616"/>
      <c r="D1689" s="2101"/>
      <c r="E1689" s="2104"/>
      <c r="F1689" s="2110" t="str">
        <f>$E$838</f>
        <v>ASHP - SEER 19 - replace electric furnace / CAC MF</v>
      </c>
      <c r="G1689" s="2111"/>
      <c r="H1689" s="2111"/>
      <c r="I1689" s="2112"/>
      <c r="J1689" s="709" t="s">
        <v>1178</v>
      </c>
      <c r="K1689" s="710">
        <v>0.65</v>
      </c>
      <c r="L1689" s="670"/>
      <c r="M1689" s="613" t="s">
        <v>972</v>
      </c>
      <c r="N1689" s="130"/>
      <c r="O1689" s="251"/>
      <c r="P1689" s="766"/>
      <c r="Q1689" s="766"/>
      <c r="R1689" s="766"/>
      <c r="S1689" s="752"/>
      <c r="T1689" s="760"/>
      <c r="U1689" s="130"/>
      <c r="V1689" s="2107"/>
      <c r="W1689" s="710">
        <v>0.65</v>
      </c>
      <c r="X1689" s="710">
        <v>0.65</v>
      </c>
      <c r="Y1689" s="710"/>
      <c r="Z1689" s="710"/>
      <c r="AA1689" s="710"/>
      <c r="AB1689" s="710"/>
      <c r="AC1689" s="710"/>
      <c r="AD1689" s="710"/>
      <c r="AE1689" s="710"/>
      <c r="AF1689" s="710"/>
      <c r="AG1689" s="710"/>
    </row>
    <row r="1690" spans="1:33" s="56" customFormat="1" ht="15" hidden="1" customHeight="1" outlineLevel="1" x14ac:dyDescent="0.25">
      <c r="A1690" s="724"/>
      <c r="B1690" s="130"/>
      <c r="C1690" s="616"/>
      <c r="D1690" s="2101"/>
      <c r="E1690" s="2104"/>
      <c r="F1690" s="2110" t="str">
        <f>$E$840</f>
        <v>ASHP - SEER 20 - replace electric furnace / CAC - early replacement SF ER1</v>
      </c>
      <c r="G1690" s="2111"/>
      <c r="H1690" s="2111"/>
      <c r="I1690" s="2112"/>
      <c r="J1690" s="709" t="s">
        <v>1179</v>
      </c>
      <c r="K1690" s="710">
        <v>1</v>
      </c>
      <c r="L1690" s="670"/>
      <c r="M1690" s="613"/>
      <c r="N1690" s="130"/>
      <c r="O1690" s="251"/>
      <c r="P1690" s="766"/>
      <c r="Q1690" s="766"/>
      <c r="R1690" s="766"/>
      <c r="S1690" s="752"/>
      <c r="T1690" s="760"/>
      <c r="U1690" s="130"/>
      <c r="V1690" s="2107"/>
      <c r="W1690" s="710">
        <v>1</v>
      </c>
      <c r="X1690" s="710">
        <v>1</v>
      </c>
      <c r="Y1690" s="710"/>
      <c r="Z1690" s="710"/>
      <c r="AA1690" s="710"/>
      <c r="AB1690" s="710"/>
      <c r="AC1690" s="710"/>
      <c r="AD1690" s="710"/>
      <c r="AE1690" s="710"/>
      <c r="AF1690" s="710"/>
      <c r="AG1690" s="710"/>
    </row>
    <row r="1691" spans="1:33" s="56" customFormat="1" ht="15" hidden="1" customHeight="1" outlineLevel="1" x14ac:dyDescent="0.25">
      <c r="A1691" s="724"/>
      <c r="B1691" s="130"/>
      <c r="C1691" s="616"/>
      <c r="D1691" s="2101"/>
      <c r="E1691" s="2104"/>
      <c r="F1691" s="2110" t="str">
        <f>$E$842</f>
        <v>ASHP - SEER 20 - replace electric furnace / CAC - early replacement SF ER2</v>
      </c>
      <c r="G1691" s="2111"/>
      <c r="H1691" s="2111"/>
      <c r="I1691" s="2112"/>
      <c r="J1691" s="709" t="s">
        <v>1180</v>
      </c>
      <c r="K1691" s="710">
        <v>1</v>
      </c>
      <c r="L1691" s="670"/>
      <c r="M1691" s="613"/>
      <c r="N1691" s="130"/>
      <c r="O1691" s="251"/>
      <c r="P1691" s="766"/>
      <c r="Q1691" s="766"/>
      <c r="R1691" s="766"/>
      <c r="S1691" s="752"/>
      <c r="T1691" s="760"/>
      <c r="U1691" s="130"/>
      <c r="V1691" s="2107"/>
      <c r="W1691" s="710">
        <v>1</v>
      </c>
      <c r="X1691" s="710">
        <v>1</v>
      </c>
      <c r="Y1691" s="710"/>
      <c r="Z1691" s="710"/>
      <c r="AA1691" s="710"/>
      <c r="AB1691" s="710"/>
      <c r="AC1691" s="710"/>
      <c r="AD1691" s="710"/>
      <c r="AE1691" s="710"/>
      <c r="AF1691" s="710"/>
      <c r="AG1691" s="710"/>
    </row>
    <row r="1692" spans="1:33" s="56" customFormat="1" ht="15" hidden="1" customHeight="1" outlineLevel="1" x14ac:dyDescent="0.25">
      <c r="A1692" s="724"/>
      <c r="B1692" s="130"/>
      <c r="C1692" s="616"/>
      <c r="D1692" s="2101"/>
      <c r="E1692" s="2104"/>
      <c r="F1692" s="2110" t="str">
        <f>$E$844</f>
        <v>ASHP - SEER 20 - replace electric furnace / CAC SF</v>
      </c>
      <c r="G1692" s="2111"/>
      <c r="H1692" s="2111"/>
      <c r="I1692" s="2112"/>
      <c r="J1692" s="709" t="s">
        <v>1181</v>
      </c>
      <c r="K1692" s="710">
        <v>1</v>
      </c>
      <c r="L1692" s="670"/>
      <c r="M1692" s="613"/>
      <c r="N1692" s="130"/>
      <c r="O1692" s="251"/>
      <c r="P1692" s="766"/>
      <c r="Q1692" s="766"/>
      <c r="R1692" s="766"/>
      <c r="S1692" s="752"/>
      <c r="T1692" s="760"/>
      <c r="U1692" s="130"/>
      <c r="V1692" s="2107"/>
      <c r="W1692" s="710">
        <v>1</v>
      </c>
      <c r="X1692" s="710">
        <v>1</v>
      </c>
      <c r="Y1692" s="710"/>
      <c r="Z1692" s="710"/>
      <c r="AA1692" s="710"/>
      <c r="AB1692" s="710"/>
      <c r="AC1692" s="710"/>
      <c r="AD1692" s="710"/>
      <c r="AE1692" s="710"/>
      <c r="AF1692" s="710"/>
      <c r="AG1692" s="710"/>
    </row>
    <row r="1693" spans="1:33" s="56" customFormat="1" ht="15" hidden="1" customHeight="1" outlineLevel="1" x14ac:dyDescent="0.25">
      <c r="A1693" s="724"/>
      <c r="B1693" s="130"/>
      <c r="C1693" s="616"/>
      <c r="D1693" s="2101"/>
      <c r="E1693" s="2104"/>
      <c r="F1693" s="2110" t="str">
        <f>$E$846</f>
        <v>ASHP - SEER 20 - replace electric furnace / CAC MF</v>
      </c>
      <c r="G1693" s="2111"/>
      <c r="H1693" s="2111"/>
      <c r="I1693" s="2112"/>
      <c r="J1693" s="709" t="s">
        <v>1182</v>
      </c>
      <c r="K1693" s="710">
        <v>0.65</v>
      </c>
      <c r="L1693" s="670"/>
      <c r="M1693" s="613" t="s">
        <v>972</v>
      </c>
      <c r="N1693" s="130"/>
      <c r="O1693" s="251"/>
      <c r="P1693" s="766"/>
      <c r="Q1693" s="767"/>
      <c r="R1693" s="766"/>
      <c r="S1693" s="752"/>
      <c r="T1693" s="760"/>
      <c r="U1693" s="130"/>
      <c r="V1693" s="2107"/>
      <c r="W1693" s="710">
        <v>0.65</v>
      </c>
      <c r="X1693" s="710">
        <v>0.65</v>
      </c>
      <c r="Y1693" s="710"/>
      <c r="Z1693" s="710"/>
      <c r="AA1693" s="710"/>
      <c r="AB1693" s="710"/>
      <c r="AC1693" s="710"/>
      <c r="AD1693" s="710"/>
      <c r="AE1693" s="710"/>
      <c r="AF1693" s="710"/>
      <c r="AG1693" s="710"/>
    </row>
    <row r="1694" spans="1:33" s="56" customFormat="1" ht="15" hidden="1" customHeight="1" outlineLevel="1" x14ac:dyDescent="0.25">
      <c r="A1694" s="724"/>
      <c r="B1694" s="130"/>
      <c r="C1694" s="616"/>
      <c r="D1694" s="2101"/>
      <c r="E1694" s="2104"/>
      <c r="F1694" s="2110" t="str">
        <f>$E$848</f>
        <v>ASHP - SEER 21 - replace electric furnace / CAC - early replacement SF ER1</v>
      </c>
      <c r="G1694" s="2111"/>
      <c r="H1694" s="2111"/>
      <c r="I1694" s="2112"/>
      <c r="J1694" s="709" t="s">
        <v>1183</v>
      </c>
      <c r="K1694" s="710">
        <v>1</v>
      </c>
      <c r="L1694" s="670"/>
      <c r="M1694" s="613"/>
      <c r="N1694" s="130"/>
      <c r="O1694" s="251"/>
      <c r="P1694" s="766"/>
      <c r="Q1694" s="767"/>
      <c r="R1694" s="766"/>
      <c r="S1694" s="752"/>
      <c r="T1694" s="760"/>
      <c r="U1694" s="130"/>
      <c r="V1694" s="2107"/>
      <c r="W1694" s="710">
        <v>1</v>
      </c>
      <c r="X1694" s="710">
        <v>1</v>
      </c>
      <c r="Y1694" s="710"/>
      <c r="Z1694" s="710"/>
      <c r="AA1694" s="710"/>
      <c r="AB1694" s="710"/>
      <c r="AC1694" s="710"/>
      <c r="AD1694" s="710"/>
      <c r="AE1694" s="710"/>
      <c r="AF1694" s="710"/>
      <c r="AG1694" s="710"/>
    </row>
    <row r="1695" spans="1:33" s="56" customFormat="1" ht="15" hidden="1" customHeight="1" outlineLevel="1" x14ac:dyDescent="0.25">
      <c r="A1695" s="724"/>
      <c r="B1695" s="130"/>
      <c r="C1695" s="616"/>
      <c r="D1695" s="2101"/>
      <c r="E1695" s="2104"/>
      <c r="F1695" s="2110" t="str">
        <f>$E$850</f>
        <v>ASHP - SEER 21 - replace electric furnace / CAC - early replacement SF ER2</v>
      </c>
      <c r="G1695" s="2111"/>
      <c r="H1695" s="2111"/>
      <c r="I1695" s="2112"/>
      <c r="J1695" s="709" t="s">
        <v>1184</v>
      </c>
      <c r="K1695" s="710">
        <v>1</v>
      </c>
      <c r="L1695" s="670"/>
      <c r="M1695" s="613"/>
      <c r="N1695" s="130"/>
      <c r="O1695" s="251"/>
      <c r="P1695" s="766"/>
      <c r="Q1695" s="767"/>
      <c r="R1695" s="766"/>
      <c r="S1695" s="752"/>
      <c r="T1695" s="760"/>
      <c r="U1695" s="130"/>
      <c r="V1695" s="2107"/>
      <c r="W1695" s="710">
        <v>1</v>
      </c>
      <c r="X1695" s="710">
        <v>1</v>
      </c>
      <c r="Y1695" s="710"/>
      <c r="Z1695" s="710"/>
      <c r="AA1695" s="710"/>
      <c r="AB1695" s="710"/>
      <c r="AC1695" s="710"/>
      <c r="AD1695" s="710"/>
      <c r="AE1695" s="710"/>
      <c r="AF1695" s="710"/>
      <c r="AG1695" s="710"/>
    </row>
    <row r="1696" spans="1:33" s="56" customFormat="1" ht="15" hidden="1" customHeight="1" outlineLevel="1" x14ac:dyDescent="0.25">
      <c r="A1696" s="724"/>
      <c r="B1696" s="130"/>
      <c r="C1696" s="616"/>
      <c r="D1696" s="2101"/>
      <c r="E1696" s="2104"/>
      <c r="F1696" s="2110" t="str">
        <f>$E$852</f>
        <v>ASHP - SEER 21 - replace electric furnace / CAC - early replacement MF ER1</v>
      </c>
      <c r="G1696" s="2111"/>
      <c r="H1696" s="2111"/>
      <c r="I1696" s="2112"/>
      <c r="J1696" s="709" t="s">
        <v>1185</v>
      </c>
      <c r="K1696" s="710">
        <v>0.65</v>
      </c>
      <c r="L1696" s="670"/>
      <c r="M1696" s="613" t="s">
        <v>972</v>
      </c>
      <c r="N1696" s="130"/>
      <c r="O1696" s="251"/>
      <c r="P1696" s="766"/>
      <c r="Q1696" s="767"/>
      <c r="R1696" s="766"/>
      <c r="S1696" s="752"/>
      <c r="T1696" s="760"/>
      <c r="U1696" s="130"/>
      <c r="V1696" s="2107"/>
      <c r="W1696" s="710">
        <v>0.65</v>
      </c>
      <c r="X1696" s="710">
        <v>0.65</v>
      </c>
      <c r="Y1696" s="710"/>
      <c r="Z1696" s="710"/>
      <c r="AA1696" s="710"/>
      <c r="AB1696" s="710"/>
      <c r="AC1696" s="710"/>
      <c r="AD1696" s="710"/>
      <c r="AE1696" s="710"/>
      <c r="AF1696" s="710"/>
      <c r="AG1696" s="710"/>
    </row>
    <row r="1697" spans="1:33" s="56" customFormat="1" ht="15" hidden="1" customHeight="1" outlineLevel="1" x14ac:dyDescent="0.25">
      <c r="A1697" s="724"/>
      <c r="B1697" s="130"/>
      <c r="C1697" s="616"/>
      <c r="D1697" s="2101"/>
      <c r="E1697" s="2104"/>
      <c r="F1697" s="2110" t="str">
        <f>$E$854</f>
        <v>ASHP - SEER 21 - replace electric furnace / CAC - early replacement MF ER2</v>
      </c>
      <c r="G1697" s="2111"/>
      <c r="H1697" s="2111"/>
      <c r="I1697" s="2112"/>
      <c r="J1697" s="709" t="s">
        <v>1186</v>
      </c>
      <c r="K1697" s="710">
        <v>0.65</v>
      </c>
      <c r="L1697" s="670"/>
      <c r="M1697" s="613" t="s">
        <v>972</v>
      </c>
      <c r="N1697" s="130"/>
      <c r="O1697" s="251"/>
      <c r="P1697" s="766"/>
      <c r="Q1697" s="767"/>
      <c r="R1697" s="766"/>
      <c r="S1697" s="752"/>
      <c r="T1697" s="760"/>
      <c r="U1697" s="130"/>
      <c r="V1697" s="2107"/>
      <c r="W1697" s="710">
        <v>0.65</v>
      </c>
      <c r="X1697" s="710">
        <v>0.65</v>
      </c>
      <c r="Y1697" s="710"/>
      <c r="Z1697" s="710"/>
      <c r="AA1697" s="710"/>
      <c r="AB1697" s="710"/>
      <c r="AC1697" s="710"/>
      <c r="AD1697" s="710"/>
      <c r="AE1697" s="710"/>
      <c r="AF1697" s="710"/>
      <c r="AG1697" s="710"/>
    </row>
    <row r="1698" spans="1:33" s="56" customFormat="1" ht="15" hidden="1" customHeight="1" outlineLevel="1" x14ac:dyDescent="0.25">
      <c r="A1698" s="724"/>
      <c r="B1698" s="130"/>
      <c r="C1698" s="616"/>
      <c r="D1698" s="2101"/>
      <c r="E1698" s="2104"/>
      <c r="F1698" s="2110" t="str">
        <f>$E$856</f>
        <v>ASHP - SEER 21 - replace electric furnace / CAC SF</v>
      </c>
      <c r="G1698" s="2111"/>
      <c r="H1698" s="2111"/>
      <c r="I1698" s="2112"/>
      <c r="J1698" s="709" t="s">
        <v>1187</v>
      </c>
      <c r="K1698" s="710">
        <v>1</v>
      </c>
      <c r="L1698" s="670"/>
      <c r="M1698" s="613"/>
      <c r="N1698" s="130"/>
      <c r="O1698" s="251"/>
      <c r="P1698" s="766"/>
      <c r="Q1698" s="767"/>
      <c r="R1698" s="766"/>
      <c r="S1698" s="752"/>
      <c r="T1698" s="760"/>
      <c r="U1698" s="130"/>
      <c r="V1698" s="2107"/>
      <c r="W1698" s="710">
        <v>1</v>
      </c>
      <c r="X1698" s="710">
        <v>1</v>
      </c>
      <c r="Y1698" s="710"/>
      <c r="Z1698" s="710"/>
      <c r="AA1698" s="710"/>
      <c r="AB1698" s="710"/>
      <c r="AC1698" s="710"/>
      <c r="AD1698" s="710"/>
      <c r="AE1698" s="710"/>
      <c r="AF1698" s="710"/>
      <c r="AG1698" s="710"/>
    </row>
    <row r="1699" spans="1:33" s="56" customFormat="1" ht="15" hidden="1" customHeight="1" outlineLevel="1" x14ac:dyDescent="0.25">
      <c r="A1699" s="597"/>
      <c r="B1699" s="130"/>
      <c r="C1699" s="616"/>
      <c r="D1699" s="2101"/>
      <c r="E1699" s="2104"/>
      <c r="F1699" s="2110" t="str">
        <f>$E$858</f>
        <v>ASHP-  SEER 21+ Replace at Fail Elec Resist Furnace: HVAC</v>
      </c>
      <c r="G1699" s="2111"/>
      <c r="H1699" s="2111"/>
      <c r="I1699" s="2112"/>
      <c r="J1699" s="709" t="s">
        <v>614</v>
      </c>
      <c r="K1699" s="710">
        <v>0.65</v>
      </c>
      <c r="L1699" s="670"/>
      <c r="M1699" s="613" t="s">
        <v>972</v>
      </c>
      <c r="N1699" s="130"/>
      <c r="O1699" s="251"/>
      <c r="P1699" s="251"/>
      <c r="Q1699" s="251"/>
      <c r="R1699" s="251"/>
      <c r="S1699" s="130"/>
      <c r="T1699" s="130"/>
      <c r="U1699" s="130"/>
      <c r="V1699" s="2107"/>
      <c r="W1699" s="710">
        <v>0.65</v>
      </c>
      <c r="X1699" s="710">
        <v>0.65</v>
      </c>
      <c r="Y1699" s="710"/>
      <c r="Z1699" s="710"/>
      <c r="AA1699" s="710"/>
      <c r="AB1699" s="710"/>
      <c r="AC1699" s="710"/>
      <c r="AD1699" s="710"/>
      <c r="AE1699" s="710"/>
      <c r="AF1699" s="710"/>
      <c r="AG1699" s="710"/>
    </row>
    <row r="1700" spans="1:33" s="56" customFormat="1" ht="15" hidden="1" customHeight="1" outlineLevel="1" x14ac:dyDescent="0.25">
      <c r="A1700" s="724"/>
      <c r="B1700" s="130"/>
      <c r="C1700" s="616"/>
      <c r="D1700" s="2101"/>
      <c r="E1700" s="2104"/>
      <c r="F1700" s="2110" t="str">
        <f>$E$860</f>
        <v>ASHP SEER 17 replace ASHP - early replacement SF ER1</v>
      </c>
      <c r="G1700" s="2111"/>
      <c r="H1700" s="2111"/>
      <c r="I1700" s="2112"/>
      <c r="J1700" s="709" t="s">
        <v>1188</v>
      </c>
      <c r="K1700" s="710">
        <v>1</v>
      </c>
      <c r="L1700" s="670"/>
      <c r="M1700" s="770"/>
      <c r="N1700" s="130"/>
      <c r="O1700" s="251"/>
      <c r="P1700" s="766"/>
      <c r="Q1700" s="767"/>
      <c r="R1700" s="766"/>
      <c r="S1700" s="752"/>
      <c r="T1700" s="760"/>
      <c r="U1700" s="130"/>
      <c r="V1700" s="2107"/>
      <c r="W1700" s="710">
        <v>1</v>
      </c>
      <c r="X1700" s="710">
        <v>1</v>
      </c>
      <c r="Y1700" s="710"/>
      <c r="Z1700" s="710"/>
      <c r="AA1700" s="710"/>
      <c r="AB1700" s="710"/>
      <c r="AC1700" s="710"/>
      <c r="AD1700" s="710"/>
      <c r="AE1700" s="710"/>
      <c r="AF1700" s="710"/>
      <c r="AG1700" s="710"/>
    </row>
    <row r="1701" spans="1:33" s="56" customFormat="1" ht="15" hidden="1" customHeight="1" outlineLevel="1" x14ac:dyDescent="0.25">
      <c r="A1701" s="597"/>
      <c r="B1701" s="130"/>
      <c r="C1701" s="616"/>
      <c r="D1701" s="2101"/>
      <c r="E1701" s="2104"/>
      <c r="F1701" s="2110" t="str">
        <f>$E$862</f>
        <v>ASHP SEER 17 replace ASHP - early replacement SF ER2</v>
      </c>
      <c r="G1701" s="2111"/>
      <c r="H1701" s="2111"/>
      <c r="I1701" s="2112"/>
      <c r="J1701" s="709" t="s">
        <v>1189</v>
      </c>
      <c r="K1701" s="710">
        <v>1</v>
      </c>
      <c r="L1701" s="670"/>
      <c r="M1701" s="770"/>
      <c r="N1701" s="130"/>
      <c r="O1701" s="251"/>
      <c r="P1701" s="251"/>
      <c r="Q1701" s="251"/>
      <c r="R1701" s="251"/>
      <c r="S1701" s="130"/>
      <c r="T1701" s="130"/>
      <c r="U1701" s="130"/>
      <c r="V1701" s="2107"/>
      <c r="W1701" s="710">
        <v>1</v>
      </c>
      <c r="X1701" s="710">
        <v>1</v>
      </c>
      <c r="Y1701" s="710"/>
      <c r="Z1701" s="710"/>
      <c r="AA1701" s="710"/>
      <c r="AB1701" s="710"/>
      <c r="AC1701" s="710"/>
      <c r="AD1701" s="710"/>
      <c r="AE1701" s="710"/>
      <c r="AF1701" s="710"/>
      <c r="AG1701" s="710"/>
    </row>
    <row r="1702" spans="1:33" s="56" customFormat="1" ht="15" hidden="1" customHeight="1" outlineLevel="1" x14ac:dyDescent="0.25">
      <c r="A1702" s="724"/>
      <c r="B1702" s="130"/>
      <c r="C1702" s="616"/>
      <c r="D1702" s="2101"/>
      <c r="E1702" s="2104"/>
      <c r="F1702" s="2110" t="str">
        <f>$E$864</f>
        <v>ASHP SEER 17 replace ASHP - replace on fail SF</v>
      </c>
      <c r="G1702" s="2111"/>
      <c r="H1702" s="2111"/>
      <c r="I1702" s="2112"/>
      <c r="J1702" s="709" t="s">
        <v>1190</v>
      </c>
      <c r="K1702" s="710">
        <v>1</v>
      </c>
      <c r="L1702" s="670"/>
      <c r="M1702" s="770"/>
      <c r="N1702" s="130"/>
      <c r="O1702" s="251"/>
      <c r="P1702" s="766"/>
      <c r="Q1702" s="767"/>
      <c r="R1702" s="766"/>
      <c r="S1702" s="752"/>
      <c r="T1702" s="760"/>
      <c r="U1702" s="130"/>
      <c r="V1702" s="2107"/>
      <c r="W1702" s="710">
        <v>1</v>
      </c>
      <c r="X1702" s="710">
        <v>1</v>
      </c>
      <c r="Y1702" s="710"/>
      <c r="Z1702" s="710"/>
      <c r="AA1702" s="710"/>
      <c r="AB1702" s="710"/>
      <c r="AC1702" s="710"/>
      <c r="AD1702" s="710"/>
      <c r="AE1702" s="710"/>
      <c r="AF1702" s="710"/>
      <c r="AG1702" s="710"/>
    </row>
    <row r="1703" spans="1:33" s="56" customFormat="1" ht="15" hidden="1" customHeight="1" outlineLevel="1" x14ac:dyDescent="0.25">
      <c r="A1703" s="597"/>
      <c r="B1703" s="130"/>
      <c r="C1703" s="616"/>
      <c r="D1703" s="2101"/>
      <c r="E1703" s="2104"/>
      <c r="F1703" s="2110" t="str">
        <f>$E$866</f>
        <v>ASHP SEER 18 replace ASHP - early replacement SF ER1</v>
      </c>
      <c r="G1703" s="2111"/>
      <c r="H1703" s="2111"/>
      <c r="I1703" s="2112"/>
      <c r="J1703" s="709" t="s">
        <v>1191</v>
      </c>
      <c r="K1703" s="710">
        <v>1</v>
      </c>
      <c r="L1703" s="670"/>
      <c r="M1703" s="770"/>
      <c r="N1703" s="130"/>
      <c r="O1703" s="251"/>
      <c r="P1703" s="251"/>
      <c r="Q1703" s="251"/>
      <c r="R1703" s="251"/>
      <c r="S1703" s="130"/>
      <c r="T1703" s="130"/>
      <c r="U1703" s="130"/>
      <c r="V1703" s="2107"/>
      <c r="W1703" s="710">
        <v>1</v>
      </c>
      <c r="X1703" s="710">
        <v>1</v>
      </c>
      <c r="Y1703" s="710"/>
      <c r="Z1703" s="710"/>
      <c r="AA1703" s="710"/>
      <c r="AB1703" s="710"/>
      <c r="AC1703" s="710"/>
      <c r="AD1703" s="710"/>
      <c r="AE1703" s="710"/>
      <c r="AF1703" s="710"/>
      <c r="AG1703" s="710"/>
    </row>
    <row r="1704" spans="1:33" s="56" customFormat="1" ht="15" hidden="1" customHeight="1" outlineLevel="1" x14ac:dyDescent="0.25">
      <c r="A1704" s="597"/>
      <c r="B1704" s="130"/>
      <c r="C1704" s="616"/>
      <c r="D1704" s="2101"/>
      <c r="E1704" s="2104"/>
      <c r="F1704" s="2110" t="str">
        <f>$E$868</f>
        <v>ASHP SEER 18 replace ASHP - early replacement SF ER2</v>
      </c>
      <c r="G1704" s="2111"/>
      <c r="H1704" s="2111"/>
      <c r="I1704" s="2112"/>
      <c r="J1704" s="709" t="s">
        <v>1192</v>
      </c>
      <c r="K1704" s="710">
        <v>1</v>
      </c>
      <c r="L1704" s="670"/>
      <c r="M1704" s="770"/>
      <c r="N1704" s="130"/>
      <c r="O1704" s="251"/>
      <c r="P1704" s="251"/>
      <c r="Q1704" s="251"/>
      <c r="R1704" s="251"/>
      <c r="S1704" s="130"/>
      <c r="T1704" s="130"/>
      <c r="U1704" s="130"/>
      <c r="V1704" s="2107"/>
      <c r="W1704" s="710">
        <v>1</v>
      </c>
      <c r="X1704" s="710">
        <v>1</v>
      </c>
      <c r="Y1704" s="710"/>
      <c r="Z1704" s="710"/>
      <c r="AA1704" s="710"/>
      <c r="AB1704" s="710"/>
      <c r="AC1704" s="710"/>
      <c r="AD1704" s="710"/>
      <c r="AE1704" s="710"/>
      <c r="AF1704" s="710"/>
      <c r="AG1704" s="710"/>
    </row>
    <row r="1705" spans="1:33" s="56" customFormat="1" ht="15" hidden="1" customHeight="1" outlineLevel="1" x14ac:dyDescent="0.25">
      <c r="A1705" s="724"/>
      <c r="B1705" s="130"/>
      <c r="C1705" s="616"/>
      <c r="D1705" s="2101"/>
      <c r="E1705" s="2104"/>
      <c r="F1705" s="2110" t="str">
        <f>$E$870</f>
        <v>ASHP SEER 18 replace ASHP - replace on fail SF</v>
      </c>
      <c r="G1705" s="2111"/>
      <c r="H1705" s="2111"/>
      <c r="I1705" s="2112"/>
      <c r="J1705" s="709" t="s">
        <v>1193</v>
      </c>
      <c r="K1705" s="710">
        <v>1</v>
      </c>
      <c r="L1705" s="670"/>
      <c r="M1705" s="770"/>
      <c r="N1705" s="130"/>
      <c r="O1705" s="251"/>
      <c r="P1705" s="766"/>
      <c r="Q1705" s="767"/>
      <c r="R1705" s="766"/>
      <c r="S1705" s="752"/>
      <c r="T1705" s="760"/>
      <c r="U1705" s="130"/>
      <c r="V1705" s="2107"/>
      <c r="W1705" s="710">
        <v>1</v>
      </c>
      <c r="X1705" s="710">
        <v>1</v>
      </c>
      <c r="Y1705" s="710"/>
      <c r="Z1705" s="710"/>
      <c r="AA1705" s="710"/>
      <c r="AB1705" s="710"/>
      <c r="AC1705" s="710"/>
      <c r="AD1705" s="710"/>
      <c r="AE1705" s="710"/>
      <c r="AF1705" s="710"/>
      <c r="AG1705" s="710"/>
    </row>
    <row r="1706" spans="1:33" s="56" customFormat="1" ht="15" hidden="1" customHeight="1" outlineLevel="1" x14ac:dyDescent="0.25">
      <c r="A1706" s="724"/>
      <c r="B1706" s="130"/>
      <c r="C1706" s="616"/>
      <c r="D1706" s="2101"/>
      <c r="E1706" s="2104"/>
      <c r="F1706" s="2110" t="str">
        <f>$E$872</f>
        <v>ASHP - SEER 18 - replace on fail SF</v>
      </c>
      <c r="G1706" s="2111"/>
      <c r="H1706" s="2111"/>
      <c r="I1706" s="2112"/>
      <c r="J1706" s="709" t="s">
        <v>1194</v>
      </c>
      <c r="K1706" s="710">
        <v>1</v>
      </c>
      <c r="L1706" s="670"/>
      <c r="M1706" s="770"/>
      <c r="N1706" s="130"/>
      <c r="O1706" s="251"/>
      <c r="P1706" s="766"/>
      <c r="Q1706" s="767"/>
      <c r="R1706" s="766"/>
      <c r="S1706" s="752"/>
      <c r="T1706" s="760"/>
      <c r="U1706" s="130"/>
      <c r="V1706" s="2107"/>
      <c r="W1706" s="710">
        <v>1</v>
      </c>
      <c r="X1706" s="710">
        <v>1</v>
      </c>
      <c r="Y1706" s="710"/>
      <c r="Z1706" s="710"/>
      <c r="AA1706" s="710"/>
      <c r="AB1706" s="710"/>
      <c r="AC1706" s="710"/>
      <c r="AD1706" s="710"/>
      <c r="AE1706" s="710"/>
      <c r="AF1706" s="710"/>
      <c r="AG1706" s="710"/>
    </row>
    <row r="1707" spans="1:33" s="56" customFormat="1" ht="15" hidden="1" customHeight="1" outlineLevel="1" x14ac:dyDescent="0.25">
      <c r="A1707" s="597"/>
      <c r="B1707" s="130"/>
      <c r="C1707" s="616"/>
      <c r="D1707" s="2101"/>
      <c r="E1707" s="2104"/>
      <c r="F1707" s="2110" t="str">
        <f>$E$874</f>
        <v>ASHP SEER 19 replace ASHP - early replacement SF ER1</v>
      </c>
      <c r="G1707" s="2111"/>
      <c r="H1707" s="2111"/>
      <c r="I1707" s="2112"/>
      <c r="J1707" s="709" t="s">
        <v>1195</v>
      </c>
      <c r="K1707" s="710">
        <v>1</v>
      </c>
      <c r="L1707" s="670"/>
      <c r="M1707" s="770"/>
      <c r="N1707" s="130"/>
      <c r="O1707" s="251"/>
      <c r="P1707" s="251"/>
      <c r="Q1707" s="251"/>
      <c r="R1707" s="251"/>
      <c r="S1707" s="130"/>
      <c r="T1707" s="130"/>
      <c r="U1707" s="130"/>
      <c r="V1707" s="2107"/>
      <c r="W1707" s="710">
        <v>1</v>
      </c>
      <c r="X1707" s="710">
        <v>1</v>
      </c>
      <c r="Y1707" s="710"/>
      <c r="Z1707" s="710"/>
      <c r="AA1707" s="710"/>
      <c r="AB1707" s="710"/>
      <c r="AC1707" s="710"/>
      <c r="AD1707" s="710"/>
      <c r="AE1707" s="710"/>
      <c r="AF1707" s="710"/>
      <c r="AG1707" s="710"/>
    </row>
    <row r="1708" spans="1:33" s="56" customFormat="1" ht="15" hidden="1" customHeight="1" outlineLevel="1" x14ac:dyDescent="0.25">
      <c r="A1708" s="597"/>
      <c r="B1708" s="130"/>
      <c r="C1708" s="616"/>
      <c r="D1708" s="2101"/>
      <c r="E1708" s="2104"/>
      <c r="F1708" s="2110" t="str">
        <f>$E$876</f>
        <v>ASHP SEER 19 replace ASHP - early replacement SF ER2</v>
      </c>
      <c r="G1708" s="2111"/>
      <c r="H1708" s="2111"/>
      <c r="I1708" s="2112"/>
      <c r="J1708" s="709" t="s">
        <v>1196</v>
      </c>
      <c r="K1708" s="710">
        <v>1</v>
      </c>
      <c r="L1708" s="670"/>
      <c r="M1708" s="770"/>
      <c r="N1708" s="130"/>
      <c r="O1708" s="251"/>
      <c r="P1708" s="251"/>
      <c r="Q1708" s="251"/>
      <c r="R1708" s="251"/>
      <c r="S1708" s="130"/>
      <c r="T1708" s="130"/>
      <c r="U1708" s="130"/>
      <c r="V1708" s="2107"/>
      <c r="W1708" s="710">
        <v>1</v>
      </c>
      <c r="X1708" s="710">
        <v>1</v>
      </c>
      <c r="Y1708" s="710"/>
      <c r="Z1708" s="710"/>
      <c r="AA1708" s="710"/>
      <c r="AB1708" s="710"/>
      <c r="AC1708" s="710"/>
      <c r="AD1708" s="710"/>
      <c r="AE1708" s="710"/>
      <c r="AF1708" s="710"/>
      <c r="AG1708" s="710"/>
    </row>
    <row r="1709" spans="1:33" s="56" customFormat="1" ht="15" hidden="1" customHeight="1" outlineLevel="1" x14ac:dyDescent="0.25">
      <c r="A1709" s="724"/>
      <c r="B1709" s="130"/>
      <c r="C1709" s="616"/>
      <c r="D1709" s="2101"/>
      <c r="E1709" s="2104"/>
      <c r="F1709" s="2110" t="str">
        <f>$E$878</f>
        <v>ASHP SEER 19 replace ASHP - replace on fail SF</v>
      </c>
      <c r="G1709" s="2111"/>
      <c r="H1709" s="2111"/>
      <c r="I1709" s="2112"/>
      <c r="J1709" s="709" t="s">
        <v>1197</v>
      </c>
      <c r="K1709" s="710">
        <v>1</v>
      </c>
      <c r="L1709" s="670"/>
      <c r="M1709" s="770"/>
      <c r="N1709" s="130"/>
      <c r="O1709" s="251"/>
      <c r="P1709" s="766"/>
      <c r="Q1709" s="767"/>
      <c r="R1709" s="766"/>
      <c r="S1709" s="752"/>
      <c r="T1709" s="760"/>
      <c r="U1709" s="130"/>
      <c r="V1709" s="2107"/>
      <c r="W1709" s="710">
        <v>1</v>
      </c>
      <c r="X1709" s="710">
        <v>1</v>
      </c>
      <c r="Y1709" s="710"/>
      <c r="Z1709" s="710"/>
      <c r="AA1709" s="710"/>
      <c r="AB1709" s="710"/>
      <c r="AC1709" s="710"/>
      <c r="AD1709" s="710"/>
      <c r="AE1709" s="710"/>
      <c r="AF1709" s="710"/>
      <c r="AG1709" s="710"/>
    </row>
    <row r="1710" spans="1:33" s="56" customFormat="1" ht="15" hidden="1" customHeight="1" outlineLevel="1" x14ac:dyDescent="0.25">
      <c r="A1710" s="724"/>
      <c r="B1710" s="130"/>
      <c r="C1710" s="616"/>
      <c r="D1710" s="2101"/>
      <c r="E1710" s="2104"/>
      <c r="F1710" s="2110" t="str">
        <f>$E$880</f>
        <v>ASHP - SEER 17 - replace electric furnace / CAC - early replacement SF ER1</v>
      </c>
      <c r="G1710" s="2111"/>
      <c r="H1710" s="2111"/>
      <c r="I1710" s="2112"/>
      <c r="J1710" s="709"/>
      <c r="K1710" s="710">
        <v>1</v>
      </c>
      <c r="L1710" s="670"/>
      <c r="M1710" s="770"/>
      <c r="N1710" s="130"/>
      <c r="O1710" s="251"/>
      <c r="P1710" s="766"/>
      <c r="Q1710" s="767"/>
      <c r="R1710" s="766"/>
      <c r="S1710" s="752"/>
      <c r="T1710" s="760"/>
      <c r="U1710" s="130"/>
      <c r="V1710" s="2107"/>
      <c r="W1710" s="710">
        <v>1</v>
      </c>
      <c r="X1710" s="710">
        <v>1</v>
      </c>
      <c r="Y1710" s="710"/>
      <c r="Z1710" s="710"/>
      <c r="AA1710" s="710"/>
      <c r="AB1710" s="710"/>
      <c r="AC1710" s="710"/>
      <c r="AD1710" s="710"/>
      <c r="AE1710" s="710"/>
      <c r="AF1710" s="710"/>
      <c r="AG1710" s="710"/>
    </row>
    <row r="1711" spans="1:33" s="56" customFormat="1" ht="15" hidden="1" customHeight="1" outlineLevel="1" x14ac:dyDescent="0.25">
      <c r="A1711" s="724"/>
      <c r="B1711" s="130"/>
      <c r="C1711" s="616"/>
      <c r="D1711" s="2101"/>
      <c r="E1711" s="2104"/>
      <c r="F1711" s="2110" t="str">
        <f>$E$882</f>
        <v>ASHP - SEER 17 - replace electric furnace / CAC - early replacement SF ER2</v>
      </c>
      <c r="G1711" s="2111"/>
      <c r="H1711" s="2111"/>
      <c r="I1711" s="2112"/>
      <c r="J1711" s="709"/>
      <c r="K1711" s="710">
        <v>1</v>
      </c>
      <c r="L1711" s="670"/>
      <c r="M1711" s="770"/>
      <c r="N1711" s="130"/>
      <c r="O1711" s="251"/>
      <c r="P1711" s="766"/>
      <c r="Q1711" s="767"/>
      <c r="R1711" s="766"/>
      <c r="S1711" s="752"/>
      <c r="T1711" s="760"/>
      <c r="U1711" s="130"/>
      <c r="V1711" s="2107"/>
      <c r="W1711" s="710">
        <v>1</v>
      </c>
      <c r="X1711" s="710">
        <v>1</v>
      </c>
      <c r="Y1711" s="710"/>
      <c r="Z1711" s="710"/>
      <c r="AA1711" s="710"/>
      <c r="AB1711" s="710"/>
      <c r="AC1711" s="710"/>
      <c r="AD1711" s="710"/>
      <c r="AE1711" s="710"/>
      <c r="AF1711" s="710"/>
      <c r="AG1711" s="710"/>
    </row>
    <row r="1712" spans="1:33" s="56" customFormat="1" ht="15" hidden="1" customHeight="1" outlineLevel="1" x14ac:dyDescent="0.25">
      <c r="A1712" s="724"/>
      <c r="B1712" s="130"/>
      <c r="C1712" s="616"/>
      <c r="D1712" s="2101"/>
      <c r="E1712" s="2104"/>
      <c r="F1712" s="2110" t="str">
        <f>$E$884</f>
        <v>ASHP - SEER 17 - replace electric furnace / CAC - early replacement MF ER1</v>
      </c>
      <c r="G1712" s="2111"/>
      <c r="H1712" s="2111"/>
      <c r="I1712" s="2112"/>
      <c r="J1712" s="709"/>
      <c r="K1712" s="710">
        <v>0.65</v>
      </c>
      <c r="L1712" s="670"/>
      <c r="M1712" s="770"/>
      <c r="N1712" s="130"/>
      <c r="O1712" s="251"/>
      <c r="P1712" s="766"/>
      <c r="Q1712" s="767"/>
      <c r="R1712" s="766"/>
      <c r="S1712" s="752"/>
      <c r="T1712" s="760"/>
      <c r="U1712" s="130"/>
      <c r="V1712" s="2107"/>
      <c r="W1712" s="710">
        <v>0.65</v>
      </c>
      <c r="X1712" s="710">
        <v>0.65</v>
      </c>
      <c r="Y1712" s="710"/>
      <c r="Z1712" s="710"/>
      <c r="AA1712" s="710"/>
      <c r="AB1712" s="710"/>
      <c r="AC1712" s="710"/>
      <c r="AD1712" s="710"/>
      <c r="AE1712" s="710"/>
      <c r="AF1712" s="710"/>
      <c r="AG1712" s="710"/>
    </row>
    <row r="1713" spans="1:33" s="56" customFormat="1" ht="15" hidden="1" customHeight="1" outlineLevel="1" x14ac:dyDescent="0.25">
      <c r="A1713" s="724"/>
      <c r="B1713" s="130"/>
      <c r="C1713" s="616"/>
      <c r="D1713" s="2101"/>
      <c r="E1713" s="2104"/>
      <c r="F1713" s="2110" t="str">
        <f>$E$886</f>
        <v>ASHP - SEER 17 - replace electric furnace / CAC - early replacement MF ER2</v>
      </c>
      <c r="G1713" s="2111"/>
      <c r="H1713" s="2111"/>
      <c r="I1713" s="2112"/>
      <c r="J1713" s="709"/>
      <c r="K1713" s="710">
        <v>0.65</v>
      </c>
      <c r="L1713" s="670"/>
      <c r="M1713" s="770"/>
      <c r="N1713" s="130"/>
      <c r="O1713" s="251"/>
      <c r="P1713" s="766"/>
      <c r="Q1713" s="767"/>
      <c r="R1713" s="766"/>
      <c r="S1713" s="752"/>
      <c r="T1713" s="760"/>
      <c r="U1713" s="130"/>
      <c r="V1713" s="2107"/>
      <c r="W1713" s="710">
        <v>0.65</v>
      </c>
      <c r="X1713" s="710">
        <v>0.65</v>
      </c>
      <c r="Y1713" s="710"/>
      <c r="Z1713" s="710"/>
      <c r="AA1713" s="710"/>
      <c r="AB1713" s="710"/>
      <c r="AC1713" s="710"/>
      <c r="AD1713" s="710"/>
      <c r="AE1713" s="710"/>
      <c r="AF1713" s="710"/>
      <c r="AG1713" s="710"/>
    </row>
    <row r="1714" spans="1:33" s="56" customFormat="1" ht="15" hidden="1" customHeight="1" outlineLevel="1" x14ac:dyDescent="0.25">
      <c r="A1714" s="724"/>
      <c r="B1714" s="130"/>
      <c r="C1714" s="616"/>
      <c r="D1714" s="2101"/>
      <c r="E1714" s="2104"/>
      <c r="F1714" s="2110" t="str">
        <f>$E$888</f>
        <v>ASHP SEER 17 replace ASHP - early replacement MF ER1</v>
      </c>
      <c r="G1714" s="2111"/>
      <c r="H1714" s="2111"/>
      <c r="I1714" s="2112"/>
      <c r="J1714" s="709"/>
      <c r="K1714" s="710">
        <v>0.65</v>
      </c>
      <c r="L1714" s="670"/>
      <c r="M1714" s="770"/>
      <c r="N1714" s="130"/>
      <c r="O1714" s="251"/>
      <c r="P1714" s="766"/>
      <c r="Q1714" s="767"/>
      <c r="R1714" s="766"/>
      <c r="S1714" s="752"/>
      <c r="T1714" s="760"/>
      <c r="U1714" s="130"/>
      <c r="V1714" s="2107"/>
      <c r="W1714" s="710">
        <v>0.65</v>
      </c>
      <c r="X1714" s="710">
        <v>0.65</v>
      </c>
      <c r="Y1714" s="710"/>
      <c r="Z1714" s="710"/>
      <c r="AA1714" s="710"/>
      <c r="AB1714" s="710"/>
      <c r="AC1714" s="710"/>
      <c r="AD1714" s="710"/>
      <c r="AE1714" s="710"/>
      <c r="AF1714" s="710"/>
      <c r="AG1714" s="710"/>
    </row>
    <row r="1715" spans="1:33" s="56" customFormat="1" ht="15" hidden="1" customHeight="1" outlineLevel="1" x14ac:dyDescent="0.25">
      <c r="A1715" s="724"/>
      <c r="B1715" s="130"/>
      <c r="C1715" s="616"/>
      <c r="D1715" s="2101"/>
      <c r="E1715" s="2104"/>
      <c r="F1715" s="2110" t="str">
        <f>$E$890</f>
        <v>ASHP SEER 17 replace ASHP - early replacement MF ER2</v>
      </c>
      <c r="G1715" s="2111"/>
      <c r="H1715" s="2111"/>
      <c r="I1715" s="2112"/>
      <c r="J1715" s="780"/>
      <c r="K1715" s="784">
        <v>0.65</v>
      </c>
      <c r="L1715" s="670"/>
      <c r="M1715" s="770"/>
      <c r="N1715" s="130"/>
      <c r="O1715" s="251"/>
      <c r="P1715" s="766"/>
      <c r="Q1715" s="767"/>
      <c r="R1715" s="766"/>
      <c r="S1715" s="752"/>
      <c r="T1715" s="760"/>
      <c r="U1715" s="130"/>
      <c r="V1715" s="2107"/>
      <c r="W1715" s="784">
        <v>0.65</v>
      </c>
      <c r="X1715" s="784">
        <v>0.65</v>
      </c>
      <c r="Y1715" s="784"/>
      <c r="Z1715" s="784"/>
      <c r="AA1715" s="784"/>
      <c r="AB1715" s="784"/>
      <c r="AC1715" s="784"/>
      <c r="AD1715" s="784"/>
      <c r="AE1715" s="784"/>
      <c r="AF1715" s="784"/>
      <c r="AG1715" s="784"/>
    </row>
    <row r="1716" spans="1:33" s="56" customFormat="1" hidden="1" outlineLevel="1" x14ac:dyDescent="0.25">
      <c r="A1716" s="724"/>
      <c r="B1716" s="130"/>
      <c r="C1716" s="616"/>
      <c r="D1716" s="2101"/>
      <c r="E1716" s="2104"/>
      <c r="F1716" s="2110" t="str">
        <f>$E$892</f>
        <v>ASHP - SEER 18 - replace electric furnace / CAC - early replacement SF ER1</v>
      </c>
      <c r="G1716" s="2111"/>
      <c r="H1716" s="2111"/>
      <c r="I1716" s="2112"/>
      <c r="J1716" s="709"/>
      <c r="K1716" s="710">
        <v>1</v>
      </c>
      <c r="L1716" s="778"/>
      <c r="M1716" s="770"/>
      <c r="N1716" s="130"/>
      <c r="O1716" s="251"/>
      <c r="P1716" s="766"/>
      <c r="Q1716" s="767"/>
      <c r="R1716" s="766"/>
      <c r="S1716" s="752"/>
      <c r="T1716" s="760"/>
      <c r="U1716" s="130"/>
      <c r="V1716" s="2107"/>
      <c r="W1716" s="710">
        <v>1</v>
      </c>
      <c r="X1716" s="710">
        <v>1</v>
      </c>
      <c r="Y1716" s="710"/>
      <c r="Z1716" s="710"/>
      <c r="AA1716" s="710"/>
      <c r="AB1716" s="710"/>
      <c r="AC1716" s="710"/>
      <c r="AD1716" s="710"/>
      <c r="AE1716" s="710"/>
      <c r="AF1716" s="710"/>
      <c r="AG1716" s="710"/>
    </row>
    <row r="1717" spans="1:33" s="56" customFormat="1" hidden="1" outlineLevel="1" x14ac:dyDescent="0.25">
      <c r="A1717" s="724"/>
      <c r="B1717" s="130"/>
      <c r="C1717" s="616"/>
      <c r="D1717" s="2101"/>
      <c r="E1717" s="2104"/>
      <c r="F1717" s="2110" t="str">
        <f>$E$894</f>
        <v>ASHP - SEER 18 - replace electric furnace / CAC - early replacement SF ER2</v>
      </c>
      <c r="G1717" s="2111"/>
      <c r="H1717" s="2111"/>
      <c r="I1717" s="2112"/>
      <c r="J1717" s="709"/>
      <c r="K1717" s="710">
        <v>1</v>
      </c>
      <c r="L1717" s="778"/>
      <c r="M1717" s="770"/>
      <c r="N1717" s="130"/>
      <c r="O1717" s="251"/>
      <c r="P1717" s="766"/>
      <c r="Q1717" s="767"/>
      <c r="R1717" s="766"/>
      <c r="S1717" s="752"/>
      <c r="T1717" s="760"/>
      <c r="U1717" s="130"/>
      <c r="V1717" s="2107"/>
      <c r="W1717" s="710">
        <v>1</v>
      </c>
      <c r="X1717" s="710">
        <v>1</v>
      </c>
      <c r="Y1717" s="710"/>
      <c r="Z1717" s="710"/>
      <c r="AA1717" s="710"/>
      <c r="AB1717" s="710"/>
      <c r="AC1717" s="710"/>
      <c r="AD1717" s="710"/>
      <c r="AE1717" s="710"/>
      <c r="AF1717" s="710"/>
      <c r="AG1717" s="710"/>
    </row>
    <row r="1718" spans="1:33" s="56" customFormat="1" hidden="1" outlineLevel="1" x14ac:dyDescent="0.25">
      <c r="A1718" s="724"/>
      <c r="B1718" s="130"/>
      <c r="C1718" s="616"/>
      <c r="D1718" s="2101"/>
      <c r="E1718" s="2104"/>
      <c r="F1718" s="2110" t="str">
        <f>$E$896</f>
        <v>ASHP - SEER 18 - replace electric furnace / CAC - early replacement MF ER1</v>
      </c>
      <c r="G1718" s="2111"/>
      <c r="H1718" s="2111"/>
      <c r="I1718" s="2112"/>
      <c r="J1718" s="709"/>
      <c r="K1718" s="710">
        <v>0.65</v>
      </c>
      <c r="L1718" s="778"/>
      <c r="M1718" s="770"/>
      <c r="N1718" s="130"/>
      <c r="O1718" s="251"/>
      <c r="P1718" s="766"/>
      <c r="Q1718" s="767"/>
      <c r="R1718" s="766"/>
      <c r="S1718" s="752"/>
      <c r="T1718" s="760"/>
      <c r="U1718" s="130"/>
      <c r="V1718" s="2107"/>
      <c r="W1718" s="710">
        <v>0.65</v>
      </c>
      <c r="X1718" s="710">
        <v>0.65</v>
      </c>
      <c r="Y1718" s="710"/>
      <c r="Z1718" s="710"/>
      <c r="AA1718" s="710"/>
      <c r="AB1718" s="710"/>
      <c r="AC1718" s="710"/>
      <c r="AD1718" s="710"/>
      <c r="AE1718" s="710"/>
      <c r="AF1718" s="710"/>
      <c r="AG1718" s="710"/>
    </row>
    <row r="1719" spans="1:33" s="56" customFormat="1" hidden="1" outlineLevel="1" x14ac:dyDescent="0.25">
      <c r="A1719" s="724"/>
      <c r="B1719" s="130"/>
      <c r="C1719" s="616"/>
      <c r="D1719" s="2101"/>
      <c r="E1719" s="2104"/>
      <c r="F1719" s="2110" t="str">
        <f>$E$898</f>
        <v>ASHP - SEER 18 - replace electric furnace / CAC - early replacement MF ER2</v>
      </c>
      <c r="G1719" s="2111"/>
      <c r="H1719" s="2111"/>
      <c r="I1719" s="2112"/>
      <c r="J1719" s="709"/>
      <c r="K1719" s="710">
        <v>0.65</v>
      </c>
      <c r="L1719" s="778"/>
      <c r="M1719" s="770"/>
      <c r="N1719" s="130"/>
      <c r="O1719" s="251"/>
      <c r="P1719" s="766"/>
      <c r="Q1719" s="767"/>
      <c r="R1719" s="766"/>
      <c r="S1719" s="752"/>
      <c r="T1719" s="760"/>
      <c r="U1719" s="130"/>
      <c r="V1719" s="2107"/>
      <c r="W1719" s="710">
        <v>0.65</v>
      </c>
      <c r="X1719" s="710">
        <v>0.65</v>
      </c>
      <c r="Y1719" s="710"/>
      <c r="Z1719" s="710"/>
      <c r="AA1719" s="710"/>
      <c r="AB1719" s="710"/>
      <c r="AC1719" s="710"/>
      <c r="AD1719" s="710"/>
      <c r="AE1719" s="710"/>
      <c r="AF1719" s="710"/>
      <c r="AG1719" s="710"/>
    </row>
    <row r="1720" spans="1:33" s="56" customFormat="1" hidden="1" outlineLevel="1" x14ac:dyDescent="0.25">
      <c r="A1720" s="724"/>
      <c r="B1720" s="130"/>
      <c r="C1720" s="616"/>
      <c r="D1720" s="2101"/>
      <c r="E1720" s="2104"/>
      <c r="F1720" s="2110" t="str">
        <f>$E$900</f>
        <v>ASHP SEER 18 replace ASHP - early replacement MF ER1</v>
      </c>
      <c r="G1720" s="2111"/>
      <c r="H1720" s="2111"/>
      <c r="I1720" s="2112"/>
      <c r="J1720" s="709"/>
      <c r="K1720" s="710">
        <v>0.65</v>
      </c>
      <c r="L1720" s="778"/>
      <c r="M1720" s="770"/>
      <c r="N1720" s="130"/>
      <c r="O1720" s="251"/>
      <c r="P1720" s="766"/>
      <c r="Q1720" s="767"/>
      <c r="R1720" s="766"/>
      <c r="S1720" s="752"/>
      <c r="T1720" s="760"/>
      <c r="U1720" s="130"/>
      <c r="V1720" s="2107"/>
      <c r="W1720" s="710">
        <v>0.65</v>
      </c>
      <c r="X1720" s="710">
        <v>0.65</v>
      </c>
      <c r="Y1720" s="710"/>
      <c r="Z1720" s="710"/>
      <c r="AA1720" s="710"/>
      <c r="AB1720" s="710"/>
      <c r="AC1720" s="710"/>
      <c r="AD1720" s="710"/>
      <c r="AE1720" s="710"/>
      <c r="AF1720" s="710"/>
      <c r="AG1720" s="710"/>
    </row>
    <row r="1721" spans="1:33" s="56" customFormat="1" hidden="1" outlineLevel="1" x14ac:dyDescent="0.25">
      <c r="A1721" s="724"/>
      <c r="B1721" s="130"/>
      <c r="C1721" s="616"/>
      <c r="D1721" s="2101"/>
      <c r="E1721" s="2104"/>
      <c r="F1721" s="2110" t="str">
        <f>$E$902</f>
        <v>ASHP SEER 18 replace ASHP - early replacement MF ER2</v>
      </c>
      <c r="G1721" s="2111"/>
      <c r="H1721" s="2111"/>
      <c r="I1721" s="2112"/>
      <c r="J1721" s="709"/>
      <c r="K1721" s="710">
        <v>0.65</v>
      </c>
      <c r="L1721" s="778"/>
      <c r="M1721" s="770"/>
      <c r="N1721" s="130"/>
      <c r="O1721" s="251"/>
      <c r="P1721" s="766"/>
      <c r="Q1721" s="767"/>
      <c r="R1721" s="766"/>
      <c r="S1721" s="752"/>
      <c r="T1721" s="760"/>
      <c r="U1721" s="130"/>
      <c r="V1721" s="2107"/>
      <c r="W1721" s="710">
        <v>0.65</v>
      </c>
      <c r="X1721" s="710">
        <v>0.65</v>
      </c>
      <c r="Y1721" s="710"/>
      <c r="Z1721" s="710"/>
      <c r="AA1721" s="710"/>
      <c r="AB1721" s="710"/>
      <c r="AC1721" s="710"/>
      <c r="AD1721" s="710"/>
      <c r="AE1721" s="710"/>
      <c r="AF1721" s="710"/>
      <c r="AG1721" s="710"/>
    </row>
    <row r="1722" spans="1:33" s="56" customFormat="1" hidden="1" outlineLevel="1" x14ac:dyDescent="0.25">
      <c r="A1722" s="724"/>
      <c r="B1722" s="130"/>
      <c r="C1722" s="616"/>
      <c r="D1722" s="2101"/>
      <c r="E1722" s="2104"/>
      <c r="F1722" s="2110" t="str">
        <f>$E$904</f>
        <v>ASHP - SEER 19 - replace electric furnace / CAC - early replacement SF ER1</v>
      </c>
      <c r="G1722" s="2111"/>
      <c r="H1722" s="2111"/>
      <c r="I1722" s="2112"/>
      <c r="J1722" s="709"/>
      <c r="K1722" s="710">
        <v>1</v>
      </c>
      <c r="L1722" s="778"/>
      <c r="M1722" s="770"/>
      <c r="N1722" s="130"/>
      <c r="O1722" s="251"/>
      <c r="P1722" s="766"/>
      <c r="Q1722" s="767"/>
      <c r="R1722" s="766"/>
      <c r="S1722" s="752"/>
      <c r="T1722" s="760"/>
      <c r="U1722" s="130"/>
      <c r="V1722" s="2107"/>
      <c r="W1722" s="710">
        <v>1</v>
      </c>
      <c r="X1722" s="710">
        <v>1</v>
      </c>
      <c r="Y1722" s="710"/>
      <c r="Z1722" s="710"/>
      <c r="AA1722" s="710"/>
      <c r="AB1722" s="710"/>
      <c r="AC1722" s="710"/>
      <c r="AD1722" s="710"/>
      <c r="AE1722" s="710"/>
      <c r="AF1722" s="710"/>
      <c r="AG1722" s="710"/>
    </row>
    <row r="1723" spans="1:33" s="56" customFormat="1" hidden="1" outlineLevel="1" x14ac:dyDescent="0.25">
      <c r="A1723" s="724"/>
      <c r="B1723" s="130"/>
      <c r="C1723" s="616"/>
      <c r="D1723" s="2101"/>
      <c r="E1723" s="2104"/>
      <c r="F1723" s="2110" t="str">
        <f>$E$906</f>
        <v>ASHP - SEER 19 - replace electric furnace / CAC - early replacement SF ER2</v>
      </c>
      <c r="G1723" s="2111"/>
      <c r="H1723" s="2111"/>
      <c r="I1723" s="2112"/>
      <c r="J1723" s="709"/>
      <c r="K1723" s="710">
        <v>1</v>
      </c>
      <c r="L1723" s="778"/>
      <c r="M1723" s="770"/>
      <c r="N1723" s="130"/>
      <c r="O1723" s="251"/>
      <c r="P1723" s="766"/>
      <c r="Q1723" s="767"/>
      <c r="R1723" s="766"/>
      <c r="S1723" s="752"/>
      <c r="T1723" s="760"/>
      <c r="U1723" s="130"/>
      <c r="V1723" s="2107"/>
      <c r="W1723" s="710">
        <v>1</v>
      </c>
      <c r="X1723" s="710">
        <v>1</v>
      </c>
      <c r="Y1723" s="710"/>
      <c r="Z1723" s="710"/>
      <c r="AA1723" s="710"/>
      <c r="AB1723" s="710"/>
      <c r="AC1723" s="710"/>
      <c r="AD1723" s="710"/>
      <c r="AE1723" s="710"/>
      <c r="AF1723" s="710"/>
      <c r="AG1723" s="710"/>
    </row>
    <row r="1724" spans="1:33" s="56" customFormat="1" hidden="1" outlineLevel="1" x14ac:dyDescent="0.25">
      <c r="A1724" s="724"/>
      <c r="B1724" s="130"/>
      <c r="C1724" s="616"/>
      <c r="D1724" s="2101"/>
      <c r="E1724" s="2104"/>
      <c r="F1724" s="2110" t="str">
        <f>$E$908</f>
        <v>ASHP - SEER 19 - replace electric furnace / CAC - early replacement MF ER1</v>
      </c>
      <c r="G1724" s="2111"/>
      <c r="H1724" s="2111"/>
      <c r="I1724" s="2112"/>
      <c r="J1724" s="709"/>
      <c r="K1724" s="710">
        <v>0.65</v>
      </c>
      <c r="L1724" s="778"/>
      <c r="M1724" s="770"/>
      <c r="N1724" s="130"/>
      <c r="O1724" s="251"/>
      <c r="P1724" s="766"/>
      <c r="Q1724" s="767"/>
      <c r="R1724" s="766"/>
      <c r="S1724" s="752"/>
      <c r="T1724" s="760"/>
      <c r="U1724" s="130"/>
      <c r="V1724" s="2107"/>
      <c r="W1724" s="710">
        <v>0.65</v>
      </c>
      <c r="X1724" s="710">
        <v>0.65</v>
      </c>
      <c r="Y1724" s="710"/>
      <c r="Z1724" s="710"/>
      <c r="AA1724" s="710"/>
      <c r="AB1724" s="710"/>
      <c r="AC1724" s="710"/>
      <c r="AD1724" s="710"/>
      <c r="AE1724" s="710"/>
      <c r="AF1724" s="710"/>
      <c r="AG1724" s="710"/>
    </row>
    <row r="1725" spans="1:33" s="56" customFormat="1" hidden="1" outlineLevel="1" x14ac:dyDescent="0.25">
      <c r="A1725" s="724"/>
      <c r="B1725" s="130"/>
      <c r="C1725" s="616"/>
      <c r="D1725" s="2101"/>
      <c r="E1725" s="2104"/>
      <c r="F1725" s="2110" t="str">
        <f>$E$910</f>
        <v>ASHP - SEER 19 - replace electric furnace / CAC - early replacement MF ER2</v>
      </c>
      <c r="G1725" s="2111"/>
      <c r="H1725" s="2111"/>
      <c r="I1725" s="2112"/>
      <c r="J1725" s="709"/>
      <c r="K1725" s="710">
        <v>0.65</v>
      </c>
      <c r="L1725" s="778"/>
      <c r="M1725" s="770"/>
      <c r="N1725" s="130"/>
      <c r="O1725" s="251"/>
      <c r="P1725" s="766"/>
      <c r="Q1725" s="767"/>
      <c r="R1725" s="766"/>
      <c r="S1725" s="752"/>
      <c r="T1725" s="760"/>
      <c r="U1725" s="130"/>
      <c r="V1725" s="2107"/>
      <c r="W1725" s="710">
        <v>0.65</v>
      </c>
      <c r="X1725" s="710">
        <v>0.65</v>
      </c>
      <c r="Y1725" s="710"/>
      <c r="Z1725" s="710"/>
      <c r="AA1725" s="710"/>
      <c r="AB1725" s="710"/>
      <c r="AC1725" s="710"/>
      <c r="AD1725" s="710"/>
      <c r="AE1725" s="710"/>
      <c r="AF1725" s="710"/>
      <c r="AG1725" s="710"/>
    </row>
    <row r="1726" spans="1:33" s="56" customFormat="1" hidden="1" outlineLevel="1" x14ac:dyDescent="0.25">
      <c r="A1726" s="724"/>
      <c r="B1726" s="130"/>
      <c r="C1726" s="616"/>
      <c r="D1726" s="2101"/>
      <c r="E1726" s="2104"/>
      <c r="F1726" s="2110" t="str">
        <f>$E$912</f>
        <v>ASHP SEER 19 replace ASHP - early replacement MF ER1</v>
      </c>
      <c r="G1726" s="2111"/>
      <c r="H1726" s="2111"/>
      <c r="I1726" s="2112"/>
      <c r="J1726" s="709"/>
      <c r="K1726" s="710">
        <v>0.65</v>
      </c>
      <c r="L1726" s="778"/>
      <c r="M1726" s="770"/>
      <c r="N1726" s="130"/>
      <c r="O1726" s="251"/>
      <c r="P1726" s="766"/>
      <c r="Q1726" s="767"/>
      <c r="R1726" s="766"/>
      <c r="S1726" s="752"/>
      <c r="T1726" s="760"/>
      <c r="U1726" s="130"/>
      <c r="V1726" s="2107"/>
      <c r="W1726" s="710">
        <v>0.65</v>
      </c>
      <c r="X1726" s="710">
        <v>0.65</v>
      </c>
      <c r="Y1726" s="710"/>
      <c r="Z1726" s="710"/>
      <c r="AA1726" s="710"/>
      <c r="AB1726" s="710"/>
      <c r="AC1726" s="710"/>
      <c r="AD1726" s="710"/>
      <c r="AE1726" s="710"/>
      <c r="AF1726" s="710"/>
      <c r="AG1726" s="710"/>
    </row>
    <row r="1727" spans="1:33" s="56" customFormat="1" hidden="1" outlineLevel="1" x14ac:dyDescent="0.25">
      <c r="A1727" s="724"/>
      <c r="B1727" s="130"/>
      <c r="C1727" s="616"/>
      <c r="D1727" s="2101"/>
      <c r="E1727" s="2104"/>
      <c r="F1727" s="2110" t="str">
        <f>$E$914</f>
        <v>ASHP SEER 19 replace ASHP - early replacement MF ER2</v>
      </c>
      <c r="G1727" s="2111"/>
      <c r="H1727" s="2111"/>
      <c r="I1727" s="2112"/>
      <c r="J1727" s="709"/>
      <c r="K1727" s="710">
        <v>0.65</v>
      </c>
      <c r="L1727" s="778"/>
      <c r="M1727" s="770"/>
      <c r="N1727" s="130"/>
      <c r="O1727" s="251"/>
      <c r="P1727" s="766"/>
      <c r="Q1727" s="767"/>
      <c r="R1727" s="766"/>
      <c r="S1727" s="752"/>
      <c r="T1727" s="760"/>
      <c r="U1727" s="130"/>
      <c r="V1727" s="2107"/>
      <c r="W1727" s="710">
        <v>0.65</v>
      </c>
      <c r="X1727" s="710">
        <v>0.65</v>
      </c>
      <c r="Y1727" s="710"/>
      <c r="Z1727" s="710"/>
      <c r="AA1727" s="710"/>
      <c r="AB1727" s="710"/>
      <c r="AC1727" s="710"/>
      <c r="AD1727" s="710"/>
      <c r="AE1727" s="710"/>
      <c r="AF1727" s="710"/>
      <c r="AG1727" s="710"/>
    </row>
    <row r="1728" spans="1:33" s="56" customFormat="1" hidden="1" outlineLevel="1" x14ac:dyDescent="0.25">
      <c r="A1728" s="724"/>
      <c r="B1728" s="130"/>
      <c r="C1728" s="616"/>
      <c r="D1728" s="2101"/>
      <c r="E1728" s="2104"/>
      <c r="F1728" s="2110" t="str">
        <f>$E$916</f>
        <v>ASHP SEER 20 replace ASHP - early replacement SF ER1</v>
      </c>
      <c r="G1728" s="2111"/>
      <c r="H1728" s="2111"/>
      <c r="I1728" s="2112"/>
      <c r="J1728" s="709"/>
      <c r="K1728" s="710">
        <v>1</v>
      </c>
      <c r="L1728" s="778"/>
      <c r="M1728" s="770"/>
      <c r="N1728" s="130"/>
      <c r="O1728" s="251"/>
      <c r="P1728" s="766"/>
      <c r="Q1728" s="767"/>
      <c r="R1728" s="766"/>
      <c r="S1728" s="752"/>
      <c r="T1728" s="760"/>
      <c r="U1728" s="130"/>
      <c r="V1728" s="2107"/>
      <c r="W1728" s="710">
        <v>1</v>
      </c>
      <c r="X1728" s="710">
        <v>1</v>
      </c>
      <c r="Y1728" s="710"/>
      <c r="Z1728" s="710"/>
      <c r="AA1728" s="710"/>
      <c r="AB1728" s="710"/>
      <c r="AC1728" s="710"/>
      <c r="AD1728" s="710"/>
      <c r="AE1728" s="710"/>
      <c r="AF1728" s="710"/>
      <c r="AG1728" s="710"/>
    </row>
    <row r="1729" spans="1:33" s="56" customFormat="1" hidden="1" outlineLevel="1" x14ac:dyDescent="0.25">
      <c r="A1729" s="724"/>
      <c r="B1729" s="130"/>
      <c r="C1729" s="616"/>
      <c r="D1729" s="2101"/>
      <c r="E1729" s="2104"/>
      <c r="F1729" s="2110" t="str">
        <f>$E$918</f>
        <v>ASHP SEER 20 replace ASHP - early replacement SF ER2</v>
      </c>
      <c r="G1729" s="2111"/>
      <c r="H1729" s="2111"/>
      <c r="I1729" s="2112"/>
      <c r="J1729" s="709"/>
      <c r="K1729" s="710">
        <v>1</v>
      </c>
      <c r="L1729" s="778"/>
      <c r="M1729" s="770"/>
      <c r="N1729" s="130"/>
      <c r="O1729" s="251"/>
      <c r="P1729" s="766"/>
      <c r="Q1729" s="767"/>
      <c r="R1729" s="766"/>
      <c r="S1729" s="752"/>
      <c r="T1729" s="760"/>
      <c r="U1729" s="130"/>
      <c r="V1729" s="2107"/>
      <c r="W1729" s="710">
        <v>1</v>
      </c>
      <c r="X1729" s="710">
        <v>1</v>
      </c>
      <c r="Y1729" s="710"/>
      <c r="Z1729" s="710"/>
      <c r="AA1729" s="710"/>
      <c r="AB1729" s="710"/>
      <c r="AC1729" s="710"/>
      <c r="AD1729" s="710"/>
      <c r="AE1729" s="710"/>
      <c r="AF1729" s="710"/>
      <c r="AG1729" s="710"/>
    </row>
    <row r="1730" spans="1:33" s="56" customFormat="1" hidden="1" outlineLevel="1" x14ac:dyDescent="0.25">
      <c r="A1730" s="724"/>
      <c r="B1730" s="130"/>
      <c r="C1730" s="616"/>
      <c r="D1730" s="2101"/>
      <c r="E1730" s="2104"/>
      <c r="F1730" s="2110" t="str">
        <f>$E$920</f>
        <v>ASHP SEER 20 replace ASHP - replace on fail SF</v>
      </c>
      <c r="G1730" s="2111"/>
      <c r="H1730" s="2111"/>
      <c r="I1730" s="2112"/>
      <c r="J1730" s="709"/>
      <c r="K1730" s="710">
        <v>1</v>
      </c>
      <c r="L1730" s="778"/>
      <c r="M1730" s="770"/>
      <c r="N1730" s="130"/>
      <c r="O1730" s="251"/>
      <c r="P1730" s="766"/>
      <c r="Q1730" s="767"/>
      <c r="R1730" s="766"/>
      <c r="S1730" s="752"/>
      <c r="T1730" s="760"/>
      <c r="U1730" s="130"/>
      <c r="V1730" s="2107"/>
      <c r="W1730" s="710">
        <v>1</v>
      </c>
      <c r="X1730" s="710">
        <v>1</v>
      </c>
      <c r="Y1730" s="710"/>
      <c r="Z1730" s="710"/>
      <c r="AA1730" s="710"/>
      <c r="AB1730" s="710"/>
      <c r="AC1730" s="710"/>
      <c r="AD1730" s="710"/>
      <c r="AE1730" s="710"/>
      <c r="AF1730" s="710"/>
      <c r="AG1730" s="710"/>
    </row>
    <row r="1731" spans="1:33" s="56" customFormat="1" hidden="1" outlineLevel="1" x14ac:dyDescent="0.25">
      <c r="A1731" s="724"/>
      <c r="B1731" s="130"/>
      <c r="C1731" s="616"/>
      <c r="D1731" s="2101"/>
      <c r="E1731" s="2104"/>
      <c r="F1731" s="2110" t="str">
        <f>$E$922</f>
        <v>ASHP - SEER 20 - replace electric furnace / CAC - early replacement MF ER1</v>
      </c>
      <c r="G1731" s="2111"/>
      <c r="H1731" s="2111"/>
      <c r="I1731" s="2112"/>
      <c r="J1731" s="709"/>
      <c r="K1731" s="710">
        <v>0.65</v>
      </c>
      <c r="L1731" s="778"/>
      <c r="M1731" s="770"/>
      <c r="N1731" s="130"/>
      <c r="O1731" s="251"/>
      <c r="P1731" s="766"/>
      <c r="Q1731" s="767"/>
      <c r="R1731" s="766"/>
      <c r="S1731" s="752"/>
      <c r="T1731" s="760"/>
      <c r="U1731" s="130"/>
      <c r="V1731" s="2107"/>
      <c r="W1731" s="710">
        <v>0.65</v>
      </c>
      <c r="X1731" s="710">
        <v>0.65</v>
      </c>
      <c r="Y1731" s="710"/>
      <c r="Z1731" s="710"/>
      <c r="AA1731" s="710"/>
      <c r="AB1731" s="710"/>
      <c r="AC1731" s="710"/>
      <c r="AD1731" s="710"/>
      <c r="AE1731" s="710"/>
      <c r="AF1731" s="710"/>
      <c r="AG1731" s="710"/>
    </row>
    <row r="1732" spans="1:33" s="56" customFormat="1" hidden="1" outlineLevel="1" x14ac:dyDescent="0.25">
      <c r="A1732" s="724"/>
      <c r="B1732" s="130"/>
      <c r="C1732" s="616"/>
      <c r="D1732" s="2101"/>
      <c r="E1732" s="2104"/>
      <c r="F1732" s="2110" t="str">
        <f>$E$924</f>
        <v>ASHP - SEER 20 - replace electric furnace / CAC - early replacement MF ER2</v>
      </c>
      <c r="G1732" s="2111"/>
      <c r="H1732" s="2111"/>
      <c r="I1732" s="2112"/>
      <c r="J1732" s="709"/>
      <c r="K1732" s="710">
        <v>0.65</v>
      </c>
      <c r="L1732" s="778"/>
      <c r="M1732" s="770"/>
      <c r="N1732" s="130"/>
      <c r="O1732" s="251"/>
      <c r="P1732" s="766"/>
      <c r="Q1732" s="767"/>
      <c r="R1732" s="766"/>
      <c r="S1732" s="752"/>
      <c r="T1732" s="760"/>
      <c r="U1732" s="130"/>
      <c r="V1732" s="2107"/>
      <c r="W1732" s="710">
        <v>0.65</v>
      </c>
      <c r="X1732" s="710">
        <v>0.65</v>
      </c>
      <c r="Y1732" s="710"/>
      <c r="Z1732" s="710"/>
      <c r="AA1732" s="710"/>
      <c r="AB1732" s="710"/>
      <c r="AC1732" s="710"/>
      <c r="AD1732" s="710"/>
      <c r="AE1732" s="710"/>
      <c r="AF1732" s="710"/>
      <c r="AG1732" s="710"/>
    </row>
    <row r="1733" spans="1:33" s="56" customFormat="1" hidden="1" outlineLevel="1" x14ac:dyDescent="0.25">
      <c r="A1733" s="724"/>
      <c r="B1733" s="130"/>
      <c r="C1733" s="616"/>
      <c r="D1733" s="2101"/>
      <c r="E1733" s="2104"/>
      <c r="F1733" s="2110" t="str">
        <f>$E$926</f>
        <v>ASHP SEER 20 replace ASHP - early replacement MF ER1</v>
      </c>
      <c r="G1733" s="2111"/>
      <c r="H1733" s="2111"/>
      <c r="I1733" s="2112"/>
      <c r="J1733" s="709"/>
      <c r="K1733" s="710">
        <v>0.65</v>
      </c>
      <c r="L1733" s="778"/>
      <c r="M1733" s="770"/>
      <c r="N1733" s="130"/>
      <c r="O1733" s="251"/>
      <c r="P1733" s="766"/>
      <c r="Q1733" s="767"/>
      <c r="R1733" s="766"/>
      <c r="S1733" s="752"/>
      <c r="T1733" s="760"/>
      <c r="U1733" s="130"/>
      <c r="V1733" s="2107"/>
      <c r="W1733" s="710">
        <v>0.65</v>
      </c>
      <c r="X1733" s="710">
        <v>0.65</v>
      </c>
      <c r="Y1733" s="710"/>
      <c r="Z1733" s="710"/>
      <c r="AA1733" s="710"/>
      <c r="AB1733" s="710"/>
      <c r="AC1733" s="710"/>
      <c r="AD1733" s="710"/>
      <c r="AE1733" s="710"/>
      <c r="AF1733" s="710"/>
      <c r="AG1733" s="710"/>
    </row>
    <row r="1734" spans="1:33" s="56" customFormat="1" hidden="1" outlineLevel="1" x14ac:dyDescent="0.25">
      <c r="A1734" s="724"/>
      <c r="B1734" s="130"/>
      <c r="C1734" s="616"/>
      <c r="D1734" s="2101"/>
      <c r="E1734" s="2104"/>
      <c r="F1734" s="2110" t="str">
        <f>$E$928</f>
        <v>ASHP SEER 20 replace ASHP - early replacement MF ER2</v>
      </c>
      <c r="G1734" s="2111"/>
      <c r="H1734" s="2111"/>
      <c r="I1734" s="2112"/>
      <c r="J1734" s="709"/>
      <c r="K1734" s="710">
        <v>0.65</v>
      </c>
      <c r="L1734" s="778"/>
      <c r="M1734" s="770"/>
      <c r="N1734" s="130"/>
      <c r="O1734" s="251"/>
      <c r="P1734" s="766"/>
      <c r="Q1734" s="767"/>
      <c r="R1734" s="766"/>
      <c r="S1734" s="752"/>
      <c r="T1734" s="760"/>
      <c r="U1734" s="130"/>
      <c r="V1734" s="2107"/>
      <c r="W1734" s="710">
        <v>0.65</v>
      </c>
      <c r="X1734" s="710">
        <v>0.65</v>
      </c>
      <c r="Y1734" s="710"/>
      <c r="Z1734" s="710"/>
      <c r="AA1734" s="710"/>
      <c r="AB1734" s="710"/>
      <c r="AC1734" s="710"/>
      <c r="AD1734" s="710"/>
      <c r="AE1734" s="710"/>
      <c r="AF1734" s="710"/>
      <c r="AG1734" s="710"/>
    </row>
    <row r="1735" spans="1:33" s="56" customFormat="1" hidden="1" outlineLevel="1" x14ac:dyDescent="0.25">
      <c r="A1735" s="724"/>
      <c r="B1735" s="130"/>
      <c r="C1735" s="616"/>
      <c r="D1735" s="2101"/>
      <c r="E1735" s="2104"/>
      <c r="F1735" s="2110" t="str">
        <f>$E$930</f>
        <v>ASHP SEER 21 replace ASHP - early replacement SF ER1</v>
      </c>
      <c r="G1735" s="2111"/>
      <c r="H1735" s="2111"/>
      <c r="I1735" s="2112"/>
      <c r="J1735" s="709"/>
      <c r="K1735" s="710">
        <v>1</v>
      </c>
      <c r="L1735" s="778"/>
      <c r="M1735" s="770"/>
      <c r="N1735" s="130"/>
      <c r="O1735" s="251"/>
      <c r="P1735" s="766"/>
      <c r="Q1735" s="767"/>
      <c r="R1735" s="766"/>
      <c r="S1735" s="752"/>
      <c r="T1735" s="760"/>
      <c r="U1735" s="130"/>
      <c r="V1735" s="2107"/>
      <c r="W1735" s="710">
        <v>1</v>
      </c>
      <c r="X1735" s="710">
        <v>1</v>
      </c>
      <c r="Y1735" s="710"/>
      <c r="Z1735" s="710"/>
      <c r="AA1735" s="710"/>
      <c r="AB1735" s="710"/>
      <c r="AC1735" s="710"/>
      <c r="AD1735" s="710"/>
      <c r="AE1735" s="710"/>
      <c r="AF1735" s="710"/>
      <c r="AG1735" s="710"/>
    </row>
    <row r="1736" spans="1:33" s="56" customFormat="1" hidden="1" outlineLevel="1" x14ac:dyDescent="0.25">
      <c r="A1736" s="724"/>
      <c r="B1736" s="130"/>
      <c r="C1736" s="616"/>
      <c r="D1736" s="2101"/>
      <c r="E1736" s="2104"/>
      <c r="F1736" s="2110" t="str">
        <f>$E$932</f>
        <v>ASHP SEER 21 replace ASHP - early replacement SF ER2</v>
      </c>
      <c r="G1736" s="2111"/>
      <c r="H1736" s="2111"/>
      <c r="I1736" s="2112"/>
      <c r="J1736" s="709"/>
      <c r="K1736" s="710">
        <v>1</v>
      </c>
      <c r="L1736" s="778"/>
      <c r="M1736" s="770"/>
      <c r="N1736" s="130"/>
      <c r="O1736" s="251"/>
      <c r="P1736" s="766"/>
      <c r="Q1736" s="767"/>
      <c r="R1736" s="766"/>
      <c r="S1736" s="752"/>
      <c r="T1736" s="760"/>
      <c r="U1736" s="130"/>
      <c r="V1736" s="2107"/>
      <c r="W1736" s="710">
        <v>1</v>
      </c>
      <c r="X1736" s="710">
        <v>1</v>
      </c>
      <c r="Y1736" s="710"/>
      <c r="Z1736" s="710"/>
      <c r="AA1736" s="710"/>
      <c r="AB1736" s="710"/>
      <c r="AC1736" s="710"/>
      <c r="AD1736" s="710"/>
      <c r="AE1736" s="710"/>
      <c r="AF1736" s="710"/>
      <c r="AG1736" s="710"/>
    </row>
    <row r="1737" spans="1:33" s="56" customFormat="1" hidden="1" outlineLevel="1" x14ac:dyDescent="0.25">
      <c r="A1737" s="724"/>
      <c r="B1737" s="130"/>
      <c r="C1737" s="616"/>
      <c r="D1737" s="2101"/>
      <c r="E1737" s="2104"/>
      <c r="F1737" s="2110" t="str">
        <f>$E$934</f>
        <v>ASHP SEER 21 replace ASHP - replace on fail SF</v>
      </c>
      <c r="G1737" s="2111"/>
      <c r="H1737" s="2111"/>
      <c r="I1737" s="2112"/>
      <c r="J1737" s="709"/>
      <c r="K1737" s="710">
        <v>1</v>
      </c>
      <c r="L1737" s="778"/>
      <c r="M1737" s="770"/>
      <c r="N1737" s="130"/>
      <c r="O1737" s="251"/>
      <c r="P1737" s="766"/>
      <c r="Q1737" s="767"/>
      <c r="R1737" s="766"/>
      <c r="S1737" s="752"/>
      <c r="T1737" s="760"/>
      <c r="U1737" s="130"/>
      <c r="V1737" s="2107"/>
      <c r="W1737" s="710">
        <v>1</v>
      </c>
      <c r="X1737" s="710">
        <v>1</v>
      </c>
      <c r="Y1737" s="710"/>
      <c r="Z1737" s="710"/>
      <c r="AA1737" s="710"/>
      <c r="AB1737" s="710"/>
      <c r="AC1737" s="710"/>
      <c r="AD1737" s="710"/>
      <c r="AE1737" s="710"/>
      <c r="AF1737" s="710"/>
      <c r="AG1737" s="710"/>
    </row>
    <row r="1738" spans="1:33" s="56" customFormat="1" hidden="1" outlineLevel="1" x14ac:dyDescent="0.25">
      <c r="A1738" s="724"/>
      <c r="B1738" s="130"/>
      <c r="C1738" s="616"/>
      <c r="D1738" s="2101"/>
      <c r="E1738" s="2104"/>
      <c r="F1738" s="2110" t="str">
        <f>$E$936</f>
        <v>ASHP - SEER 21 - replace electric furnace / CAC MF</v>
      </c>
      <c r="G1738" s="2111"/>
      <c r="H1738" s="2111"/>
      <c r="I1738" s="2112"/>
      <c r="J1738" s="709"/>
      <c r="K1738" s="710">
        <v>0.65</v>
      </c>
      <c r="L1738" s="778"/>
      <c r="M1738" s="770"/>
      <c r="N1738" s="130"/>
      <c r="O1738" s="251"/>
      <c r="P1738" s="766"/>
      <c r="Q1738" s="767"/>
      <c r="R1738" s="766"/>
      <c r="S1738" s="752"/>
      <c r="T1738" s="760"/>
      <c r="U1738" s="130"/>
      <c r="V1738" s="2107"/>
      <c r="W1738" s="710">
        <v>0.65</v>
      </c>
      <c r="X1738" s="710">
        <v>0.65</v>
      </c>
      <c r="Y1738" s="710"/>
      <c r="Z1738" s="710"/>
      <c r="AA1738" s="710"/>
      <c r="AB1738" s="710"/>
      <c r="AC1738" s="710"/>
      <c r="AD1738" s="710"/>
      <c r="AE1738" s="710"/>
      <c r="AF1738" s="710"/>
      <c r="AG1738" s="710"/>
    </row>
    <row r="1739" spans="1:33" s="56" customFormat="1" hidden="1" outlineLevel="1" x14ac:dyDescent="0.25">
      <c r="A1739" s="724"/>
      <c r="B1739" s="130"/>
      <c r="C1739" s="616"/>
      <c r="D1739" s="2101"/>
      <c r="E1739" s="2104"/>
      <c r="F1739" s="2110" t="str">
        <f>$E$938</f>
        <v>ASHP SEER 21 replace ASHP - early replacement MF ER1</v>
      </c>
      <c r="G1739" s="2111"/>
      <c r="H1739" s="2111"/>
      <c r="I1739" s="2112"/>
      <c r="J1739" s="709"/>
      <c r="K1739" s="710">
        <v>0.65</v>
      </c>
      <c r="L1739" s="778"/>
      <c r="M1739" s="770"/>
      <c r="N1739" s="130"/>
      <c r="O1739" s="251"/>
      <c r="P1739" s="766"/>
      <c r="Q1739" s="767"/>
      <c r="R1739" s="766"/>
      <c r="S1739" s="752"/>
      <c r="T1739" s="760"/>
      <c r="U1739" s="130"/>
      <c r="V1739" s="2107"/>
      <c r="W1739" s="710">
        <v>0.65</v>
      </c>
      <c r="X1739" s="710">
        <v>0.65</v>
      </c>
      <c r="Y1739" s="710"/>
      <c r="Z1739" s="710"/>
      <c r="AA1739" s="710"/>
      <c r="AB1739" s="710"/>
      <c r="AC1739" s="710"/>
      <c r="AD1739" s="710"/>
      <c r="AE1739" s="710"/>
      <c r="AF1739" s="710"/>
      <c r="AG1739" s="710"/>
    </row>
    <row r="1740" spans="1:33" s="56" customFormat="1" hidden="1" outlineLevel="1" x14ac:dyDescent="0.25">
      <c r="A1740" s="724"/>
      <c r="B1740" s="130"/>
      <c r="C1740" s="616"/>
      <c r="D1740" s="2101"/>
      <c r="E1740" s="2104"/>
      <c r="F1740" s="2110" t="str">
        <f>$E$940</f>
        <v>ASHP SEER 21 replace ASHP - early replacement MF ER2</v>
      </c>
      <c r="G1740" s="2111"/>
      <c r="H1740" s="2111"/>
      <c r="I1740" s="2112"/>
      <c r="J1740" s="709"/>
      <c r="K1740" s="710">
        <v>0.65</v>
      </c>
      <c r="L1740" s="778"/>
      <c r="M1740" s="770"/>
      <c r="N1740" s="130"/>
      <c r="O1740" s="251"/>
      <c r="P1740" s="766"/>
      <c r="Q1740" s="767"/>
      <c r="R1740" s="766"/>
      <c r="S1740" s="752"/>
      <c r="T1740" s="760"/>
      <c r="U1740" s="130"/>
      <c r="V1740" s="2107"/>
      <c r="W1740" s="710">
        <v>0.65</v>
      </c>
      <c r="X1740" s="710">
        <v>0.65</v>
      </c>
      <c r="Y1740" s="710"/>
      <c r="Z1740" s="710"/>
      <c r="AA1740" s="710"/>
      <c r="AB1740" s="710"/>
      <c r="AC1740" s="710"/>
      <c r="AD1740" s="710"/>
      <c r="AE1740" s="710"/>
      <c r="AF1740" s="710"/>
      <c r="AG1740" s="710"/>
    </row>
    <row r="1741" spans="1:33" s="56" customFormat="1" ht="15" hidden="1" customHeight="1" outlineLevel="1" x14ac:dyDescent="0.25">
      <c r="A1741" s="724"/>
      <c r="B1741" s="130"/>
      <c r="C1741" s="616"/>
      <c r="D1741" s="2101"/>
      <c r="E1741" s="2104"/>
      <c r="F1741" s="2110" t="str">
        <f>$E$942</f>
        <v>ASHP - SEER 17 - replace on fail MF</v>
      </c>
      <c r="G1741" s="2111"/>
      <c r="H1741" s="2111"/>
      <c r="I1741" s="2112"/>
      <c r="J1741" s="709" t="s">
        <v>1198</v>
      </c>
      <c r="K1741" s="710">
        <v>0.65</v>
      </c>
      <c r="L1741" s="670"/>
      <c r="M1741" s="613" t="s">
        <v>972</v>
      </c>
      <c r="N1741" s="130"/>
      <c r="O1741" s="251"/>
      <c r="P1741" s="766"/>
      <c r="Q1741" s="767"/>
      <c r="R1741" s="766"/>
      <c r="S1741" s="752"/>
      <c r="T1741" s="760"/>
      <c r="U1741" s="130"/>
      <c r="V1741" s="2107"/>
      <c r="W1741" s="710">
        <v>0.65</v>
      </c>
      <c r="X1741" s="710">
        <v>0.65</v>
      </c>
      <c r="Y1741" s="710"/>
      <c r="Z1741" s="710"/>
      <c r="AA1741" s="710"/>
      <c r="AB1741" s="710"/>
      <c r="AC1741" s="710"/>
      <c r="AD1741" s="710"/>
      <c r="AE1741" s="710"/>
      <c r="AF1741" s="710"/>
      <c r="AG1741" s="710"/>
    </row>
    <row r="1742" spans="1:33" s="56" customFormat="1" ht="15" hidden="1" customHeight="1" outlineLevel="1" x14ac:dyDescent="0.25">
      <c r="A1742" s="724"/>
      <c r="B1742" s="130"/>
      <c r="C1742" s="616"/>
      <c r="D1742" s="2101"/>
      <c r="E1742" s="2104"/>
      <c r="F1742" s="2110" t="str">
        <f>$E$944</f>
        <v>ASHP - SEER 18 - replace on fail MF</v>
      </c>
      <c r="G1742" s="2111"/>
      <c r="H1742" s="2111"/>
      <c r="I1742" s="2112"/>
      <c r="J1742" s="709" t="s">
        <v>1199</v>
      </c>
      <c r="K1742" s="710">
        <v>0.65</v>
      </c>
      <c r="L1742" s="670"/>
      <c r="M1742" s="613" t="s">
        <v>972</v>
      </c>
      <c r="N1742" s="130"/>
      <c r="O1742" s="251"/>
      <c r="P1742" s="766"/>
      <c r="Q1742" s="767"/>
      <c r="R1742" s="766"/>
      <c r="S1742" s="752"/>
      <c r="T1742" s="760"/>
      <c r="U1742" s="130"/>
      <c r="V1742" s="2107"/>
      <c r="W1742" s="710">
        <v>0.65</v>
      </c>
      <c r="X1742" s="710">
        <v>0.65</v>
      </c>
      <c r="Y1742" s="710"/>
      <c r="Z1742" s="710"/>
      <c r="AA1742" s="710"/>
      <c r="AB1742" s="710"/>
      <c r="AC1742" s="710"/>
      <c r="AD1742" s="710"/>
      <c r="AE1742" s="710"/>
      <c r="AF1742" s="710"/>
      <c r="AG1742" s="710"/>
    </row>
    <row r="1743" spans="1:33" s="56" customFormat="1" ht="15" hidden="1" customHeight="1" outlineLevel="1" x14ac:dyDescent="0.25">
      <c r="A1743" s="724"/>
      <c r="B1743" s="130"/>
      <c r="C1743" s="616"/>
      <c r="D1743" s="2101"/>
      <c r="E1743" s="2104"/>
      <c r="F1743" s="2110" t="str">
        <f>$E$946</f>
        <v>ASHP - SEER 19 - replace on fail MF</v>
      </c>
      <c r="G1743" s="2111"/>
      <c r="H1743" s="2111"/>
      <c r="I1743" s="2112"/>
      <c r="J1743" s="709" t="s">
        <v>1200</v>
      </c>
      <c r="K1743" s="710">
        <v>0.65</v>
      </c>
      <c r="L1743" s="670"/>
      <c r="M1743" s="613" t="s">
        <v>972</v>
      </c>
      <c r="N1743" s="130"/>
      <c r="O1743" s="251"/>
      <c r="P1743" s="766"/>
      <c r="Q1743" s="767"/>
      <c r="R1743" s="766"/>
      <c r="S1743" s="752"/>
      <c r="T1743" s="760"/>
      <c r="U1743" s="130"/>
      <c r="V1743" s="2107"/>
      <c r="W1743" s="710">
        <v>0.65</v>
      </c>
      <c r="X1743" s="710">
        <v>0.65</v>
      </c>
      <c r="Y1743" s="710"/>
      <c r="Z1743" s="710"/>
      <c r="AA1743" s="710"/>
      <c r="AB1743" s="710"/>
      <c r="AC1743" s="710"/>
      <c r="AD1743" s="710"/>
      <c r="AE1743" s="710"/>
      <c r="AF1743" s="710"/>
      <c r="AG1743" s="710"/>
    </row>
    <row r="1744" spans="1:33" s="56" customFormat="1" ht="15" hidden="1" customHeight="1" outlineLevel="1" x14ac:dyDescent="0.25">
      <c r="A1744" s="724"/>
      <c r="B1744" s="130"/>
      <c r="C1744" s="616"/>
      <c r="D1744" s="2101"/>
      <c r="E1744" s="2104"/>
      <c r="F1744" s="2110" t="str">
        <f>$E$948</f>
        <v>ASHP - SEER 20 - replace on fail MF</v>
      </c>
      <c r="G1744" s="2111"/>
      <c r="H1744" s="2111"/>
      <c r="I1744" s="2112"/>
      <c r="J1744" s="709" t="s">
        <v>1201</v>
      </c>
      <c r="K1744" s="710">
        <v>0.65</v>
      </c>
      <c r="L1744" s="778"/>
      <c r="M1744" s="613" t="s">
        <v>972</v>
      </c>
      <c r="N1744" s="130"/>
      <c r="O1744" s="251"/>
      <c r="P1744" s="766"/>
      <c r="Q1744" s="767"/>
      <c r="R1744" s="766"/>
      <c r="S1744" s="752"/>
      <c r="T1744" s="760"/>
      <c r="U1744" s="130"/>
      <c r="V1744" s="2107"/>
      <c r="W1744" s="710">
        <v>0.65</v>
      </c>
      <c r="X1744" s="710">
        <v>0.65</v>
      </c>
      <c r="Y1744" s="710"/>
      <c r="Z1744" s="710"/>
      <c r="AA1744" s="710"/>
      <c r="AB1744" s="710"/>
      <c r="AC1744" s="710"/>
      <c r="AD1744" s="710"/>
      <c r="AE1744" s="710"/>
      <c r="AF1744" s="710"/>
      <c r="AG1744" s="710"/>
    </row>
    <row r="1745" spans="1:33" s="56" customFormat="1" ht="15.75" hidden="1" customHeight="1" outlineLevel="1" thickBot="1" x14ac:dyDescent="0.3">
      <c r="A1745" s="724"/>
      <c r="B1745" s="130"/>
      <c r="C1745" s="616"/>
      <c r="D1745" s="2102"/>
      <c r="E1745" s="2105"/>
      <c r="F1745" s="2110" t="str">
        <f>$E$950</f>
        <v>ASHP - SEER 21 - replace on fail MF</v>
      </c>
      <c r="G1745" s="2111"/>
      <c r="H1745" s="2111"/>
      <c r="I1745" s="2112"/>
      <c r="J1745" s="712" t="s">
        <v>1202</v>
      </c>
      <c r="K1745" s="713">
        <v>0.65</v>
      </c>
      <c r="L1745" s="779"/>
      <c r="M1745" s="613" t="s">
        <v>972</v>
      </c>
      <c r="N1745" s="130"/>
      <c r="O1745" s="251"/>
      <c r="P1745" s="766"/>
      <c r="Q1745" s="767"/>
      <c r="R1745" s="766"/>
      <c r="S1745" s="752"/>
      <c r="T1745" s="760"/>
      <c r="U1745" s="130"/>
      <c r="V1745" s="2108"/>
      <c r="W1745" s="713">
        <v>0.65</v>
      </c>
      <c r="X1745" s="713">
        <v>0.65</v>
      </c>
      <c r="Y1745" s="713"/>
      <c r="Z1745" s="713"/>
      <c r="AA1745" s="713"/>
      <c r="AB1745" s="713"/>
      <c r="AC1745" s="713"/>
      <c r="AD1745" s="713"/>
      <c r="AE1745" s="713"/>
      <c r="AF1745" s="713"/>
      <c r="AG1745" s="713"/>
    </row>
    <row r="1746" spans="1:33" s="56" customFormat="1" hidden="1" outlineLevel="1" x14ac:dyDescent="0.25">
      <c r="A1746" s="724"/>
      <c r="B1746" s="130"/>
      <c r="C1746" s="616"/>
      <c r="D1746" s="2100" t="str">
        <f>D750</f>
        <v>EUL</v>
      </c>
      <c r="E1746" s="2103" t="str">
        <f>E750</f>
        <v>End Useful Life</v>
      </c>
      <c r="F1746" s="2109" t="str">
        <f>E780</f>
        <v>ASHP - SEER 15 ER Elec Resist Furnace: HVAC ER1</v>
      </c>
      <c r="G1746" s="2109"/>
      <c r="H1746" s="2109"/>
      <c r="I1746" s="2109"/>
      <c r="J1746" s="707">
        <v>919</v>
      </c>
      <c r="K1746" s="785">
        <v>6</v>
      </c>
      <c r="L1746" s="660"/>
      <c r="M1746" s="783"/>
      <c r="N1746" s="130"/>
      <c r="O1746" s="251"/>
      <c r="P1746" s="766"/>
      <c r="Q1746" s="766"/>
      <c r="R1746" s="766"/>
      <c r="S1746" s="752"/>
      <c r="T1746" s="760"/>
      <c r="U1746" s="130"/>
      <c r="V1746" s="2106" t="s">
        <v>598</v>
      </c>
      <c r="W1746" s="785">
        <v>6</v>
      </c>
      <c r="X1746" s="785">
        <v>6</v>
      </c>
      <c r="Y1746" s="785"/>
      <c r="Z1746" s="785"/>
      <c r="AA1746" s="785"/>
      <c r="AB1746" s="785"/>
      <c r="AC1746" s="785"/>
      <c r="AD1746" s="785"/>
      <c r="AE1746" s="785"/>
      <c r="AF1746" s="785"/>
      <c r="AG1746" s="785"/>
    </row>
    <row r="1747" spans="1:33" s="56" customFormat="1" ht="15" hidden="1" customHeight="1" outlineLevel="1" x14ac:dyDescent="0.25">
      <c r="A1747" s="724"/>
      <c r="B1747" s="130"/>
      <c r="C1747" s="616"/>
      <c r="D1747" s="2101"/>
      <c r="E1747" s="2104"/>
      <c r="F1747" s="2098" t="str">
        <f t="shared" ref="F1747:F1810" si="73">E781</f>
        <v>ASHP - SEER 15 ER Elec Resist Furnace: HVAC ER1</v>
      </c>
      <c r="G1747" s="2098"/>
      <c r="H1747" s="2098"/>
      <c r="I1747" s="2098"/>
      <c r="J1747" s="709" t="s">
        <v>1156</v>
      </c>
      <c r="K1747" s="786">
        <v>6</v>
      </c>
      <c r="L1747" s="669"/>
      <c r="M1747" s="770"/>
      <c r="N1747" s="130"/>
      <c r="O1747" s="251"/>
      <c r="P1747" s="766"/>
      <c r="Q1747" s="766"/>
      <c r="R1747" s="766"/>
      <c r="S1747" s="752"/>
      <c r="T1747" s="760"/>
      <c r="U1747" s="130"/>
      <c r="V1747" s="2107"/>
      <c r="W1747" s="786">
        <v>6</v>
      </c>
      <c r="X1747" s="786">
        <v>6</v>
      </c>
      <c r="Y1747" s="786"/>
      <c r="Z1747" s="786"/>
      <c r="AA1747" s="786"/>
      <c r="AB1747" s="786"/>
      <c r="AC1747" s="786"/>
      <c r="AD1747" s="786"/>
      <c r="AE1747" s="786"/>
      <c r="AF1747" s="786"/>
      <c r="AG1747" s="786"/>
    </row>
    <row r="1748" spans="1:33" s="56" customFormat="1" ht="15" hidden="1" customHeight="1" outlineLevel="1" x14ac:dyDescent="0.25">
      <c r="A1748" s="724"/>
      <c r="B1748" s="130"/>
      <c r="C1748" s="616"/>
      <c r="D1748" s="2101"/>
      <c r="E1748" s="2104"/>
      <c r="F1748" s="2098" t="str">
        <f t="shared" si="73"/>
        <v>ASHP - SEER 15 ER Elec Resist Furnace: HVAC ER2</v>
      </c>
      <c r="G1748" s="2098"/>
      <c r="H1748" s="2098"/>
      <c r="I1748" s="2098"/>
      <c r="J1748" s="709">
        <v>920</v>
      </c>
      <c r="K1748" s="786">
        <v>12</v>
      </c>
      <c r="L1748" s="669"/>
      <c r="M1748" s="770"/>
      <c r="N1748" s="130"/>
      <c r="O1748" s="251"/>
      <c r="P1748" s="766"/>
      <c r="Q1748" s="766"/>
      <c r="R1748" s="766"/>
      <c r="S1748" s="752"/>
      <c r="T1748" s="760"/>
      <c r="U1748" s="130"/>
      <c r="V1748" s="2107"/>
      <c r="W1748" s="786">
        <v>12</v>
      </c>
      <c r="X1748" s="786">
        <v>12</v>
      </c>
      <c r="Y1748" s="786"/>
      <c r="Z1748" s="786"/>
      <c r="AA1748" s="786"/>
      <c r="AB1748" s="786"/>
      <c r="AC1748" s="786"/>
      <c r="AD1748" s="786"/>
      <c r="AE1748" s="786"/>
      <c r="AF1748" s="786"/>
      <c r="AG1748" s="786"/>
    </row>
    <row r="1749" spans="1:33" s="56" customFormat="1" ht="15" hidden="1" customHeight="1" outlineLevel="1" x14ac:dyDescent="0.25">
      <c r="A1749" s="724"/>
      <c r="B1749" s="130"/>
      <c r="C1749" s="616"/>
      <c r="D1749" s="2101"/>
      <c r="E1749" s="2104"/>
      <c r="F1749" s="2098" t="str">
        <f t="shared" si="73"/>
        <v>ASHP - SEER 15 ER Elec Resist Furnace: HVAC ER2</v>
      </c>
      <c r="G1749" s="2098"/>
      <c r="H1749" s="2098"/>
      <c r="I1749" s="2098"/>
      <c r="J1749" s="709" t="s">
        <v>1159</v>
      </c>
      <c r="K1749" s="786">
        <v>12</v>
      </c>
      <c r="L1749" s="669"/>
      <c r="M1749" s="770"/>
      <c r="N1749" s="130"/>
      <c r="O1749" s="251"/>
      <c r="P1749" s="766"/>
      <c r="Q1749" s="766"/>
      <c r="R1749" s="766"/>
      <c r="S1749" s="752"/>
      <c r="T1749" s="760"/>
      <c r="U1749" s="130"/>
      <c r="V1749" s="2107"/>
      <c r="W1749" s="786">
        <v>12</v>
      </c>
      <c r="X1749" s="786">
        <v>12</v>
      </c>
      <c r="Y1749" s="786"/>
      <c r="Z1749" s="786"/>
      <c r="AA1749" s="786"/>
      <c r="AB1749" s="786"/>
      <c r="AC1749" s="786"/>
      <c r="AD1749" s="786"/>
      <c r="AE1749" s="786"/>
      <c r="AF1749" s="786"/>
      <c r="AG1749" s="786"/>
    </row>
    <row r="1750" spans="1:33" s="56" customFormat="1" ht="15" hidden="1" customHeight="1" outlineLevel="1" x14ac:dyDescent="0.25">
      <c r="A1750" s="724"/>
      <c r="B1750" s="130"/>
      <c r="C1750" s="616"/>
      <c r="D1750" s="2101"/>
      <c r="E1750" s="2104"/>
      <c r="F1750" s="2098" t="str">
        <f t="shared" si="73"/>
        <v>ASHP - SEER 15 ER with ASHP: HVAC ER1</v>
      </c>
      <c r="G1750" s="2098"/>
      <c r="H1750" s="2098"/>
      <c r="I1750" s="2098"/>
      <c r="J1750" s="709">
        <v>921</v>
      </c>
      <c r="K1750" s="786">
        <v>6</v>
      </c>
      <c r="L1750" s="669"/>
      <c r="M1750" s="770"/>
      <c r="N1750" s="130"/>
      <c r="O1750" s="251"/>
      <c r="P1750" s="766"/>
      <c r="Q1750" s="766"/>
      <c r="R1750" s="766"/>
      <c r="S1750" s="752"/>
      <c r="T1750" s="760"/>
      <c r="U1750" s="130"/>
      <c r="V1750" s="2107"/>
      <c r="W1750" s="786">
        <v>6</v>
      </c>
      <c r="X1750" s="786">
        <v>6</v>
      </c>
      <c r="Y1750" s="786"/>
      <c r="Z1750" s="786"/>
      <c r="AA1750" s="786"/>
      <c r="AB1750" s="786"/>
      <c r="AC1750" s="786"/>
      <c r="AD1750" s="786"/>
      <c r="AE1750" s="786"/>
      <c r="AF1750" s="786"/>
      <c r="AG1750" s="786"/>
    </row>
    <row r="1751" spans="1:33" s="56" customFormat="1" ht="15" hidden="1" customHeight="1" outlineLevel="1" x14ac:dyDescent="0.25">
      <c r="A1751" s="724"/>
      <c r="B1751" s="130"/>
      <c r="C1751" s="616"/>
      <c r="D1751" s="2101"/>
      <c r="E1751" s="2104"/>
      <c r="F1751" s="2098" t="str">
        <f t="shared" si="73"/>
        <v>ASHP - SEER 15 ER with ASHP: HVAC ER1</v>
      </c>
      <c r="G1751" s="2098"/>
      <c r="H1751" s="2098"/>
      <c r="I1751" s="2098"/>
      <c r="J1751" s="709">
        <v>922</v>
      </c>
      <c r="K1751" s="786">
        <v>6</v>
      </c>
      <c r="L1751" s="669"/>
      <c r="M1751" s="770"/>
      <c r="N1751" s="130"/>
      <c r="O1751" s="251"/>
      <c r="P1751" s="766"/>
      <c r="Q1751" s="766"/>
      <c r="R1751" s="766"/>
      <c r="S1751" s="752"/>
      <c r="T1751" s="760"/>
      <c r="U1751" s="130"/>
      <c r="V1751" s="2107"/>
      <c r="W1751" s="786">
        <v>6</v>
      </c>
      <c r="X1751" s="786">
        <v>6</v>
      </c>
      <c r="Y1751" s="786"/>
      <c r="Z1751" s="786"/>
      <c r="AA1751" s="786"/>
      <c r="AB1751" s="786"/>
      <c r="AC1751" s="786"/>
      <c r="AD1751" s="786"/>
      <c r="AE1751" s="786"/>
      <c r="AF1751" s="786"/>
      <c r="AG1751" s="786"/>
    </row>
    <row r="1752" spans="1:33" s="56" customFormat="1" ht="15" hidden="1" customHeight="1" outlineLevel="1" x14ac:dyDescent="0.25">
      <c r="A1752" s="724"/>
      <c r="B1752" s="130"/>
      <c r="C1752" s="616"/>
      <c r="D1752" s="2101"/>
      <c r="E1752" s="2104"/>
      <c r="F1752" s="2098" t="str">
        <f t="shared" si="73"/>
        <v>ASHP - SEER 15 ER with ASHP: HVAC ER2</v>
      </c>
      <c r="G1752" s="2098"/>
      <c r="H1752" s="2098"/>
      <c r="I1752" s="2098"/>
      <c r="J1752" s="709">
        <v>923</v>
      </c>
      <c r="K1752" s="786">
        <v>12</v>
      </c>
      <c r="L1752" s="669"/>
      <c r="M1752" s="770"/>
      <c r="N1752" s="130"/>
      <c r="O1752" s="251"/>
      <c r="P1752" s="766"/>
      <c r="Q1752" s="766"/>
      <c r="R1752" s="766"/>
      <c r="S1752" s="752"/>
      <c r="T1752" s="760"/>
      <c r="U1752" s="130"/>
      <c r="V1752" s="2107"/>
      <c r="W1752" s="786">
        <v>12</v>
      </c>
      <c r="X1752" s="786">
        <v>12</v>
      </c>
      <c r="Y1752" s="786"/>
      <c r="Z1752" s="786"/>
      <c r="AA1752" s="786"/>
      <c r="AB1752" s="786"/>
      <c r="AC1752" s="786"/>
      <c r="AD1752" s="786"/>
      <c r="AE1752" s="786"/>
      <c r="AF1752" s="786"/>
      <c r="AG1752" s="786"/>
    </row>
    <row r="1753" spans="1:33" s="56" customFormat="1" ht="15" hidden="1" customHeight="1" outlineLevel="1" x14ac:dyDescent="0.25">
      <c r="A1753" s="724"/>
      <c r="B1753" s="130"/>
      <c r="C1753" s="616"/>
      <c r="D1753" s="2101"/>
      <c r="E1753" s="2104"/>
      <c r="F1753" s="2098" t="str">
        <f t="shared" si="73"/>
        <v>ASHP - SEER 15 ER with ASHP: HVAC ER2</v>
      </c>
      <c r="G1753" s="2098"/>
      <c r="H1753" s="2098"/>
      <c r="I1753" s="2098"/>
      <c r="J1753" s="709" t="s">
        <v>1161</v>
      </c>
      <c r="K1753" s="786">
        <v>12</v>
      </c>
      <c r="L1753" s="669"/>
      <c r="M1753" s="770"/>
      <c r="N1753" s="130"/>
      <c r="O1753" s="251"/>
      <c r="P1753" s="766"/>
      <c r="Q1753" s="766"/>
      <c r="R1753" s="766"/>
      <c r="S1753" s="752"/>
      <c r="T1753" s="760"/>
      <c r="U1753" s="130"/>
      <c r="V1753" s="2107"/>
      <c r="W1753" s="786">
        <v>12</v>
      </c>
      <c r="X1753" s="786">
        <v>12</v>
      </c>
      <c r="Y1753" s="786"/>
      <c r="Z1753" s="786"/>
      <c r="AA1753" s="786"/>
      <c r="AB1753" s="786"/>
      <c r="AC1753" s="786"/>
      <c r="AD1753" s="786"/>
      <c r="AE1753" s="786"/>
      <c r="AF1753" s="786"/>
      <c r="AG1753" s="786"/>
    </row>
    <row r="1754" spans="1:33" s="56" customFormat="1" ht="15" hidden="1" customHeight="1" outlineLevel="1" x14ac:dyDescent="0.25">
      <c r="A1754" s="724"/>
      <c r="B1754" s="130"/>
      <c r="C1754" s="616"/>
      <c r="D1754" s="2101"/>
      <c r="E1754" s="2104"/>
      <c r="F1754" s="2098" t="str">
        <f t="shared" si="73"/>
        <v>ASHP-  SEER 15 Replace at Fail Elec Resist Furnace: HVAC</v>
      </c>
      <c r="G1754" s="2098"/>
      <c r="H1754" s="2098"/>
      <c r="I1754" s="2098"/>
      <c r="J1754" s="709">
        <v>924</v>
      </c>
      <c r="K1754" s="786">
        <v>18</v>
      </c>
      <c r="L1754" s="669"/>
      <c r="M1754" s="770"/>
      <c r="N1754" s="130"/>
      <c r="O1754" s="251"/>
      <c r="P1754" s="766"/>
      <c r="Q1754" s="766"/>
      <c r="R1754" s="766"/>
      <c r="S1754" s="752"/>
      <c r="T1754" s="760"/>
      <c r="U1754" s="130"/>
      <c r="V1754" s="2107"/>
      <c r="W1754" s="786">
        <v>18</v>
      </c>
      <c r="X1754" s="786">
        <v>18</v>
      </c>
      <c r="Y1754" s="786"/>
      <c r="Z1754" s="786"/>
      <c r="AA1754" s="786"/>
      <c r="AB1754" s="786"/>
      <c r="AC1754" s="786"/>
      <c r="AD1754" s="786"/>
      <c r="AE1754" s="786"/>
      <c r="AF1754" s="786"/>
      <c r="AG1754" s="786"/>
    </row>
    <row r="1755" spans="1:33" s="56" customFormat="1" ht="15" hidden="1" customHeight="1" outlineLevel="1" x14ac:dyDescent="0.25">
      <c r="A1755" s="724"/>
      <c r="B1755" s="130"/>
      <c r="C1755" s="616"/>
      <c r="D1755" s="2101"/>
      <c r="E1755" s="2104"/>
      <c r="F1755" s="2098" t="str">
        <f t="shared" si="73"/>
        <v>ASHP-  SEER 15 Replace at Fail Elec Resist Furnace: HVAC</v>
      </c>
      <c r="G1755" s="2098"/>
      <c r="H1755" s="2098"/>
      <c r="I1755" s="2098"/>
      <c r="J1755" s="709" t="s">
        <v>1163</v>
      </c>
      <c r="K1755" s="786">
        <v>18</v>
      </c>
      <c r="L1755" s="670"/>
      <c r="M1755" s="770"/>
      <c r="N1755" s="130"/>
      <c r="O1755" s="251"/>
      <c r="P1755" s="766"/>
      <c r="Q1755" s="766"/>
      <c r="R1755" s="766"/>
      <c r="S1755" s="752"/>
      <c r="T1755" s="760"/>
      <c r="U1755" s="130"/>
      <c r="V1755" s="2107"/>
      <c r="W1755" s="786">
        <v>18</v>
      </c>
      <c r="X1755" s="786">
        <v>18</v>
      </c>
      <c r="Y1755" s="786"/>
      <c r="Z1755" s="786"/>
      <c r="AA1755" s="786"/>
      <c r="AB1755" s="786"/>
      <c r="AC1755" s="786"/>
      <c r="AD1755" s="786"/>
      <c r="AE1755" s="786"/>
      <c r="AF1755" s="786"/>
      <c r="AG1755" s="786"/>
    </row>
    <row r="1756" spans="1:33" s="56" customFormat="1" ht="15" hidden="1" customHeight="1" outlineLevel="1" x14ac:dyDescent="0.25">
      <c r="A1756" s="724"/>
      <c r="B1756" s="130"/>
      <c r="C1756" s="616"/>
      <c r="D1756" s="2101"/>
      <c r="E1756" s="2104"/>
      <c r="F1756" s="2098" t="str">
        <f t="shared" si="73"/>
        <v>ASHP - SEER 15 Replace at Fail with ASHP: HVAC</v>
      </c>
      <c r="G1756" s="2098"/>
      <c r="H1756" s="2098"/>
      <c r="I1756" s="2098"/>
      <c r="J1756" s="709">
        <v>925</v>
      </c>
      <c r="K1756" s="786">
        <v>18</v>
      </c>
      <c r="L1756" s="670"/>
      <c r="M1756" s="770"/>
      <c r="N1756" s="130"/>
      <c r="O1756" s="251"/>
      <c r="P1756" s="766"/>
      <c r="Q1756" s="766"/>
      <c r="R1756" s="766"/>
      <c r="S1756" s="752"/>
      <c r="T1756" s="760"/>
      <c r="U1756" s="130"/>
      <c r="V1756" s="2107"/>
      <c r="W1756" s="786">
        <v>18</v>
      </c>
      <c r="X1756" s="786">
        <v>18</v>
      </c>
      <c r="Y1756" s="786"/>
      <c r="Z1756" s="786"/>
      <c r="AA1756" s="786"/>
      <c r="AB1756" s="786"/>
      <c r="AC1756" s="786"/>
      <c r="AD1756" s="786"/>
      <c r="AE1756" s="786"/>
      <c r="AF1756" s="786"/>
      <c r="AG1756" s="786"/>
    </row>
    <row r="1757" spans="1:33" s="56" customFormat="1" ht="15" hidden="1" customHeight="1" outlineLevel="1" x14ac:dyDescent="0.25">
      <c r="A1757" s="724"/>
      <c r="B1757" s="130"/>
      <c r="C1757" s="616"/>
      <c r="D1757" s="2101"/>
      <c r="E1757" s="2104"/>
      <c r="F1757" s="2098" t="str">
        <f t="shared" si="73"/>
        <v>ASHP - SEER 15 Replace at Fail with ASHP: HVAC</v>
      </c>
      <c r="G1757" s="2098"/>
      <c r="H1757" s="2098"/>
      <c r="I1757" s="2098"/>
      <c r="J1757" s="709">
        <v>926</v>
      </c>
      <c r="K1757" s="786">
        <v>18</v>
      </c>
      <c r="L1757" s="670"/>
      <c r="M1757" s="770"/>
      <c r="N1757" s="130"/>
      <c r="O1757" s="251"/>
      <c r="P1757" s="766"/>
      <c r="Q1757" s="766"/>
      <c r="R1757" s="766"/>
      <c r="S1757" s="752"/>
      <c r="T1757" s="760"/>
      <c r="U1757" s="130"/>
      <c r="V1757" s="2107"/>
      <c r="W1757" s="786">
        <v>18</v>
      </c>
      <c r="X1757" s="786">
        <v>18</v>
      </c>
      <c r="Y1757" s="786"/>
      <c r="Z1757" s="786"/>
      <c r="AA1757" s="786"/>
      <c r="AB1757" s="786"/>
      <c r="AC1757" s="786"/>
      <c r="AD1757" s="786"/>
      <c r="AE1757" s="786"/>
      <c r="AF1757" s="786"/>
      <c r="AG1757" s="786"/>
    </row>
    <row r="1758" spans="1:33" s="56" customFormat="1" ht="15" hidden="1" customHeight="1" outlineLevel="1" x14ac:dyDescent="0.25">
      <c r="A1758" s="724"/>
      <c r="B1758" s="130"/>
      <c r="C1758" s="616"/>
      <c r="D1758" s="2101"/>
      <c r="E1758" s="2104"/>
      <c r="F1758" s="2098" t="str">
        <f t="shared" si="73"/>
        <v>ASHP - SEER 16 - replace electric furnace / CAC - early replacement SF ER1</v>
      </c>
      <c r="G1758" s="2098"/>
      <c r="H1758" s="2098"/>
      <c r="I1758" s="2098"/>
      <c r="J1758" s="709">
        <v>1239</v>
      </c>
      <c r="K1758" s="786">
        <v>6</v>
      </c>
      <c r="L1758" s="670"/>
      <c r="M1758" s="613"/>
      <c r="N1758" s="130"/>
      <c r="O1758" s="251"/>
      <c r="P1758" s="766"/>
      <c r="Q1758" s="766"/>
      <c r="R1758" s="766"/>
      <c r="S1758" s="752"/>
      <c r="T1758" s="760"/>
      <c r="U1758" s="130"/>
      <c r="V1758" s="2107"/>
      <c r="W1758" s="786">
        <v>6</v>
      </c>
      <c r="X1758" s="786">
        <v>6</v>
      </c>
      <c r="Y1758" s="786"/>
      <c r="Z1758" s="786"/>
      <c r="AA1758" s="786"/>
      <c r="AB1758" s="786"/>
      <c r="AC1758" s="786"/>
      <c r="AD1758" s="786"/>
      <c r="AE1758" s="786"/>
      <c r="AF1758" s="786"/>
      <c r="AG1758" s="786"/>
    </row>
    <row r="1759" spans="1:33" s="56" customFormat="1" ht="15" hidden="1" customHeight="1" outlineLevel="1" x14ac:dyDescent="0.25">
      <c r="A1759" s="724"/>
      <c r="B1759" s="130"/>
      <c r="C1759" s="616"/>
      <c r="D1759" s="2101"/>
      <c r="E1759" s="2104"/>
      <c r="F1759" s="2098" t="str">
        <f t="shared" si="73"/>
        <v>ASHP - SEER 16 - replace electric furnace / CAC - early replacement SF ER1</v>
      </c>
      <c r="G1759" s="2098"/>
      <c r="H1759" s="2098"/>
      <c r="I1759" s="2098"/>
      <c r="J1759" s="709" t="s">
        <v>1166</v>
      </c>
      <c r="K1759" s="786">
        <v>6</v>
      </c>
      <c r="L1759" s="670"/>
      <c r="M1759" s="613"/>
      <c r="N1759" s="130"/>
      <c r="O1759" s="251"/>
      <c r="P1759" s="766"/>
      <c r="Q1759" s="766"/>
      <c r="R1759" s="766"/>
      <c r="S1759" s="752"/>
      <c r="T1759" s="760"/>
      <c r="U1759" s="130"/>
      <c r="V1759" s="2107"/>
      <c r="W1759" s="786">
        <v>6</v>
      </c>
      <c r="X1759" s="786">
        <v>6</v>
      </c>
      <c r="Y1759" s="786"/>
      <c r="Z1759" s="786"/>
      <c r="AA1759" s="786"/>
      <c r="AB1759" s="786"/>
      <c r="AC1759" s="786"/>
      <c r="AD1759" s="786"/>
      <c r="AE1759" s="786"/>
      <c r="AF1759" s="786"/>
      <c r="AG1759" s="786"/>
    </row>
    <row r="1760" spans="1:33" s="56" customFormat="1" ht="15" hidden="1" customHeight="1" outlineLevel="1" x14ac:dyDescent="0.25">
      <c r="A1760" s="724"/>
      <c r="B1760" s="130"/>
      <c r="C1760" s="616"/>
      <c r="D1760" s="2101"/>
      <c r="E1760" s="2104"/>
      <c r="F1760" s="2098" t="str">
        <f t="shared" si="73"/>
        <v>ASHP - SEER 16 - replace electric furnace / CAC - early replacement SF ER2</v>
      </c>
      <c r="G1760" s="2098"/>
      <c r="H1760" s="2098"/>
      <c r="I1760" s="2098"/>
      <c r="J1760" s="709">
        <v>1266</v>
      </c>
      <c r="K1760" s="786">
        <v>12</v>
      </c>
      <c r="L1760" s="670"/>
      <c r="M1760" s="613"/>
      <c r="N1760" s="130"/>
      <c r="O1760" s="251"/>
      <c r="P1760" s="766"/>
      <c r="Q1760" s="766"/>
      <c r="R1760" s="766"/>
      <c r="S1760" s="752"/>
      <c r="T1760" s="760"/>
      <c r="U1760" s="130"/>
      <c r="V1760" s="2107"/>
      <c r="W1760" s="786">
        <v>12</v>
      </c>
      <c r="X1760" s="786">
        <v>12</v>
      </c>
      <c r="Y1760" s="786"/>
      <c r="Z1760" s="786"/>
      <c r="AA1760" s="786"/>
      <c r="AB1760" s="786"/>
      <c r="AC1760" s="786"/>
      <c r="AD1760" s="786"/>
      <c r="AE1760" s="786"/>
      <c r="AF1760" s="786"/>
      <c r="AG1760" s="786"/>
    </row>
    <row r="1761" spans="1:33" s="56" customFormat="1" ht="15" hidden="1" customHeight="1" outlineLevel="1" x14ac:dyDescent="0.25">
      <c r="A1761" s="724"/>
      <c r="B1761" s="130"/>
      <c r="C1761" s="616"/>
      <c r="D1761" s="2101"/>
      <c r="E1761" s="2104"/>
      <c r="F1761" s="2098" t="str">
        <f t="shared" si="73"/>
        <v>ASHP - SEER 16 - replace electric furnace / CAC - early replacement SF ER2</v>
      </c>
      <c r="G1761" s="2098"/>
      <c r="H1761" s="2098"/>
      <c r="I1761" s="2098"/>
      <c r="J1761" s="709" t="s">
        <v>1168</v>
      </c>
      <c r="K1761" s="786">
        <v>12</v>
      </c>
      <c r="L1761" s="670"/>
      <c r="M1761" s="613"/>
      <c r="N1761" s="130"/>
      <c r="O1761" s="251"/>
      <c r="P1761" s="766"/>
      <c r="Q1761" s="766"/>
      <c r="R1761" s="766"/>
      <c r="S1761" s="752"/>
      <c r="T1761" s="760"/>
      <c r="U1761" s="130"/>
      <c r="V1761" s="2107"/>
      <c r="W1761" s="786">
        <v>12</v>
      </c>
      <c r="X1761" s="786">
        <v>12</v>
      </c>
      <c r="Y1761" s="786"/>
      <c r="Z1761" s="786"/>
      <c r="AA1761" s="786"/>
      <c r="AB1761" s="786"/>
      <c r="AC1761" s="786"/>
      <c r="AD1761" s="786"/>
      <c r="AE1761" s="786"/>
      <c r="AF1761" s="786"/>
      <c r="AG1761" s="786"/>
    </row>
    <row r="1762" spans="1:33" s="56" customFormat="1" ht="15" hidden="1" customHeight="1" outlineLevel="1" x14ac:dyDescent="0.25">
      <c r="A1762" s="724"/>
      <c r="B1762" s="130"/>
      <c r="C1762" s="616"/>
      <c r="D1762" s="2101"/>
      <c r="E1762" s="2104"/>
      <c r="F1762" s="2098" t="str">
        <f t="shared" si="73"/>
        <v>ASHP SEER 16 replace ASHP - early replacement SF ER1</v>
      </c>
      <c r="G1762" s="2098"/>
      <c r="H1762" s="2098"/>
      <c r="I1762" s="2098"/>
      <c r="J1762" s="709">
        <v>1268</v>
      </c>
      <c r="K1762" s="786">
        <v>6</v>
      </c>
      <c r="L1762" s="670"/>
      <c r="M1762" s="613"/>
      <c r="N1762" s="130"/>
      <c r="O1762" s="251"/>
      <c r="P1762" s="766"/>
      <c r="Q1762" s="766"/>
      <c r="R1762" s="766"/>
      <c r="S1762" s="752"/>
      <c r="T1762" s="760"/>
      <c r="U1762" s="130"/>
      <c r="V1762" s="2107"/>
      <c r="W1762" s="786">
        <v>6</v>
      </c>
      <c r="X1762" s="786">
        <v>6</v>
      </c>
      <c r="Y1762" s="786"/>
      <c r="Z1762" s="786"/>
      <c r="AA1762" s="786"/>
      <c r="AB1762" s="786"/>
      <c r="AC1762" s="786"/>
      <c r="AD1762" s="786"/>
      <c r="AE1762" s="786"/>
      <c r="AF1762" s="786"/>
      <c r="AG1762" s="786"/>
    </row>
    <row r="1763" spans="1:33" s="56" customFormat="1" ht="15" hidden="1" customHeight="1" outlineLevel="1" x14ac:dyDescent="0.25">
      <c r="A1763" s="724"/>
      <c r="B1763" s="130"/>
      <c r="C1763" s="616"/>
      <c r="D1763" s="2101"/>
      <c r="E1763" s="2104"/>
      <c r="F1763" s="2098" t="str">
        <f t="shared" si="73"/>
        <v>ASHP SEER 16 replace ASHP - early replacement SF ER1</v>
      </c>
      <c r="G1763" s="2098"/>
      <c r="H1763" s="2098"/>
      <c r="I1763" s="2098"/>
      <c r="J1763" s="709">
        <v>1240</v>
      </c>
      <c r="K1763" s="786">
        <v>6</v>
      </c>
      <c r="L1763" s="670"/>
      <c r="M1763" s="613"/>
      <c r="N1763" s="130"/>
      <c r="O1763" s="251"/>
      <c r="P1763" s="766"/>
      <c r="Q1763" s="766"/>
      <c r="R1763" s="766"/>
      <c r="S1763" s="752"/>
      <c r="T1763" s="760"/>
      <c r="U1763" s="130"/>
      <c r="V1763" s="2107"/>
      <c r="W1763" s="786">
        <v>6</v>
      </c>
      <c r="X1763" s="786">
        <v>6</v>
      </c>
      <c r="Y1763" s="786"/>
      <c r="Z1763" s="786"/>
      <c r="AA1763" s="786"/>
      <c r="AB1763" s="786"/>
      <c r="AC1763" s="786"/>
      <c r="AD1763" s="786"/>
      <c r="AE1763" s="786"/>
      <c r="AF1763" s="786"/>
      <c r="AG1763" s="786"/>
    </row>
    <row r="1764" spans="1:33" s="56" customFormat="1" ht="15" hidden="1" customHeight="1" outlineLevel="1" x14ac:dyDescent="0.25">
      <c r="A1764" s="724"/>
      <c r="B1764" s="130"/>
      <c r="C1764" s="616"/>
      <c r="D1764" s="2101"/>
      <c r="E1764" s="2104"/>
      <c r="F1764" s="2098" t="str">
        <f t="shared" si="73"/>
        <v>ASHP SEER 16 replace ASHP - early replacement SF ER2</v>
      </c>
      <c r="G1764" s="2098"/>
      <c r="H1764" s="2098"/>
      <c r="I1764" s="2098"/>
      <c r="J1764" s="709" t="s">
        <v>1170</v>
      </c>
      <c r="K1764" s="786">
        <v>12</v>
      </c>
      <c r="L1764" s="670"/>
      <c r="M1764" s="613"/>
      <c r="N1764" s="130"/>
      <c r="O1764" s="251"/>
      <c r="P1764" s="766"/>
      <c r="Q1764" s="766"/>
      <c r="R1764" s="766"/>
      <c r="S1764" s="752"/>
      <c r="T1764" s="760"/>
      <c r="U1764" s="130"/>
      <c r="V1764" s="2107"/>
      <c r="W1764" s="786">
        <v>12</v>
      </c>
      <c r="X1764" s="786">
        <v>12</v>
      </c>
      <c r="Y1764" s="786"/>
      <c r="Z1764" s="786"/>
      <c r="AA1764" s="786"/>
      <c r="AB1764" s="786"/>
      <c r="AC1764" s="786"/>
      <c r="AD1764" s="786"/>
      <c r="AE1764" s="786"/>
      <c r="AF1764" s="786"/>
      <c r="AG1764" s="786"/>
    </row>
    <row r="1765" spans="1:33" s="56" customFormat="1" ht="15" hidden="1" customHeight="1" outlineLevel="1" x14ac:dyDescent="0.25">
      <c r="A1765" s="724"/>
      <c r="B1765" s="130"/>
      <c r="C1765" s="616"/>
      <c r="D1765" s="2101"/>
      <c r="E1765" s="2104"/>
      <c r="F1765" s="2098" t="str">
        <f t="shared" si="73"/>
        <v>ASHP SEER 16 replace ASHP - early replacement SF ER2</v>
      </c>
      <c r="G1765" s="2098"/>
      <c r="H1765" s="2098"/>
      <c r="I1765" s="2098"/>
      <c r="J1765" s="709">
        <v>1270</v>
      </c>
      <c r="K1765" s="786">
        <v>12</v>
      </c>
      <c r="L1765" s="670"/>
      <c r="M1765" s="613"/>
      <c r="N1765" s="130"/>
      <c r="O1765" s="251"/>
      <c r="P1765" s="766"/>
      <c r="Q1765" s="766"/>
      <c r="R1765" s="766"/>
      <c r="S1765" s="752"/>
      <c r="T1765" s="760"/>
      <c r="U1765" s="130"/>
      <c r="V1765" s="2107"/>
      <c r="W1765" s="786">
        <v>12</v>
      </c>
      <c r="X1765" s="786">
        <v>12</v>
      </c>
      <c r="Y1765" s="786"/>
      <c r="Z1765" s="786"/>
      <c r="AA1765" s="786"/>
      <c r="AB1765" s="786"/>
      <c r="AC1765" s="786"/>
      <c r="AD1765" s="786"/>
      <c r="AE1765" s="786"/>
      <c r="AF1765" s="786"/>
      <c r="AG1765" s="786"/>
    </row>
    <row r="1766" spans="1:33" s="56" customFormat="1" ht="15" hidden="1" customHeight="1" outlineLevel="1" x14ac:dyDescent="0.25">
      <c r="A1766" s="724"/>
      <c r="B1766" s="130"/>
      <c r="C1766" s="616"/>
      <c r="D1766" s="2101"/>
      <c r="E1766" s="2104"/>
      <c r="F1766" s="2098" t="str">
        <f t="shared" si="73"/>
        <v>ASHP - SEER 16 - replace electric furnace / CAC SF</v>
      </c>
      <c r="G1766" s="2098"/>
      <c r="H1766" s="2098"/>
      <c r="I1766" s="2098"/>
      <c r="J1766" s="709">
        <v>1271</v>
      </c>
      <c r="K1766" s="786">
        <v>18</v>
      </c>
      <c r="L1766" s="670"/>
      <c r="M1766" s="613"/>
      <c r="N1766" s="130"/>
      <c r="O1766" s="251"/>
      <c r="P1766" s="766"/>
      <c r="Q1766" s="766"/>
      <c r="R1766" s="766"/>
      <c r="S1766" s="752"/>
      <c r="T1766" s="760"/>
      <c r="U1766" s="130"/>
      <c r="V1766" s="2107"/>
      <c r="W1766" s="786">
        <v>18</v>
      </c>
      <c r="X1766" s="786">
        <v>18</v>
      </c>
      <c r="Y1766" s="786"/>
      <c r="Z1766" s="786"/>
      <c r="AA1766" s="786"/>
      <c r="AB1766" s="786"/>
      <c r="AC1766" s="786"/>
      <c r="AD1766" s="786"/>
      <c r="AE1766" s="786"/>
      <c r="AF1766" s="786"/>
      <c r="AG1766" s="786"/>
    </row>
    <row r="1767" spans="1:33" s="56" customFormat="1" ht="15" hidden="1" customHeight="1" outlineLevel="1" x14ac:dyDescent="0.25">
      <c r="A1767" s="724"/>
      <c r="B1767" s="130"/>
      <c r="C1767" s="616"/>
      <c r="D1767" s="2101"/>
      <c r="E1767" s="2104"/>
      <c r="F1767" s="2098" t="str">
        <f t="shared" si="73"/>
        <v>ASHP - SEER 16 - replace electric furnace / CAC SF</v>
      </c>
      <c r="G1767" s="2098"/>
      <c r="H1767" s="2098"/>
      <c r="I1767" s="2098"/>
      <c r="J1767" s="709">
        <v>1269</v>
      </c>
      <c r="K1767" s="786">
        <v>18</v>
      </c>
      <c r="L1767" s="670"/>
      <c r="M1767" s="613"/>
      <c r="N1767" s="130"/>
      <c r="O1767" s="251"/>
      <c r="P1767" s="766"/>
      <c r="Q1767" s="766"/>
      <c r="R1767" s="766"/>
      <c r="S1767" s="752"/>
      <c r="T1767" s="760"/>
      <c r="U1767" s="130"/>
      <c r="V1767" s="2107"/>
      <c r="W1767" s="786">
        <v>18</v>
      </c>
      <c r="X1767" s="786">
        <v>18</v>
      </c>
      <c r="Y1767" s="786"/>
      <c r="Z1767" s="786"/>
      <c r="AA1767" s="786"/>
      <c r="AB1767" s="786"/>
      <c r="AC1767" s="786"/>
      <c r="AD1767" s="786"/>
      <c r="AE1767" s="786"/>
      <c r="AF1767" s="786"/>
      <c r="AG1767" s="786"/>
    </row>
    <row r="1768" spans="1:33" s="56" customFormat="1" ht="15" hidden="1" customHeight="1" outlineLevel="1" x14ac:dyDescent="0.25">
      <c r="A1768" s="724"/>
      <c r="B1768" s="130"/>
      <c r="C1768" s="616"/>
      <c r="D1768" s="2101"/>
      <c r="E1768" s="2104"/>
      <c r="F1768" s="2098" t="str">
        <f t="shared" si="73"/>
        <v>ASHP SEER 16 replace ASHP - replace on fail SF</v>
      </c>
      <c r="G1768" s="2098"/>
      <c r="H1768" s="2098"/>
      <c r="I1768" s="2098"/>
      <c r="J1768" s="709" t="s">
        <v>1171</v>
      </c>
      <c r="K1768" s="786">
        <v>18</v>
      </c>
      <c r="L1768" s="670"/>
      <c r="M1768" s="613"/>
      <c r="N1768" s="130"/>
      <c r="O1768" s="251"/>
      <c r="P1768" s="766"/>
      <c r="Q1768" s="766"/>
      <c r="R1768" s="766"/>
      <c r="S1768" s="752"/>
      <c r="T1768" s="760"/>
      <c r="U1768" s="130"/>
      <c r="V1768" s="2107"/>
      <c r="W1768" s="786">
        <v>18</v>
      </c>
      <c r="X1768" s="786">
        <v>18</v>
      </c>
      <c r="Y1768" s="786"/>
      <c r="Z1768" s="786"/>
      <c r="AA1768" s="786"/>
      <c r="AB1768" s="786"/>
      <c r="AC1768" s="786"/>
      <c r="AD1768" s="786"/>
      <c r="AE1768" s="786"/>
      <c r="AF1768" s="786"/>
      <c r="AG1768" s="786"/>
    </row>
    <row r="1769" spans="1:33" s="56" customFormat="1" ht="15" hidden="1" customHeight="1" outlineLevel="1" x14ac:dyDescent="0.25">
      <c r="A1769" s="724"/>
      <c r="B1769" s="130"/>
      <c r="C1769" s="616"/>
      <c r="D1769" s="2101"/>
      <c r="E1769" s="2104"/>
      <c r="F1769" s="2098" t="str">
        <f t="shared" si="73"/>
        <v>ASHP SEER 16 replace ASHP - replace on fail SF</v>
      </c>
      <c r="G1769" s="2098"/>
      <c r="H1769" s="2098"/>
      <c r="I1769" s="2098"/>
      <c r="J1769" s="709">
        <v>1267</v>
      </c>
      <c r="K1769" s="786">
        <v>18</v>
      </c>
      <c r="L1769" s="670"/>
      <c r="M1769" s="613"/>
      <c r="N1769" s="130"/>
      <c r="O1769" s="251"/>
      <c r="P1769" s="766"/>
      <c r="Q1769" s="766"/>
      <c r="R1769" s="766"/>
      <c r="S1769" s="752"/>
      <c r="T1769" s="760"/>
      <c r="U1769" s="130"/>
      <c r="V1769" s="2107"/>
      <c r="W1769" s="786">
        <v>18</v>
      </c>
      <c r="X1769" s="786">
        <v>18</v>
      </c>
      <c r="Y1769" s="786"/>
      <c r="Z1769" s="786"/>
      <c r="AA1769" s="786"/>
      <c r="AB1769" s="786"/>
      <c r="AC1769" s="786"/>
      <c r="AD1769" s="786"/>
      <c r="AE1769" s="786"/>
      <c r="AF1769" s="786"/>
      <c r="AG1769" s="786"/>
    </row>
    <row r="1770" spans="1:33" s="56" customFormat="1" ht="15" hidden="1" customHeight="1" outlineLevel="1" x14ac:dyDescent="0.25">
      <c r="A1770" s="724"/>
      <c r="B1770" s="130"/>
      <c r="C1770" s="616"/>
      <c r="D1770" s="2101"/>
      <c r="E1770" s="2104"/>
      <c r="F1770" s="2098" t="str">
        <f t="shared" si="73"/>
        <v>ASHP SEER 15 MFMR / MFLI ER Replace ASHP: HVAC ER1</v>
      </c>
      <c r="G1770" s="2098"/>
      <c r="H1770" s="2098"/>
      <c r="I1770" s="2098"/>
      <c r="J1770" s="709" t="s">
        <v>1172</v>
      </c>
      <c r="K1770" s="786">
        <v>6</v>
      </c>
      <c r="L1770" s="670"/>
      <c r="M1770" s="613"/>
      <c r="N1770" s="130"/>
      <c r="O1770" s="251"/>
      <c r="P1770" s="766"/>
      <c r="Q1770" s="766"/>
      <c r="R1770" s="766"/>
      <c r="S1770" s="752"/>
      <c r="T1770" s="760"/>
      <c r="U1770" s="130"/>
      <c r="V1770" s="2107"/>
      <c r="W1770" s="786">
        <v>6</v>
      </c>
      <c r="X1770" s="786">
        <v>6</v>
      </c>
      <c r="Y1770" s="786"/>
      <c r="Z1770" s="786"/>
      <c r="AA1770" s="786"/>
      <c r="AB1770" s="786"/>
      <c r="AC1770" s="786"/>
      <c r="AD1770" s="786"/>
      <c r="AE1770" s="786"/>
      <c r="AF1770" s="786"/>
      <c r="AG1770" s="786"/>
    </row>
    <row r="1771" spans="1:33" s="56" customFormat="1" ht="15" hidden="1" customHeight="1" outlineLevel="1" x14ac:dyDescent="0.25">
      <c r="A1771" s="724"/>
      <c r="B1771" s="130"/>
      <c r="C1771" s="616"/>
      <c r="D1771" s="2101"/>
      <c r="E1771" s="2104"/>
      <c r="F1771" s="2098" t="str">
        <f t="shared" si="73"/>
        <v>ASHP SEER 15 MFMR / MFLI ER Replace ASHP: HVAC ER1</v>
      </c>
      <c r="G1771" s="2098"/>
      <c r="H1771" s="2098"/>
      <c r="I1771" s="2098"/>
      <c r="J1771" s="709" t="s">
        <v>1174</v>
      </c>
      <c r="K1771" s="786">
        <v>6</v>
      </c>
      <c r="L1771" s="670"/>
      <c r="M1771" s="613"/>
      <c r="N1771" s="130"/>
      <c r="O1771" s="251"/>
      <c r="P1771" s="766"/>
      <c r="Q1771" s="766"/>
      <c r="R1771" s="766"/>
      <c r="S1771" s="752"/>
      <c r="T1771" s="760"/>
      <c r="U1771" s="130"/>
      <c r="V1771" s="2107"/>
      <c r="W1771" s="786">
        <v>6</v>
      </c>
      <c r="X1771" s="786">
        <v>6</v>
      </c>
      <c r="Y1771" s="786"/>
      <c r="Z1771" s="786"/>
      <c r="AA1771" s="786"/>
      <c r="AB1771" s="786"/>
      <c r="AC1771" s="786"/>
      <c r="AD1771" s="786"/>
      <c r="AE1771" s="786"/>
      <c r="AF1771" s="786"/>
      <c r="AG1771" s="786"/>
    </row>
    <row r="1772" spans="1:33" s="56" customFormat="1" ht="15" hidden="1" customHeight="1" outlineLevel="1" x14ac:dyDescent="0.25">
      <c r="A1772" s="724"/>
      <c r="B1772" s="130"/>
      <c r="C1772" s="616"/>
      <c r="D1772" s="2101"/>
      <c r="E1772" s="2104"/>
      <c r="F1772" s="2098" t="str">
        <f t="shared" si="73"/>
        <v>ASHP SEER 15 MF ER Replace ASHP: HVAC ER2</v>
      </c>
      <c r="G1772" s="2098"/>
      <c r="H1772" s="2098"/>
      <c r="I1772" s="2098"/>
      <c r="J1772" s="709" t="s">
        <v>1175</v>
      </c>
      <c r="K1772" s="786">
        <v>12</v>
      </c>
      <c r="L1772" s="670"/>
      <c r="M1772" s="613"/>
      <c r="N1772" s="130"/>
      <c r="O1772" s="251"/>
      <c r="P1772" s="766"/>
      <c r="Q1772" s="766"/>
      <c r="R1772" s="766"/>
      <c r="S1772" s="752"/>
      <c r="T1772" s="760"/>
      <c r="U1772" s="130"/>
      <c r="V1772" s="2107"/>
      <c r="W1772" s="786">
        <v>12</v>
      </c>
      <c r="X1772" s="786">
        <v>12</v>
      </c>
      <c r="Y1772" s="786"/>
      <c r="Z1772" s="786"/>
      <c r="AA1772" s="786"/>
      <c r="AB1772" s="786"/>
      <c r="AC1772" s="786"/>
      <c r="AD1772" s="786"/>
      <c r="AE1772" s="786"/>
      <c r="AF1772" s="786"/>
      <c r="AG1772" s="786"/>
    </row>
    <row r="1773" spans="1:33" s="56" customFormat="1" ht="15" hidden="1" customHeight="1" outlineLevel="1" x14ac:dyDescent="0.25">
      <c r="A1773" s="724"/>
      <c r="B1773" s="130"/>
      <c r="C1773" s="616"/>
      <c r="D1773" s="2101"/>
      <c r="E1773" s="2104"/>
      <c r="F1773" s="2098" t="str">
        <f t="shared" si="73"/>
        <v>ASHP SEER 15 MF ER Replace ASHP: HVAC ER2</v>
      </c>
      <c r="G1773" s="2098"/>
      <c r="H1773" s="2098"/>
      <c r="I1773" s="2098"/>
      <c r="J1773" s="709" t="s">
        <v>1176</v>
      </c>
      <c r="K1773" s="786">
        <v>12</v>
      </c>
      <c r="L1773" s="670"/>
      <c r="M1773" s="613"/>
      <c r="N1773" s="130"/>
      <c r="O1773" s="251"/>
      <c r="P1773" s="766"/>
      <c r="Q1773" s="766"/>
      <c r="R1773" s="766"/>
      <c r="S1773" s="752"/>
      <c r="T1773" s="760"/>
      <c r="U1773" s="130"/>
      <c r="V1773" s="2107"/>
      <c r="W1773" s="786">
        <v>12</v>
      </c>
      <c r="X1773" s="786">
        <v>12</v>
      </c>
      <c r="Y1773" s="786"/>
      <c r="Z1773" s="786"/>
      <c r="AA1773" s="786"/>
      <c r="AB1773" s="786"/>
      <c r="AC1773" s="786"/>
      <c r="AD1773" s="786"/>
      <c r="AE1773" s="786"/>
      <c r="AF1773" s="786"/>
      <c r="AG1773" s="786"/>
    </row>
    <row r="1774" spans="1:33" s="56" customFormat="1" ht="15" hidden="1" customHeight="1" outlineLevel="1" x14ac:dyDescent="0.25">
      <c r="A1774" s="724"/>
      <c r="B1774" s="130"/>
      <c r="C1774" s="616"/>
      <c r="D1774" s="2101"/>
      <c r="E1774" s="2104"/>
      <c r="F1774" s="2098" t="str">
        <f t="shared" si="73"/>
        <v>ASHP SEER 15 MF ER Replace Elec Resist Furnace: HVAC ER1</v>
      </c>
      <c r="G1774" s="2098"/>
      <c r="H1774" s="2098"/>
      <c r="I1774" s="2098"/>
      <c r="J1774" s="709" t="s">
        <v>1177</v>
      </c>
      <c r="K1774" s="786">
        <v>6</v>
      </c>
      <c r="L1774" s="670"/>
      <c r="M1774" s="613"/>
      <c r="N1774" s="130"/>
      <c r="O1774" s="251"/>
      <c r="P1774" s="766"/>
      <c r="Q1774" s="766"/>
      <c r="R1774" s="766"/>
      <c r="S1774" s="752"/>
      <c r="T1774" s="760"/>
      <c r="U1774" s="130"/>
      <c r="V1774" s="2107"/>
      <c r="W1774" s="786">
        <v>6</v>
      </c>
      <c r="X1774" s="786">
        <v>6</v>
      </c>
      <c r="Y1774" s="786"/>
      <c r="Z1774" s="786"/>
      <c r="AA1774" s="786"/>
      <c r="AB1774" s="786"/>
      <c r="AC1774" s="786"/>
      <c r="AD1774" s="786"/>
      <c r="AE1774" s="786"/>
      <c r="AF1774" s="786"/>
      <c r="AG1774" s="786"/>
    </row>
    <row r="1775" spans="1:33" s="56" customFormat="1" ht="15" hidden="1" customHeight="1" outlineLevel="1" x14ac:dyDescent="0.25">
      <c r="A1775" s="724"/>
      <c r="B1775" s="130"/>
      <c r="C1775" s="616"/>
      <c r="D1775" s="2101"/>
      <c r="E1775" s="2104"/>
      <c r="F1775" s="2098" t="str">
        <f t="shared" si="73"/>
        <v>ASHP SEER 15 MF ER Replace Elec Resist Furnace: HVAC ER1</v>
      </c>
      <c r="G1775" s="2098"/>
      <c r="H1775" s="2098"/>
      <c r="I1775" s="2098"/>
      <c r="J1775" s="709" t="s">
        <v>1178</v>
      </c>
      <c r="K1775" s="786">
        <v>6</v>
      </c>
      <c r="L1775" s="670"/>
      <c r="M1775" s="613"/>
      <c r="N1775" s="130"/>
      <c r="O1775" s="251"/>
      <c r="P1775" s="766"/>
      <c r="Q1775" s="766"/>
      <c r="R1775" s="766"/>
      <c r="S1775" s="752"/>
      <c r="T1775" s="760"/>
      <c r="U1775" s="130"/>
      <c r="V1775" s="2107"/>
      <c r="W1775" s="786">
        <v>6</v>
      </c>
      <c r="X1775" s="786">
        <v>6</v>
      </c>
      <c r="Y1775" s="786"/>
      <c r="Z1775" s="786"/>
      <c r="AA1775" s="786"/>
      <c r="AB1775" s="786"/>
      <c r="AC1775" s="786"/>
      <c r="AD1775" s="786"/>
      <c r="AE1775" s="786"/>
      <c r="AF1775" s="786"/>
      <c r="AG1775" s="786"/>
    </row>
    <row r="1776" spans="1:33" s="56" customFormat="1" ht="15" hidden="1" customHeight="1" outlineLevel="1" x14ac:dyDescent="0.25">
      <c r="A1776" s="724"/>
      <c r="B1776" s="130"/>
      <c r="C1776" s="616"/>
      <c r="D1776" s="2101"/>
      <c r="E1776" s="2104"/>
      <c r="F1776" s="2098" t="str">
        <f t="shared" si="73"/>
        <v>ASHP SEER 15 MF ER Replace Elec Resist Furnace: HVAC ER2</v>
      </c>
      <c r="G1776" s="2098"/>
      <c r="H1776" s="2098"/>
      <c r="I1776" s="2098"/>
      <c r="J1776" s="709" t="s">
        <v>1179</v>
      </c>
      <c r="K1776" s="786">
        <v>12</v>
      </c>
      <c r="L1776" s="670"/>
      <c r="M1776" s="613"/>
      <c r="N1776" s="130"/>
      <c r="O1776" s="251"/>
      <c r="P1776" s="766"/>
      <c r="Q1776" s="766"/>
      <c r="R1776" s="766"/>
      <c r="S1776" s="752"/>
      <c r="T1776" s="760"/>
      <c r="U1776" s="130"/>
      <c r="V1776" s="2107"/>
      <c r="W1776" s="786">
        <v>12</v>
      </c>
      <c r="X1776" s="786">
        <v>12</v>
      </c>
      <c r="Y1776" s="786"/>
      <c r="Z1776" s="786"/>
      <c r="AA1776" s="786"/>
      <c r="AB1776" s="786"/>
      <c r="AC1776" s="786"/>
      <c r="AD1776" s="786"/>
      <c r="AE1776" s="786"/>
      <c r="AF1776" s="786"/>
      <c r="AG1776" s="786"/>
    </row>
    <row r="1777" spans="1:33" s="56" customFormat="1" ht="15" hidden="1" customHeight="1" outlineLevel="1" x14ac:dyDescent="0.25">
      <c r="A1777" s="724"/>
      <c r="B1777" s="130"/>
      <c r="C1777" s="616"/>
      <c r="D1777" s="2101"/>
      <c r="E1777" s="2104"/>
      <c r="F1777" s="2098" t="str">
        <f t="shared" si="73"/>
        <v>ASHP SEER 15 MF ER Replace Elec Resist Furnace: HVAC ER2</v>
      </c>
      <c r="G1777" s="2098"/>
      <c r="H1777" s="2098"/>
      <c r="I1777" s="2098"/>
      <c r="J1777" s="709" t="s">
        <v>1180</v>
      </c>
      <c r="K1777" s="786">
        <v>12</v>
      </c>
      <c r="L1777" s="670"/>
      <c r="M1777" s="613"/>
      <c r="N1777" s="130"/>
      <c r="O1777" s="251"/>
      <c r="P1777" s="766"/>
      <c r="Q1777" s="766"/>
      <c r="R1777" s="766"/>
      <c r="S1777" s="752"/>
      <c r="T1777" s="760"/>
      <c r="U1777" s="130"/>
      <c r="V1777" s="2107"/>
      <c r="W1777" s="786">
        <v>12</v>
      </c>
      <c r="X1777" s="786">
        <v>12</v>
      </c>
      <c r="Y1777" s="786"/>
      <c r="Z1777" s="786"/>
      <c r="AA1777" s="786"/>
      <c r="AB1777" s="786"/>
      <c r="AC1777" s="786"/>
      <c r="AD1777" s="786"/>
      <c r="AE1777" s="786"/>
      <c r="AF1777" s="786"/>
      <c r="AG1777" s="786"/>
    </row>
    <row r="1778" spans="1:33" s="56" customFormat="1" ht="15" hidden="1" customHeight="1" outlineLevel="1" x14ac:dyDescent="0.25">
      <c r="A1778" s="724"/>
      <c r="B1778" s="130"/>
      <c r="C1778" s="616"/>
      <c r="D1778" s="2101"/>
      <c r="E1778" s="2104"/>
      <c r="F1778" s="2098" t="str">
        <f t="shared" si="73"/>
        <v>ASHP SEER 15 MF Replace at Fail Elec Resist Furnace: HVAC</v>
      </c>
      <c r="G1778" s="2098"/>
      <c r="H1778" s="2098"/>
      <c r="I1778" s="2098"/>
      <c r="J1778" s="709" t="s">
        <v>1181</v>
      </c>
      <c r="K1778" s="786">
        <v>18</v>
      </c>
      <c r="L1778" s="670"/>
      <c r="M1778" s="613"/>
      <c r="N1778" s="130"/>
      <c r="O1778" s="251"/>
      <c r="P1778" s="766"/>
      <c r="Q1778" s="766"/>
      <c r="R1778" s="766"/>
      <c r="S1778" s="752"/>
      <c r="T1778" s="760"/>
      <c r="U1778" s="130"/>
      <c r="V1778" s="2107"/>
      <c r="W1778" s="786">
        <v>18</v>
      </c>
      <c r="X1778" s="786">
        <v>18</v>
      </c>
      <c r="Y1778" s="786"/>
      <c r="Z1778" s="786"/>
      <c r="AA1778" s="786"/>
      <c r="AB1778" s="786"/>
      <c r="AC1778" s="786"/>
      <c r="AD1778" s="786"/>
      <c r="AE1778" s="786"/>
      <c r="AF1778" s="786"/>
      <c r="AG1778" s="786"/>
    </row>
    <row r="1779" spans="1:33" s="56" customFormat="1" ht="15" hidden="1" customHeight="1" outlineLevel="1" x14ac:dyDescent="0.25">
      <c r="A1779" s="724"/>
      <c r="B1779" s="130"/>
      <c r="C1779" s="616"/>
      <c r="D1779" s="2101"/>
      <c r="E1779" s="2104"/>
      <c r="F1779" s="2098" t="str">
        <f t="shared" si="73"/>
        <v>ASHP SEER 15 MF Replace at Fail Elec Resist Furnace: HVAC</v>
      </c>
      <c r="G1779" s="2098"/>
      <c r="H1779" s="2098"/>
      <c r="I1779" s="2098"/>
      <c r="J1779" s="709" t="s">
        <v>1182</v>
      </c>
      <c r="K1779" s="786">
        <v>18</v>
      </c>
      <c r="L1779" s="670"/>
      <c r="M1779" s="613"/>
      <c r="N1779" s="130"/>
      <c r="O1779" s="251"/>
      <c r="P1779" s="766"/>
      <c r="Q1779" s="767"/>
      <c r="R1779" s="766"/>
      <c r="S1779" s="752"/>
      <c r="T1779" s="760"/>
      <c r="U1779" s="130"/>
      <c r="V1779" s="2107"/>
      <c r="W1779" s="786">
        <v>18</v>
      </c>
      <c r="X1779" s="786">
        <v>18</v>
      </c>
      <c r="Y1779" s="786"/>
      <c r="Z1779" s="786"/>
      <c r="AA1779" s="786"/>
      <c r="AB1779" s="786"/>
      <c r="AC1779" s="786"/>
      <c r="AD1779" s="786"/>
      <c r="AE1779" s="786"/>
      <c r="AF1779" s="786"/>
      <c r="AG1779" s="786"/>
    </row>
    <row r="1780" spans="1:33" s="56" customFormat="1" ht="15" hidden="1" customHeight="1" outlineLevel="1" x14ac:dyDescent="0.25">
      <c r="A1780" s="724"/>
      <c r="B1780" s="130"/>
      <c r="C1780" s="616"/>
      <c r="D1780" s="2101"/>
      <c r="E1780" s="2104"/>
      <c r="F1780" s="2098" t="str">
        <f t="shared" si="73"/>
        <v>ASHP SEER 16 MF ER Replace ASHP: HVAC ER1</v>
      </c>
      <c r="G1780" s="2098"/>
      <c r="H1780" s="2098"/>
      <c r="I1780" s="2098"/>
      <c r="J1780" s="709" t="s">
        <v>1183</v>
      </c>
      <c r="K1780" s="786">
        <v>6</v>
      </c>
      <c r="L1780" s="670"/>
      <c r="M1780" s="613"/>
      <c r="N1780" s="130"/>
      <c r="O1780" s="251"/>
      <c r="P1780" s="766"/>
      <c r="Q1780" s="767"/>
      <c r="R1780" s="766"/>
      <c r="S1780" s="752"/>
      <c r="T1780" s="760"/>
      <c r="U1780" s="130"/>
      <c r="V1780" s="2107"/>
      <c r="W1780" s="786">
        <v>6</v>
      </c>
      <c r="X1780" s="786">
        <v>6</v>
      </c>
      <c r="Y1780" s="786"/>
      <c r="Z1780" s="786"/>
      <c r="AA1780" s="786"/>
      <c r="AB1780" s="786"/>
      <c r="AC1780" s="786"/>
      <c r="AD1780" s="786"/>
      <c r="AE1780" s="786"/>
      <c r="AF1780" s="786"/>
      <c r="AG1780" s="786"/>
    </row>
    <row r="1781" spans="1:33" s="56" customFormat="1" ht="15" hidden="1" customHeight="1" outlineLevel="1" x14ac:dyDescent="0.25">
      <c r="A1781" s="724"/>
      <c r="B1781" s="130"/>
      <c r="C1781" s="616"/>
      <c r="D1781" s="2101"/>
      <c r="E1781" s="2104"/>
      <c r="F1781" s="2098" t="str">
        <f t="shared" si="73"/>
        <v>ASHP SEER 16 MF ER Replace ASHP: HVAC ER1</v>
      </c>
      <c r="G1781" s="2098"/>
      <c r="H1781" s="2098"/>
      <c r="I1781" s="2098"/>
      <c r="J1781" s="709" t="s">
        <v>1184</v>
      </c>
      <c r="K1781" s="786">
        <v>6</v>
      </c>
      <c r="L1781" s="670"/>
      <c r="M1781" s="613"/>
      <c r="N1781" s="130"/>
      <c r="O1781" s="251"/>
      <c r="P1781" s="766"/>
      <c r="Q1781" s="767"/>
      <c r="R1781" s="766"/>
      <c r="S1781" s="752"/>
      <c r="T1781" s="760"/>
      <c r="U1781" s="130"/>
      <c r="V1781" s="2107"/>
      <c r="W1781" s="786">
        <v>6</v>
      </c>
      <c r="X1781" s="786">
        <v>6</v>
      </c>
      <c r="Y1781" s="786"/>
      <c r="Z1781" s="786"/>
      <c r="AA1781" s="786"/>
      <c r="AB1781" s="786"/>
      <c r="AC1781" s="786"/>
      <c r="AD1781" s="786"/>
      <c r="AE1781" s="786"/>
      <c r="AF1781" s="786"/>
      <c r="AG1781" s="786"/>
    </row>
    <row r="1782" spans="1:33" s="56" customFormat="1" ht="15" hidden="1" customHeight="1" outlineLevel="1" x14ac:dyDescent="0.25">
      <c r="A1782" s="724"/>
      <c r="B1782" s="130"/>
      <c r="C1782" s="616"/>
      <c r="D1782" s="2101"/>
      <c r="E1782" s="2104"/>
      <c r="F1782" s="2098" t="str">
        <f t="shared" si="73"/>
        <v>ASHP SEER 16 MF ER Replace ASHP: HVAC ER2</v>
      </c>
      <c r="G1782" s="2098"/>
      <c r="H1782" s="2098"/>
      <c r="I1782" s="2098"/>
      <c r="J1782" s="709" t="s">
        <v>1185</v>
      </c>
      <c r="K1782" s="786">
        <v>12</v>
      </c>
      <c r="L1782" s="670"/>
      <c r="M1782" s="613"/>
      <c r="N1782" s="130"/>
      <c r="O1782" s="251"/>
      <c r="P1782" s="766"/>
      <c r="Q1782" s="767"/>
      <c r="R1782" s="766"/>
      <c r="S1782" s="752"/>
      <c r="T1782" s="760"/>
      <c r="U1782" s="130"/>
      <c r="V1782" s="2107"/>
      <c r="W1782" s="786">
        <v>12</v>
      </c>
      <c r="X1782" s="786">
        <v>12</v>
      </c>
      <c r="Y1782" s="786"/>
      <c r="Z1782" s="786"/>
      <c r="AA1782" s="786"/>
      <c r="AB1782" s="786"/>
      <c r="AC1782" s="786"/>
      <c r="AD1782" s="786"/>
      <c r="AE1782" s="786"/>
      <c r="AF1782" s="786"/>
      <c r="AG1782" s="786"/>
    </row>
    <row r="1783" spans="1:33" s="56" customFormat="1" ht="15" hidden="1" customHeight="1" outlineLevel="1" x14ac:dyDescent="0.25">
      <c r="A1783" s="724"/>
      <c r="B1783" s="130"/>
      <c r="C1783" s="616"/>
      <c r="D1783" s="2101"/>
      <c r="E1783" s="2104"/>
      <c r="F1783" s="2098" t="str">
        <f t="shared" si="73"/>
        <v>ASHP SEER 16 MF ER Replace ASHP: HVAC ER2</v>
      </c>
      <c r="G1783" s="2098"/>
      <c r="H1783" s="2098"/>
      <c r="I1783" s="2098"/>
      <c r="J1783" s="709" t="s">
        <v>1186</v>
      </c>
      <c r="K1783" s="786">
        <v>12</v>
      </c>
      <c r="L1783" s="670"/>
      <c r="M1783" s="613"/>
      <c r="N1783" s="130"/>
      <c r="O1783" s="251"/>
      <c r="P1783" s="766"/>
      <c r="Q1783" s="767"/>
      <c r="R1783" s="766"/>
      <c r="S1783" s="752"/>
      <c r="T1783" s="760"/>
      <c r="U1783" s="130"/>
      <c r="V1783" s="2107"/>
      <c r="W1783" s="786">
        <v>12</v>
      </c>
      <c r="X1783" s="786">
        <v>12</v>
      </c>
      <c r="Y1783" s="786"/>
      <c r="Z1783" s="786"/>
      <c r="AA1783" s="786"/>
      <c r="AB1783" s="786"/>
      <c r="AC1783" s="786"/>
      <c r="AD1783" s="786"/>
      <c r="AE1783" s="786"/>
      <c r="AF1783" s="786"/>
      <c r="AG1783" s="786"/>
    </row>
    <row r="1784" spans="1:33" s="56" customFormat="1" ht="15" hidden="1" customHeight="1" outlineLevel="1" x14ac:dyDescent="0.25">
      <c r="A1784" s="724"/>
      <c r="B1784" s="130"/>
      <c r="C1784" s="616"/>
      <c r="D1784" s="2101"/>
      <c r="E1784" s="2104"/>
      <c r="F1784" s="2098" t="str">
        <f t="shared" si="73"/>
        <v>ASHP - SEER 16 - replace on fail MF</v>
      </c>
      <c r="G1784" s="2098"/>
      <c r="H1784" s="2098"/>
      <c r="I1784" s="2098"/>
      <c r="J1784" s="709" t="s">
        <v>1187</v>
      </c>
      <c r="K1784" s="786">
        <v>18</v>
      </c>
      <c r="L1784" s="670"/>
      <c r="M1784" s="613"/>
      <c r="N1784" s="130"/>
      <c r="O1784" s="251"/>
      <c r="P1784" s="766"/>
      <c r="Q1784" s="767"/>
      <c r="R1784" s="766"/>
      <c r="S1784" s="752"/>
      <c r="T1784" s="760"/>
      <c r="U1784" s="130"/>
      <c r="V1784" s="2107"/>
      <c r="W1784" s="786">
        <v>18</v>
      </c>
      <c r="X1784" s="786">
        <v>18</v>
      </c>
      <c r="Y1784" s="786"/>
      <c r="Z1784" s="786"/>
      <c r="AA1784" s="786"/>
      <c r="AB1784" s="786"/>
      <c r="AC1784" s="786"/>
      <c r="AD1784" s="786"/>
      <c r="AE1784" s="786"/>
      <c r="AF1784" s="786"/>
      <c r="AG1784" s="786"/>
    </row>
    <row r="1785" spans="1:33" s="56" customFormat="1" ht="15" hidden="1" customHeight="1" outlineLevel="1" x14ac:dyDescent="0.25">
      <c r="A1785" s="597"/>
      <c r="B1785" s="130"/>
      <c r="C1785" s="616"/>
      <c r="D1785" s="2101"/>
      <c r="E1785" s="2104"/>
      <c r="F1785" s="2098" t="str">
        <f t="shared" si="73"/>
        <v>ASHP - SEER 16 - replace on fail MF</v>
      </c>
      <c r="G1785" s="2098"/>
      <c r="H1785" s="2098"/>
      <c r="I1785" s="2098"/>
      <c r="J1785" s="709" t="s">
        <v>614</v>
      </c>
      <c r="K1785" s="786">
        <v>18</v>
      </c>
      <c r="L1785" s="670"/>
      <c r="M1785" s="613"/>
      <c r="N1785" s="130"/>
      <c r="O1785" s="251"/>
      <c r="P1785" s="251"/>
      <c r="Q1785" s="251"/>
      <c r="R1785" s="251"/>
      <c r="S1785" s="130"/>
      <c r="T1785" s="130"/>
      <c r="U1785" s="130"/>
      <c r="V1785" s="2107"/>
      <c r="W1785" s="786">
        <v>18</v>
      </c>
      <c r="X1785" s="786">
        <v>18</v>
      </c>
      <c r="Y1785" s="786"/>
      <c r="Z1785" s="786"/>
      <c r="AA1785" s="786"/>
      <c r="AB1785" s="786"/>
      <c r="AC1785" s="786"/>
      <c r="AD1785" s="786"/>
      <c r="AE1785" s="786"/>
      <c r="AF1785" s="786"/>
      <c r="AG1785" s="786"/>
    </row>
    <row r="1786" spans="1:33" s="56" customFormat="1" ht="15" hidden="1" customHeight="1" outlineLevel="1" x14ac:dyDescent="0.25">
      <c r="A1786" s="724"/>
      <c r="B1786" s="130"/>
      <c r="C1786" s="616"/>
      <c r="D1786" s="2101"/>
      <c r="E1786" s="2104"/>
      <c r="F1786" s="2098" t="str">
        <f t="shared" si="73"/>
        <v>ASHP - SEER 16 - replace electric furnace / CAC MF</v>
      </c>
      <c r="G1786" s="2098"/>
      <c r="H1786" s="2098"/>
      <c r="I1786" s="2098"/>
      <c r="J1786" s="709" t="s">
        <v>1188</v>
      </c>
      <c r="K1786" s="786">
        <v>18</v>
      </c>
      <c r="L1786" s="670"/>
      <c r="M1786" s="770"/>
      <c r="N1786" s="130"/>
      <c r="O1786" s="251"/>
      <c r="P1786" s="766"/>
      <c r="Q1786" s="767"/>
      <c r="R1786" s="766"/>
      <c r="S1786" s="752"/>
      <c r="T1786" s="760"/>
      <c r="U1786" s="130"/>
      <c r="V1786" s="2107"/>
      <c r="W1786" s="786">
        <v>18</v>
      </c>
      <c r="X1786" s="786">
        <v>18</v>
      </c>
      <c r="Y1786" s="786"/>
      <c r="Z1786" s="786"/>
      <c r="AA1786" s="786"/>
      <c r="AB1786" s="786"/>
      <c r="AC1786" s="786"/>
      <c r="AD1786" s="786"/>
      <c r="AE1786" s="786"/>
      <c r="AF1786" s="786"/>
      <c r="AG1786" s="786"/>
    </row>
    <row r="1787" spans="1:33" s="56" customFormat="1" ht="15" hidden="1" customHeight="1" outlineLevel="1" x14ac:dyDescent="0.25">
      <c r="A1787" s="597"/>
      <c r="B1787" s="130"/>
      <c r="C1787" s="616"/>
      <c r="D1787" s="2101"/>
      <c r="E1787" s="2104"/>
      <c r="F1787" s="2098" t="str">
        <f t="shared" si="73"/>
        <v>ASHP - SEER 16 - replace electric furnace / CAC MF</v>
      </c>
      <c r="G1787" s="2098"/>
      <c r="H1787" s="2098"/>
      <c r="I1787" s="2098"/>
      <c r="J1787" s="709" t="s">
        <v>1189</v>
      </c>
      <c r="K1787" s="786">
        <v>18</v>
      </c>
      <c r="L1787" s="670"/>
      <c r="M1787" s="770"/>
      <c r="N1787" s="130"/>
      <c r="O1787" s="251"/>
      <c r="P1787" s="251"/>
      <c r="Q1787" s="251"/>
      <c r="R1787" s="251"/>
      <c r="S1787" s="130"/>
      <c r="T1787" s="130"/>
      <c r="U1787" s="130"/>
      <c r="V1787" s="2107"/>
      <c r="W1787" s="786">
        <v>18</v>
      </c>
      <c r="X1787" s="786">
        <v>18</v>
      </c>
      <c r="Y1787" s="786"/>
      <c r="Z1787" s="786"/>
      <c r="AA1787" s="786"/>
      <c r="AB1787" s="786"/>
      <c r="AC1787" s="786"/>
      <c r="AD1787" s="786"/>
      <c r="AE1787" s="786"/>
      <c r="AF1787" s="786"/>
      <c r="AG1787" s="786"/>
    </row>
    <row r="1788" spans="1:33" s="56" customFormat="1" ht="15" hidden="1" customHeight="1" outlineLevel="1" x14ac:dyDescent="0.25">
      <c r="A1788" s="724"/>
      <c r="B1788" s="130"/>
      <c r="C1788" s="616"/>
      <c r="D1788" s="2101"/>
      <c r="E1788" s="2104"/>
      <c r="F1788" s="2098" t="str">
        <f t="shared" si="73"/>
        <v>ASHP - SEER 16 - replace electric furnace / CAC - early replacement MF ER1</v>
      </c>
      <c r="G1788" s="2098"/>
      <c r="H1788" s="2098"/>
      <c r="I1788" s="2098"/>
      <c r="J1788" s="709" t="s">
        <v>1190</v>
      </c>
      <c r="K1788" s="786">
        <v>6</v>
      </c>
      <c r="L1788" s="670"/>
      <c r="M1788" s="770"/>
      <c r="N1788" s="130"/>
      <c r="O1788" s="251"/>
      <c r="P1788" s="766"/>
      <c r="Q1788" s="767"/>
      <c r="R1788" s="766"/>
      <c r="S1788" s="752"/>
      <c r="T1788" s="760"/>
      <c r="U1788" s="130"/>
      <c r="V1788" s="2107"/>
      <c r="W1788" s="786">
        <v>6</v>
      </c>
      <c r="X1788" s="786">
        <v>6</v>
      </c>
      <c r="Y1788" s="786"/>
      <c r="Z1788" s="786"/>
      <c r="AA1788" s="786"/>
      <c r="AB1788" s="786"/>
      <c r="AC1788" s="786"/>
      <c r="AD1788" s="786"/>
      <c r="AE1788" s="786"/>
      <c r="AF1788" s="786"/>
      <c r="AG1788" s="786"/>
    </row>
    <row r="1789" spans="1:33" s="56" customFormat="1" ht="15" hidden="1" customHeight="1" outlineLevel="1" x14ac:dyDescent="0.25">
      <c r="A1789" s="597"/>
      <c r="B1789" s="130"/>
      <c r="C1789" s="616"/>
      <c r="D1789" s="2101"/>
      <c r="E1789" s="2104"/>
      <c r="F1789" s="2098" t="str">
        <f t="shared" si="73"/>
        <v>ASHP - SEER 16 - replace electric furnace / CAC - early replacement MF ER1</v>
      </c>
      <c r="G1789" s="2098"/>
      <c r="H1789" s="2098"/>
      <c r="I1789" s="2098"/>
      <c r="J1789" s="709" t="s">
        <v>1191</v>
      </c>
      <c r="K1789" s="786">
        <v>6</v>
      </c>
      <c r="L1789" s="670"/>
      <c r="M1789" s="770"/>
      <c r="N1789" s="130"/>
      <c r="O1789" s="251"/>
      <c r="P1789" s="251"/>
      <c r="Q1789" s="251"/>
      <c r="R1789" s="251"/>
      <c r="S1789" s="130"/>
      <c r="T1789" s="130"/>
      <c r="U1789" s="130"/>
      <c r="V1789" s="2107"/>
      <c r="W1789" s="786">
        <v>6</v>
      </c>
      <c r="X1789" s="786">
        <v>6</v>
      </c>
      <c r="Y1789" s="786"/>
      <c r="Z1789" s="786"/>
      <c r="AA1789" s="786"/>
      <c r="AB1789" s="786"/>
      <c r="AC1789" s="786"/>
      <c r="AD1789" s="786"/>
      <c r="AE1789" s="786"/>
      <c r="AF1789" s="786"/>
      <c r="AG1789" s="786"/>
    </row>
    <row r="1790" spans="1:33" s="56" customFormat="1" ht="15" hidden="1" customHeight="1" outlineLevel="1" x14ac:dyDescent="0.25">
      <c r="A1790" s="597"/>
      <c r="B1790" s="130"/>
      <c r="C1790" s="616"/>
      <c r="D1790" s="2101"/>
      <c r="E1790" s="2104"/>
      <c r="F1790" s="2098" t="str">
        <f t="shared" si="73"/>
        <v>ASHP - SEER 16 - replace electric furnace / CAC - early replacement MF ER2</v>
      </c>
      <c r="G1790" s="2098"/>
      <c r="H1790" s="2098"/>
      <c r="I1790" s="2098"/>
      <c r="J1790" s="709" t="s">
        <v>1192</v>
      </c>
      <c r="K1790" s="786">
        <v>12</v>
      </c>
      <c r="L1790" s="670"/>
      <c r="M1790" s="770"/>
      <c r="N1790" s="130"/>
      <c r="O1790" s="251"/>
      <c r="P1790" s="251"/>
      <c r="Q1790" s="251"/>
      <c r="R1790" s="251"/>
      <c r="S1790" s="130"/>
      <c r="T1790" s="130"/>
      <c r="U1790" s="130"/>
      <c r="V1790" s="2107"/>
      <c r="W1790" s="786">
        <v>12</v>
      </c>
      <c r="X1790" s="786">
        <v>12</v>
      </c>
      <c r="Y1790" s="786"/>
      <c r="Z1790" s="786"/>
      <c r="AA1790" s="786"/>
      <c r="AB1790" s="786"/>
      <c r="AC1790" s="786"/>
      <c r="AD1790" s="786"/>
      <c r="AE1790" s="786"/>
      <c r="AF1790" s="786"/>
      <c r="AG1790" s="786"/>
    </row>
    <row r="1791" spans="1:33" s="56" customFormat="1" ht="15" hidden="1" customHeight="1" outlineLevel="1" x14ac:dyDescent="0.25">
      <c r="A1791" s="724"/>
      <c r="B1791" s="130"/>
      <c r="C1791" s="616"/>
      <c r="D1791" s="2101"/>
      <c r="E1791" s="2104"/>
      <c r="F1791" s="2098" t="str">
        <f t="shared" si="73"/>
        <v>ASHP - SEER 16 - replace electric furnace / CAC - early replacement MF ER2</v>
      </c>
      <c r="G1791" s="2098"/>
      <c r="H1791" s="2098"/>
      <c r="I1791" s="2098"/>
      <c r="J1791" s="709" t="s">
        <v>1193</v>
      </c>
      <c r="K1791" s="786">
        <v>12</v>
      </c>
      <c r="L1791" s="670"/>
      <c r="M1791" s="770"/>
      <c r="N1791" s="130"/>
      <c r="O1791" s="251"/>
      <c r="P1791" s="766"/>
      <c r="Q1791" s="767"/>
      <c r="R1791" s="766"/>
      <c r="S1791" s="752"/>
      <c r="T1791" s="760"/>
      <c r="U1791" s="130"/>
      <c r="V1791" s="2107"/>
      <c r="W1791" s="786">
        <v>12</v>
      </c>
      <c r="X1791" s="786">
        <v>12</v>
      </c>
      <c r="Y1791" s="786"/>
      <c r="Z1791" s="786"/>
      <c r="AA1791" s="786"/>
      <c r="AB1791" s="786"/>
      <c r="AC1791" s="786"/>
      <c r="AD1791" s="786"/>
      <c r="AE1791" s="786"/>
      <c r="AF1791" s="786"/>
      <c r="AG1791" s="786"/>
    </row>
    <row r="1792" spans="1:33" s="56" customFormat="1" ht="15" hidden="1" customHeight="1" outlineLevel="1" x14ac:dyDescent="0.25">
      <c r="A1792" s="724"/>
      <c r="B1792" s="130"/>
      <c r="C1792" s="616"/>
      <c r="D1792" s="2101"/>
      <c r="E1792" s="2104"/>
      <c r="F1792" s="2098" t="str">
        <f t="shared" si="73"/>
        <v>ASHP SEER 15 MF Replace at Fail ASHP: HVAC</v>
      </c>
      <c r="G1792" s="2098"/>
      <c r="H1792" s="2098"/>
      <c r="I1792" s="2098"/>
      <c r="J1792" s="709" t="s">
        <v>1194</v>
      </c>
      <c r="K1792" s="786">
        <v>18</v>
      </c>
      <c r="L1792" s="670"/>
      <c r="M1792" s="770"/>
      <c r="N1792" s="130"/>
      <c r="O1792" s="251"/>
      <c r="P1792" s="766"/>
      <c r="Q1792" s="767"/>
      <c r="R1792" s="766"/>
      <c r="S1792" s="752"/>
      <c r="T1792" s="760"/>
      <c r="U1792" s="130"/>
      <c r="V1792" s="2107"/>
      <c r="W1792" s="786">
        <v>18</v>
      </c>
      <c r="X1792" s="786">
        <v>18</v>
      </c>
      <c r="Y1792" s="786"/>
      <c r="Z1792" s="786"/>
      <c r="AA1792" s="786"/>
      <c r="AB1792" s="786"/>
      <c r="AC1792" s="786"/>
      <c r="AD1792" s="786"/>
      <c r="AE1792" s="786"/>
      <c r="AF1792" s="786"/>
      <c r="AG1792" s="786"/>
    </row>
    <row r="1793" spans="1:33" s="56" customFormat="1" ht="15" hidden="1" customHeight="1" outlineLevel="1" x14ac:dyDescent="0.25">
      <c r="A1793" s="597"/>
      <c r="B1793" s="130"/>
      <c r="C1793" s="616"/>
      <c r="D1793" s="2101"/>
      <c r="E1793" s="2104"/>
      <c r="F1793" s="2098" t="str">
        <f t="shared" si="73"/>
        <v>ASHP SEER 15 MF Replace at Fail ASHP: HVAC</v>
      </c>
      <c r="G1793" s="2098"/>
      <c r="H1793" s="2098"/>
      <c r="I1793" s="2098"/>
      <c r="J1793" s="709" t="s">
        <v>1195</v>
      </c>
      <c r="K1793" s="786">
        <v>18</v>
      </c>
      <c r="L1793" s="670"/>
      <c r="M1793" s="770"/>
      <c r="N1793" s="130"/>
      <c r="O1793" s="251"/>
      <c r="P1793" s="251"/>
      <c r="Q1793" s="251"/>
      <c r="R1793" s="251"/>
      <c r="S1793" s="130"/>
      <c r="T1793" s="130"/>
      <c r="U1793" s="130"/>
      <c r="V1793" s="2107"/>
      <c r="W1793" s="786">
        <v>18</v>
      </c>
      <c r="X1793" s="786">
        <v>18</v>
      </c>
      <c r="Y1793" s="786"/>
      <c r="Z1793" s="786"/>
      <c r="AA1793" s="786"/>
      <c r="AB1793" s="786"/>
      <c r="AC1793" s="786"/>
      <c r="AD1793" s="786"/>
      <c r="AE1793" s="786"/>
      <c r="AF1793" s="786"/>
      <c r="AG1793" s="786"/>
    </row>
    <row r="1794" spans="1:33" s="56" customFormat="1" ht="15" hidden="1" customHeight="1" outlineLevel="1" x14ac:dyDescent="0.25">
      <c r="A1794" s="597"/>
      <c r="B1794" s="130"/>
      <c r="C1794" s="616"/>
      <c r="D1794" s="2101"/>
      <c r="E1794" s="2104"/>
      <c r="F1794" s="2098" t="str">
        <f t="shared" si="73"/>
        <v>ASHP - SEER 17 - replace electric furnace / CAC SF</v>
      </c>
      <c r="G1794" s="2098"/>
      <c r="H1794" s="2098"/>
      <c r="I1794" s="2098"/>
      <c r="J1794" s="709" t="s">
        <v>1196</v>
      </c>
      <c r="K1794" s="786">
        <v>18</v>
      </c>
      <c r="L1794" s="670"/>
      <c r="M1794" s="770"/>
      <c r="N1794" s="130"/>
      <c r="O1794" s="251"/>
      <c r="P1794" s="251"/>
      <c r="Q1794" s="251"/>
      <c r="R1794" s="251"/>
      <c r="S1794" s="130"/>
      <c r="T1794" s="130"/>
      <c r="U1794" s="130"/>
      <c r="V1794" s="2107"/>
      <c r="W1794" s="786">
        <v>18</v>
      </c>
      <c r="X1794" s="786">
        <v>18</v>
      </c>
      <c r="Y1794" s="786"/>
      <c r="Z1794" s="786"/>
      <c r="AA1794" s="786"/>
      <c r="AB1794" s="786"/>
      <c r="AC1794" s="786"/>
      <c r="AD1794" s="786"/>
      <c r="AE1794" s="786"/>
      <c r="AF1794" s="786"/>
      <c r="AG1794" s="786"/>
    </row>
    <row r="1795" spans="1:33" s="56" customFormat="1" ht="15" hidden="1" customHeight="1" outlineLevel="1" x14ac:dyDescent="0.25">
      <c r="A1795" s="724"/>
      <c r="B1795" s="130"/>
      <c r="C1795" s="616"/>
      <c r="D1795" s="2101"/>
      <c r="E1795" s="2104"/>
      <c r="F1795" s="2098" t="str">
        <f t="shared" si="73"/>
        <v>ASHP - SEER 17 - replace electric furnace / CAC SF</v>
      </c>
      <c r="G1795" s="2098"/>
      <c r="H1795" s="2098"/>
      <c r="I1795" s="2098"/>
      <c r="J1795" s="709" t="s">
        <v>1197</v>
      </c>
      <c r="K1795" s="786">
        <v>18</v>
      </c>
      <c r="L1795" s="670"/>
      <c r="M1795" s="770"/>
      <c r="N1795" s="130"/>
      <c r="O1795" s="251"/>
      <c r="P1795" s="766"/>
      <c r="Q1795" s="767"/>
      <c r="R1795" s="766"/>
      <c r="S1795" s="752"/>
      <c r="T1795" s="760"/>
      <c r="U1795" s="130"/>
      <c r="V1795" s="2107"/>
      <c r="W1795" s="786">
        <v>18</v>
      </c>
      <c r="X1795" s="786">
        <v>18</v>
      </c>
      <c r="Y1795" s="786"/>
      <c r="Z1795" s="786"/>
      <c r="AA1795" s="786"/>
      <c r="AB1795" s="786"/>
      <c r="AC1795" s="786"/>
      <c r="AD1795" s="786"/>
      <c r="AE1795" s="786"/>
      <c r="AF1795" s="786"/>
      <c r="AG1795" s="786"/>
    </row>
    <row r="1796" spans="1:33" s="56" customFormat="1" ht="15" hidden="1" customHeight="1" outlineLevel="1" x14ac:dyDescent="0.25">
      <c r="A1796" s="724"/>
      <c r="B1796" s="130"/>
      <c r="C1796" s="616"/>
      <c r="D1796" s="2101"/>
      <c r="E1796" s="2104"/>
      <c r="F1796" s="2098" t="str">
        <f t="shared" si="73"/>
        <v>ASHP - SEER 17 - replace electric furnace / CAC MF</v>
      </c>
      <c r="G1796" s="2098"/>
      <c r="H1796" s="2098"/>
      <c r="I1796" s="2098"/>
      <c r="J1796" s="709"/>
      <c r="K1796" s="786">
        <v>18</v>
      </c>
      <c r="L1796" s="670"/>
      <c r="M1796" s="770"/>
      <c r="N1796" s="130"/>
      <c r="O1796" s="251"/>
      <c r="P1796" s="766"/>
      <c r="Q1796" s="767"/>
      <c r="R1796" s="766"/>
      <c r="S1796" s="752"/>
      <c r="T1796" s="760"/>
      <c r="U1796" s="130"/>
      <c r="V1796" s="2107"/>
      <c r="W1796" s="786">
        <v>18</v>
      </c>
      <c r="X1796" s="786">
        <v>18</v>
      </c>
      <c r="Y1796" s="786"/>
      <c r="Z1796" s="786"/>
      <c r="AA1796" s="786"/>
      <c r="AB1796" s="786"/>
      <c r="AC1796" s="786"/>
      <c r="AD1796" s="786"/>
      <c r="AE1796" s="786"/>
      <c r="AF1796" s="786"/>
      <c r="AG1796" s="786"/>
    </row>
    <row r="1797" spans="1:33" s="56" customFormat="1" ht="15" hidden="1" customHeight="1" outlineLevel="1" x14ac:dyDescent="0.25">
      <c r="A1797" s="724"/>
      <c r="B1797" s="130"/>
      <c r="C1797" s="616"/>
      <c r="D1797" s="2101"/>
      <c r="E1797" s="2104"/>
      <c r="F1797" s="2098" t="str">
        <f t="shared" si="73"/>
        <v>ASHP - SEER 17 - replace electric furnace / CAC MF</v>
      </c>
      <c r="G1797" s="2098"/>
      <c r="H1797" s="2098"/>
      <c r="I1797" s="2098"/>
      <c r="J1797" s="709"/>
      <c r="K1797" s="786">
        <v>18</v>
      </c>
      <c r="L1797" s="670"/>
      <c r="M1797" s="770"/>
      <c r="N1797" s="130"/>
      <c r="O1797" s="251"/>
      <c r="P1797" s="766"/>
      <c r="Q1797" s="767"/>
      <c r="R1797" s="766"/>
      <c r="S1797" s="752"/>
      <c r="T1797" s="760"/>
      <c r="U1797" s="130"/>
      <c r="V1797" s="2107"/>
      <c r="W1797" s="786">
        <v>18</v>
      </c>
      <c r="X1797" s="786">
        <v>18</v>
      </c>
      <c r="Y1797" s="786"/>
      <c r="Z1797" s="786"/>
      <c r="AA1797" s="786"/>
      <c r="AB1797" s="786"/>
      <c r="AC1797" s="786"/>
      <c r="AD1797" s="786"/>
      <c r="AE1797" s="786"/>
      <c r="AF1797" s="786"/>
      <c r="AG1797" s="786"/>
    </row>
    <row r="1798" spans="1:33" s="56" customFormat="1" ht="15" hidden="1" customHeight="1" outlineLevel="1" x14ac:dyDescent="0.25">
      <c r="A1798" s="724"/>
      <c r="B1798" s="130"/>
      <c r="C1798" s="616"/>
      <c r="D1798" s="2101"/>
      <c r="E1798" s="2104"/>
      <c r="F1798" s="2098" t="str">
        <f t="shared" si="73"/>
        <v>ASHP - SEER 18 - replace electric furnace / CAC SF</v>
      </c>
      <c r="G1798" s="2098"/>
      <c r="H1798" s="2098"/>
      <c r="I1798" s="2098"/>
      <c r="J1798" s="709"/>
      <c r="K1798" s="786">
        <v>18</v>
      </c>
      <c r="L1798" s="670"/>
      <c r="M1798" s="770"/>
      <c r="N1798" s="130"/>
      <c r="O1798" s="251"/>
      <c r="P1798" s="766"/>
      <c r="Q1798" s="767"/>
      <c r="R1798" s="766"/>
      <c r="S1798" s="752"/>
      <c r="T1798" s="760"/>
      <c r="U1798" s="130"/>
      <c r="V1798" s="2107"/>
      <c r="W1798" s="786">
        <v>18</v>
      </c>
      <c r="X1798" s="786">
        <v>18</v>
      </c>
      <c r="Y1798" s="786"/>
      <c r="Z1798" s="786"/>
      <c r="AA1798" s="786"/>
      <c r="AB1798" s="786"/>
      <c r="AC1798" s="786"/>
      <c r="AD1798" s="786"/>
      <c r="AE1798" s="786"/>
      <c r="AF1798" s="786"/>
      <c r="AG1798" s="786"/>
    </row>
    <row r="1799" spans="1:33" s="56" customFormat="1" ht="15" hidden="1" customHeight="1" outlineLevel="1" x14ac:dyDescent="0.25">
      <c r="A1799" s="724"/>
      <c r="B1799" s="130"/>
      <c r="C1799" s="616"/>
      <c r="D1799" s="2101"/>
      <c r="E1799" s="2104"/>
      <c r="F1799" s="2098" t="str">
        <f t="shared" si="73"/>
        <v>ASHP - SEER 18 - replace electric furnace / CAC SF</v>
      </c>
      <c r="G1799" s="2098"/>
      <c r="H1799" s="2098"/>
      <c r="I1799" s="2098"/>
      <c r="J1799" s="709"/>
      <c r="K1799" s="786">
        <v>18</v>
      </c>
      <c r="L1799" s="670"/>
      <c r="M1799" s="770"/>
      <c r="N1799" s="130"/>
      <c r="O1799" s="251"/>
      <c r="P1799" s="766"/>
      <c r="Q1799" s="767"/>
      <c r="R1799" s="766"/>
      <c r="S1799" s="752"/>
      <c r="T1799" s="760"/>
      <c r="U1799" s="130"/>
      <c r="V1799" s="2107"/>
      <c r="W1799" s="786">
        <v>18</v>
      </c>
      <c r="X1799" s="786">
        <v>18</v>
      </c>
      <c r="Y1799" s="786"/>
      <c r="Z1799" s="786"/>
      <c r="AA1799" s="786"/>
      <c r="AB1799" s="786"/>
      <c r="AC1799" s="786"/>
      <c r="AD1799" s="786"/>
      <c r="AE1799" s="786"/>
      <c r="AF1799" s="786"/>
      <c r="AG1799" s="786"/>
    </row>
    <row r="1800" spans="1:33" s="56" customFormat="1" ht="15" hidden="1" customHeight="1" outlineLevel="1" x14ac:dyDescent="0.25">
      <c r="A1800" s="724"/>
      <c r="B1800" s="130"/>
      <c r="C1800" s="616"/>
      <c r="D1800" s="2101"/>
      <c r="E1800" s="2104"/>
      <c r="F1800" s="2098" t="str">
        <f t="shared" si="73"/>
        <v>ASHP - SEER 18 - replace electric furnace / CAC MF</v>
      </c>
      <c r="G1800" s="2098"/>
      <c r="H1800" s="2098"/>
      <c r="I1800" s="2098"/>
      <c r="J1800" s="709"/>
      <c r="K1800" s="786">
        <v>18</v>
      </c>
      <c r="L1800" s="670"/>
      <c r="M1800" s="770"/>
      <c r="N1800" s="130"/>
      <c r="O1800" s="251"/>
      <c r="P1800" s="766"/>
      <c r="Q1800" s="767"/>
      <c r="R1800" s="766"/>
      <c r="S1800" s="752"/>
      <c r="T1800" s="760"/>
      <c r="U1800" s="130"/>
      <c r="V1800" s="2107"/>
      <c r="W1800" s="786">
        <v>18</v>
      </c>
      <c r="X1800" s="786">
        <v>18</v>
      </c>
      <c r="Y1800" s="786"/>
      <c r="Z1800" s="786"/>
      <c r="AA1800" s="786"/>
      <c r="AB1800" s="786"/>
      <c r="AC1800" s="786"/>
      <c r="AD1800" s="786"/>
      <c r="AE1800" s="786"/>
      <c r="AF1800" s="786"/>
      <c r="AG1800" s="786"/>
    </row>
    <row r="1801" spans="1:33" s="56" customFormat="1" ht="15" hidden="1" customHeight="1" outlineLevel="1" x14ac:dyDescent="0.25">
      <c r="A1801" s="724"/>
      <c r="B1801" s="130"/>
      <c r="C1801" s="616"/>
      <c r="D1801" s="2101"/>
      <c r="E1801" s="2104"/>
      <c r="F1801" s="2098" t="str">
        <f t="shared" si="73"/>
        <v>ASHP - SEER 18 - replace electric furnace / CAC MF</v>
      </c>
      <c r="G1801" s="2098"/>
      <c r="H1801" s="2098"/>
      <c r="I1801" s="2098"/>
      <c r="J1801" s="780"/>
      <c r="K1801" s="787">
        <v>18</v>
      </c>
      <c r="L1801" s="670"/>
      <c r="M1801" s="770"/>
      <c r="N1801" s="130"/>
      <c r="O1801" s="251"/>
      <c r="P1801" s="766"/>
      <c r="Q1801" s="767"/>
      <c r="R1801" s="766"/>
      <c r="S1801" s="752"/>
      <c r="T1801" s="760"/>
      <c r="U1801" s="130"/>
      <c r="V1801" s="2107"/>
      <c r="W1801" s="787">
        <v>18</v>
      </c>
      <c r="X1801" s="787">
        <v>18</v>
      </c>
      <c r="Y1801" s="787"/>
      <c r="Z1801" s="787"/>
      <c r="AA1801" s="787"/>
      <c r="AB1801" s="787"/>
      <c r="AC1801" s="787"/>
      <c r="AD1801" s="787"/>
      <c r="AE1801" s="787"/>
      <c r="AF1801" s="787"/>
      <c r="AG1801" s="787"/>
    </row>
    <row r="1802" spans="1:33" s="56" customFormat="1" hidden="1" outlineLevel="1" x14ac:dyDescent="0.25">
      <c r="A1802" s="724"/>
      <c r="B1802" s="130"/>
      <c r="C1802" s="616"/>
      <c r="D1802" s="2101"/>
      <c r="E1802" s="2104"/>
      <c r="F1802" s="2098" t="str">
        <f t="shared" si="73"/>
        <v>ASHP - SEER 19 - replace electric furnace / CAC SF</v>
      </c>
      <c r="G1802" s="2098"/>
      <c r="H1802" s="2098"/>
      <c r="I1802" s="2098"/>
      <c r="J1802" s="709"/>
      <c r="K1802" s="786">
        <v>18</v>
      </c>
      <c r="L1802" s="778"/>
      <c r="M1802" s="770"/>
      <c r="N1802" s="130"/>
      <c r="O1802" s="251"/>
      <c r="P1802" s="766"/>
      <c r="Q1802" s="767"/>
      <c r="R1802" s="766"/>
      <c r="S1802" s="752"/>
      <c r="T1802" s="760"/>
      <c r="U1802" s="130"/>
      <c r="V1802" s="2107"/>
      <c r="W1802" s="786">
        <v>18</v>
      </c>
      <c r="X1802" s="786">
        <v>18</v>
      </c>
      <c r="Y1802" s="786"/>
      <c r="Z1802" s="786"/>
      <c r="AA1802" s="786"/>
      <c r="AB1802" s="786"/>
      <c r="AC1802" s="786"/>
      <c r="AD1802" s="786"/>
      <c r="AE1802" s="786"/>
      <c r="AF1802" s="786"/>
      <c r="AG1802" s="786"/>
    </row>
    <row r="1803" spans="1:33" s="56" customFormat="1" hidden="1" outlineLevel="1" x14ac:dyDescent="0.25">
      <c r="A1803" s="724"/>
      <c r="B1803" s="130"/>
      <c r="C1803" s="616"/>
      <c r="D1803" s="2101"/>
      <c r="E1803" s="2104"/>
      <c r="F1803" s="2098" t="str">
        <f t="shared" si="73"/>
        <v>ASHP - SEER 19 - replace electric furnace / CAC SF</v>
      </c>
      <c r="G1803" s="2098"/>
      <c r="H1803" s="2098"/>
      <c r="I1803" s="2098"/>
      <c r="J1803" s="709"/>
      <c r="K1803" s="786">
        <v>18</v>
      </c>
      <c r="L1803" s="778"/>
      <c r="M1803" s="770"/>
      <c r="N1803" s="130"/>
      <c r="O1803" s="251"/>
      <c r="P1803" s="766"/>
      <c r="Q1803" s="767"/>
      <c r="R1803" s="766"/>
      <c r="S1803" s="752"/>
      <c r="T1803" s="760"/>
      <c r="U1803" s="130"/>
      <c r="V1803" s="2107"/>
      <c r="W1803" s="786">
        <v>18</v>
      </c>
      <c r="X1803" s="786">
        <v>18</v>
      </c>
      <c r="Y1803" s="786"/>
      <c r="Z1803" s="786"/>
      <c r="AA1803" s="786"/>
      <c r="AB1803" s="786"/>
      <c r="AC1803" s="786"/>
      <c r="AD1803" s="786"/>
      <c r="AE1803" s="786"/>
      <c r="AF1803" s="786"/>
      <c r="AG1803" s="786"/>
    </row>
    <row r="1804" spans="1:33" s="56" customFormat="1" hidden="1" outlineLevel="1" x14ac:dyDescent="0.25">
      <c r="A1804" s="724"/>
      <c r="B1804" s="130"/>
      <c r="C1804" s="616"/>
      <c r="D1804" s="2101"/>
      <c r="E1804" s="2104"/>
      <c r="F1804" s="2098" t="str">
        <f t="shared" si="73"/>
        <v>ASHP - SEER 19 - replace electric furnace / CAC MF</v>
      </c>
      <c r="G1804" s="2098"/>
      <c r="H1804" s="2098"/>
      <c r="I1804" s="2098"/>
      <c r="J1804" s="709"/>
      <c r="K1804" s="786">
        <v>18</v>
      </c>
      <c r="L1804" s="778"/>
      <c r="M1804" s="770"/>
      <c r="N1804" s="130"/>
      <c r="O1804" s="251"/>
      <c r="P1804" s="766"/>
      <c r="Q1804" s="767"/>
      <c r="R1804" s="766"/>
      <c r="S1804" s="752"/>
      <c r="T1804" s="760"/>
      <c r="U1804" s="130"/>
      <c r="V1804" s="2107"/>
      <c r="W1804" s="786">
        <v>18</v>
      </c>
      <c r="X1804" s="786">
        <v>18</v>
      </c>
      <c r="Y1804" s="786"/>
      <c r="Z1804" s="786"/>
      <c r="AA1804" s="786"/>
      <c r="AB1804" s="786"/>
      <c r="AC1804" s="786"/>
      <c r="AD1804" s="786"/>
      <c r="AE1804" s="786"/>
      <c r="AF1804" s="786"/>
      <c r="AG1804" s="786"/>
    </row>
    <row r="1805" spans="1:33" s="56" customFormat="1" hidden="1" outlineLevel="1" x14ac:dyDescent="0.25">
      <c r="A1805" s="724"/>
      <c r="B1805" s="130"/>
      <c r="C1805" s="616"/>
      <c r="D1805" s="2101"/>
      <c r="E1805" s="2104"/>
      <c r="F1805" s="2098" t="str">
        <f t="shared" si="73"/>
        <v>ASHP - SEER 19 - replace electric furnace / CAC MF</v>
      </c>
      <c r="G1805" s="2098"/>
      <c r="H1805" s="2098"/>
      <c r="I1805" s="2098"/>
      <c r="J1805" s="709"/>
      <c r="K1805" s="786">
        <v>18</v>
      </c>
      <c r="L1805" s="778"/>
      <c r="M1805" s="770"/>
      <c r="N1805" s="130"/>
      <c r="O1805" s="251"/>
      <c r="P1805" s="766"/>
      <c r="Q1805" s="767"/>
      <c r="R1805" s="766"/>
      <c r="S1805" s="752"/>
      <c r="T1805" s="760"/>
      <c r="U1805" s="130"/>
      <c r="V1805" s="2107"/>
      <c r="W1805" s="786">
        <v>18</v>
      </c>
      <c r="X1805" s="786">
        <v>18</v>
      </c>
      <c r="Y1805" s="786"/>
      <c r="Z1805" s="786"/>
      <c r="AA1805" s="786"/>
      <c r="AB1805" s="786"/>
      <c r="AC1805" s="786"/>
      <c r="AD1805" s="786"/>
      <c r="AE1805" s="786"/>
      <c r="AF1805" s="786"/>
      <c r="AG1805" s="786"/>
    </row>
    <row r="1806" spans="1:33" s="56" customFormat="1" hidden="1" outlineLevel="1" x14ac:dyDescent="0.25">
      <c r="A1806" s="724"/>
      <c r="B1806" s="130"/>
      <c r="C1806" s="616"/>
      <c r="D1806" s="2101"/>
      <c r="E1806" s="2104"/>
      <c r="F1806" s="2098" t="str">
        <f t="shared" si="73"/>
        <v>ASHP - SEER 20 - replace electric furnace / CAC - early replacement SF ER1</v>
      </c>
      <c r="G1806" s="2098"/>
      <c r="H1806" s="2098"/>
      <c r="I1806" s="2098"/>
      <c r="J1806" s="709"/>
      <c r="K1806" s="786">
        <v>6</v>
      </c>
      <c r="L1806" s="778"/>
      <c r="M1806" s="770"/>
      <c r="N1806" s="130"/>
      <c r="O1806" s="251"/>
      <c r="P1806" s="766"/>
      <c r="Q1806" s="767"/>
      <c r="R1806" s="766"/>
      <c r="S1806" s="752"/>
      <c r="T1806" s="760"/>
      <c r="U1806" s="130"/>
      <c r="V1806" s="2107"/>
      <c r="W1806" s="786">
        <v>6</v>
      </c>
      <c r="X1806" s="786">
        <v>6</v>
      </c>
      <c r="Y1806" s="786"/>
      <c r="Z1806" s="786"/>
      <c r="AA1806" s="786"/>
      <c r="AB1806" s="786"/>
      <c r="AC1806" s="786"/>
      <c r="AD1806" s="786"/>
      <c r="AE1806" s="786"/>
      <c r="AF1806" s="786"/>
      <c r="AG1806" s="786"/>
    </row>
    <row r="1807" spans="1:33" s="56" customFormat="1" hidden="1" outlineLevel="1" x14ac:dyDescent="0.25">
      <c r="A1807" s="724"/>
      <c r="B1807" s="130"/>
      <c r="C1807" s="616"/>
      <c r="D1807" s="2101"/>
      <c r="E1807" s="2104"/>
      <c r="F1807" s="2098" t="str">
        <f t="shared" si="73"/>
        <v>ASHP - SEER 20 - replace electric furnace / CAC - early replacement SF ER1</v>
      </c>
      <c r="G1807" s="2098"/>
      <c r="H1807" s="2098"/>
      <c r="I1807" s="2098"/>
      <c r="J1807" s="709"/>
      <c r="K1807" s="786">
        <v>6</v>
      </c>
      <c r="L1807" s="778"/>
      <c r="M1807" s="770"/>
      <c r="N1807" s="130"/>
      <c r="O1807" s="251"/>
      <c r="P1807" s="766"/>
      <c r="Q1807" s="767"/>
      <c r="R1807" s="766"/>
      <c r="S1807" s="752"/>
      <c r="T1807" s="760"/>
      <c r="U1807" s="130"/>
      <c r="V1807" s="2107"/>
      <c r="W1807" s="786">
        <v>6</v>
      </c>
      <c r="X1807" s="786">
        <v>6</v>
      </c>
      <c r="Y1807" s="786"/>
      <c r="Z1807" s="786"/>
      <c r="AA1807" s="786"/>
      <c r="AB1807" s="786"/>
      <c r="AC1807" s="786"/>
      <c r="AD1807" s="786"/>
      <c r="AE1807" s="786"/>
      <c r="AF1807" s="786"/>
      <c r="AG1807" s="786"/>
    </row>
    <row r="1808" spans="1:33" s="56" customFormat="1" hidden="1" outlineLevel="1" x14ac:dyDescent="0.25">
      <c r="A1808" s="724"/>
      <c r="B1808" s="130"/>
      <c r="C1808" s="616"/>
      <c r="D1808" s="2101"/>
      <c r="E1808" s="2104"/>
      <c r="F1808" s="2098" t="str">
        <f t="shared" si="73"/>
        <v>ASHP - SEER 20 - replace electric furnace / CAC - early replacement SF ER2</v>
      </c>
      <c r="G1808" s="2098"/>
      <c r="H1808" s="2098"/>
      <c r="I1808" s="2098"/>
      <c r="J1808" s="709"/>
      <c r="K1808" s="786">
        <v>12</v>
      </c>
      <c r="L1808" s="778"/>
      <c r="M1808" s="770"/>
      <c r="N1808" s="130"/>
      <c r="O1808" s="251"/>
      <c r="P1808" s="766"/>
      <c r="Q1808" s="767"/>
      <c r="R1808" s="766"/>
      <c r="S1808" s="752"/>
      <c r="T1808" s="760"/>
      <c r="U1808" s="130"/>
      <c r="V1808" s="2107"/>
      <c r="W1808" s="786">
        <v>12</v>
      </c>
      <c r="X1808" s="786">
        <v>12</v>
      </c>
      <c r="Y1808" s="786"/>
      <c r="Z1808" s="786"/>
      <c r="AA1808" s="786"/>
      <c r="AB1808" s="786"/>
      <c r="AC1808" s="786"/>
      <c r="AD1808" s="786"/>
      <c r="AE1808" s="786"/>
      <c r="AF1808" s="786"/>
      <c r="AG1808" s="786"/>
    </row>
    <row r="1809" spans="1:33" s="56" customFormat="1" hidden="1" outlineLevel="1" x14ac:dyDescent="0.25">
      <c r="A1809" s="724"/>
      <c r="B1809" s="130"/>
      <c r="C1809" s="616"/>
      <c r="D1809" s="2101"/>
      <c r="E1809" s="2104"/>
      <c r="F1809" s="2098" t="str">
        <f t="shared" si="73"/>
        <v>ASHP - SEER 20 - replace electric furnace / CAC - early replacement SF ER2</v>
      </c>
      <c r="G1809" s="2098"/>
      <c r="H1809" s="2098"/>
      <c r="I1809" s="2098"/>
      <c r="J1809" s="709"/>
      <c r="K1809" s="786">
        <v>12</v>
      </c>
      <c r="L1809" s="778"/>
      <c r="M1809" s="770"/>
      <c r="N1809" s="130"/>
      <c r="O1809" s="251"/>
      <c r="P1809" s="766"/>
      <c r="Q1809" s="767"/>
      <c r="R1809" s="766"/>
      <c r="S1809" s="752"/>
      <c r="T1809" s="760"/>
      <c r="U1809" s="130"/>
      <c r="V1809" s="2107"/>
      <c r="W1809" s="786">
        <v>12</v>
      </c>
      <c r="X1809" s="786">
        <v>12</v>
      </c>
      <c r="Y1809" s="786"/>
      <c r="Z1809" s="786"/>
      <c r="AA1809" s="786"/>
      <c r="AB1809" s="786"/>
      <c r="AC1809" s="786"/>
      <c r="AD1809" s="786"/>
      <c r="AE1809" s="786"/>
      <c r="AF1809" s="786"/>
      <c r="AG1809" s="786"/>
    </row>
    <row r="1810" spans="1:33" s="56" customFormat="1" hidden="1" outlineLevel="1" x14ac:dyDescent="0.25">
      <c r="A1810" s="724"/>
      <c r="B1810" s="130"/>
      <c r="C1810" s="616"/>
      <c r="D1810" s="2101"/>
      <c r="E1810" s="2104"/>
      <c r="F1810" s="2098" t="str">
        <f t="shared" si="73"/>
        <v>ASHP - SEER 20 - replace electric furnace / CAC SF</v>
      </c>
      <c r="G1810" s="2098"/>
      <c r="H1810" s="2098"/>
      <c r="I1810" s="2098"/>
      <c r="J1810" s="709"/>
      <c r="K1810" s="786">
        <v>18</v>
      </c>
      <c r="L1810" s="778"/>
      <c r="M1810" s="770"/>
      <c r="N1810" s="130"/>
      <c r="O1810" s="251"/>
      <c r="P1810" s="766"/>
      <c r="Q1810" s="767"/>
      <c r="R1810" s="766"/>
      <c r="S1810" s="752"/>
      <c r="T1810" s="760"/>
      <c r="U1810" s="130"/>
      <c r="V1810" s="2107"/>
      <c r="W1810" s="786">
        <v>18</v>
      </c>
      <c r="X1810" s="786">
        <v>18</v>
      </c>
      <c r="Y1810" s="786"/>
      <c r="Z1810" s="786"/>
      <c r="AA1810" s="786"/>
      <c r="AB1810" s="786"/>
      <c r="AC1810" s="786"/>
      <c r="AD1810" s="786"/>
      <c r="AE1810" s="786"/>
      <c r="AF1810" s="786"/>
      <c r="AG1810" s="786"/>
    </row>
    <row r="1811" spans="1:33" s="56" customFormat="1" hidden="1" outlineLevel="1" x14ac:dyDescent="0.25">
      <c r="A1811" s="724"/>
      <c r="B1811" s="130"/>
      <c r="C1811" s="616"/>
      <c r="D1811" s="2101"/>
      <c r="E1811" s="2104"/>
      <c r="F1811" s="2098" t="str">
        <f t="shared" ref="F1811:F1874" si="74">E845</f>
        <v>ASHP - SEER 20 - replace electric furnace / CAC SF</v>
      </c>
      <c r="G1811" s="2098"/>
      <c r="H1811" s="2098"/>
      <c r="I1811" s="2098"/>
      <c r="J1811" s="709"/>
      <c r="K1811" s="786">
        <v>18</v>
      </c>
      <c r="L1811" s="778"/>
      <c r="M1811" s="770"/>
      <c r="N1811" s="130"/>
      <c r="O1811" s="251"/>
      <c r="P1811" s="766"/>
      <c r="Q1811" s="767"/>
      <c r="R1811" s="766"/>
      <c r="S1811" s="752"/>
      <c r="T1811" s="760"/>
      <c r="U1811" s="130"/>
      <c r="V1811" s="2107"/>
      <c r="W1811" s="786">
        <v>18</v>
      </c>
      <c r="X1811" s="786">
        <v>18</v>
      </c>
      <c r="Y1811" s="786"/>
      <c r="Z1811" s="786"/>
      <c r="AA1811" s="786"/>
      <c r="AB1811" s="786"/>
      <c r="AC1811" s="786"/>
      <c r="AD1811" s="786"/>
      <c r="AE1811" s="786"/>
      <c r="AF1811" s="786"/>
      <c r="AG1811" s="786"/>
    </row>
    <row r="1812" spans="1:33" s="56" customFormat="1" hidden="1" outlineLevel="1" x14ac:dyDescent="0.25">
      <c r="A1812" s="724"/>
      <c r="B1812" s="130"/>
      <c r="C1812" s="616"/>
      <c r="D1812" s="2101"/>
      <c r="E1812" s="2104"/>
      <c r="F1812" s="2098" t="str">
        <f t="shared" si="74"/>
        <v>ASHP - SEER 20 - replace electric furnace / CAC MF</v>
      </c>
      <c r="G1812" s="2098"/>
      <c r="H1812" s="2098"/>
      <c r="I1812" s="2098"/>
      <c r="J1812" s="709"/>
      <c r="K1812" s="786">
        <v>18</v>
      </c>
      <c r="L1812" s="778"/>
      <c r="M1812" s="770"/>
      <c r="N1812" s="130"/>
      <c r="O1812" s="251"/>
      <c r="P1812" s="766"/>
      <c r="Q1812" s="767"/>
      <c r="R1812" s="766"/>
      <c r="S1812" s="752"/>
      <c r="T1812" s="760"/>
      <c r="U1812" s="130"/>
      <c r="V1812" s="2107"/>
      <c r="W1812" s="786">
        <v>18</v>
      </c>
      <c r="X1812" s="786">
        <v>18</v>
      </c>
      <c r="Y1812" s="786"/>
      <c r="Z1812" s="786"/>
      <c r="AA1812" s="786"/>
      <c r="AB1812" s="786"/>
      <c r="AC1812" s="786"/>
      <c r="AD1812" s="786"/>
      <c r="AE1812" s="786"/>
      <c r="AF1812" s="786"/>
      <c r="AG1812" s="786"/>
    </row>
    <row r="1813" spans="1:33" s="56" customFormat="1" hidden="1" outlineLevel="1" x14ac:dyDescent="0.25">
      <c r="A1813" s="724"/>
      <c r="B1813" s="130"/>
      <c r="C1813" s="616"/>
      <c r="D1813" s="2101"/>
      <c r="E1813" s="2104"/>
      <c r="F1813" s="2098" t="str">
        <f t="shared" si="74"/>
        <v>ASHP - SEER 20 - replace electric furnace / CAC MF</v>
      </c>
      <c r="G1813" s="2098"/>
      <c r="H1813" s="2098"/>
      <c r="I1813" s="2098"/>
      <c r="J1813" s="709"/>
      <c r="K1813" s="786">
        <v>18</v>
      </c>
      <c r="L1813" s="778"/>
      <c r="M1813" s="770"/>
      <c r="N1813" s="130"/>
      <c r="O1813" s="251"/>
      <c r="P1813" s="766"/>
      <c r="Q1813" s="767"/>
      <c r="R1813" s="766"/>
      <c r="S1813" s="752"/>
      <c r="T1813" s="760"/>
      <c r="U1813" s="130"/>
      <c r="V1813" s="2107"/>
      <c r="W1813" s="786">
        <v>18</v>
      </c>
      <c r="X1813" s="786">
        <v>18</v>
      </c>
      <c r="Y1813" s="786"/>
      <c r="Z1813" s="786"/>
      <c r="AA1813" s="786"/>
      <c r="AB1813" s="786"/>
      <c r="AC1813" s="786"/>
      <c r="AD1813" s="786"/>
      <c r="AE1813" s="786"/>
      <c r="AF1813" s="786"/>
      <c r="AG1813" s="786"/>
    </row>
    <row r="1814" spans="1:33" s="56" customFormat="1" hidden="1" outlineLevel="1" x14ac:dyDescent="0.25">
      <c r="A1814" s="724"/>
      <c r="B1814" s="130"/>
      <c r="C1814" s="616"/>
      <c r="D1814" s="2101"/>
      <c r="E1814" s="2104"/>
      <c r="F1814" s="2098" t="str">
        <f t="shared" si="74"/>
        <v>ASHP - SEER 21 - replace electric furnace / CAC - early replacement SF ER1</v>
      </c>
      <c r="G1814" s="2098"/>
      <c r="H1814" s="2098"/>
      <c r="I1814" s="2098"/>
      <c r="J1814" s="709"/>
      <c r="K1814" s="786">
        <v>6</v>
      </c>
      <c r="L1814" s="778"/>
      <c r="M1814" s="770"/>
      <c r="N1814" s="130"/>
      <c r="O1814" s="251"/>
      <c r="P1814" s="766"/>
      <c r="Q1814" s="767"/>
      <c r="R1814" s="766"/>
      <c r="S1814" s="752"/>
      <c r="T1814" s="760"/>
      <c r="U1814" s="130"/>
      <c r="V1814" s="2107"/>
      <c r="W1814" s="786">
        <v>6</v>
      </c>
      <c r="X1814" s="786">
        <v>6</v>
      </c>
      <c r="Y1814" s="786"/>
      <c r="Z1814" s="786"/>
      <c r="AA1814" s="786"/>
      <c r="AB1814" s="786"/>
      <c r="AC1814" s="786"/>
      <c r="AD1814" s="786"/>
      <c r="AE1814" s="786"/>
      <c r="AF1814" s="786"/>
      <c r="AG1814" s="786"/>
    </row>
    <row r="1815" spans="1:33" s="56" customFormat="1" hidden="1" outlineLevel="1" x14ac:dyDescent="0.25">
      <c r="A1815" s="724"/>
      <c r="B1815" s="130"/>
      <c r="C1815" s="616"/>
      <c r="D1815" s="2101"/>
      <c r="E1815" s="2104"/>
      <c r="F1815" s="2098" t="str">
        <f t="shared" si="74"/>
        <v>ASHP - SEER 21 - replace electric furnace / CAC - early replacement SF ER1</v>
      </c>
      <c r="G1815" s="2098"/>
      <c r="H1815" s="2098"/>
      <c r="I1815" s="2098"/>
      <c r="J1815" s="709"/>
      <c r="K1815" s="786">
        <v>6</v>
      </c>
      <c r="L1815" s="778"/>
      <c r="M1815" s="770"/>
      <c r="N1815" s="130"/>
      <c r="O1815" s="251"/>
      <c r="P1815" s="766"/>
      <c r="Q1815" s="767"/>
      <c r="R1815" s="766"/>
      <c r="S1815" s="752"/>
      <c r="T1815" s="760"/>
      <c r="U1815" s="130"/>
      <c r="V1815" s="2107"/>
      <c r="W1815" s="786">
        <v>6</v>
      </c>
      <c r="X1815" s="786">
        <v>6</v>
      </c>
      <c r="Y1815" s="786"/>
      <c r="Z1815" s="786"/>
      <c r="AA1815" s="786"/>
      <c r="AB1815" s="786"/>
      <c r="AC1815" s="786"/>
      <c r="AD1815" s="786"/>
      <c r="AE1815" s="786"/>
      <c r="AF1815" s="786"/>
      <c r="AG1815" s="786"/>
    </row>
    <row r="1816" spans="1:33" s="56" customFormat="1" hidden="1" outlineLevel="1" x14ac:dyDescent="0.25">
      <c r="A1816" s="724"/>
      <c r="B1816" s="130"/>
      <c r="C1816" s="616"/>
      <c r="D1816" s="2101"/>
      <c r="E1816" s="2104"/>
      <c r="F1816" s="2098" t="str">
        <f t="shared" si="74"/>
        <v>ASHP - SEER 21 - replace electric furnace / CAC - early replacement SF ER2</v>
      </c>
      <c r="G1816" s="2098"/>
      <c r="H1816" s="2098"/>
      <c r="I1816" s="2098"/>
      <c r="J1816" s="709"/>
      <c r="K1816" s="786">
        <v>12</v>
      </c>
      <c r="L1816" s="778"/>
      <c r="M1816" s="770"/>
      <c r="N1816" s="130"/>
      <c r="O1816" s="251"/>
      <c r="P1816" s="766"/>
      <c r="Q1816" s="767"/>
      <c r="R1816" s="766"/>
      <c r="S1816" s="752"/>
      <c r="T1816" s="760"/>
      <c r="U1816" s="130"/>
      <c r="V1816" s="2107"/>
      <c r="W1816" s="786">
        <v>12</v>
      </c>
      <c r="X1816" s="786">
        <v>12</v>
      </c>
      <c r="Y1816" s="786"/>
      <c r="Z1816" s="786"/>
      <c r="AA1816" s="786"/>
      <c r="AB1816" s="786"/>
      <c r="AC1816" s="786"/>
      <c r="AD1816" s="786"/>
      <c r="AE1816" s="786"/>
      <c r="AF1816" s="786"/>
      <c r="AG1816" s="786"/>
    </row>
    <row r="1817" spans="1:33" s="56" customFormat="1" hidden="1" outlineLevel="1" x14ac:dyDescent="0.25">
      <c r="A1817" s="724"/>
      <c r="B1817" s="130"/>
      <c r="C1817" s="616"/>
      <c r="D1817" s="2101"/>
      <c r="E1817" s="2104"/>
      <c r="F1817" s="2098" t="str">
        <f t="shared" si="74"/>
        <v>ASHP - SEER 21 - replace electric furnace / CAC - early replacement SF ER2</v>
      </c>
      <c r="G1817" s="2098"/>
      <c r="H1817" s="2098"/>
      <c r="I1817" s="2098"/>
      <c r="J1817" s="709"/>
      <c r="K1817" s="786">
        <v>12</v>
      </c>
      <c r="L1817" s="778"/>
      <c r="M1817" s="770"/>
      <c r="N1817" s="130"/>
      <c r="O1817" s="251"/>
      <c r="P1817" s="766"/>
      <c r="Q1817" s="767"/>
      <c r="R1817" s="766"/>
      <c r="S1817" s="752"/>
      <c r="T1817" s="760"/>
      <c r="U1817" s="130"/>
      <c r="V1817" s="2107"/>
      <c r="W1817" s="786">
        <v>12</v>
      </c>
      <c r="X1817" s="786">
        <v>12</v>
      </c>
      <c r="Y1817" s="786"/>
      <c r="Z1817" s="786"/>
      <c r="AA1817" s="786"/>
      <c r="AB1817" s="786"/>
      <c r="AC1817" s="786"/>
      <c r="AD1817" s="786"/>
      <c r="AE1817" s="786"/>
      <c r="AF1817" s="786"/>
      <c r="AG1817" s="786"/>
    </row>
    <row r="1818" spans="1:33" s="56" customFormat="1" hidden="1" outlineLevel="1" x14ac:dyDescent="0.25">
      <c r="A1818" s="724"/>
      <c r="B1818" s="130"/>
      <c r="C1818" s="616"/>
      <c r="D1818" s="2101"/>
      <c r="E1818" s="2104"/>
      <c r="F1818" s="2098" t="str">
        <f t="shared" si="74"/>
        <v>ASHP - SEER 21 - replace electric furnace / CAC - early replacement MF ER1</v>
      </c>
      <c r="G1818" s="2098"/>
      <c r="H1818" s="2098"/>
      <c r="I1818" s="2098"/>
      <c r="J1818" s="709"/>
      <c r="K1818" s="786">
        <v>6</v>
      </c>
      <c r="L1818" s="778"/>
      <c r="M1818" s="770"/>
      <c r="N1818" s="130"/>
      <c r="O1818" s="251"/>
      <c r="P1818" s="766"/>
      <c r="Q1818" s="767"/>
      <c r="R1818" s="766"/>
      <c r="S1818" s="752"/>
      <c r="T1818" s="760"/>
      <c r="U1818" s="130"/>
      <c r="V1818" s="2107"/>
      <c r="W1818" s="786">
        <v>6</v>
      </c>
      <c r="X1818" s="786">
        <v>6</v>
      </c>
      <c r="Y1818" s="786"/>
      <c r="Z1818" s="786"/>
      <c r="AA1818" s="786"/>
      <c r="AB1818" s="786"/>
      <c r="AC1818" s="786"/>
      <c r="AD1818" s="786"/>
      <c r="AE1818" s="786"/>
      <c r="AF1818" s="786"/>
      <c r="AG1818" s="786"/>
    </row>
    <row r="1819" spans="1:33" s="56" customFormat="1" hidden="1" outlineLevel="1" x14ac:dyDescent="0.25">
      <c r="A1819" s="724"/>
      <c r="B1819" s="130"/>
      <c r="C1819" s="616"/>
      <c r="D1819" s="2101"/>
      <c r="E1819" s="2104"/>
      <c r="F1819" s="2098" t="str">
        <f t="shared" si="74"/>
        <v>ASHP - SEER 21 - replace electric furnace / CAC - early replacement MF ER1</v>
      </c>
      <c r="G1819" s="2098"/>
      <c r="H1819" s="2098"/>
      <c r="I1819" s="2098"/>
      <c r="J1819" s="709"/>
      <c r="K1819" s="786">
        <v>6</v>
      </c>
      <c r="L1819" s="778"/>
      <c r="M1819" s="770"/>
      <c r="N1819" s="130"/>
      <c r="O1819" s="251"/>
      <c r="P1819" s="766"/>
      <c r="Q1819" s="767"/>
      <c r="R1819" s="766"/>
      <c r="S1819" s="752"/>
      <c r="T1819" s="760"/>
      <c r="U1819" s="130"/>
      <c r="V1819" s="2107"/>
      <c r="W1819" s="786">
        <v>6</v>
      </c>
      <c r="X1819" s="786">
        <v>6</v>
      </c>
      <c r="Y1819" s="786"/>
      <c r="Z1819" s="786"/>
      <c r="AA1819" s="786"/>
      <c r="AB1819" s="786"/>
      <c r="AC1819" s="786"/>
      <c r="AD1819" s="786"/>
      <c r="AE1819" s="786"/>
      <c r="AF1819" s="786"/>
      <c r="AG1819" s="786"/>
    </row>
    <row r="1820" spans="1:33" s="56" customFormat="1" hidden="1" outlineLevel="1" x14ac:dyDescent="0.25">
      <c r="A1820" s="724"/>
      <c r="B1820" s="130"/>
      <c r="C1820" s="616"/>
      <c r="D1820" s="2101"/>
      <c r="E1820" s="2104"/>
      <c r="F1820" s="2098" t="str">
        <f t="shared" si="74"/>
        <v>ASHP - SEER 21 - replace electric furnace / CAC - early replacement MF ER2</v>
      </c>
      <c r="G1820" s="2098"/>
      <c r="H1820" s="2098"/>
      <c r="I1820" s="2098"/>
      <c r="J1820" s="709"/>
      <c r="K1820" s="786">
        <v>12</v>
      </c>
      <c r="L1820" s="778"/>
      <c r="M1820" s="770"/>
      <c r="N1820" s="130"/>
      <c r="O1820" s="251"/>
      <c r="P1820" s="766"/>
      <c r="Q1820" s="767"/>
      <c r="R1820" s="766"/>
      <c r="S1820" s="752"/>
      <c r="T1820" s="760"/>
      <c r="U1820" s="130"/>
      <c r="V1820" s="2107"/>
      <c r="W1820" s="786">
        <v>12</v>
      </c>
      <c r="X1820" s="786">
        <v>12</v>
      </c>
      <c r="Y1820" s="786"/>
      <c r="Z1820" s="786"/>
      <c r="AA1820" s="786"/>
      <c r="AB1820" s="786"/>
      <c r="AC1820" s="786"/>
      <c r="AD1820" s="786"/>
      <c r="AE1820" s="786"/>
      <c r="AF1820" s="786"/>
      <c r="AG1820" s="786"/>
    </row>
    <row r="1821" spans="1:33" s="56" customFormat="1" hidden="1" outlineLevel="1" x14ac:dyDescent="0.25">
      <c r="A1821" s="724"/>
      <c r="B1821" s="130"/>
      <c r="C1821" s="616"/>
      <c r="D1821" s="2101"/>
      <c r="E1821" s="2104"/>
      <c r="F1821" s="2098" t="str">
        <f t="shared" si="74"/>
        <v>ASHP - SEER 21 - replace electric furnace / CAC - early replacement MF ER2</v>
      </c>
      <c r="G1821" s="2098"/>
      <c r="H1821" s="2098"/>
      <c r="I1821" s="2098"/>
      <c r="J1821" s="709"/>
      <c r="K1821" s="786">
        <v>12</v>
      </c>
      <c r="L1821" s="778"/>
      <c r="M1821" s="770"/>
      <c r="N1821" s="130"/>
      <c r="O1821" s="251"/>
      <c r="P1821" s="766"/>
      <c r="Q1821" s="767"/>
      <c r="R1821" s="766"/>
      <c r="S1821" s="752"/>
      <c r="T1821" s="760"/>
      <c r="U1821" s="130"/>
      <c r="V1821" s="2107"/>
      <c r="W1821" s="786">
        <v>12</v>
      </c>
      <c r="X1821" s="786">
        <v>12</v>
      </c>
      <c r="Y1821" s="786"/>
      <c r="Z1821" s="786"/>
      <c r="AA1821" s="786"/>
      <c r="AB1821" s="786"/>
      <c r="AC1821" s="786"/>
      <c r="AD1821" s="786"/>
      <c r="AE1821" s="786"/>
      <c r="AF1821" s="786"/>
      <c r="AG1821" s="786"/>
    </row>
    <row r="1822" spans="1:33" s="56" customFormat="1" hidden="1" outlineLevel="1" x14ac:dyDescent="0.25">
      <c r="A1822" s="724"/>
      <c r="B1822" s="130"/>
      <c r="C1822" s="616"/>
      <c r="D1822" s="2101"/>
      <c r="E1822" s="2104"/>
      <c r="F1822" s="2098" t="str">
        <f t="shared" si="74"/>
        <v>ASHP - SEER 21 - replace electric furnace / CAC SF</v>
      </c>
      <c r="G1822" s="2098"/>
      <c r="H1822" s="2098"/>
      <c r="I1822" s="2098"/>
      <c r="J1822" s="709"/>
      <c r="K1822" s="786">
        <v>18</v>
      </c>
      <c r="L1822" s="778"/>
      <c r="M1822" s="770"/>
      <c r="N1822" s="130"/>
      <c r="O1822" s="251"/>
      <c r="P1822" s="766"/>
      <c r="Q1822" s="767"/>
      <c r="R1822" s="766"/>
      <c r="S1822" s="752"/>
      <c r="T1822" s="760"/>
      <c r="U1822" s="130"/>
      <c r="V1822" s="2107"/>
      <c r="W1822" s="786">
        <v>18</v>
      </c>
      <c r="X1822" s="786">
        <v>18</v>
      </c>
      <c r="Y1822" s="786"/>
      <c r="Z1822" s="786"/>
      <c r="AA1822" s="786"/>
      <c r="AB1822" s="786"/>
      <c r="AC1822" s="786"/>
      <c r="AD1822" s="786"/>
      <c r="AE1822" s="786"/>
      <c r="AF1822" s="786"/>
      <c r="AG1822" s="786"/>
    </row>
    <row r="1823" spans="1:33" s="56" customFormat="1" hidden="1" outlineLevel="1" x14ac:dyDescent="0.25">
      <c r="A1823" s="724"/>
      <c r="B1823" s="130"/>
      <c r="C1823" s="616"/>
      <c r="D1823" s="2101"/>
      <c r="E1823" s="2104"/>
      <c r="F1823" s="2098" t="str">
        <f t="shared" si="74"/>
        <v>ASHP - SEER 21 - replace electric furnace / CAC SF</v>
      </c>
      <c r="G1823" s="2098"/>
      <c r="H1823" s="2098"/>
      <c r="I1823" s="2098"/>
      <c r="J1823" s="709"/>
      <c r="K1823" s="786">
        <v>18</v>
      </c>
      <c r="L1823" s="778"/>
      <c r="M1823" s="770"/>
      <c r="N1823" s="130"/>
      <c r="O1823" s="251"/>
      <c r="P1823" s="766"/>
      <c r="Q1823" s="767"/>
      <c r="R1823" s="766"/>
      <c r="S1823" s="752"/>
      <c r="T1823" s="760"/>
      <c r="U1823" s="130"/>
      <c r="V1823" s="2107"/>
      <c r="W1823" s="786">
        <v>18</v>
      </c>
      <c r="X1823" s="786">
        <v>18</v>
      </c>
      <c r="Y1823" s="786"/>
      <c r="Z1823" s="786"/>
      <c r="AA1823" s="786"/>
      <c r="AB1823" s="786"/>
      <c r="AC1823" s="786"/>
      <c r="AD1823" s="786"/>
      <c r="AE1823" s="786"/>
      <c r="AF1823" s="786"/>
      <c r="AG1823" s="786"/>
    </row>
    <row r="1824" spans="1:33" s="56" customFormat="1" hidden="1" outlineLevel="1" x14ac:dyDescent="0.25">
      <c r="A1824" s="724"/>
      <c r="B1824" s="130"/>
      <c r="C1824" s="616"/>
      <c r="D1824" s="2101"/>
      <c r="E1824" s="2104"/>
      <c r="F1824" s="2098" t="str">
        <f t="shared" si="74"/>
        <v>ASHP-  SEER 21+ Replace at Fail Elec Resist Furnace: HVAC</v>
      </c>
      <c r="G1824" s="2098"/>
      <c r="H1824" s="2098"/>
      <c r="I1824" s="2098"/>
      <c r="J1824" s="709"/>
      <c r="K1824" s="786">
        <v>18</v>
      </c>
      <c r="L1824" s="778"/>
      <c r="M1824" s="770"/>
      <c r="N1824" s="130"/>
      <c r="O1824" s="251"/>
      <c r="P1824" s="766"/>
      <c r="Q1824" s="767"/>
      <c r="R1824" s="766"/>
      <c r="S1824" s="752"/>
      <c r="T1824" s="760"/>
      <c r="U1824" s="130"/>
      <c r="V1824" s="2107"/>
      <c r="W1824" s="786">
        <v>18</v>
      </c>
      <c r="X1824" s="786">
        <v>18</v>
      </c>
      <c r="Y1824" s="786"/>
      <c r="Z1824" s="786"/>
      <c r="AA1824" s="786"/>
      <c r="AB1824" s="786"/>
      <c r="AC1824" s="786"/>
      <c r="AD1824" s="786"/>
      <c r="AE1824" s="786"/>
      <c r="AF1824" s="786"/>
      <c r="AG1824" s="786"/>
    </row>
    <row r="1825" spans="1:33" s="56" customFormat="1" hidden="1" outlineLevel="1" x14ac:dyDescent="0.25">
      <c r="A1825" s="724"/>
      <c r="B1825" s="130"/>
      <c r="C1825" s="616"/>
      <c r="D1825" s="2101"/>
      <c r="E1825" s="2104"/>
      <c r="F1825" s="2098" t="str">
        <f t="shared" si="74"/>
        <v>ASHP-  SEER 21+ Replace at Fail Elec Resist Furnace: HVAC</v>
      </c>
      <c r="G1825" s="2098"/>
      <c r="H1825" s="2098"/>
      <c r="I1825" s="2098"/>
      <c r="J1825" s="709"/>
      <c r="K1825" s="786">
        <v>18</v>
      </c>
      <c r="L1825" s="778"/>
      <c r="M1825" s="770"/>
      <c r="N1825" s="130"/>
      <c r="O1825" s="251"/>
      <c r="P1825" s="766"/>
      <c r="Q1825" s="767"/>
      <c r="R1825" s="766"/>
      <c r="S1825" s="752"/>
      <c r="T1825" s="760"/>
      <c r="U1825" s="130"/>
      <c r="V1825" s="2107"/>
      <c r="W1825" s="786">
        <v>18</v>
      </c>
      <c r="X1825" s="786">
        <v>18</v>
      </c>
      <c r="Y1825" s="786"/>
      <c r="Z1825" s="786"/>
      <c r="AA1825" s="786"/>
      <c r="AB1825" s="786"/>
      <c r="AC1825" s="786"/>
      <c r="AD1825" s="786"/>
      <c r="AE1825" s="786"/>
      <c r="AF1825" s="786"/>
      <c r="AG1825" s="786"/>
    </row>
    <row r="1826" spans="1:33" s="56" customFormat="1" hidden="1" outlineLevel="1" x14ac:dyDescent="0.25">
      <c r="A1826" s="724"/>
      <c r="B1826" s="130"/>
      <c r="C1826" s="616"/>
      <c r="D1826" s="2101"/>
      <c r="E1826" s="2104"/>
      <c r="F1826" s="2098" t="str">
        <f t="shared" si="74"/>
        <v>ASHP SEER 17 replace ASHP - early replacement SF ER1</v>
      </c>
      <c r="G1826" s="2098"/>
      <c r="H1826" s="2098"/>
      <c r="I1826" s="2098"/>
      <c r="J1826" s="709"/>
      <c r="K1826" s="786">
        <v>6</v>
      </c>
      <c r="L1826" s="778"/>
      <c r="M1826" s="770"/>
      <c r="N1826" s="130"/>
      <c r="O1826" s="251"/>
      <c r="P1826" s="766"/>
      <c r="Q1826" s="767"/>
      <c r="R1826" s="766"/>
      <c r="S1826" s="752"/>
      <c r="T1826" s="760"/>
      <c r="U1826" s="130"/>
      <c r="V1826" s="2107"/>
      <c r="W1826" s="786">
        <v>6</v>
      </c>
      <c r="X1826" s="786">
        <v>6</v>
      </c>
      <c r="Y1826" s="786"/>
      <c r="Z1826" s="786"/>
      <c r="AA1826" s="786"/>
      <c r="AB1826" s="786"/>
      <c r="AC1826" s="786"/>
      <c r="AD1826" s="786"/>
      <c r="AE1826" s="786"/>
      <c r="AF1826" s="786"/>
      <c r="AG1826" s="786"/>
    </row>
    <row r="1827" spans="1:33" s="56" customFormat="1" ht="15" hidden="1" customHeight="1" outlineLevel="1" x14ac:dyDescent="0.25">
      <c r="A1827" s="724"/>
      <c r="B1827" s="130"/>
      <c r="C1827" s="616"/>
      <c r="D1827" s="2101"/>
      <c r="E1827" s="2104"/>
      <c r="F1827" s="2098" t="str">
        <f t="shared" si="74"/>
        <v>ASHP SEER 17 replace ASHP - early replacement SF ER1</v>
      </c>
      <c r="G1827" s="2098"/>
      <c r="H1827" s="2098"/>
      <c r="I1827" s="2098"/>
      <c r="J1827" s="709" t="s">
        <v>1198</v>
      </c>
      <c r="K1827" s="786">
        <v>6</v>
      </c>
      <c r="L1827" s="670"/>
      <c r="M1827" s="613"/>
      <c r="N1827" s="130"/>
      <c r="O1827" s="251"/>
      <c r="P1827" s="766"/>
      <c r="Q1827" s="767"/>
      <c r="R1827" s="766"/>
      <c r="S1827" s="752"/>
      <c r="T1827" s="760"/>
      <c r="U1827" s="130"/>
      <c r="V1827" s="2107"/>
      <c r="W1827" s="786">
        <v>6</v>
      </c>
      <c r="X1827" s="786">
        <v>6</v>
      </c>
      <c r="Y1827" s="786"/>
      <c r="Z1827" s="786"/>
      <c r="AA1827" s="786"/>
      <c r="AB1827" s="786"/>
      <c r="AC1827" s="786"/>
      <c r="AD1827" s="786"/>
      <c r="AE1827" s="786"/>
      <c r="AF1827" s="786"/>
      <c r="AG1827" s="786"/>
    </row>
    <row r="1828" spans="1:33" s="56" customFormat="1" ht="15" hidden="1" customHeight="1" outlineLevel="1" x14ac:dyDescent="0.25">
      <c r="A1828" s="724"/>
      <c r="B1828" s="130"/>
      <c r="C1828" s="616"/>
      <c r="D1828" s="2101"/>
      <c r="E1828" s="2104"/>
      <c r="F1828" s="2098" t="str">
        <f t="shared" si="74"/>
        <v>ASHP SEER 17 replace ASHP - early replacement SF ER2</v>
      </c>
      <c r="G1828" s="2098"/>
      <c r="H1828" s="2098"/>
      <c r="I1828" s="2098"/>
      <c r="J1828" s="709" t="s">
        <v>1199</v>
      </c>
      <c r="K1828" s="786">
        <v>12</v>
      </c>
      <c r="L1828" s="670"/>
      <c r="M1828" s="613"/>
      <c r="N1828" s="130"/>
      <c r="O1828" s="251"/>
      <c r="P1828" s="766"/>
      <c r="Q1828" s="767"/>
      <c r="R1828" s="766"/>
      <c r="S1828" s="752"/>
      <c r="T1828" s="760"/>
      <c r="U1828" s="130"/>
      <c r="V1828" s="2107"/>
      <c r="W1828" s="786">
        <v>12</v>
      </c>
      <c r="X1828" s="786">
        <v>12</v>
      </c>
      <c r="Y1828" s="786"/>
      <c r="Z1828" s="786"/>
      <c r="AA1828" s="786"/>
      <c r="AB1828" s="786"/>
      <c r="AC1828" s="786"/>
      <c r="AD1828" s="786"/>
      <c r="AE1828" s="786"/>
      <c r="AF1828" s="786"/>
      <c r="AG1828" s="786"/>
    </row>
    <row r="1829" spans="1:33" s="56" customFormat="1" ht="15" hidden="1" customHeight="1" outlineLevel="1" x14ac:dyDescent="0.25">
      <c r="A1829" s="724"/>
      <c r="B1829" s="130"/>
      <c r="C1829" s="616"/>
      <c r="D1829" s="2101"/>
      <c r="E1829" s="2104"/>
      <c r="F1829" s="2098" t="str">
        <f t="shared" si="74"/>
        <v>ASHP SEER 17 replace ASHP - early replacement SF ER2</v>
      </c>
      <c r="G1829" s="2098"/>
      <c r="H1829" s="2098"/>
      <c r="I1829" s="2098"/>
      <c r="J1829" s="709" t="s">
        <v>1200</v>
      </c>
      <c r="K1829" s="786">
        <v>12</v>
      </c>
      <c r="L1829" s="670"/>
      <c r="M1829" s="613"/>
      <c r="N1829" s="130"/>
      <c r="O1829" s="251"/>
      <c r="P1829" s="766"/>
      <c r="Q1829" s="767"/>
      <c r="R1829" s="766"/>
      <c r="S1829" s="752"/>
      <c r="T1829" s="760"/>
      <c r="U1829" s="130"/>
      <c r="V1829" s="2107"/>
      <c r="W1829" s="786">
        <v>12</v>
      </c>
      <c r="X1829" s="786">
        <v>12</v>
      </c>
      <c r="Y1829" s="786"/>
      <c r="Z1829" s="786"/>
      <c r="AA1829" s="786"/>
      <c r="AB1829" s="786"/>
      <c r="AC1829" s="786"/>
      <c r="AD1829" s="786"/>
      <c r="AE1829" s="786"/>
      <c r="AF1829" s="786"/>
      <c r="AG1829" s="786"/>
    </row>
    <row r="1830" spans="1:33" s="56" customFormat="1" ht="15" hidden="1" customHeight="1" outlineLevel="1" x14ac:dyDescent="0.25">
      <c r="A1830" s="724"/>
      <c r="B1830" s="130"/>
      <c r="C1830" s="616"/>
      <c r="D1830" s="2101"/>
      <c r="E1830" s="2104"/>
      <c r="F1830" s="2098" t="str">
        <f t="shared" si="74"/>
        <v>ASHP SEER 17 replace ASHP - replace on fail SF</v>
      </c>
      <c r="G1830" s="2098"/>
      <c r="H1830" s="2098"/>
      <c r="I1830" s="2098"/>
      <c r="J1830" s="709" t="s">
        <v>1201</v>
      </c>
      <c r="K1830" s="786">
        <v>18</v>
      </c>
      <c r="L1830" s="778"/>
      <c r="M1830" s="613"/>
      <c r="N1830" s="130"/>
      <c r="O1830" s="251"/>
      <c r="P1830" s="766"/>
      <c r="Q1830" s="767"/>
      <c r="R1830" s="766"/>
      <c r="S1830" s="752"/>
      <c r="T1830" s="760"/>
      <c r="U1830" s="130"/>
      <c r="V1830" s="2107"/>
      <c r="W1830" s="786">
        <v>18</v>
      </c>
      <c r="X1830" s="786">
        <v>18</v>
      </c>
      <c r="Y1830" s="786"/>
      <c r="Z1830" s="786"/>
      <c r="AA1830" s="786"/>
      <c r="AB1830" s="786"/>
      <c r="AC1830" s="786"/>
      <c r="AD1830" s="786"/>
      <c r="AE1830" s="786"/>
      <c r="AF1830" s="786"/>
      <c r="AG1830" s="786"/>
    </row>
    <row r="1831" spans="1:33" s="56" customFormat="1" ht="15" hidden="1" customHeight="1" outlineLevel="1" x14ac:dyDescent="0.25">
      <c r="A1831" s="724"/>
      <c r="B1831" s="130"/>
      <c r="C1831" s="616"/>
      <c r="D1831" s="2101"/>
      <c r="E1831" s="2104"/>
      <c r="F1831" s="2098" t="str">
        <f t="shared" si="74"/>
        <v>ASHP SEER 17 replace ASHP - replace on fail SF</v>
      </c>
      <c r="G1831" s="2098"/>
      <c r="H1831" s="2098"/>
      <c r="I1831" s="2098"/>
      <c r="J1831" s="709" t="s">
        <v>1156</v>
      </c>
      <c r="K1831" s="786">
        <v>18</v>
      </c>
      <c r="L1831" s="669"/>
      <c r="M1831" s="770"/>
      <c r="N1831" s="130"/>
      <c r="O1831" s="251"/>
      <c r="P1831" s="766"/>
      <c r="Q1831" s="766"/>
      <c r="R1831" s="766"/>
      <c r="S1831" s="752"/>
      <c r="T1831" s="760"/>
      <c r="U1831" s="130"/>
      <c r="V1831" s="2107"/>
      <c r="W1831" s="786">
        <v>18</v>
      </c>
      <c r="X1831" s="786">
        <v>18</v>
      </c>
      <c r="Y1831" s="786"/>
      <c r="Z1831" s="786"/>
      <c r="AA1831" s="786"/>
      <c r="AB1831" s="786"/>
      <c r="AC1831" s="786"/>
      <c r="AD1831" s="786"/>
      <c r="AE1831" s="786"/>
      <c r="AF1831" s="786"/>
      <c r="AG1831" s="786"/>
    </row>
    <row r="1832" spans="1:33" s="56" customFormat="1" ht="15" hidden="1" customHeight="1" outlineLevel="1" x14ac:dyDescent="0.25">
      <c r="A1832" s="724"/>
      <c r="B1832" s="130"/>
      <c r="C1832" s="616"/>
      <c r="D1832" s="2101"/>
      <c r="E1832" s="2104"/>
      <c r="F1832" s="2098" t="str">
        <f t="shared" si="74"/>
        <v>ASHP SEER 18 replace ASHP - early replacement SF ER1</v>
      </c>
      <c r="G1832" s="2098"/>
      <c r="H1832" s="2098"/>
      <c r="I1832" s="2098"/>
      <c r="J1832" s="709">
        <v>920</v>
      </c>
      <c r="K1832" s="786">
        <v>6</v>
      </c>
      <c r="L1832" s="669"/>
      <c r="M1832" s="770"/>
      <c r="N1832" s="130"/>
      <c r="O1832" s="251"/>
      <c r="P1832" s="766"/>
      <c r="Q1832" s="766"/>
      <c r="R1832" s="766"/>
      <c r="S1832" s="752"/>
      <c r="T1832" s="760"/>
      <c r="U1832" s="130"/>
      <c r="V1832" s="2107"/>
      <c r="W1832" s="786">
        <v>6</v>
      </c>
      <c r="X1832" s="786">
        <v>6</v>
      </c>
      <c r="Y1832" s="786"/>
      <c r="Z1832" s="786"/>
      <c r="AA1832" s="786"/>
      <c r="AB1832" s="786"/>
      <c r="AC1832" s="786"/>
      <c r="AD1832" s="786"/>
      <c r="AE1832" s="786"/>
      <c r="AF1832" s="786"/>
      <c r="AG1832" s="786"/>
    </row>
    <row r="1833" spans="1:33" s="56" customFormat="1" ht="15" hidden="1" customHeight="1" outlineLevel="1" x14ac:dyDescent="0.25">
      <c r="A1833" s="724"/>
      <c r="B1833" s="130"/>
      <c r="C1833" s="616"/>
      <c r="D1833" s="2101"/>
      <c r="E1833" s="2104"/>
      <c r="F1833" s="2098" t="str">
        <f t="shared" si="74"/>
        <v>ASHP SEER 18 replace ASHP - early replacement SF ER1</v>
      </c>
      <c r="G1833" s="2098"/>
      <c r="H1833" s="2098"/>
      <c r="I1833" s="2098"/>
      <c r="J1833" s="709" t="s">
        <v>1159</v>
      </c>
      <c r="K1833" s="786">
        <v>6</v>
      </c>
      <c r="L1833" s="669"/>
      <c r="M1833" s="770"/>
      <c r="N1833" s="130"/>
      <c r="O1833" s="251"/>
      <c r="P1833" s="766"/>
      <c r="Q1833" s="766"/>
      <c r="R1833" s="766"/>
      <c r="S1833" s="752"/>
      <c r="T1833" s="760"/>
      <c r="U1833" s="130"/>
      <c r="V1833" s="2107"/>
      <c r="W1833" s="786">
        <v>6</v>
      </c>
      <c r="X1833" s="786">
        <v>6</v>
      </c>
      <c r="Y1833" s="786"/>
      <c r="Z1833" s="786"/>
      <c r="AA1833" s="786"/>
      <c r="AB1833" s="786"/>
      <c r="AC1833" s="786"/>
      <c r="AD1833" s="786"/>
      <c r="AE1833" s="786"/>
      <c r="AF1833" s="786"/>
      <c r="AG1833" s="786"/>
    </row>
    <row r="1834" spans="1:33" s="56" customFormat="1" ht="15" hidden="1" customHeight="1" outlineLevel="1" x14ac:dyDescent="0.25">
      <c r="A1834" s="724"/>
      <c r="B1834" s="130"/>
      <c r="C1834" s="616"/>
      <c r="D1834" s="2101"/>
      <c r="E1834" s="2104"/>
      <c r="F1834" s="2098" t="str">
        <f t="shared" si="74"/>
        <v>ASHP SEER 18 replace ASHP - early replacement SF ER2</v>
      </c>
      <c r="G1834" s="2098"/>
      <c r="H1834" s="2098"/>
      <c r="I1834" s="2098"/>
      <c r="J1834" s="709">
        <v>921</v>
      </c>
      <c r="K1834" s="786">
        <v>12</v>
      </c>
      <c r="L1834" s="669"/>
      <c r="M1834" s="770"/>
      <c r="N1834" s="130"/>
      <c r="O1834" s="251"/>
      <c r="P1834" s="766"/>
      <c r="Q1834" s="766"/>
      <c r="R1834" s="766"/>
      <c r="S1834" s="752"/>
      <c r="T1834" s="760"/>
      <c r="U1834" s="130"/>
      <c r="V1834" s="2107"/>
      <c r="W1834" s="786">
        <v>12</v>
      </c>
      <c r="X1834" s="786">
        <v>12</v>
      </c>
      <c r="Y1834" s="786"/>
      <c r="Z1834" s="786"/>
      <c r="AA1834" s="786"/>
      <c r="AB1834" s="786"/>
      <c r="AC1834" s="786"/>
      <c r="AD1834" s="786"/>
      <c r="AE1834" s="786"/>
      <c r="AF1834" s="786"/>
      <c r="AG1834" s="786"/>
    </row>
    <row r="1835" spans="1:33" s="56" customFormat="1" ht="15" hidden="1" customHeight="1" outlineLevel="1" x14ac:dyDescent="0.25">
      <c r="A1835" s="724"/>
      <c r="B1835" s="130"/>
      <c r="C1835" s="616"/>
      <c r="D1835" s="2101"/>
      <c r="E1835" s="2104"/>
      <c r="F1835" s="2098" t="str">
        <f t="shared" si="74"/>
        <v>ASHP SEER 18 replace ASHP - early replacement SF ER2</v>
      </c>
      <c r="G1835" s="2098"/>
      <c r="H1835" s="2098"/>
      <c r="I1835" s="2098"/>
      <c r="J1835" s="709">
        <v>922</v>
      </c>
      <c r="K1835" s="786">
        <v>12</v>
      </c>
      <c r="L1835" s="669"/>
      <c r="M1835" s="770"/>
      <c r="N1835" s="130"/>
      <c r="O1835" s="251"/>
      <c r="P1835" s="766"/>
      <c r="Q1835" s="766"/>
      <c r="R1835" s="766"/>
      <c r="S1835" s="752"/>
      <c r="T1835" s="760"/>
      <c r="U1835" s="130"/>
      <c r="V1835" s="2107"/>
      <c r="W1835" s="786">
        <v>12</v>
      </c>
      <c r="X1835" s="786">
        <v>12</v>
      </c>
      <c r="Y1835" s="786"/>
      <c r="Z1835" s="786"/>
      <c r="AA1835" s="786"/>
      <c r="AB1835" s="786"/>
      <c r="AC1835" s="786"/>
      <c r="AD1835" s="786"/>
      <c r="AE1835" s="786"/>
      <c r="AF1835" s="786"/>
      <c r="AG1835" s="786"/>
    </row>
    <row r="1836" spans="1:33" s="56" customFormat="1" ht="15" hidden="1" customHeight="1" outlineLevel="1" x14ac:dyDescent="0.25">
      <c r="A1836" s="724"/>
      <c r="B1836" s="130"/>
      <c r="C1836" s="616"/>
      <c r="D1836" s="2101"/>
      <c r="E1836" s="2104"/>
      <c r="F1836" s="2098" t="str">
        <f t="shared" si="74"/>
        <v>ASHP SEER 18 replace ASHP - replace on fail SF</v>
      </c>
      <c r="G1836" s="2098"/>
      <c r="H1836" s="2098"/>
      <c r="I1836" s="2098"/>
      <c r="J1836" s="709">
        <v>923</v>
      </c>
      <c r="K1836" s="786">
        <v>18</v>
      </c>
      <c r="L1836" s="669"/>
      <c r="M1836" s="770"/>
      <c r="N1836" s="130"/>
      <c r="O1836" s="251"/>
      <c r="P1836" s="766"/>
      <c r="Q1836" s="766"/>
      <c r="R1836" s="766"/>
      <c r="S1836" s="752"/>
      <c r="T1836" s="760"/>
      <c r="U1836" s="130"/>
      <c r="V1836" s="2107"/>
      <c r="W1836" s="786">
        <v>18</v>
      </c>
      <c r="X1836" s="786">
        <v>18</v>
      </c>
      <c r="Y1836" s="786"/>
      <c r="Z1836" s="786"/>
      <c r="AA1836" s="786"/>
      <c r="AB1836" s="786"/>
      <c r="AC1836" s="786"/>
      <c r="AD1836" s="786"/>
      <c r="AE1836" s="786"/>
      <c r="AF1836" s="786"/>
      <c r="AG1836" s="786"/>
    </row>
    <row r="1837" spans="1:33" s="56" customFormat="1" ht="15" hidden="1" customHeight="1" outlineLevel="1" x14ac:dyDescent="0.25">
      <c r="A1837" s="724"/>
      <c r="B1837" s="130"/>
      <c r="C1837" s="616"/>
      <c r="D1837" s="2101"/>
      <c r="E1837" s="2104"/>
      <c r="F1837" s="2098" t="str">
        <f t="shared" si="74"/>
        <v>ASHP SEER 18 replace ASHP - replace on fail SF</v>
      </c>
      <c r="G1837" s="2098"/>
      <c r="H1837" s="2098"/>
      <c r="I1837" s="2098"/>
      <c r="J1837" s="709" t="s">
        <v>1161</v>
      </c>
      <c r="K1837" s="786">
        <v>18</v>
      </c>
      <c r="L1837" s="669"/>
      <c r="M1837" s="770"/>
      <c r="N1837" s="130"/>
      <c r="O1837" s="251"/>
      <c r="P1837" s="766"/>
      <c r="Q1837" s="766"/>
      <c r="R1837" s="766"/>
      <c r="S1837" s="752"/>
      <c r="T1837" s="760"/>
      <c r="U1837" s="130"/>
      <c r="V1837" s="2107"/>
      <c r="W1837" s="786">
        <v>18</v>
      </c>
      <c r="X1837" s="786">
        <v>18</v>
      </c>
      <c r="Y1837" s="786"/>
      <c r="Z1837" s="786"/>
      <c r="AA1837" s="786"/>
      <c r="AB1837" s="786"/>
      <c r="AC1837" s="786"/>
      <c r="AD1837" s="786"/>
      <c r="AE1837" s="786"/>
      <c r="AF1837" s="786"/>
      <c r="AG1837" s="786"/>
    </row>
    <row r="1838" spans="1:33" s="56" customFormat="1" ht="15" hidden="1" customHeight="1" outlineLevel="1" x14ac:dyDescent="0.25">
      <c r="A1838" s="724"/>
      <c r="B1838" s="130"/>
      <c r="C1838" s="616"/>
      <c r="D1838" s="2101"/>
      <c r="E1838" s="2104"/>
      <c r="F1838" s="2098" t="str">
        <f t="shared" si="74"/>
        <v>ASHP - SEER 18 - replace on fail SF</v>
      </c>
      <c r="G1838" s="2098"/>
      <c r="H1838" s="2098"/>
      <c r="I1838" s="2098"/>
      <c r="J1838" s="709">
        <v>924</v>
      </c>
      <c r="K1838" s="786">
        <v>18</v>
      </c>
      <c r="L1838" s="669"/>
      <c r="M1838" s="770"/>
      <c r="N1838" s="130"/>
      <c r="O1838" s="251"/>
      <c r="P1838" s="766"/>
      <c r="Q1838" s="766"/>
      <c r="R1838" s="766"/>
      <c r="S1838" s="752"/>
      <c r="T1838" s="760"/>
      <c r="U1838" s="130"/>
      <c r="V1838" s="2107"/>
      <c r="W1838" s="786">
        <v>18</v>
      </c>
      <c r="X1838" s="786">
        <v>18</v>
      </c>
      <c r="Y1838" s="786"/>
      <c r="Z1838" s="786"/>
      <c r="AA1838" s="786"/>
      <c r="AB1838" s="786"/>
      <c r="AC1838" s="786"/>
      <c r="AD1838" s="786"/>
      <c r="AE1838" s="786"/>
      <c r="AF1838" s="786"/>
      <c r="AG1838" s="786"/>
    </row>
    <row r="1839" spans="1:33" s="56" customFormat="1" ht="15" hidden="1" customHeight="1" outlineLevel="1" x14ac:dyDescent="0.25">
      <c r="A1839" s="724"/>
      <c r="B1839" s="130"/>
      <c r="C1839" s="616"/>
      <c r="D1839" s="2101"/>
      <c r="E1839" s="2104"/>
      <c r="F1839" s="2098" t="str">
        <f t="shared" si="74"/>
        <v>ASHP - SEER 18 - replace on fail SF</v>
      </c>
      <c r="G1839" s="2098"/>
      <c r="H1839" s="2098"/>
      <c r="I1839" s="2098"/>
      <c r="J1839" s="709" t="s">
        <v>1163</v>
      </c>
      <c r="K1839" s="786">
        <v>18</v>
      </c>
      <c r="L1839" s="670"/>
      <c r="M1839" s="770"/>
      <c r="N1839" s="130"/>
      <c r="O1839" s="251"/>
      <c r="P1839" s="766"/>
      <c r="Q1839" s="766"/>
      <c r="R1839" s="766"/>
      <c r="S1839" s="752"/>
      <c r="T1839" s="760"/>
      <c r="U1839" s="130"/>
      <c r="V1839" s="2107"/>
      <c r="W1839" s="786">
        <v>18</v>
      </c>
      <c r="X1839" s="786">
        <v>18</v>
      </c>
      <c r="Y1839" s="786"/>
      <c r="Z1839" s="786"/>
      <c r="AA1839" s="786"/>
      <c r="AB1839" s="786"/>
      <c r="AC1839" s="786"/>
      <c r="AD1839" s="786"/>
      <c r="AE1839" s="786"/>
      <c r="AF1839" s="786"/>
      <c r="AG1839" s="786"/>
    </row>
    <row r="1840" spans="1:33" s="56" customFormat="1" ht="15" hidden="1" customHeight="1" outlineLevel="1" x14ac:dyDescent="0.25">
      <c r="A1840" s="724"/>
      <c r="B1840" s="130"/>
      <c r="C1840" s="616"/>
      <c r="D1840" s="2101"/>
      <c r="E1840" s="2104"/>
      <c r="F1840" s="2098" t="str">
        <f t="shared" si="74"/>
        <v>ASHP SEER 19 replace ASHP - early replacement SF ER1</v>
      </c>
      <c r="G1840" s="2098"/>
      <c r="H1840" s="2098"/>
      <c r="I1840" s="2098"/>
      <c r="J1840" s="709">
        <v>925</v>
      </c>
      <c r="K1840" s="786">
        <v>6</v>
      </c>
      <c r="L1840" s="670"/>
      <c r="M1840" s="770"/>
      <c r="N1840" s="130"/>
      <c r="O1840" s="251"/>
      <c r="P1840" s="766"/>
      <c r="Q1840" s="766"/>
      <c r="R1840" s="766"/>
      <c r="S1840" s="752"/>
      <c r="T1840" s="760"/>
      <c r="U1840" s="130"/>
      <c r="V1840" s="2107"/>
      <c r="W1840" s="786">
        <v>6</v>
      </c>
      <c r="X1840" s="786">
        <v>6</v>
      </c>
      <c r="Y1840" s="786"/>
      <c r="Z1840" s="786"/>
      <c r="AA1840" s="786"/>
      <c r="AB1840" s="786"/>
      <c r="AC1840" s="786"/>
      <c r="AD1840" s="786"/>
      <c r="AE1840" s="786"/>
      <c r="AF1840" s="786"/>
      <c r="AG1840" s="786"/>
    </row>
    <row r="1841" spans="1:33" s="56" customFormat="1" ht="15" hidden="1" customHeight="1" outlineLevel="1" x14ac:dyDescent="0.25">
      <c r="A1841" s="724"/>
      <c r="B1841" s="130"/>
      <c r="C1841" s="616"/>
      <c r="D1841" s="2101"/>
      <c r="E1841" s="2104"/>
      <c r="F1841" s="2098" t="str">
        <f t="shared" si="74"/>
        <v>ASHP SEER 19 replace ASHP - early replacement SF ER1</v>
      </c>
      <c r="G1841" s="2098"/>
      <c r="H1841" s="2098"/>
      <c r="I1841" s="2098"/>
      <c r="J1841" s="709">
        <v>926</v>
      </c>
      <c r="K1841" s="786">
        <v>6</v>
      </c>
      <c r="L1841" s="670"/>
      <c r="M1841" s="770"/>
      <c r="N1841" s="130"/>
      <c r="O1841" s="251"/>
      <c r="P1841" s="766"/>
      <c r="Q1841" s="766"/>
      <c r="R1841" s="766"/>
      <c r="S1841" s="752"/>
      <c r="T1841" s="760"/>
      <c r="U1841" s="130"/>
      <c r="V1841" s="2107"/>
      <c r="W1841" s="786">
        <v>6</v>
      </c>
      <c r="X1841" s="786">
        <v>6</v>
      </c>
      <c r="Y1841" s="786"/>
      <c r="Z1841" s="786"/>
      <c r="AA1841" s="786"/>
      <c r="AB1841" s="786"/>
      <c r="AC1841" s="786"/>
      <c r="AD1841" s="786"/>
      <c r="AE1841" s="786"/>
      <c r="AF1841" s="786"/>
      <c r="AG1841" s="786"/>
    </row>
    <row r="1842" spans="1:33" s="56" customFormat="1" ht="15" hidden="1" customHeight="1" outlineLevel="1" x14ac:dyDescent="0.25">
      <c r="A1842" s="724"/>
      <c r="B1842" s="130"/>
      <c r="C1842" s="616"/>
      <c r="D1842" s="2101"/>
      <c r="E1842" s="2104"/>
      <c r="F1842" s="2098" t="str">
        <f t="shared" si="74"/>
        <v>ASHP SEER 19 replace ASHP - early replacement SF ER2</v>
      </c>
      <c r="G1842" s="2098"/>
      <c r="H1842" s="2098"/>
      <c r="I1842" s="2098"/>
      <c r="J1842" s="709">
        <v>1239</v>
      </c>
      <c r="K1842" s="786">
        <v>12</v>
      </c>
      <c r="L1842" s="670"/>
      <c r="M1842" s="613"/>
      <c r="N1842" s="130"/>
      <c r="O1842" s="251"/>
      <c r="P1842" s="766"/>
      <c r="Q1842" s="766"/>
      <c r="R1842" s="766"/>
      <c r="S1842" s="752"/>
      <c r="T1842" s="760"/>
      <c r="U1842" s="130"/>
      <c r="V1842" s="2107"/>
      <c r="W1842" s="786">
        <v>12</v>
      </c>
      <c r="X1842" s="786">
        <v>12</v>
      </c>
      <c r="Y1842" s="786"/>
      <c r="Z1842" s="786"/>
      <c r="AA1842" s="786"/>
      <c r="AB1842" s="786"/>
      <c r="AC1842" s="786"/>
      <c r="AD1842" s="786"/>
      <c r="AE1842" s="786"/>
      <c r="AF1842" s="786"/>
      <c r="AG1842" s="786"/>
    </row>
    <row r="1843" spans="1:33" s="56" customFormat="1" ht="15" hidden="1" customHeight="1" outlineLevel="1" x14ac:dyDescent="0.25">
      <c r="A1843" s="724"/>
      <c r="B1843" s="130"/>
      <c r="C1843" s="616"/>
      <c r="D1843" s="2101"/>
      <c r="E1843" s="2104"/>
      <c r="F1843" s="2098" t="str">
        <f t="shared" si="74"/>
        <v>ASHP SEER 19 replace ASHP - early replacement SF ER2</v>
      </c>
      <c r="G1843" s="2098"/>
      <c r="H1843" s="2098"/>
      <c r="I1843" s="2098"/>
      <c r="J1843" s="709" t="s">
        <v>1166</v>
      </c>
      <c r="K1843" s="786">
        <v>12</v>
      </c>
      <c r="L1843" s="670"/>
      <c r="M1843" s="613"/>
      <c r="N1843" s="130"/>
      <c r="O1843" s="251"/>
      <c r="P1843" s="766"/>
      <c r="Q1843" s="766"/>
      <c r="R1843" s="766"/>
      <c r="S1843" s="752"/>
      <c r="T1843" s="760"/>
      <c r="U1843" s="130"/>
      <c r="V1843" s="2107"/>
      <c r="W1843" s="786">
        <v>12</v>
      </c>
      <c r="X1843" s="786">
        <v>12</v>
      </c>
      <c r="Y1843" s="786"/>
      <c r="Z1843" s="786"/>
      <c r="AA1843" s="786"/>
      <c r="AB1843" s="786"/>
      <c r="AC1843" s="786"/>
      <c r="AD1843" s="786"/>
      <c r="AE1843" s="786"/>
      <c r="AF1843" s="786"/>
      <c r="AG1843" s="786"/>
    </row>
    <row r="1844" spans="1:33" s="56" customFormat="1" ht="15" hidden="1" customHeight="1" outlineLevel="1" x14ac:dyDescent="0.25">
      <c r="A1844" s="724"/>
      <c r="B1844" s="130"/>
      <c r="C1844" s="616"/>
      <c r="D1844" s="2101"/>
      <c r="E1844" s="2104"/>
      <c r="F1844" s="2098" t="str">
        <f t="shared" si="74"/>
        <v>ASHP SEER 19 replace ASHP - replace on fail SF</v>
      </c>
      <c r="G1844" s="2098"/>
      <c r="H1844" s="2098"/>
      <c r="I1844" s="2098"/>
      <c r="J1844" s="709">
        <v>1266</v>
      </c>
      <c r="K1844" s="786">
        <v>18</v>
      </c>
      <c r="L1844" s="670"/>
      <c r="M1844" s="613"/>
      <c r="N1844" s="130"/>
      <c r="O1844" s="251"/>
      <c r="P1844" s="766"/>
      <c r="Q1844" s="766"/>
      <c r="R1844" s="766"/>
      <c r="S1844" s="752"/>
      <c r="T1844" s="760"/>
      <c r="U1844" s="130"/>
      <c r="V1844" s="2107"/>
      <c r="W1844" s="786">
        <v>18</v>
      </c>
      <c r="X1844" s="786">
        <v>18</v>
      </c>
      <c r="Y1844" s="786"/>
      <c r="Z1844" s="786"/>
      <c r="AA1844" s="786"/>
      <c r="AB1844" s="786"/>
      <c r="AC1844" s="786"/>
      <c r="AD1844" s="786"/>
      <c r="AE1844" s="786"/>
      <c r="AF1844" s="786"/>
      <c r="AG1844" s="786"/>
    </row>
    <row r="1845" spans="1:33" s="56" customFormat="1" ht="15" hidden="1" customHeight="1" outlineLevel="1" x14ac:dyDescent="0.25">
      <c r="A1845" s="724"/>
      <c r="B1845" s="130"/>
      <c r="C1845" s="616"/>
      <c r="D1845" s="2101"/>
      <c r="E1845" s="2104"/>
      <c r="F1845" s="2098" t="str">
        <f t="shared" si="74"/>
        <v>ASHP SEER 19 replace ASHP - replace on fail SF</v>
      </c>
      <c r="G1845" s="2098"/>
      <c r="H1845" s="2098"/>
      <c r="I1845" s="2098"/>
      <c r="J1845" s="709" t="s">
        <v>1168</v>
      </c>
      <c r="K1845" s="786">
        <v>18</v>
      </c>
      <c r="L1845" s="670"/>
      <c r="M1845" s="613"/>
      <c r="N1845" s="130"/>
      <c r="O1845" s="251"/>
      <c r="P1845" s="766"/>
      <c r="Q1845" s="766"/>
      <c r="R1845" s="766"/>
      <c r="S1845" s="752"/>
      <c r="T1845" s="760"/>
      <c r="U1845" s="130"/>
      <c r="V1845" s="2107"/>
      <c r="W1845" s="786">
        <v>18</v>
      </c>
      <c r="X1845" s="786">
        <v>18</v>
      </c>
      <c r="Y1845" s="786"/>
      <c r="Z1845" s="786"/>
      <c r="AA1845" s="786"/>
      <c r="AB1845" s="786"/>
      <c r="AC1845" s="786"/>
      <c r="AD1845" s="786"/>
      <c r="AE1845" s="786"/>
      <c r="AF1845" s="786"/>
      <c r="AG1845" s="786"/>
    </row>
    <row r="1846" spans="1:33" s="56" customFormat="1" ht="15" hidden="1" customHeight="1" outlineLevel="1" x14ac:dyDescent="0.25">
      <c r="A1846" s="724"/>
      <c r="B1846" s="130"/>
      <c r="C1846" s="616"/>
      <c r="D1846" s="2101"/>
      <c r="E1846" s="2104"/>
      <c r="F1846" s="2098" t="str">
        <f t="shared" si="74"/>
        <v>ASHP - SEER 17 - replace electric furnace / CAC - early replacement SF ER1</v>
      </c>
      <c r="G1846" s="2098"/>
      <c r="H1846" s="2098"/>
      <c r="I1846" s="2098"/>
      <c r="J1846" s="709">
        <v>1268</v>
      </c>
      <c r="K1846" s="786">
        <v>6</v>
      </c>
      <c r="L1846" s="670"/>
      <c r="M1846" s="613"/>
      <c r="N1846" s="130"/>
      <c r="O1846" s="251"/>
      <c r="P1846" s="766"/>
      <c r="Q1846" s="766"/>
      <c r="R1846" s="766"/>
      <c r="S1846" s="752"/>
      <c r="T1846" s="760"/>
      <c r="U1846" s="130"/>
      <c r="V1846" s="2107"/>
      <c r="W1846" s="786">
        <v>6</v>
      </c>
      <c r="X1846" s="786">
        <v>6</v>
      </c>
      <c r="Y1846" s="786"/>
      <c r="Z1846" s="786"/>
      <c r="AA1846" s="786"/>
      <c r="AB1846" s="786"/>
      <c r="AC1846" s="786"/>
      <c r="AD1846" s="786"/>
      <c r="AE1846" s="786"/>
      <c r="AF1846" s="786"/>
      <c r="AG1846" s="786"/>
    </row>
    <row r="1847" spans="1:33" s="56" customFormat="1" ht="15" hidden="1" customHeight="1" outlineLevel="1" x14ac:dyDescent="0.25">
      <c r="A1847" s="724"/>
      <c r="B1847" s="130"/>
      <c r="C1847" s="616"/>
      <c r="D1847" s="2101"/>
      <c r="E1847" s="2104"/>
      <c r="F1847" s="2098" t="str">
        <f t="shared" si="74"/>
        <v>ASHP - SEER 17 - replace electric furnace / CAC - early replacement SF ER1</v>
      </c>
      <c r="G1847" s="2098"/>
      <c r="H1847" s="2098"/>
      <c r="I1847" s="2098"/>
      <c r="J1847" s="709">
        <v>1240</v>
      </c>
      <c r="K1847" s="786">
        <v>6</v>
      </c>
      <c r="L1847" s="670"/>
      <c r="M1847" s="613"/>
      <c r="N1847" s="130"/>
      <c r="O1847" s="251"/>
      <c r="P1847" s="766"/>
      <c r="Q1847" s="766"/>
      <c r="R1847" s="766"/>
      <c r="S1847" s="752"/>
      <c r="T1847" s="760"/>
      <c r="U1847" s="130"/>
      <c r="V1847" s="2107"/>
      <c r="W1847" s="786">
        <v>6</v>
      </c>
      <c r="X1847" s="786">
        <v>6</v>
      </c>
      <c r="Y1847" s="786"/>
      <c r="Z1847" s="786"/>
      <c r="AA1847" s="786"/>
      <c r="AB1847" s="786"/>
      <c r="AC1847" s="786"/>
      <c r="AD1847" s="786"/>
      <c r="AE1847" s="786"/>
      <c r="AF1847" s="786"/>
      <c r="AG1847" s="786"/>
    </row>
    <row r="1848" spans="1:33" s="56" customFormat="1" ht="15" hidden="1" customHeight="1" outlineLevel="1" x14ac:dyDescent="0.25">
      <c r="A1848" s="724"/>
      <c r="B1848" s="130"/>
      <c r="C1848" s="616"/>
      <c r="D1848" s="2101"/>
      <c r="E1848" s="2104"/>
      <c r="F1848" s="2098" t="str">
        <f t="shared" si="74"/>
        <v>ASHP - SEER 17 - replace electric furnace / CAC - early replacement SF ER2</v>
      </c>
      <c r="G1848" s="2098"/>
      <c r="H1848" s="2098"/>
      <c r="I1848" s="2098"/>
      <c r="J1848" s="709" t="s">
        <v>1170</v>
      </c>
      <c r="K1848" s="786">
        <v>12</v>
      </c>
      <c r="L1848" s="670"/>
      <c r="M1848" s="613"/>
      <c r="N1848" s="130"/>
      <c r="O1848" s="251"/>
      <c r="P1848" s="766"/>
      <c r="Q1848" s="766"/>
      <c r="R1848" s="766"/>
      <c r="S1848" s="752"/>
      <c r="T1848" s="760"/>
      <c r="U1848" s="130"/>
      <c r="V1848" s="2107"/>
      <c r="W1848" s="786">
        <v>12</v>
      </c>
      <c r="X1848" s="786">
        <v>12</v>
      </c>
      <c r="Y1848" s="786"/>
      <c r="Z1848" s="786"/>
      <c r="AA1848" s="786"/>
      <c r="AB1848" s="786"/>
      <c r="AC1848" s="786"/>
      <c r="AD1848" s="786"/>
      <c r="AE1848" s="786"/>
      <c r="AF1848" s="786"/>
      <c r="AG1848" s="786"/>
    </row>
    <row r="1849" spans="1:33" s="56" customFormat="1" ht="15" hidden="1" customHeight="1" outlineLevel="1" x14ac:dyDescent="0.25">
      <c r="A1849" s="724"/>
      <c r="B1849" s="130"/>
      <c r="C1849" s="616"/>
      <c r="D1849" s="2101"/>
      <c r="E1849" s="2104"/>
      <c r="F1849" s="2098" t="str">
        <f t="shared" si="74"/>
        <v>ASHP - SEER 17 - replace electric furnace / CAC - early replacement SF ER2</v>
      </c>
      <c r="G1849" s="2098"/>
      <c r="H1849" s="2098"/>
      <c r="I1849" s="2098"/>
      <c r="J1849" s="709">
        <v>1270</v>
      </c>
      <c r="K1849" s="786">
        <v>12</v>
      </c>
      <c r="L1849" s="670"/>
      <c r="M1849" s="613"/>
      <c r="N1849" s="130"/>
      <c r="O1849" s="251"/>
      <c r="P1849" s="766"/>
      <c r="Q1849" s="766"/>
      <c r="R1849" s="766"/>
      <c r="S1849" s="752"/>
      <c r="T1849" s="760"/>
      <c r="U1849" s="130"/>
      <c r="V1849" s="2107"/>
      <c r="W1849" s="786">
        <v>12</v>
      </c>
      <c r="X1849" s="786">
        <v>12</v>
      </c>
      <c r="Y1849" s="786"/>
      <c r="Z1849" s="786"/>
      <c r="AA1849" s="786"/>
      <c r="AB1849" s="786"/>
      <c r="AC1849" s="786"/>
      <c r="AD1849" s="786"/>
      <c r="AE1849" s="786"/>
      <c r="AF1849" s="786"/>
      <c r="AG1849" s="786"/>
    </row>
    <row r="1850" spans="1:33" s="56" customFormat="1" ht="15" hidden="1" customHeight="1" outlineLevel="1" x14ac:dyDescent="0.25">
      <c r="A1850" s="724"/>
      <c r="B1850" s="130"/>
      <c r="C1850" s="616"/>
      <c r="D1850" s="2101"/>
      <c r="E1850" s="2104"/>
      <c r="F1850" s="2098" t="str">
        <f t="shared" si="74"/>
        <v>ASHP - SEER 17 - replace electric furnace / CAC - early replacement MF ER1</v>
      </c>
      <c r="G1850" s="2098"/>
      <c r="H1850" s="2098"/>
      <c r="I1850" s="2098"/>
      <c r="J1850" s="709">
        <v>1271</v>
      </c>
      <c r="K1850" s="786">
        <v>6</v>
      </c>
      <c r="L1850" s="670"/>
      <c r="M1850" s="613"/>
      <c r="N1850" s="130"/>
      <c r="O1850" s="251"/>
      <c r="P1850" s="766"/>
      <c r="Q1850" s="766"/>
      <c r="R1850" s="766"/>
      <c r="S1850" s="752"/>
      <c r="T1850" s="760"/>
      <c r="U1850" s="130"/>
      <c r="V1850" s="2107"/>
      <c r="W1850" s="786">
        <v>6</v>
      </c>
      <c r="X1850" s="786">
        <v>6</v>
      </c>
      <c r="Y1850" s="786"/>
      <c r="Z1850" s="786"/>
      <c r="AA1850" s="786"/>
      <c r="AB1850" s="786"/>
      <c r="AC1850" s="786"/>
      <c r="AD1850" s="786"/>
      <c r="AE1850" s="786"/>
      <c r="AF1850" s="786"/>
      <c r="AG1850" s="786"/>
    </row>
    <row r="1851" spans="1:33" s="56" customFormat="1" ht="15" hidden="1" customHeight="1" outlineLevel="1" x14ac:dyDescent="0.25">
      <c r="A1851" s="724"/>
      <c r="B1851" s="130"/>
      <c r="C1851" s="616"/>
      <c r="D1851" s="2101"/>
      <c r="E1851" s="2104"/>
      <c r="F1851" s="2098" t="str">
        <f t="shared" si="74"/>
        <v>ASHP - SEER 17 - replace electric furnace / CAC - early replacement MF ER1</v>
      </c>
      <c r="G1851" s="2098"/>
      <c r="H1851" s="2098"/>
      <c r="I1851" s="2098"/>
      <c r="J1851" s="709">
        <v>1269</v>
      </c>
      <c r="K1851" s="786">
        <v>6</v>
      </c>
      <c r="L1851" s="670"/>
      <c r="M1851" s="613"/>
      <c r="N1851" s="130"/>
      <c r="O1851" s="251"/>
      <c r="P1851" s="766"/>
      <c r="Q1851" s="766"/>
      <c r="R1851" s="766"/>
      <c r="S1851" s="752"/>
      <c r="T1851" s="760"/>
      <c r="U1851" s="130"/>
      <c r="V1851" s="2107"/>
      <c r="W1851" s="786">
        <v>6</v>
      </c>
      <c r="X1851" s="786">
        <v>6</v>
      </c>
      <c r="Y1851" s="786"/>
      <c r="Z1851" s="786"/>
      <c r="AA1851" s="786"/>
      <c r="AB1851" s="786"/>
      <c r="AC1851" s="786"/>
      <c r="AD1851" s="786"/>
      <c r="AE1851" s="786"/>
      <c r="AF1851" s="786"/>
      <c r="AG1851" s="786"/>
    </row>
    <row r="1852" spans="1:33" s="56" customFormat="1" ht="15" hidden="1" customHeight="1" outlineLevel="1" x14ac:dyDescent="0.25">
      <c r="A1852" s="724"/>
      <c r="B1852" s="130"/>
      <c r="C1852" s="616"/>
      <c r="D1852" s="2101"/>
      <c r="E1852" s="2104"/>
      <c r="F1852" s="2098" t="str">
        <f t="shared" si="74"/>
        <v>ASHP - SEER 17 - replace electric furnace / CAC - early replacement MF ER2</v>
      </c>
      <c r="G1852" s="2098"/>
      <c r="H1852" s="2098"/>
      <c r="I1852" s="2098"/>
      <c r="J1852" s="709" t="s">
        <v>1171</v>
      </c>
      <c r="K1852" s="786">
        <v>12</v>
      </c>
      <c r="L1852" s="670"/>
      <c r="M1852" s="613"/>
      <c r="N1852" s="130"/>
      <c r="O1852" s="251"/>
      <c r="P1852" s="766"/>
      <c r="Q1852" s="766"/>
      <c r="R1852" s="766"/>
      <c r="S1852" s="752"/>
      <c r="T1852" s="760"/>
      <c r="U1852" s="130"/>
      <c r="V1852" s="2107"/>
      <c r="W1852" s="786">
        <v>12</v>
      </c>
      <c r="X1852" s="786">
        <v>12</v>
      </c>
      <c r="Y1852" s="786"/>
      <c r="Z1852" s="786"/>
      <c r="AA1852" s="786"/>
      <c r="AB1852" s="786"/>
      <c r="AC1852" s="786"/>
      <c r="AD1852" s="786"/>
      <c r="AE1852" s="786"/>
      <c r="AF1852" s="786"/>
      <c r="AG1852" s="786"/>
    </row>
    <row r="1853" spans="1:33" s="56" customFormat="1" ht="15" hidden="1" customHeight="1" outlineLevel="1" x14ac:dyDescent="0.25">
      <c r="A1853" s="724"/>
      <c r="B1853" s="130"/>
      <c r="C1853" s="616"/>
      <c r="D1853" s="2101"/>
      <c r="E1853" s="2104"/>
      <c r="F1853" s="2098" t="str">
        <f t="shared" si="74"/>
        <v>ASHP - SEER 17 - replace electric furnace / CAC - early replacement MF ER2</v>
      </c>
      <c r="G1853" s="2098"/>
      <c r="H1853" s="2098"/>
      <c r="I1853" s="2098"/>
      <c r="J1853" s="709">
        <v>1267</v>
      </c>
      <c r="K1853" s="786">
        <v>12</v>
      </c>
      <c r="L1853" s="670"/>
      <c r="M1853" s="613"/>
      <c r="N1853" s="130"/>
      <c r="O1853" s="251"/>
      <c r="P1853" s="766"/>
      <c r="Q1853" s="766"/>
      <c r="R1853" s="766"/>
      <c r="S1853" s="752"/>
      <c r="T1853" s="760"/>
      <c r="U1853" s="130"/>
      <c r="V1853" s="2107"/>
      <c r="W1853" s="786">
        <v>12</v>
      </c>
      <c r="X1853" s="786">
        <v>12</v>
      </c>
      <c r="Y1853" s="786"/>
      <c r="Z1853" s="786"/>
      <c r="AA1853" s="786"/>
      <c r="AB1853" s="786"/>
      <c r="AC1853" s="786"/>
      <c r="AD1853" s="786"/>
      <c r="AE1853" s="786"/>
      <c r="AF1853" s="786"/>
      <c r="AG1853" s="786"/>
    </row>
    <row r="1854" spans="1:33" s="56" customFormat="1" ht="15" hidden="1" customHeight="1" outlineLevel="1" x14ac:dyDescent="0.25">
      <c r="A1854" s="724"/>
      <c r="B1854" s="130"/>
      <c r="C1854" s="616"/>
      <c r="D1854" s="2101"/>
      <c r="E1854" s="2104"/>
      <c r="F1854" s="2098" t="str">
        <f t="shared" si="74"/>
        <v>ASHP SEER 17 replace ASHP - early replacement MF ER1</v>
      </c>
      <c r="G1854" s="2098"/>
      <c r="H1854" s="2098"/>
      <c r="I1854" s="2098"/>
      <c r="J1854" s="709" t="s">
        <v>1172</v>
      </c>
      <c r="K1854" s="786">
        <v>6</v>
      </c>
      <c r="L1854" s="670"/>
      <c r="M1854" s="613"/>
      <c r="N1854" s="130"/>
      <c r="O1854" s="251"/>
      <c r="P1854" s="766"/>
      <c r="Q1854" s="766"/>
      <c r="R1854" s="766"/>
      <c r="S1854" s="752"/>
      <c r="T1854" s="760"/>
      <c r="U1854" s="130"/>
      <c r="V1854" s="2107"/>
      <c r="W1854" s="786">
        <v>6</v>
      </c>
      <c r="X1854" s="786">
        <v>6</v>
      </c>
      <c r="Y1854" s="786"/>
      <c r="Z1854" s="786"/>
      <c r="AA1854" s="786"/>
      <c r="AB1854" s="786"/>
      <c r="AC1854" s="786"/>
      <c r="AD1854" s="786"/>
      <c r="AE1854" s="786"/>
      <c r="AF1854" s="786"/>
      <c r="AG1854" s="786"/>
    </row>
    <row r="1855" spans="1:33" s="56" customFormat="1" ht="15" hidden="1" customHeight="1" outlineLevel="1" x14ac:dyDescent="0.25">
      <c r="A1855" s="724"/>
      <c r="B1855" s="130"/>
      <c r="C1855" s="616"/>
      <c r="D1855" s="2101"/>
      <c r="E1855" s="2104"/>
      <c r="F1855" s="2098" t="str">
        <f t="shared" si="74"/>
        <v>ASHP SEER 17 replace ASHP - early replacement MF ER1</v>
      </c>
      <c r="G1855" s="2098"/>
      <c r="H1855" s="2098"/>
      <c r="I1855" s="2098"/>
      <c r="J1855" s="709" t="s">
        <v>1174</v>
      </c>
      <c r="K1855" s="786">
        <v>6</v>
      </c>
      <c r="L1855" s="670"/>
      <c r="M1855" s="613"/>
      <c r="N1855" s="130"/>
      <c r="O1855" s="251"/>
      <c r="P1855" s="766"/>
      <c r="Q1855" s="766"/>
      <c r="R1855" s="766"/>
      <c r="S1855" s="752"/>
      <c r="T1855" s="760"/>
      <c r="U1855" s="130"/>
      <c r="V1855" s="2107"/>
      <c r="W1855" s="786">
        <v>6</v>
      </c>
      <c r="X1855" s="786">
        <v>6</v>
      </c>
      <c r="Y1855" s="786"/>
      <c r="Z1855" s="786"/>
      <c r="AA1855" s="786"/>
      <c r="AB1855" s="786"/>
      <c r="AC1855" s="786"/>
      <c r="AD1855" s="786"/>
      <c r="AE1855" s="786"/>
      <c r="AF1855" s="786"/>
      <c r="AG1855" s="786"/>
    </row>
    <row r="1856" spans="1:33" s="56" customFormat="1" ht="15" hidden="1" customHeight="1" outlineLevel="1" x14ac:dyDescent="0.25">
      <c r="A1856" s="724"/>
      <c r="B1856" s="130"/>
      <c r="C1856" s="616"/>
      <c r="D1856" s="2101"/>
      <c r="E1856" s="2104"/>
      <c r="F1856" s="2098" t="str">
        <f t="shared" si="74"/>
        <v>ASHP SEER 17 replace ASHP - early replacement MF ER2</v>
      </c>
      <c r="G1856" s="2098"/>
      <c r="H1856" s="2098"/>
      <c r="I1856" s="2098"/>
      <c r="J1856" s="709" t="s">
        <v>1175</v>
      </c>
      <c r="K1856" s="786">
        <v>12</v>
      </c>
      <c r="L1856" s="670"/>
      <c r="M1856" s="613"/>
      <c r="N1856" s="130"/>
      <c r="O1856" s="251"/>
      <c r="P1856" s="766"/>
      <c r="Q1856" s="766"/>
      <c r="R1856" s="766"/>
      <c r="S1856" s="752"/>
      <c r="T1856" s="760"/>
      <c r="U1856" s="130"/>
      <c r="V1856" s="2107"/>
      <c r="W1856" s="786">
        <v>12</v>
      </c>
      <c r="X1856" s="786">
        <v>12</v>
      </c>
      <c r="Y1856" s="786"/>
      <c r="Z1856" s="786"/>
      <c r="AA1856" s="786"/>
      <c r="AB1856" s="786"/>
      <c r="AC1856" s="786"/>
      <c r="AD1856" s="786"/>
      <c r="AE1856" s="786"/>
      <c r="AF1856" s="786"/>
      <c r="AG1856" s="786"/>
    </row>
    <row r="1857" spans="1:33" s="56" customFormat="1" ht="15" hidden="1" customHeight="1" outlineLevel="1" x14ac:dyDescent="0.25">
      <c r="A1857" s="724"/>
      <c r="B1857" s="130"/>
      <c r="C1857" s="616"/>
      <c r="D1857" s="2101"/>
      <c r="E1857" s="2104"/>
      <c r="F1857" s="2098" t="str">
        <f t="shared" si="74"/>
        <v>ASHP SEER 17 replace ASHP - early replacement MF ER2</v>
      </c>
      <c r="G1857" s="2098"/>
      <c r="H1857" s="2098"/>
      <c r="I1857" s="2098"/>
      <c r="J1857" s="709" t="s">
        <v>1176</v>
      </c>
      <c r="K1857" s="786">
        <v>12</v>
      </c>
      <c r="L1857" s="670"/>
      <c r="M1857" s="613"/>
      <c r="N1857" s="130"/>
      <c r="O1857" s="251"/>
      <c r="P1857" s="766"/>
      <c r="Q1857" s="766"/>
      <c r="R1857" s="766"/>
      <c r="S1857" s="752"/>
      <c r="T1857" s="760"/>
      <c r="U1857" s="130"/>
      <c r="V1857" s="2107"/>
      <c r="W1857" s="786">
        <v>12</v>
      </c>
      <c r="X1857" s="786">
        <v>12</v>
      </c>
      <c r="Y1857" s="786"/>
      <c r="Z1857" s="786"/>
      <c r="AA1857" s="786"/>
      <c r="AB1857" s="786"/>
      <c r="AC1857" s="786"/>
      <c r="AD1857" s="786"/>
      <c r="AE1857" s="786"/>
      <c r="AF1857" s="786"/>
      <c r="AG1857" s="786"/>
    </row>
    <row r="1858" spans="1:33" s="56" customFormat="1" ht="15" hidden="1" customHeight="1" outlineLevel="1" x14ac:dyDescent="0.25">
      <c r="A1858" s="724"/>
      <c r="B1858" s="130"/>
      <c r="C1858" s="616"/>
      <c r="D1858" s="2101"/>
      <c r="E1858" s="2104"/>
      <c r="F1858" s="2098" t="str">
        <f t="shared" si="74"/>
        <v>ASHP - SEER 18 - replace electric furnace / CAC - early replacement SF ER1</v>
      </c>
      <c r="G1858" s="2098"/>
      <c r="H1858" s="2098"/>
      <c r="I1858" s="2098"/>
      <c r="J1858" s="709" t="s">
        <v>1177</v>
      </c>
      <c r="K1858" s="786">
        <v>6</v>
      </c>
      <c r="L1858" s="670"/>
      <c r="M1858" s="613"/>
      <c r="N1858" s="130"/>
      <c r="O1858" s="251"/>
      <c r="P1858" s="766"/>
      <c r="Q1858" s="766"/>
      <c r="R1858" s="766"/>
      <c r="S1858" s="752"/>
      <c r="T1858" s="760"/>
      <c r="U1858" s="130"/>
      <c r="V1858" s="2107"/>
      <c r="W1858" s="786">
        <v>6</v>
      </c>
      <c r="X1858" s="786">
        <v>6</v>
      </c>
      <c r="Y1858" s="786"/>
      <c r="Z1858" s="786"/>
      <c r="AA1858" s="786"/>
      <c r="AB1858" s="786"/>
      <c r="AC1858" s="786"/>
      <c r="AD1858" s="786"/>
      <c r="AE1858" s="786"/>
      <c r="AF1858" s="786"/>
      <c r="AG1858" s="786"/>
    </row>
    <row r="1859" spans="1:33" s="56" customFormat="1" ht="15" hidden="1" customHeight="1" outlineLevel="1" x14ac:dyDescent="0.25">
      <c r="A1859" s="724"/>
      <c r="B1859" s="130"/>
      <c r="C1859" s="616"/>
      <c r="D1859" s="2101"/>
      <c r="E1859" s="2104"/>
      <c r="F1859" s="2098" t="str">
        <f t="shared" si="74"/>
        <v>ASHP - SEER 18 - replace electric furnace / CAC - early replacement SF ER1</v>
      </c>
      <c r="G1859" s="2098"/>
      <c r="H1859" s="2098"/>
      <c r="I1859" s="2098"/>
      <c r="J1859" s="709" t="s">
        <v>1178</v>
      </c>
      <c r="K1859" s="786">
        <v>6</v>
      </c>
      <c r="L1859" s="670"/>
      <c r="M1859" s="613"/>
      <c r="N1859" s="130"/>
      <c r="O1859" s="251"/>
      <c r="P1859" s="766"/>
      <c r="Q1859" s="766"/>
      <c r="R1859" s="766"/>
      <c r="S1859" s="752"/>
      <c r="T1859" s="760"/>
      <c r="U1859" s="130"/>
      <c r="V1859" s="2107"/>
      <c r="W1859" s="786">
        <v>6</v>
      </c>
      <c r="X1859" s="786">
        <v>6</v>
      </c>
      <c r="Y1859" s="786"/>
      <c r="Z1859" s="786"/>
      <c r="AA1859" s="786"/>
      <c r="AB1859" s="786"/>
      <c r="AC1859" s="786"/>
      <c r="AD1859" s="786"/>
      <c r="AE1859" s="786"/>
      <c r="AF1859" s="786"/>
      <c r="AG1859" s="786"/>
    </row>
    <row r="1860" spans="1:33" s="56" customFormat="1" ht="15" hidden="1" customHeight="1" outlineLevel="1" x14ac:dyDescent="0.25">
      <c r="A1860" s="724"/>
      <c r="B1860" s="130"/>
      <c r="C1860" s="616"/>
      <c r="D1860" s="2101"/>
      <c r="E1860" s="2104"/>
      <c r="F1860" s="2098" t="str">
        <f t="shared" si="74"/>
        <v>ASHP - SEER 18 - replace electric furnace / CAC - early replacement SF ER2</v>
      </c>
      <c r="G1860" s="2098"/>
      <c r="H1860" s="2098"/>
      <c r="I1860" s="2098"/>
      <c r="J1860" s="709" t="s">
        <v>1177</v>
      </c>
      <c r="K1860" s="786">
        <v>12</v>
      </c>
      <c r="L1860" s="670"/>
      <c r="M1860" s="613"/>
      <c r="N1860" s="130"/>
      <c r="O1860" s="251"/>
      <c r="P1860" s="766"/>
      <c r="Q1860" s="766"/>
      <c r="R1860" s="766"/>
      <c r="S1860" s="752"/>
      <c r="T1860" s="760"/>
      <c r="U1860" s="130"/>
      <c r="V1860" s="2107"/>
      <c r="W1860" s="786">
        <v>12</v>
      </c>
      <c r="X1860" s="786">
        <v>12</v>
      </c>
      <c r="Y1860" s="786"/>
      <c r="Z1860" s="786"/>
      <c r="AA1860" s="786"/>
      <c r="AB1860" s="786"/>
      <c r="AC1860" s="786"/>
      <c r="AD1860" s="786"/>
      <c r="AE1860" s="786"/>
      <c r="AF1860" s="786"/>
      <c r="AG1860" s="786"/>
    </row>
    <row r="1861" spans="1:33" s="56" customFormat="1" ht="15" hidden="1" customHeight="1" outlineLevel="1" x14ac:dyDescent="0.25">
      <c r="A1861" s="724"/>
      <c r="B1861" s="130"/>
      <c r="C1861" s="616"/>
      <c r="D1861" s="2101"/>
      <c r="E1861" s="2104"/>
      <c r="F1861" s="2098" t="str">
        <f t="shared" si="74"/>
        <v>ASHP - SEER 18 - replace electric furnace / CAC - early replacement SF ER2</v>
      </c>
      <c r="G1861" s="2098"/>
      <c r="H1861" s="2098"/>
      <c r="I1861" s="2098"/>
      <c r="J1861" s="709" t="s">
        <v>1178</v>
      </c>
      <c r="K1861" s="786">
        <v>12</v>
      </c>
      <c r="L1861" s="670"/>
      <c r="M1861" s="613"/>
      <c r="N1861" s="130"/>
      <c r="O1861" s="251"/>
      <c r="P1861" s="766"/>
      <c r="Q1861" s="766"/>
      <c r="R1861" s="766"/>
      <c r="S1861" s="752"/>
      <c r="T1861" s="760"/>
      <c r="U1861" s="130"/>
      <c r="V1861" s="2107"/>
      <c r="W1861" s="786">
        <v>12</v>
      </c>
      <c r="X1861" s="786">
        <v>12</v>
      </c>
      <c r="Y1861" s="786"/>
      <c r="Z1861" s="786"/>
      <c r="AA1861" s="786"/>
      <c r="AB1861" s="786"/>
      <c r="AC1861" s="786"/>
      <c r="AD1861" s="786"/>
      <c r="AE1861" s="786"/>
      <c r="AF1861" s="786"/>
      <c r="AG1861" s="786"/>
    </row>
    <row r="1862" spans="1:33" s="56" customFormat="1" ht="15" hidden="1" customHeight="1" outlineLevel="1" x14ac:dyDescent="0.25">
      <c r="A1862" s="724"/>
      <c r="B1862" s="130"/>
      <c r="C1862" s="616"/>
      <c r="D1862" s="2101"/>
      <c r="E1862" s="2104"/>
      <c r="F1862" s="2098" t="str">
        <f t="shared" si="74"/>
        <v>ASHP - SEER 18 - replace electric furnace / CAC - early replacement MF ER1</v>
      </c>
      <c r="G1862" s="2098"/>
      <c r="H1862" s="2098"/>
      <c r="I1862" s="2098"/>
      <c r="J1862" s="709" t="s">
        <v>1179</v>
      </c>
      <c r="K1862" s="786">
        <v>6</v>
      </c>
      <c r="L1862" s="670"/>
      <c r="M1862" s="613"/>
      <c r="N1862" s="130"/>
      <c r="O1862" s="251"/>
      <c r="P1862" s="766"/>
      <c r="Q1862" s="766"/>
      <c r="R1862" s="766"/>
      <c r="S1862" s="752"/>
      <c r="T1862" s="760"/>
      <c r="U1862" s="130"/>
      <c r="V1862" s="2107"/>
      <c r="W1862" s="786">
        <v>6</v>
      </c>
      <c r="X1862" s="786">
        <v>6</v>
      </c>
      <c r="Y1862" s="786"/>
      <c r="Z1862" s="786"/>
      <c r="AA1862" s="786"/>
      <c r="AB1862" s="786"/>
      <c r="AC1862" s="786"/>
      <c r="AD1862" s="786"/>
      <c r="AE1862" s="786"/>
      <c r="AF1862" s="786"/>
      <c r="AG1862" s="786"/>
    </row>
    <row r="1863" spans="1:33" s="56" customFormat="1" ht="15" hidden="1" customHeight="1" outlineLevel="1" x14ac:dyDescent="0.25">
      <c r="A1863" s="724"/>
      <c r="B1863" s="130"/>
      <c r="C1863" s="616"/>
      <c r="D1863" s="2101"/>
      <c r="E1863" s="2104"/>
      <c r="F1863" s="2098" t="str">
        <f t="shared" si="74"/>
        <v>ASHP - SEER 18 - replace electric furnace / CAC - early replacement MF ER1</v>
      </c>
      <c r="G1863" s="2098"/>
      <c r="H1863" s="2098"/>
      <c r="I1863" s="2098"/>
      <c r="J1863" s="709" t="s">
        <v>1180</v>
      </c>
      <c r="K1863" s="786">
        <v>6</v>
      </c>
      <c r="L1863" s="670"/>
      <c r="M1863" s="613"/>
      <c r="N1863" s="130"/>
      <c r="O1863" s="251"/>
      <c r="P1863" s="766"/>
      <c r="Q1863" s="766"/>
      <c r="R1863" s="766"/>
      <c r="S1863" s="752"/>
      <c r="T1863" s="760"/>
      <c r="U1863" s="130"/>
      <c r="V1863" s="2107"/>
      <c r="W1863" s="786">
        <v>6</v>
      </c>
      <c r="X1863" s="786">
        <v>6</v>
      </c>
      <c r="Y1863" s="786"/>
      <c r="Z1863" s="786"/>
      <c r="AA1863" s="786"/>
      <c r="AB1863" s="786"/>
      <c r="AC1863" s="786"/>
      <c r="AD1863" s="786"/>
      <c r="AE1863" s="786"/>
      <c r="AF1863" s="786"/>
      <c r="AG1863" s="786"/>
    </row>
    <row r="1864" spans="1:33" s="56" customFormat="1" ht="15" hidden="1" customHeight="1" outlineLevel="1" x14ac:dyDescent="0.25">
      <c r="A1864" s="724"/>
      <c r="B1864" s="130"/>
      <c r="C1864" s="616"/>
      <c r="D1864" s="2101"/>
      <c r="E1864" s="2104"/>
      <c r="F1864" s="2098" t="str">
        <f t="shared" si="74"/>
        <v>ASHP - SEER 18 - replace electric furnace / CAC - early replacement MF ER2</v>
      </c>
      <c r="G1864" s="2098"/>
      <c r="H1864" s="2098"/>
      <c r="I1864" s="2098"/>
      <c r="J1864" s="709" t="s">
        <v>1181</v>
      </c>
      <c r="K1864" s="786">
        <v>12</v>
      </c>
      <c r="L1864" s="670"/>
      <c r="M1864" s="613"/>
      <c r="N1864" s="130"/>
      <c r="O1864" s="251"/>
      <c r="P1864" s="766"/>
      <c r="Q1864" s="766"/>
      <c r="R1864" s="766"/>
      <c r="S1864" s="752"/>
      <c r="T1864" s="760"/>
      <c r="U1864" s="130"/>
      <c r="V1864" s="2107"/>
      <c r="W1864" s="786">
        <v>12</v>
      </c>
      <c r="X1864" s="786">
        <v>12</v>
      </c>
      <c r="Y1864" s="786"/>
      <c r="Z1864" s="786"/>
      <c r="AA1864" s="786"/>
      <c r="AB1864" s="786"/>
      <c r="AC1864" s="786"/>
      <c r="AD1864" s="786"/>
      <c r="AE1864" s="786"/>
      <c r="AF1864" s="786"/>
      <c r="AG1864" s="786"/>
    </row>
    <row r="1865" spans="1:33" s="56" customFormat="1" ht="15" hidden="1" customHeight="1" outlineLevel="1" x14ac:dyDescent="0.25">
      <c r="A1865" s="724"/>
      <c r="B1865" s="130"/>
      <c r="C1865" s="616"/>
      <c r="D1865" s="2101"/>
      <c r="E1865" s="2104"/>
      <c r="F1865" s="2098" t="str">
        <f t="shared" si="74"/>
        <v>ASHP - SEER 18 - replace electric furnace / CAC - early replacement MF ER2</v>
      </c>
      <c r="G1865" s="2098"/>
      <c r="H1865" s="2098"/>
      <c r="I1865" s="2098"/>
      <c r="J1865" s="709" t="s">
        <v>1182</v>
      </c>
      <c r="K1865" s="786">
        <v>12</v>
      </c>
      <c r="L1865" s="670"/>
      <c r="M1865" s="613"/>
      <c r="N1865" s="130"/>
      <c r="O1865" s="251"/>
      <c r="P1865" s="766"/>
      <c r="Q1865" s="767"/>
      <c r="R1865" s="766"/>
      <c r="S1865" s="752"/>
      <c r="T1865" s="760"/>
      <c r="U1865" s="130"/>
      <c r="V1865" s="2107"/>
      <c r="W1865" s="786">
        <v>12</v>
      </c>
      <c r="X1865" s="786">
        <v>12</v>
      </c>
      <c r="Y1865" s="786"/>
      <c r="Z1865" s="786"/>
      <c r="AA1865" s="786"/>
      <c r="AB1865" s="786"/>
      <c r="AC1865" s="786"/>
      <c r="AD1865" s="786"/>
      <c r="AE1865" s="786"/>
      <c r="AF1865" s="786"/>
      <c r="AG1865" s="786"/>
    </row>
    <row r="1866" spans="1:33" s="56" customFormat="1" ht="15" hidden="1" customHeight="1" outlineLevel="1" x14ac:dyDescent="0.25">
      <c r="A1866" s="724"/>
      <c r="B1866" s="130"/>
      <c r="C1866" s="616"/>
      <c r="D1866" s="2101"/>
      <c r="E1866" s="2104"/>
      <c r="F1866" s="2098" t="str">
        <f t="shared" si="74"/>
        <v>ASHP SEER 18 replace ASHP - early replacement MF ER1</v>
      </c>
      <c r="G1866" s="2098"/>
      <c r="H1866" s="2098"/>
      <c r="I1866" s="2098"/>
      <c r="J1866" s="709" t="s">
        <v>1183</v>
      </c>
      <c r="K1866" s="786">
        <v>6</v>
      </c>
      <c r="L1866" s="670"/>
      <c r="M1866" s="613"/>
      <c r="N1866" s="130"/>
      <c r="O1866" s="251"/>
      <c r="P1866" s="766"/>
      <c r="Q1866" s="767"/>
      <c r="R1866" s="766"/>
      <c r="S1866" s="752"/>
      <c r="T1866" s="760"/>
      <c r="U1866" s="130"/>
      <c r="V1866" s="2107"/>
      <c r="W1866" s="786">
        <v>6</v>
      </c>
      <c r="X1866" s="786">
        <v>6</v>
      </c>
      <c r="Y1866" s="786"/>
      <c r="Z1866" s="786"/>
      <c r="AA1866" s="786"/>
      <c r="AB1866" s="786"/>
      <c r="AC1866" s="786"/>
      <c r="AD1866" s="786"/>
      <c r="AE1866" s="786"/>
      <c r="AF1866" s="786"/>
      <c r="AG1866" s="786"/>
    </row>
    <row r="1867" spans="1:33" s="56" customFormat="1" ht="15" hidden="1" customHeight="1" outlineLevel="1" x14ac:dyDescent="0.25">
      <c r="A1867" s="724"/>
      <c r="B1867" s="130"/>
      <c r="C1867" s="616"/>
      <c r="D1867" s="2101"/>
      <c r="E1867" s="2104"/>
      <c r="F1867" s="2098" t="str">
        <f t="shared" si="74"/>
        <v>ASHP SEER 18 replace ASHP - early replacement MF ER1</v>
      </c>
      <c r="G1867" s="2098"/>
      <c r="H1867" s="2098"/>
      <c r="I1867" s="2098"/>
      <c r="J1867" s="709" t="s">
        <v>1184</v>
      </c>
      <c r="K1867" s="786">
        <v>6</v>
      </c>
      <c r="L1867" s="670"/>
      <c r="M1867" s="613"/>
      <c r="N1867" s="130"/>
      <c r="O1867" s="251"/>
      <c r="P1867" s="766"/>
      <c r="Q1867" s="767"/>
      <c r="R1867" s="766"/>
      <c r="S1867" s="752"/>
      <c r="T1867" s="760"/>
      <c r="U1867" s="130"/>
      <c r="V1867" s="2107"/>
      <c r="W1867" s="786">
        <v>6</v>
      </c>
      <c r="X1867" s="786">
        <v>6</v>
      </c>
      <c r="Y1867" s="786"/>
      <c r="Z1867" s="786"/>
      <c r="AA1867" s="786"/>
      <c r="AB1867" s="786"/>
      <c r="AC1867" s="786"/>
      <c r="AD1867" s="786"/>
      <c r="AE1867" s="786"/>
      <c r="AF1867" s="786"/>
      <c r="AG1867" s="786"/>
    </row>
    <row r="1868" spans="1:33" s="56" customFormat="1" ht="15" hidden="1" customHeight="1" outlineLevel="1" x14ac:dyDescent="0.25">
      <c r="A1868" s="724"/>
      <c r="B1868" s="130"/>
      <c r="C1868" s="616"/>
      <c r="D1868" s="2101"/>
      <c r="E1868" s="2104"/>
      <c r="F1868" s="2098" t="str">
        <f t="shared" si="74"/>
        <v>ASHP SEER 18 replace ASHP - early replacement MF ER2</v>
      </c>
      <c r="G1868" s="2098"/>
      <c r="H1868" s="2098"/>
      <c r="I1868" s="2098"/>
      <c r="J1868" s="709" t="s">
        <v>1185</v>
      </c>
      <c r="K1868" s="786">
        <v>12</v>
      </c>
      <c r="L1868" s="670"/>
      <c r="M1868" s="613"/>
      <c r="N1868" s="130"/>
      <c r="O1868" s="251"/>
      <c r="P1868" s="766"/>
      <c r="Q1868" s="767"/>
      <c r="R1868" s="766"/>
      <c r="S1868" s="752"/>
      <c r="T1868" s="760"/>
      <c r="U1868" s="130"/>
      <c r="V1868" s="2107"/>
      <c r="W1868" s="786">
        <v>12</v>
      </c>
      <c r="X1868" s="786">
        <v>12</v>
      </c>
      <c r="Y1868" s="786"/>
      <c r="Z1868" s="786"/>
      <c r="AA1868" s="786"/>
      <c r="AB1868" s="786"/>
      <c r="AC1868" s="786"/>
      <c r="AD1868" s="786"/>
      <c r="AE1868" s="786"/>
      <c r="AF1868" s="786"/>
      <c r="AG1868" s="786"/>
    </row>
    <row r="1869" spans="1:33" s="56" customFormat="1" ht="15" hidden="1" customHeight="1" outlineLevel="1" x14ac:dyDescent="0.25">
      <c r="A1869" s="724"/>
      <c r="B1869" s="130"/>
      <c r="C1869" s="616"/>
      <c r="D1869" s="2101"/>
      <c r="E1869" s="2104"/>
      <c r="F1869" s="2098" t="str">
        <f t="shared" si="74"/>
        <v>ASHP SEER 18 replace ASHP - early replacement MF ER2</v>
      </c>
      <c r="G1869" s="2098"/>
      <c r="H1869" s="2098"/>
      <c r="I1869" s="2098"/>
      <c r="J1869" s="709" t="s">
        <v>1186</v>
      </c>
      <c r="K1869" s="786">
        <v>12</v>
      </c>
      <c r="L1869" s="670"/>
      <c r="M1869" s="613"/>
      <c r="N1869" s="130"/>
      <c r="O1869" s="251"/>
      <c r="P1869" s="766"/>
      <c r="Q1869" s="767"/>
      <c r="R1869" s="766"/>
      <c r="S1869" s="752"/>
      <c r="T1869" s="760"/>
      <c r="U1869" s="130"/>
      <c r="V1869" s="2107"/>
      <c r="W1869" s="786">
        <v>12</v>
      </c>
      <c r="X1869" s="786">
        <v>12</v>
      </c>
      <c r="Y1869" s="786"/>
      <c r="Z1869" s="786"/>
      <c r="AA1869" s="786"/>
      <c r="AB1869" s="786"/>
      <c r="AC1869" s="786"/>
      <c r="AD1869" s="786"/>
      <c r="AE1869" s="786"/>
      <c r="AF1869" s="786"/>
      <c r="AG1869" s="786"/>
    </row>
    <row r="1870" spans="1:33" s="56" customFormat="1" ht="15" hidden="1" customHeight="1" outlineLevel="1" x14ac:dyDescent="0.25">
      <c r="A1870" s="724"/>
      <c r="B1870" s="130"/>
      <c r="C1870" s="616"/>
      <c r="D1870" s="2101"/>
      <c r="E1870" s="2104"/>
      <c r="F1870" s="2098" t="str">
        <f t="shared" si="74"/>
        <v>ASHP - SEER 19 - replace electric furnace / CAC - early replacement SF ER1</v>
      </c>
      <c r="G1870" s="2098"/>
      <c r="H1870" s="2098"/>
      <c r="I1870" s="2098"/>
      <c r="J1870" s="709" t="s">
        <v>1187</v>
      </c>
      <c r="K1870" s="786">
        <v>6</v>
      </c>
      <c r="L1870" s="670"/>
      <c r="M1870" s="613"/>
      <c r="N1870" s="130"/>
      <c r="O1870" s="251"/>
      <c r="P1870" s="766"/>
      <c r="Q1870" s="767"/>
      <c r="R1870" s="766"/>
      <c r="S1870" s="752"/>
      <c r="T1870" s="760"/>
      <c r="U1870" s="130"/>
      <c r="V1870" s="2107"/>
      <c r="W1870" s="786">
        <v>6</v>
      </c>
      <c r="X1870" s="786">
        <v>6</v>
      </c>
      <c r="Y1870" s="786"/>
      <c r="Z1870" s="786"/>
      <c r="AA1870" s="786"/>
      <c r="AB1870" s="786"/>
      <c r="AC1870" s="786"/>
      <c r="AD1870" s="786"/>
      <c r="AE1870" s="786"/>
      <c r="AF1870" s="786"/>
      <c r="AG1870" s="786"/>
    </row>
    <row r="1871" spans="1:33" s="56" customFormat="1" ht="15" hidden="1" customHeight="1" outlineLevel="1" x14ac:dyDescent="0.25">
      <c r="A1871" s="597"/>
      <c r="B1871" s="130"/>
      <c r="C1871" s="616"/>
      <c r="D1871" s="2101"/>
      <c r="E1871" s="2104"/>
      <c r="F1871" s="2098" t="str">
        <f t="shared" si="74"/>
        <v>ASHP - SEER 19 - replace electric furnace / CAC - early replacement SF ER1</v>
      </c>
      <c r="G1871" s="2098"/>
      <c r="H1871" s="2098"/>
      <c r="I1871" s="2098"/>
      <c r="J1871" s="709" t="s">
        <v>614</v>
      </c>
      <c r="K1871" s="786">
        <v>6</v>
      </c>
      <c r="L1871" s="670"/>
      <c r="M1871" s="613"/>
      <c r="N1871" s="130"/>
      <c r="O1871" s="251"/>
      <c r="P1871" s="251"/>
      <c r="Q1871" s="251"/>
      <c r="R1871" s="251"/>
      <c r="S1871" s="130"/>
      <c r="T1871" s="130"/>
      <c r="U1871" s="130"/>
      <c r="V1871" s="2107"/>
      <c r="W1871" s="786">
        <v>6</v>
      </c>
      <c r="X1871" s="786">
        <v>6</v>
      </c>
      <c r="Y1871" s="786"/>
      <c r="Z1871" s="786"/>
      <c r="AA1871" s="786"/>
      <c r="AB1871" s="786"/>
      <c r="AC1871" s="786"/>
      <c r="AD1871" s="786"/>
      <c r="AE1871" s="786"/>
      <c r="AF1871" s="786"/>
      <c r="AG1871" s="786"/>
    </row>
    <row r="1872" spans="1:33" s="56" customFormat="1" ht="15" hidden="1" customHeight="1" outlineLevel="1" x14ac:dyDescent="0.25">
      <c r="A1872" s="724"/>
      <c r="B1872" s="130"/>
      <c r="C1872" s="616"/>
      <c r="D1872" s="2101"/>
      <c r="E1872" s="2104"/>
      <c r="F1872" s="2098" t="str">
        <f t="shared" si="74"/>
        <v>ASHP - SEER 19 - replace electric furnace / CAC - early replacement SF ER2</v>
      </c>
      <c r="G1872" s="2098"/>
      <c r="H1872" s="2098"/>
      <c r="I1872" s="2098"/>
      <c r="J1872" s="709" t="s">
        <v>1188</v>
      </c>
      <c r="K1872" s="786">
        <v>12</v>
      </c>
      <c r="L1872" s="670"/>
      <c r="M1872" s="770"/>
      <c r="N1872" s="130"/>
      <c r="O1872" s="251"/>
      <c r="P1872" s="766"/>
      <c r="Q1872" s="767"/>
      <c r="R1872" s="766"/>
      <c r="S1872" s="752"/>
      <c r="T1872" s="760"/>
      <c r="U1872" s="130"/>
      <c r="V1872" s="2107"/>
      <c r="W1872" s="786">
        <v>12</v>
      </c>
      <c r="X1872" s="786">
        <v>12</v>
      </c>
      <c r="Y1872" s="786"/>
      <c r="Z1872" s="786"/>
      <c r="AA1872" s="786"/>
      <c r="AB1872" s="786"/>
      <c r="AC1872" s="786"/>
      <c r="AD1872" s="786"/>
      <c r="AE1872" s="786"/>
      <c r="AF1872" s="786"/>
      <c r="AG1872" s="786"/>
    </row>
    <row r="1873" spans="1:33" s="56" customFormat="1" ht="15" hidden="1" customHeight="1" outlineLevel="1" x14ac:dyDescent="0.25">
      <c r="A1873" s="597"/>
      <c r="B1873" s="130"/>
      <c r="C1873" s="616"/>
      <c r="D1873" s="2101"/>
      <c r="E1873" s="2104"/>
      <c r="F1873" s="2098" t="str">
        <f t="shared" si="74"/>
        <v>ASHP - SEER 19 - replace electric furnace / CAC - early replacement SF ER2</v>
      </c>
      <c r="G1873" s="2098"/>
      <c r="H1873" s="2098"/>
      <c r="I1873" s="2098"/>
      <c r="J1873" s="709" t="s">
        <v>1189</v>
      </c>
      <c r="K1873" s="786">
        <v>12</v>
      </c>
      <c r="L1873" s="670"/>
      <c r="M1873" s="770"/>
      <c r="N1873" s="130"/>
      <c r="O1873" s="251"/>
      <c r="P1873" s="251"/>
      <c r="Q1873" s="251"/>
      <c r="R1873" s="251"/>
      <c r="S1873" s="130"/>
      <c r="T1873" s="130"/>
      <c r="U1873" s="130"/>
      <c r="V1873" s="2107"/>
      <c r="W1873" s="786">
        <v>12</v>
      </c>
      <c r="X1873" s="786">
        <v>12</v>
      </c>
      <c r="Y1873" s="786"/>
      <c r="Z1873" s="786"/>
      <c r="AA1873" s="786"/>
      <c r="AB1873" s="786"/>
      <c r="AC1873" s="786"/>
      <c r="AD1873" s="786"/>
      <c r="AE1873" s="786"/>
      <c r="AF1873" s="786"/>
      <c r="AG1873" s="786"/>
    </row>
    <row r="1874" spans="1:33" s="56" customFormat="1" ht="15" hidden="1" customHeight="1" outlineLevel="1" x14ac:dyDescent="0.25">
      <c r="A1874" s="724"/>
      <c r="B1874" s="130"/>
      <c r="C1874" s="616"/>
      <c r="D1874" s="2101"/>
      <c r="E1874" s="2104"/>
      <c r="F1874" s="2098" t="str">
        <f t="shared" si="74"/>
        <v>ASHP - SEER 19 - replace electric furnace / CAC - early replacement MF ER1</v>
      </c>
      <c r="G1874" s="2098"/>
      <c r="H1874" s="2098"/>
      <c r="I1874" s="2098"/>
      <c r="J1874" s="709" t="s">
        <v>1190</v>
      </c>
      <c r="K1874" s="786">
        <v>6</v>
      </c>
      <c r="L1874" s="670"/>
      <c r="M1874" s="770"/>
      <c r="N1874" s="130"/>
      <c r="O1874" s="251"/>
      <c r="P1874" s="766"/>
      <c r="Q1874" s="767"/>
      <c r="R1874" s="766"/>
      <c r="S1874" s="752"/>
      <c r="T1874" s="760"/>
      <c r="U1874" s="130"/>
      <c r="V1874" s="2107"/>
      <c r="W1874" s="786">
        <v>6</v>
      </c>
      <c r="X1874" s="786">
        <v>6</v>
      </c>
      <c r="Y1874" s="786"/>
      <c r="Z1874" s="786"/>
      <c r="AA1874" s="786"/>
      <c r="AB1874" s="786"/>
      <c r="AC1874" s="786"/>
      <c r="AD1874" s="786"/>
      <c r="AE1874" s="786"/>
      <c r="AF1874" s="786"/>
      <c r="AG1874" s="786"/>
    </row>
    <row r="1875" spans="1:33" s="56" customFormat="1" ht="15" hidden="1" customHeight="1" outlineLevel="1" x14ac:dyDescent="0.25">
      <c r="A1875" s="597"/>
      <c r="B1875" s="130"/>
      <c r="C1875" s="616"/>
      <c r="D1875" s="2101"/>
      <c r="E1875" s="2104"/>
      <c r="F1875" s="2098" t="str">
        <f t="shared" ref="F1875:F1917" si="75">E909</f>
        <v>ASHP - SEER 19 - replace electric furnace / CAC - early replacement MF ER1</v>
      </c>
      <c r="G1875" s="2098"/>
      <c r="H1875" s="2098"/>
      <c r="I1875" s="2098"/>
      <c r="J1875" s="709" t="s">
        <v>1191</v>
      </c>
      <c r="K1875" s="786">
        <v>6</v>
      </c>
      <c r="L1875" s="670"/>
      <c r="M1875" s="770"/>
      <c r="N1875" s="130"/>
      <c r="O1875" s="251"/>
      <c r="P1875" s="251"/>
      <c r="Q1875" s="251"/>
      <c r="R1875" s="251"/>
      <c r="S1875" s="130"/>
      <c r="T1875" s="130"/>
      <c r="U1875" s="130"/>
      <c r="V1875" s="2107"/>
      <c r="W1875" s="786">
        <v>6</v>
      </c>
      <c r="X1875" s="786">
        <v>6</v>
      </c>
      <c r="Y1875" s="786"/>
      <c r="Z1875" s="786"/>
      <c r="AA1875" s="786"/>
      <c r="AB1875" s="786"/>
      <c r="AC1875" s="786"/>
      <c r="AD1875" s="786"/>
      <c r="AE1875" s="786"/>
      <c r="AF1875" s="786"/>
      <c r="AG1875" s="786"/>
    </row>
    <row r="1876" spans="1:33" s="56" customFormat="1" ht="15" hidden="1" customHeight="1" outlineLevel="1" x14ac:dyDescent="0.25">
      <c r="A1876" s="597"/>
      <c r="B1876" s="130"/>
      <c r="C1876" s="616"/>
      <c r="D1876" s="2101"/>
      <c r="E1876" s="2104"/>
      <c r="F1876" s="2098" t="str">
        <f t="shared" si="75"/>
        <v>ASHP - SEER 19 - replace electric furnace / CAC - early replacement MF ER2</v>
      </c>
      <c r="G1876" s="2098"/>
      <c r="H1876" s="2098"/>
      <c r="I1876" s="2098"/>
      <c r="J1876" s="709" t="s">
        <v>1192</v>
      </c>
      <c r="K1876" s="786">
        <v>12</v>
      </c>
      <c r="L1876" s="670"/>
      <c r="M1876" s="770"/>
      <c r="N1876" s="130"/>
      <c r="O1876" s="251"/>
      <c r="P1876" s="251"/>
      <c r="Q1876" s="251"/>
      <c r="R1876" s="251"/>
      <c r="S1876" s="130"/>
      <c r="T1876" s="130"/>
      <c r="U1876" s="130"/>
      <c r="V1876" s="2107"/>
      <c r="W1876" s="786">
        <v>12</v>
      </c>
      <c r="X1876" s="786">
        <v>12</v>
      </c>
      <c r="Y1876" s="786"/>
      <c r="Z1876" s="786"/>
      <c r="AA1876" s="786"/>
      <c r="AB1876" s="786"/>
      <c r="AC1876" s="786"/>
      <c r="AD1876" s="786"/>
      <c r="AE1876" s="786"/>
      <c r="AF1876" s="786"/>
      <c r="AG1876" s="786"/>
    </row>
    <row r="1877" spans="1:33" s="56" customFormat="1" ht="15" hidden="1" customHeight="1" outlineLevel="1" x14ac:dyDescent="0.25">
      <c r="A1877" s="724"/>
      <c r="B1877" s="130"/>
      <c r="C1877" s="616"/>
      <c r="D1877" s="2101"/>
      <c r="E1877" s="2104"/>
      <c r="F1877" s="2098" t="str">
        <f t="shared" si="75"/>
        <v>ASHP - SEER 19 - replace electric furnace / CAC - early replacement MF ER2</v>
      </c>
      <c r="G1877" s="2098"/>
      <c r="H1877" s="2098"/>
      <c r="I1877" s="2098"/>
      <c r="J1877" s="709" t="s">
        <v>1193</v>
      </c>
      <c r="K1877" s="786">
        <v>12</v>
      </c>
      <c r="L1877" s="670"/>
      <c r="M1877" s="770"/>
      <c r="N1877" s="130"/>
      <c r="O1877" s="251"/>
      <c r="P1877" s="766"/>
      <c r="Q1877" s="767"/>
      <c r="R1877" s="766"/>
      <c r="S1877" s="752"/>
      <c r="T1877" s="760"/>
      <c r="U1877" s="130"/>
      <c r="V1877" s="2107"/>
      <c r="W1877" s="786">
        <v>12</v>
      </c>
      <c r="X1877" s="786">
        <v>12</v>
      </c>
      <c r="Y1877" s="786"/>
      <c r="Z1877" s="786"/>
      <c r="AA1877" s="786"/>
      <c r="AB1877" s="786"/>
      <c r="AC1877" s="786"/>
      <c r="AD1877" s="786"/>
      <c r="AE1877" s="786"/>
      <c r="AF1877" s="786"/>
      <c r="AG1877" s="786"/>
    </row>
    <row r="1878" spans="1:33" s="56" customFormat="1" ht="15" hidden="1" customHeight="1" outlineLevel="1" x14ac:dyDescent="0.25">
      <c r="A1878" s="724"/>
      <c r="B1878" s="130"/>
      <c r="C1878" s="616"/>
      <c r="D1878" s="2101"/>
      <c r="E1878" s="2104"/>
      <c r="F1878" s="2098" t="str">
        <f t="shared" si="75"/>
        <v>ASHP SEER 19 replace ASHP - early replacement MF ER1</v>
      </c>
      <c r="G1878" s="2098"/>
      <c r="H1878" s="2098"/>
      <c r="I1878" s="2098"/>
      <c r="J1878" s="709" t="s">
        <v>1194</v>
      </c>
      <c r="K1878" s="786">
        <v>6</v>
      </c>
      <c r="L1878" s="670"/>
      <c r="M1878" s="770"/>
      <c r="N1878" s="130"/>
      <c r="O1878" s="251"/>
      <c r="P1878" s="766"/>
      <c r="Q1878" s="767"/>
      <c r="R1878" s="766"/>
      <c r="S1878" s="752"/>
      <c r="T1878" s="760"/>
      <c r="U1878" s="130"/>
      <c r="V1878" s="2107"/>
      <c r="W1878" s="786">
        <v>6</v>
      </c>
      <c r="X1878" s="786">
        <v>6</v>
      </c>
      <c r="Y1878" s="786"/>
      <c r="Z1878" s="786"/>
      <c r="AA1878" s="786"/>
      <c r="AB1878" s="786"/>
      <c r="AC1878" s="786"/>
      <c r="AD1878" s="786"/>
      <c r="AE1878" s="786"/>
      <c r="AF1878" s="786"/>
      <c r="AG1878" s="786"/>
    </row>
    <row r="1879" spans="1:33" s="56" customFormat="1" ht="15" hidden="1" customHeight="1" outlineLevel="1" x14ac:dyDescent="0.25">
      <c r="A1879" s="597"/>
      <c r="B1879" s="130"/>
      <c r="C1879" s="616"/>
      <c r="D1879" s="2101"/>
      <c r="E1879" s="2104"/>
      <c r="F1879" s="2098" t="str">
        <f t="shared" si="75"/>
        <v>ASHP SEER 19 replace ASHP - early replacement MF ER1</v>
      </c>
      <c r="G1879" s="2098"/>
      <c r="H1879" s="2098"/>
      <c r="I1879" s="2098"/>
      <c r="J1879" s="709" t="s">
        <v>1195</v>
      </c>
      <c r="K1879" s="786">
        <v>6</v>
      </c>
      <c r="L1879" s="670"/>
      <c r="M1879" s="770"/>
      <c r="N1879" s="130"/>
      <c r="O1879" s="251"/>
      <c r="P1879" s="251"/>
      <c r="Q1879" s="251"/>
      <c r="R1879" s="251"/>
      <c r="S1879" s="130"/>
      <c r="T1879" s="130"/>
      <c r="U1879" s="130"/>
      <c r="V1879" s="2107"/>
      <c r="W1879" s="786">
        <v>6</v>
      </c>
      <c r="X1879" s="786">
        <v>6</v>
      </c>
      <c r="Y1879" s="786"/>
      <c r="Z1879" s="786"/>
      <c r="AA1879" s="786"/>
      <c r="AB1879" s="786"/>
      <c r="AC1879" s="786"/>
      <c r="AD1879" s="786"/>
      <c r="AE1879" s="786"/>
      <c r="AF1879" s="786"/>
      <c r="AG1879" s="786"/>
    </row>
    <row r="1880" spans="1:33" s="56" customFormat="1" ht="15" hidden="1" customHeight="1" outlineLevel="1" x14ac:dyDescent="0.25">
      <c r="A1880" s="597"/>
      <c r="B1880" s="130"/>
      <c r="C1880" s="616"/>
      <c r="D1880" s="2101"/>
      <c r="E1880" s="2104"/>
      <c r="F1880" s="2098" t="str">
        <f t="shared" si="75"/>
        <v>ASHP SEER 19 replace ASHP - early replacement MF ER2</v>
      </c>
      <c r="G1880" s="2098"/>
      <c r="H1880" s="2098"/>
      <c r="I1880" s="2098"/>
      <c r="J1880" s="709" t="s">
        <v>1196</v>
      </c>
      <c r="K1880" s="786">
        <v>12</v>
      </c>
      <c r="L1880" s="670"/>
      <c r="M1880" s="770"/>
      <c r="N1880" s="130"/>
      <c r="O1880" s="251"/>
      <c r="P1880" s="251"/>
      <c r="Q1880" s="251"/>
      <c r="R1880" s="251"/>
      <c r="S1880" s="130"/>
      <c r="T1880" s="130"/>
      <c r="U1880" s="130"/>
      <c r="V1880" s="2107"/>
      <c r="W1880" s="786">
        <v>12</v>
      </c>
      <c r="X1880" s="786">
        <v>12</v>
      </c>
      <c r="Y1880" s="786"/>
      <c r="Z1880" s="786"/>
      <c r="AA1880" s="786"/>
      <c r="AB1880" s="786"/>
      <c r="AC1880" s="786"/>
      <c r="AD1880" s="786"/>
      <c r="AE1880" s="786"/>
      <c r="AF1880" s="786"/>
      <c r="AG1880" s="786"/>
    </row>
    <row r="1881" spans="1:33" s="56" customFormat="1" ht="15" hidden="1" customHeight="1" outlineLevel="1" x14ac:dyDescent="0.25">
      <c r="A1881" s="724"/>
      <c r="B1881" s="130"/>
      <c r="C1881" s="616"/>
      <c r="D1881" s="2101"/>
      <c r="E1881" s="2104"/>
      <c r="F1881" s="2098" t="str">
        <f t="shared" si="75"/>
        <v>ASHP SEER 19 replace ASHP - early replacement MF ER2</v>
      </c>
      <c r="G1881" s="2098"/>
      <c r="H1881" s="2098"/>
      <c r="I1881" s="2098"/>
      <c r="J1881" s="709" t="s">
        <v>1197</v>
      </c>
      <c r="K1881" s="786">
        <v>12</v>
      </c>
      <c r="L1881" s="670"/>
      <c r="M1881" s="770"/>
      <c r="N1881" s="130"/>
      <c r="O1881" s="251"/>
      <c r="P1881" s="766"/>
      <c r="Q1881" s="767"/>
      <c r="R1881" s="766"/>
      <c r="S1881" s="752"/>
      <c r="T1881" s="760"/>
      <c r="U1881" s="130"/>
      <c r="V1881" s="2107"/>
      <c r="W1881" s="786">
        <v>12</v>
      </c>
      <c r="X1881" s="786">
        <v>12</v>
      </c>
      <c r="Y1881" s="786"/>
      <c r="Z1881" s="786"/>
      <c r="AA1881" s="786"/>
      <c r="AB1881" s="786"/>
      <c r="AC1881" s="786"/>
      <c r="AD1881" s="786"/>
      <c r="AE1881" s="786"/>
      <c r="AF1881" s="786"/>
      <c r="AG1881" s="786"/>
    </row>
    <row r="1882" spans="1:33" s="56" customFormat="1" ht="15" hidden="1" customHeight="1" outlineLevel="1" x14ac:dyDescent="0.25">
      <c r="A1882" s="724"/>
      <c r="B1882" s="130"/>
      <c r="C1882" s="616"/>
      <c r="D1882" s="2101"/>
      <c r="E1882" s="2104"/>
      <c r="F1882" s="2098" t="str">
        <f t="shared" si="75"/>
        <v>ASHP SEER 20 replace ASHP - early replacement SF ER1</v>
      </c>
      <c r="G1882" s="2098"/>
      <c r="H1882" s="2098"/>
      <c r="I1882" s="2098"/>
      <c r="J1882" s="709"/>
      <c r="K1882" s="786">
        <v>6</v>
      </c>
      <c r="L1882" s="670"/>
      <c r="M1882" s="770"/>
      <c r="N1882" s="130"/>
      <c r="O1882" s="251"/>
      <c r="P1882" s="766"/>
      <c r="Q1882" s="767"/>
      <c r="R1882" s="766"/>
      <c r="S1882" s="752"/>
      <c r="T1882" s="760"/>
      <c r="U1882" s="130"/>
      <c r="V1882" s="2107"/>
      <c r="W1882" s="786">
        <v>6</v>
      </c>
      <c r="X1882" s="786">
        <v>6</v>
      </c>
      <c r="Y1882" s="786"/>
      <c r="Z1882" s="786"/>
      <c r="AA1882" s="786"/>
      <c r="AB1882" s="786"/>
      <c r="AC1882" s="786"/>
      <c r="AD1882" s="786"/>
      <c r="AE1882" s="786"/>
      <c r="AF1882" s="786"/>
      <c r="AG1882" s="786"/>
    </row>
    <row r="1883" spans="1:33" s="56" customFormat="1" ht="15" hidden="1" customHeight="1" outlineLevel="1" x14ac:dyDescent="0.25">
      <c r="A1883" s="724"/>
      <c r="B1883" s="130"/>
      <c r="C1883" s="616"/>
      <c r="D1883" s="2101"/>
      <c r="E1883" s="2104"/>
      <c r="F1883" s="2098" t="str">
        <f t="shared" si="75"/>
        <v>ASHP SEER 20 replace ASHP - early replacement SF ER1</v>
      </c>
      <c r="G1883" s="2098"/>
      <c r="H1883" s="2098"/>
      <c r="I1883" s="2098"/>
      <c r="J1883" s="709"/>
      <c r="K1883" s="786">
        <v>6</v>
      </c>
      <c r="L1883" s="670"/>
      <c r="M1883" s="770"/>
      <c r="N1883" s="130"/>
      <c r="O1883" s="251"/>
      <c r="P1883" s="766"/>
      <c r="Q1883" s="767"/>
      <c r="R1883" s="766"/>
      <c r="S1883" s="752"/>
      <c r="T1883" s="760"/>
      <c r="U1883" s="130"/>
      <c r="V1883" s="2107"/>
      <c r="W1883" s="786">
        <v>6</v>
      </c>
      <c r="X1883" s="786">
        <v>6</v>
      </c>
      <c r="Y1883" s="786"/>
      <c r="Z1883" s="786"/>
      <c r="AA1883" s="786"/>
      <c r="AB1883" s="786"/>
      <c r="AC1883" s="786"/>
      <c r="AD1883" s="786"/>
      <c r="AE1883" s="786"/>
      <c r="AF1883" s="786"/>
      <c r="AG1883" s="786"/>
    </row>
    <row r="1884" spans="1:33" s="56" customFormat="1" ht="15" hidden="1" customHeight="1" outlineLevel="1" x14ac:dyDescent="0.25">
      <c r="A1884" s="724"/>
      <c r="B1884" s="130"/>
      <c r="C1884" s="616"/>
      <c r="D1884" s="2101"/>
      <c r="E1884" s="2104"/>
      <c r="F1884" s="2098" t="str">
        <f t="shared" si="75"/>
        <v>ASHP SEER 20 replace ASHP - early replacement SF ER2</v>
      </c>
      <c r="G1884" s="2098"/>
      <c r="H1884" s="2098"/>
      <c r="I1884" s="2098"/>
      <c r="J1884" s="709"/>
      <c r="K1884" s="786">
        <v>12</v>
      </c>
      <c r="L1884" s="670"/>
      <c r="M1884" s="770"/>
      <c r="N1884" s="130"/>
      <c r="O1884" s="251"/>
      <c r="P1884" s="766"/>
      <c r="Q1884" s="767"/>
      <c r="R1884" s="766"/>
      <c r="S1884" s="752"/>
      <c r="T1884" s="760"/>
      <c r="U1884" s="130"/>
      <c r="V1884" s="2107"/>
      <c r="W1884" s="786">
        <v>12</v>
      </c>
      <c r="X1884" s="786">
        <v>12</v>
      </c>
      <c r="Y1884" s="786"/>
      <c r="Z1884" s="786"/>
      <c r="AA1884" s="786"/>
      <c r="AB1884" s="786"/>
      <c r="AC1884" s="786"/>
      <c r="AD1884" s="786"/>
      <c r="AE1884" s="786"/>
      <c r="AF1884" s="786"/>
      <c r="AG1884" s="786"/>
    </row>
    <row r="1885" spans="1:33" s="56" customFormat="1" ht="15" hidden="1" customHeight="1" outlineLevel="1" x14ac:dyDescent="0.25">
      <c r="A1885" s="724"/>
      <c r="B1885" s="130"/>
      <c r="C1885" s="616"/>
      <c r="D1885" s="2101"/>
      <c r="E1885" s="2104"/>
      <c r="F1885" s="2098" t="str">
        <f t="shared" si="75"/>
        <v>ASHP SEER 20 replace ASHP - early replacement SF ER2</v>
      </c>
      <c r="G1885" s="2098"/>
      <c r="H1885" s="2098"/>
      <c r="I1885" s="2098"/>
      <c r="J1885" s="709"/>
      <c r="K1885" s="786">
        <v>12</v>
      </c>
      <c r="L1885" s="670"/>
      <c r="M1885" s="770"/>
      <c r="N1885" s="130"/>
      <c r="O1885" s="251"/>
      <c r="P1885" s="766"/>
      <c r="Q1885" s="767"/>
      <c r="R1885" s="766"/>
      <c r="S1885" s="752"/>
      <c r="T1885" s="760"/>
      <c r="U1885" s="130"/>
      <c r="V1885" s="2107"/>
      <c r="W1885" s="786">
        <v>12</v>
      </c>
      <c r="X1885" s="786">
        <v>12</v>
      </c>
      <c r="Y1885" s="786"/>
      <c r="Z1885" s="786"/>
      <c r="AA1885" s="786"/>
      <c r="AB1885" s="786"/>
      <c r="AC1885" s="786"/>
      <c r="AD1885" s="786"/>
      <c r="AE1885" s="786"/>
      <c r="AF1885" s="786"/>
      <c r="AG1885" s="786"/>
    </row>
    <row r="1886" spans="1:33" s="56" customFormat="1" ht="15" hidden="1" customHeight="1" outlineLevel="1" x14ac:dyDescent="0.25">
      <c r="A1886" s="724"/>
      <c r="B1886" s="130"/>
      <c r="C1886" s="616"/>
      <c r="D1886" s="2101"/>
      <c r="E1886" s="2104"/>
      <c r="F1886" s="2098" t="str">
        <f t="shared" si="75"/>
        <v>ASHP SEER 20 replace ASHP - replace on fail SF</v>
      </c>
      <c r="G1886" s="2098"/>
      <c r="H1886" s="2098"/>
      <c r="I1886" s="2098"/>
      <c r="J1886" s="709"/>
      <c r="K1886" s="786">
        <v>18</v>
      </c>
      <c r="L1886" s="670"/>
      <c r="M1886" s="770"/>
      <c r="N1886" s="130"/>
      <c r="O1886" s="251"/>
      <c r="P1886" s="766"/>
      <c r="Q1886" s="767"/>
      <c r="R1886" s="766"/>
      <c r="S1886" s="752"/>
      <c r="T1886" s="760"/>
      <c r="U1886" s="130"/>
      <c r="V1886" s="2107"/>
      <c r="W1886" s="786">
        <v>18</v>
      </c>
      <c r="X1886" s="786">
        <v>18</v>
      </c>
      <c r="Y1886" s="786"/>
      <c r="Z1886" s="786"/>
      <c r="AA1886" s="786"/>
      <c r="AB1886" s="786"/>
      <c r="AC1886" s="786"/>
      <c r="AD1886" s="786"/>
      <c r="AE1886" s="786"/>
      <c r="AF1886" s="786"/>
      <c r="AG1886" s="786"/>
    </row>
    <row r="1887" spans="1:33" s="56" customFormat="1" ht="15" hidden="1" customHeight="1" outlineLevel="1" x14ac:dyDescent="0.25">
      <c r="A1887" s="724"/>
      <c r="B1887" s="130"/>
      <c r="C1887" s="616"/>
      <c r="D1887" s="2101"/>
      <c r="E1887" s="2104"/>
      <c r="F1887" s="2098" t="str">
        <f t="shared" si="75"/>
        <v>ASHP SEER 20 replace ASHP - replace on fail SF</v>
      </c>
      <c r="G1887" s="2098"/>
      <c r="H1887" s="2098"/>
      <c r="I1887" s="2098"/>
      <c r="J1887" s="780"/>
      <c r="K1887" s="787">
        <v>18</v>
      </c>
      <c r="L1887" s="670"/>
      <c r="M1887" s="770"/>
      <c r="N1887" s="130"/>
      <c r="O1887" s="251"/>
      <c r="P1887" s="766"/>
      <c r="Q1887" s="767"/>
      <c r="R1887" s="766"/>
      <c r="S1887" s="752"/>
      <c r="T1887" s="760"/>
      <c r="U1887" s="130"/>
      <c r="V1887" s="2107"/>
      <c r="W1887" s="787">
        <v>18</v>
      </c>
      <c r="X1887" s="787">
        <v>18</v>
      </c>
      <c r="Y1887" s="787"/>
      <c r="Z1887" s="787"/>
      <c r="AA1887" s="787"/>
      <c r="AB1887" s="787"/>
      <c r="AC1887" s="787"/>
      <c r="AD1887" s="787"/>
      <c r="AE1887" s="787"/>
      <c r="AF1887" s="787"/>
      <c r="AG1887" s="787"/>
    </row>
    <row r="1888" spans="1:33" s="56" customFormat="1" hidden="1" outlineLevel="1" x14ac:dyDescent="0.25">
      <c r="A1888" s="724"/>
      <c r="B1888" s="130"/>
      <c r="C1888" s="616"/>
      <c r="D1888" s="2101"/>
      <c r="E1888" s="2104"/>
      <c r="F1888" s="2098" t="str">
        <f t="shared" si="75"/>
        <v>ASHP - SEER 20 - replace electric furnace / CAC - early replacement MF ER1</v>
      </c>
      <c r="G1888" s="2098"/>
      <c r="H1888" s="2098"/>
      <c r="I1888" s="2098"/>
      <c r="J1888" s="709"/>
      <c r="K1888" s="786">
        <v>6</v>
      </c>
      <c r="L1888" s="778"/>
      <c r="M1888" s="770"/>
      <c r="N1888" s="130"/>
      <c r="O1888" s="251"/>
      <c r="P1888" s="766"/>
      <c r="Q1888" s="767"/>
      <c r="R1888" s="766"/>
      <c r="S1888" s="752"/>
      <c r="T1888" s="760"/>
      <c r="U1888" s="130"/>
      <c r="V1888" s="2107"/>
      <c r="W1888" s="786">
        <v>6</v>
      </c>
      <c r="X1888" s="786">
        <v>6</v>
      </c>
      <c r="Y1888" s="786"/>
      <c r="Z1888" s="786"/>
      <c r="AA1888" s="786"/>
      <c r="AB1888" s="786"/>
      <c r="AC1888" s="786"/>
      <c r="AD1888" s="786"/>
      <c r="AE1888" s="786"/>
      <c r="AF1888" s="786"/>
      <c r="AG1888" s="786"/>
    </row>
    <row r="1889" spans="1:33" s="56" customFormat="1" hidden="1" outlineLevel="1" x14ac:dyDescent="0.25">
      <c r="A1889" s="724"/>
      <c r="B1889" s="130"/>
      <c r="C1889" s="616"/>
      <c r="D1889" s="2101"/>
      <c r="E1889" s="2104"/>
      <c r="F1889" s="2098" t="str">
        <f t="shared" si="75"/>
        <v>ASHP - SEER 20 - replace electric furnace / CAC - early replacement MF ER1</v>
      </c>
      <c r="G1889" s="2098"/>
      <c r="H1889" s="2098"/>
      <c r="I1889" s="2098"/>
      <c r="J1889" s="709"/>
      <c r="K1889" s="786">
        <v>6</v>
      </c>
      <c r="L1889" s="778"/>
      <c r="M1889" s="770"/>
      <c r="N1889" s="130"/>
      <c r="O1889" s="251"/>
      <c r="P1889" s="766"/>
      <c r="Q1889" s="767"/>
      <c r="R1889" s="766"/>
      <c r="S1889" s="752"/>
      <c r="T1889" s="760"/>
      <c r="U1889" s="130"/>
      <c r="V1889" s="2107"/>
      <c r="W1889" s="786">
        <v>6</v>
      </c>
      <c r="X1889" s="786">
        <v>6</v>
      </c>
      <c r="Y1889" s="786"/>
      <c r="Z1889" s="786"/>
      <c r="AA1889" s="786"/>
      <c r="AB1889" s="786"/>
      <c r="AC1889" s="786"/>
      <c r="AD1889" s="786"/>
      <c r="AE1889" s="786"/>
      <c r="AF1889" s="786"/>
      <c r="AG1889" s="786"/>
    </row>
    <row r="1890" spans="1:33" s="56" customFormat="1" hidden="1" outlineLevel="1" x14ac:dyDescent="0.25">
      <c r="A1890" s="724"/>
      <c r="B1890" s="130"/>
      <c r="C1890" s="616"/>
      <c r="D1890" s="2101"/>
      <c r="E1890" s="2104"/>
      <c r="F1890" s="2098" t="str">
        <f t="shared" si="75"/>
        <v>ASHP - SEER 20 - replace electric furnace / CAC - early replacement MF ER2</v>
      </c>
      <c r="G1890" s="2098"/>
      <c r="H1890" s="2098"/>
      <c r="I1890" s="2098"/>
      <c r="J1890" s="709"/>
      <c r="K1890" s="786">
        <v>12</v>
      </c>
      <c r="L1890" s="778"/>
      <c r="M1890" s="770"/>
      <c r="N1890" s="130"/>
      <c r="O1890" s="251"/>
      <c r="P1890" s="766"/>
      <c r="Q1890" s="767"/>
      <c r="R1890" s="766"/>
      <c r="S1890" s="752"/>
      <c r="T1890" s="760"/>
      <c r="U1890" s="130"/>
      <c r="V1890" s="2107"/>
      <c r="W1890" s="786">
        <v>12</v>
      </c>
      <c r="X1890" s="786">
        <v>12</v>
      </c>
      <c r="Y1890" s="786"/>
      <c r="Z1890" s="786"/>
      <c r="AA1890" s="786"/>
      <c r="AB1890" s="786"/>
      <c r="AC1890" s="786"/>
      <c r="AD1890" s="786"/>
      <c r="AE1890" s="786"/>
      <c r="AF1890" s="786"/>
      <c r="AG1890" s="786"/>
    </row>
    <row r="1891" spans="1:33" s="56" customFormat="1" hidden="1" outlineLevel="1" x14ac:dyDescent="0.25">
      <c r="A1891" s="724"/>
      <c r="B1891" s="130"/>
      <c r="C1891" s="616"/>
      <c r="D1891" s="2101"/>
      <c r="E1891" s="2104"/>
      <c r="F1891" s="2098" t="str">
        <f t="shared" si="75"/>
        <v>ASHP - SEER 20 - replace electric furnace / CAC - early replacement MF ER2</v>
      </c>
      <c r="G1891" s="2098"/>
      <c r="H1891" s="2098"/>
      <c r="I1891" s="2098"/>
      <c r="J1891" s="709"/>
      <c r="K1891" s="786">
        <v>12</v>
      </c>
      <c r="L1891" s="778"/>
      <c r="M1891" s="770"/>
      <c r="N1891" s="130"/>
      <c r="O1891" s="251"/>
      <c r="P1891" s="766"/>
      <c r="Q1891" s="767"/>
      <c r="R1891" s="766"/>
      <c r="S1891" s="752"/>
      <c r="T1891" s="760"/>
      <c r="U1891" s="130"/>
      <c r="V1891" s="2107"/>
      <c r="W1891" s="786">
        <v>12</v>
      </c>
      <c r="X1891" s="786">
        <v>12</v>
      </c>
      <c r="Y1891" s="786"/>
      <c r="Z1891" s="786"/>
      <c r="AA1891" s="786"/>
      <c r="AB1891" s="786"/>
      <c r="AC1891" s="786"/>
      <c r="AD1891" s="786"/>
      <c r="AE1891" s="786"/>
      <c r="AF1891" s="786"/>
      <c r="AG1891" s="786"/>
    </row>
    <row r="1892" spans="1:33" s="56" customFormat="1" hidden="1" outlineLevel="1" x14ac:dyDescent="0.25">
      <c r="A1892" s="724"/>
      <c r="B1892" s="130"/>
      <c r="C1892" s="616"/>
      <c r="D1892" s="2101"/>
      <c r="E1892" s="2104"/>
      <c r="F1892" s="2098" t="str">
        <f t="shared" si="75"/>
        <v>ASHP SEER 20 replace ASHP - early replacement MF ER1</v>
      </c>
      <c r="G1892" s="2098"/>
      <c r="H1892" s="2098"/>
      <c r="I1892" s="2098"/>
      <c r="J1892" s="709"/>
      <c r="K1892" s="786">
        <v>6</v>
      </c>
      <c r="L1892" s="778"/>
      <c r="M1892" s="770"/>
      <c r="N1892" s="130"/>
      <c r="O1892" s="251"/>
      <c r="P1892" s="766"/>
      <c r="Q1892" s="767"/>
      <c r="R1892" s="766"/>
      <c r="S1892" s="752"/>
      <c r="T1892" s="760"/>
      <c r="U1892" s="130"/>
      <c r="V1892" s="2107"/>
      <c r="W1892" s="786">
        <v>6</v>
      </c>
      <c r="X1892" s="786">
        <v>6</v>
      </c>
      <c r="Y1892" s="786"/>
      <c r="Z1892" s="786"/>
      <c r="AA1892" s="786"/>
      <c r="AB1892" s="786"/>
      <c r="AC1892" s="786"/>
      <c r="AD1892" s="786"/>
      <c r="AE1892" s="786"/>
      <c r="AF1892" s="786"/>
      <c r="AG1892" s="786"/>
    </row>
    <row r="1893" spans="1:33" s="56" customFormat="1" hidden="1" outlineLevel="1" x14ac:dyDescent="0.25">
      <c r="A1893" s="724"/>
      <c r="B1893" s="130"/>
      <c r="C1893" s="616"/>
      <c r="D1893" s="2101"/>
      <c r="E1893" s="2104"/>
      <c r="F1893" s="2098" t="str">
        <f t="shared" si="75"/>
        <v>ASHP SEER 20 replace ASHP - early replacement MF ER1</v>
      </c>
      <c r="G1893" s="2098"/>
      <c r="H1893" s="2098"/>
      <c r="I1893" s="2098"/>
      <c r="J1893" s="709"/>
      <c r="K1893" s="786">
        <v>6</v>
      </c>
      <c r="L1893" s="778"/>
      <c r="M1893" s="770"/>
      <c r="N1893" s="130"/>
      <c r="O1893" s="251"/>
      <c r="P1893" s="766"/>
      <c r="Q1893" s="767"/>
      <c r="R1893" s="766"/>
      <c r="S1893" s="752"/>
      <c r="T1893" s="760"/>
      <c r="U1893" s="130"/>
      <c r="V1893" s="2107"/>
      <c r="W1893" s="786">
        <v>6</v>
      </c>
      <c r="X1893" s="786">
        <v>6</v>
      </c>
      <c r="Y1893" s="786"/>
      <c r="Z1893" s="786"/>
      <c r="AA1893" s="786"/>
      <c r="AB1893" s="786"/>
      <c r="AC1893" s="786"/>
      <c r="AD1893" s="786"/>
      <c r="AE1893" s="786"/>
      <c r="AF1893" s="786"/>
      <c r="AG1893" s="786"/>
    </row>
    <row r="1894" spans="1:33" s="56" customFormat="1" hidden="1" outlineLevel="1" x14ac:dyDescent="0.25">
      <c r="A1894" s="724"/>
      <c r="B1894" s="130"/>
      <c r="C1894" s="616"/>
      <c r="D1894" s="2101"/>
      <c r="E1894" s="2104"/>
      <c r="F1894" s="2098" t="str">
        <f t="shared" si="75"/>
        <v>ASHP SEER 20 replace ASHP - early replacement MF ER2</v>
      </c>
      <c r="G1894" s="2098"/>
      <c r="H1894" s="2098"/>
      <c r="I1894" s="2098"/>
      <c r="J1894" s="709"/>
      <c r="K1894" s="786">
        <v>12</v>
      </c>
      <c r="L1894" s="778"/>
      <c r="M1894" s="770"/>
      <c r="N1894" s="130"/>
      <c r="O1894" s="251"/>
      <c r="P1894" s="766"/>
      <c r="Q1894" s="767"/>
      <c r="R1894" s="766"/>
      <c r="S1894" s="752"/>
      <c r="T1894" s="760"/>
      <c r="U1894" s="130"/>
      <c r="V1894" s="2107"/>
      <c r="W1894" s="786">
        <v>12</v>
      </c>
      <c r="X1894" s="786">
        <v>12</v>
      </c>
      <c r="Y1894" s="786"/>
      <c r="Z1894" s="786"/>
      <c r="AA1894" s="786"/>
      <c r="AB1894" s="786"/>
      <c r="AC1894" s="786"/>
      <c r="AD1894" s="786"/>
      <c r="AE1894" s="786"/>
      <c r="AF1894" s="786"/>
      <c r="AG1894" s="786"/>
    </row>
    <row r="1895" spans="1:33" s="56" customFormat="1" hidden="1" outlineLevel="1" x14ac:dyDescent="0.25">
      <c r="A1895" s="724"/>
      <c r="B1895" s="130"/>
      <c r="C1895" s="616"/>
      <c r="D1895" s="2101"/>
      <c r="E1895" s="2104"/>
      <c r="F1895" s="2098" t="str">
        <f t="shared" si="75"/>
        <v>ASHP SEER 20 replace ASHP - early replacement MF ER2</v>
      </c>
      <c r="G1895" s="2098"/>
      <c r="H1895" s="2098"/>
      <c r="I1895" s="2098"/>
      <c r="J1895" s="709"/>
      <c r="K1895" s="786">
        <v>12</v>
      </c>
      <c r="L1895" s="778"/>
      <c r="M1895" s="770"/>
      <c r="N1895" s="130"/>
      <c r="O1895" s="251"/>
      <c r="P1895" s="766"/>
      <c r="Q1895" s="767"/>
      <c r="R1895" s="766"/>
      <c r="S1895" s="752"/>
      <c r="T1895" s="760"/>
      <c r="U1895" s="130"/>
      <c r="V1895" s="2107"/>
      <c r="W1895" s="786">
        <v>12</v>
      </c>
      <c r="X1895" s="786">
        <v>12</v>
      </c>
      <c r="Y1895" s="786"/>
      <c r="Z1895" s="786"/>
      <c r="AA1895" s="786"/>
      <c r="AB1895" s="786"/>
      <c r="AC1895" s="786"/>
      <c r="AD1895" s="786"/>
      <c r="AE1895" s="786"/>
      <c r="AF1895" s="786"/>
      <c r="AG1895" s="786"/>
    </row>
    <row r="1896" spans="1:33" s="56" customFormat="1" hidden="1" outlineLevel="1" x14ac:dyDescent="0.25">
      <c r="A1896" s="724"/>
      <c r="B1896" s="130"/>
      <c r="C1896" s="616"/>
      <c r="D1896" s="2101"/>
      <c r="E1896" s="2104"/>
      <c r="F1896" s="2098" t="str">
        <f t="shared" si="75"/>
        <v>ASHP SEER 21 replace ASHP - early replacement SF ER1</v>
      </c>
      <c r="G1896" s="2098"/>
      <c r="H1896" s="2098"/>
      <c r="I1896" s="2098"/>
      <c r="J1896" s="709"/>
      <c r="K1896" s="786">
        <v>6</v>
      </c>
      <c r="L1896" s="778"/>
      <c r="M1896" s="770"/>
      <c r="N1896" s="130"/>
      <c r="O1896" s="251"/>
      <c r="P1896" s="766"/>
      <c r="Q1896" s="767"/>
      <c r="R1896" s="766"/>
      <c r="S1896" s="752"/>
      <c r="T1896" s="760"/>
      <c r="U1896" s="130"/>
      <c r="V1896" s="2107"/>
      <c r="W1896" s="786">
        <v>6</v>
      </c>
      <c r="X1896" s="786">
        <v>6</v>
      </c>
      <c r="Y1896" s="786"/>
      <c r="Z1896" s="786"/>
      <c r="AA1896" s="786"/>
      <c r="AB1896" s="786"/>
      <c r="AC1896" s="786"/>
      <c r="AD1896" s="786"/>
      <c r="AE1896" s="786"/>
      <c r="AF1896" s="786"/>
      <c r="AG1896" s="786"/>
    </row>
    <row r="1897" spans="1:33" s="56" customFormat="1" hidden="1" outlineLevel="1" x14ac:dyDescent="0.25">
      <c r="A1897" s="724"/>
      <c r="B1897" s="130"/>
      <c r="C1897" s="616"/>
      <c r="D1897" s="2101"/>
      <c r="E1897" s="2104"/>
      <c r="F1897" s="2098" t="str">
        <f t="shared" si="75"/>
        <v>ASHP SEER 21 replace ASHP - early replacement SF ER1</v>
      </c>
      <c r="G1897" s="2098"/>
      <c r="H1897" s="2098"/>
      <c r="I1897" s="2098"/>
      <c r="J1897" s="709"/>
      <c r="K1897" s="786">
        <v>6</v>
      </c>
      <c r="L1897" s="778"/>
      <c r="M1897" s="770"/>
      <c r="N1897" s="130"/>
      <c r="O1897" s="251"/>
      <c r="P1897" s="766"/>
      <c r="Q1897" s="767"/>
      <c r="R1897" s="766"/>
      <c r="S1897" s="752"/>
      <c r="T1897" s="760"/>
      <c r="U1897" s="130"/>
      <c r="V1897" s="2107"/>
      <c r="W1897" s="786">
        <v>6</v>
      </c>
      <c r="X1897" s="786">
        <v>6</v>
      </c>
      <c r="Y1897" s="786"/>
      <c r="Z1897" s="786"/>
      <c r="AA1897" s="786"/>
      <c r="AB1897" s="786"/>
      <c r="AC1897" s="786"/>
      <c r="AD1897" s="786"/>
      <c r="AE1897" s="786"/>
      <c r="AF1897" s="786"/>
      <c r="AG1897" s="786"/>
    </row>
    <row r="1898" spans="1:33" s="56" customFormat="1" hidden="1" outlineLevel="1" x14ac:dyDescent="0.25">
      <c r="A1898" s="724"/>
      <c r="B1898" s="130"/>
      <c r="C1898" s="616"/>
      <c r="D1898" s="2101"/>
      <c r="E1898" s="2104"/>
      <c r="F1898" s="2098" t="str">
        <f t="shared" si="75"/>
        <v>ASHP SEER 21 replace ASHP - early replacement SF ER2</v>
      </c>
      <c r="G1898" s="2098"/>
      <c r="H1898" s="2098"/>
      <c r="I1898" s="2098"/>
      <c r="J1898" s="709"/>
      <c r="K1898" s="786">
        <v>12</v>
      </c>
      <c r="L1898" s="778"/>
      <c r="M1898" s="770"/>
      <c r="N1898" s="130"/>
      <c r="O1898" s="251"/>
      <c r="P1898" s="766"/>
      <c r="Q1898" s="767"/>
      <c r="R1898" s="766"/>
      <c r="S1898" s="752"/>
      <c r="T1898" s="760"/>
      <c r="U1898" s="130"/>
      <c r="V1898" s="2107"/>
      <c r="W1898" s="786">
        <v>12</v>
      </c>
      <c r="X1898" s="786">
        <v>12</v>
      </c>
      <c r="Y1898" s="786"/>
      <c r="Z1898" s="786"/>
      <c r="AA1898" s="786"/>
      <c r="AB1898" s="786"/>
      <c r="AC1898" s="786"/>
      <c r="AD1898" s="786"/>
      <c r="AE1898" s="786"/>
      <c r="AF1898" s="786"/>
      <c r="AG1898" s="786"/>
    </row>
    <row r="1899" spans="1:33" s="56" customFormat="1" hidden="1" outlineLevel="1" x14ac:dyDescent="0.25">
      <c r="A1899" s="724"/>
      <c r="B1899" s="130"/>
      <c r="C1899" s="616"/>
      <c r="D1899" s="2101"/>
      <c r="E1899" s="2104"/>
      <c r="F1899" s="2098" t="str">
        <f t="shared" si="75"/>
        <v>ASHP SEER 21 replace ASHP - early replacement SF ER2</v>
      </c>
      <c r="G1899" s="2098"/>
      <c r="H1899" s="2098"/>
      <c r="I1899" s="2098"/>
      <c r="J1899" s="709"/>
      <c r="K1899" s="786">
        <v>12</v>
      </c>
      <c r="L1899" s="778"/>
      <c r="M1899" s="770"/>
      <c r="N1899" s="130"/>
      <c r="O1899" s="251"/>
      <c r="P1899" s="766"/>
      <c r="Q1899" s="767"/>
      <c r="R1899" s="766"/>
      <c r="S1899" s="752"/>
      <c r="T1899" s="760"/>
      <c r="U1899" s="130"/>
      <c r="V1899" s="2107"/>
      <c r="W1899" s="786">
        <v>12</v>
      </c>
      <c r="X1899" s="786">
        <v>12</v>
      </c>
      <c r="Y1899" s="786"/>
      <c r="Z1899" s="786"/>
      <c r="AA1899" s="786"/>
      <c r="AB1899" s="786"/>
      <c r="AC1899" s="786"/>
      <c r="AD1899" s="786"/>
      <c r="AE1899" s="786"/>
      <c r="AF1899" s="786"/>
      <c r="AG1899" s="786"/>
    </row>
    <row r="1900" spans="1:33" s="56" customFormat="1" hidden="1" outlineLevel="1" x14ac:dyDescent="0.25">
      <c r="A1900" s="724"/>
      <c r="B1900" s="130"/>
      <c r="C1900" s="616"/>
      <c r="D1900" s="2101"/>
      <c r="E1900" s="2104"/>
      <c r="F1900" s="2098" t="str">
        <f t="shared" si="75"/>
        <v>ASHP SEER 21 replace ASHP - replace on fail SF</v>
      </c>
      <c r="G1900" s="2098"/>
      <c r="H1900" s="2098"/>
      <c r="I1900" s="2098"/>
      <c r="J1900" s="709"/>
      <c r="K1900" s="786">
        <v>18</v>
      </c>
      <c r="L1900" s="778"/>
      <c r="M1900" s="770"/>
      <c r="N1900" s="130"/>
      <c r="O1900" s="251"/>
      <c r="P1900" s="766"/>
      <c r="Q1900" s="767"/>
      <c r="R1900" s="766"/>
      <c r="S1900" s="752"/>
      <c r="T1900" s="760"/>
      <c r="U1900" s="130"/>
      <c r="V1900" s="2107"/>
      <c r="W1900" s="786">
        <v>18</v>
      </c>
      <c r="X1900" s="786">
        <v>18</v>
      </c>
      <c r="Y1900" s="786"/>
      <c r="Z1900" s="786"/>
      <c r="AA1900" s="786"/>
      <c r="AB1900" s="786"/>
      <c r="AC1900" s="786"/>
      <c r="AD1900" s="786"/>
      <c r="AE1900" s="786"/>
      <c r="AF1900" s="786"/>
      <c r="AG1900" s="786"/>
    </row>
    <row r="1901" spans="1:33" s="56" customFormat="1" hidden="1" outlineLevel="1" x14ac:dyDescent="0.25">
      <c r="A1901" s="724"/>
      <c r="B1901" s="130"/>
      <c r="C1901" s="616"/>
      <c r="D1901" s="2101"/>
      <c r="E1901" s="2104"/>
      <c r="F1901" s="2098" t="str">
        <f t="shared" si="75"/>
        <v>ASHP SEER 21 replace ASHP - replace on fail SF</v>
      </c>
      <c r="G1901" s="2098"/>
      <c r="H1901" s="2098"/>
      <c r="I1901" s="2098"/>
      <c r="J1901" s="709"/>
      <c r="K1901" s="786">
        <v>18</v>
      </c>
      <c r="L1901" s="778"/>
      <c r="M1901" s="770"/>
      <c r="N1901" s="130"/>
      <c r="O1901" s="251"/>
      <c r="P1901" s="766"/>
      <c r="Q1901" s="767"/>
      <c r="R1901" s="766"/>
      <c r="S1901" s="752"/>
      <c r="T1901" s="760"/>
      <c r="U1901" s="130"/>
      <c r="V1901" s="2107"/>
      <c r="W1901" s="786">
        <v>18</v>
      </c>
      <c r="X1901" s="786">
        <v>18</v>
      </c>
      <c r="Y1901" s="786"/>
      <c r="Z1901" s="786"/>
      <c r="AA1901" s="786"/>
      <c r="AB1901" s="786"/>
      <c r="AC1901" s="786"/>
      <c r="AD1901" s="786"/>
      <c r="AE1901" s="786"/>
      <c r="AF1901" s="786"/>
      <c r="AG1901" s="786"/>
    </row>
    <row r="1902" spans="1:33" s="56" customFormat="1" hidden="1" outlineLevel="1" x14ac:dyDescent="0.25">
      <c r="A1902" s="724"/>
      <c r="B1902" s="130"/>
      <c r="C1902" s="616"/>
      <c r="D1902" s="2101"/>
      <c r="E1902" s="2104"/>
      <c r="F1902" s="2098" t="str">
        <f t="shared" si="75"/>
        <v>ASHP - SEER 21 - replace electric furnace / CAC MF</v>
      </c>
      <c r="G1902" s="2098"/>
      <c r="H1902" s="2098"/>
      <c r="I1902" s="2098"/>
      <c r="J1902" s="709"/>
      <c r="K1902" s="786">
        <v>18</v>
      </c>
      <c r="L1902" s="778"/>
      <c r="M1902" s="770"/>
      <c r="N1902" s="130"/>
      <c r="O1902" s="251"/>
      <c r="P1902" s="766"/>
      <c r="Q1902" s="767"/>
      <c r="R1902" s="766"/>
      <c r="S1902" s="752"/>
      <c r="T1902" s="760"/>
      <c r="U1902" s="130"/>
      <c r="V1902" s="2107"/>
      <c r="W1902" s="786">
        <v>18</v>
      </c>
      <c r="X1902" s="786">
        <v>18</v>
      </c>
      <c r="Y1902" s="786"/>
      <c r="Z1902" s="786"/>
      <c r="AA1902" s="786"/>
      <c r="AB1902" s="786"/>
      <c r="AC1902" s="786"/>
      <c r="AD1902" s="786"/>
      <c r="AE1902" s="786"/>
      <c r="AF1902" s="786"/>
      <c r="AG1902" s="786"/>
    </row>
    <row r="1903" spans="1:33" s="56" customFormat="1" hidden="1" outlineLevel="1" x14ac:dyDescent="0.25">
      <c r="A1903" s="724"/>
      <c r="B1903" s="130"/>
      <c r="C1903" s="616"/>
      <c r="D1903" s="2101"/>
      <c r="E1903" s="2104"/>
      <c r="F1903" s="2098" t="str">
        <f t="shared" si="75"/>
        <v>ASHP - SEER 21 - replace electric furnace / CAC MF</v>
      </c>
      <c r="G1903" s="2098"/>
      <c r="H1903" s="2098"/>
      <c r="I1903" s="2098"/>
      <c r="J1903" s="709"/>
      <c r="K1903" s="786">
        <v>18</v>
      </c>
      <c r="L1903" s="778"/>
      <c r="M1903" s="770"/>
      <c r="N1903" s="130"/>
      <c r="O1903" s="251"/>
      <c r="P1903" s="766"/>
      <c r="Q1903" s="767"/>
      <c r="R1903" s="766"/>
      <c r="S1903" s="752"/>
      <c r="T1903" s="760"/>
      <c r="U1903" s="130"/>
      <c r="V1903" s="2107"/>
      <c r="W1903" s="786">
        <v>18</v>
      </c>
      <c r="X1903" s="786">
        <v>18</v>
      </c>
      <c r="Y1903" s="786"/>
      <c r="Z1903" s="786"/>
      <c r="AA1903" s="786"/>
      <c r="AB1903" s="786"/>
      <c r="AC1903" s="786"/>
      <c r="AD1903" s="786"/>
      <c r="AE1903" s="786"/>
      <c r="AF1903" s="786"/>
      <c r="AG1903" s="786"/>
    </row>
    <row r="1904" spans="1:33" s="56" customFormat="1" hidden="1" outlineLevel="1" x14ac:dyDescent="0.25">
      <c r="A1904" s="724"/>
      <c r="B1904" s="130"/>
      <c r="C1904" s="616"/>
      <c r="D1904" s="2101"/>
      <c r="E1904" s="2104"/>
      <c r="F1904" s="2098" t="str">
        <f t="shared" si="75"/>
        <v>ASHP SEER 21 replace ASHP - early replacement MF ER1</v>
      </c>
      <c r="G1904" s="2098"/>
      <c r="H1904" s="2098"/>
      <c r="I1904" s="2098"/>
      <c r="J1904" s="709"/>
      <c r="K1904" s="786">
        <v>6</v>
      </c>
      <c r="L1904" s="778"/>
      <c r="M1904" s="770"/>
      <c r="N1904" s="130"/>
      <c r="O1904" s="251"/>
      <c r="P1904" s="766"/>
      <c r="Q1904" s="767"/>
      <c r="R1904" s="766"/>
      <c r="S1904" s="752"/>
      <c r="T1904" s="760"/>
      <c r="U1904" s="130"/>
      <c r="V1904" s="2107"/>
      <c r="W1904" s="786">
        <v>6</v>
      </c>
      <c r="X1904" s="786">
        <v>6</v>
      </c>
      <c r="Y1904" s="786"/>
      <c r="Z1904" s="786"/>
      <c r="AA1904" s="786"/>
      <c r="AB1904" s="786"/>
      <c r="AC1904" s="786"/>
      <c r="AD1904" s="786"/>
      <c r="AE1904" s="786"/>
      <c r="AF1904" s="786"/>
      <c r="AG1904" s="786"/>
    </row>
    <row r="1905" spans="1:33" s="56" customFormat="1" hidden="1" outlineLevel="1" x14ac:dyDescent="0.25">
      <c r="A1905" s="724"/>
      <c r="B1905" s="130"/>
      <c r="C1905" s="616"/>
      <c r="D1905" s="2101"/>
      <c r="E1905" s="2104"/>
      <c r="F1905" s="2098" t="str">
        <f t="shared" si="75"/>
        <v>ASHP SEER 21 replace ASHP - early replacement MF ER1</v>
      </c>
      <c r="G1905" s="2098"/>
      <c r="H1905" s="2098"/>
      <c r="I1905" s="2098"/>
      <c r="J1905" s="709"/>
      <c r="K1905" s="786">
        <v>6</v>
      </c>
      <c r="L1905" s="778"/>
      <c r="M1905" s="770"/>
      <c r="N1905" s="130"/>
      <c r="O1905" s="251"/>
      <c r="P1905" s="766"/>
      <c r="Q1905" s="767"/>
      <c r="R1905" s="766"/>
      <c r="S1905" s="752"/>
      <c r="T1905" s="760"/>
      <c r="U1905" s="130"/>
      <c r="V1905" s="2107"/>
      <c r="W1905" s="786">
        <v>6</v>
      </c>
      <c r="X1905" s="786">
        <v>6</v>
      </c>
      <c r="Y1905" s="786"/>
      <c r="Z1905" s="786"/>
      <c r="AA1905" s="786"/>
      <c r="AB1905" s="786"/>
      <c r="AC1905" s="786"/>
      <c r="AD1905" s="786"/>
      <c r="AE1905" s="786"/>
      <c r="AF1905" s="786"/>
      <c r="AG1905" s="786"/>
    </row>
    <row r="1906" spans="1:33" s="56" customFormat="1" hidden="1" outlineLevel="1" x14ac:dyDescent="0.25">
      <c r="A1906" s="724"/>
      <c r="B1906" s="130"/>
      <c r="C1906" s="616"/>
      <c r="D1906" s="2101"/>
      <c r="E1906" s="2104"/>
      <c r="F1906" s="2098" t="str">
        <f t="shared" si="75"/>
        <v>ASHP SEER 21 replace ASHP - early replacement MF ER2</v>
      </c>
      <c r="G1906" s="2098"/>
      <c r="H1906" s="2098"/>
      <c r="I1906" s="2098"/>
      <c r="J1906" s="709"/>
      <c r="K1906" s="786">
        <v>12</v>
      </c>
      <c r="L1906" s="778"/>
      <c r="M1906" s="770"/>
      <c r="N1906" s="130"/>
      <c r="O1906" s="251"/>
      <c r="P1906" s="766"/>
      <c r="Q1906" s="767"/>
      <c r="R1906" s="766"/>
      <c r="S1906" s="752"/>
      <c r="T1906" s="760"/>
      <c r="U1906" s="130"/>
      <c r="V1906" s="2107"/>
      <c r="W1906" s="786">
        <v>12</v>
      </c>
      <c r="X1906" s="786">
        <v>12</v>
      </c>
      <c r="Y1906" s="786"/>
      <c r="Z1906" s="786"/>
      <c r="AA1906" s="786"/>
      <c r="AB1906" s="786"/>
      <c r="AC1906" s="786"/>
      <c r="AD1906" s="786"/>
      <c r="AE1906" s="786"/>
      <c r="AF1906" s="786"/>
      <c r="AG1906" s="786"/>
    </row>
    <row r="1907" spans="1:33" s="56" customFormat="1" hidden="1" outlineLevel="1" x14ac:dyDescent="0.25">
      <c r="A1907" s="724"/>
      <c r="B1907" s="130"/>
      <c r="C1907" s="616"/>
      <c r="D1907" s="2101"/>
      <c r="E1907" s="2104"/>
      <c r="F1907" s="2098" t="str">
        <f t="shared" si="75"/>
        <v>ASHP SEER 21 replace ASHP - early replacement MF ER2</v>
      </c>
      <c r="G1907" s="2098"/>
      <c r="H1907" s="2098"/>
      <c r="I1907" s="2098"/>
      <c r="J1907" s="709"/>
      <c r="K1907" s="786">
        <v>12</v>
      </c>
      <c r="L1907" s="778"/>
      <c r="M1907" s="770"/>
      <c r="N1907" s="130"/>
      <c r="O1907" s="251"/>
      <c r="P1907" s="766"/>
      <c r="Q1907" s="767"/>
      <c r="R1907" s="766"/>
      <c r="S1907" s="752"/>
      <c r="T1907" s="760"/>
      <c r="U1907" s="130"/>
      <c r="V1907" s="2107"/>
      <c r="W1907" s="786">
        <v>12</v>
      </c>
      <c r="X1907" s="786">
        <v>12</v>
      </c>
      <c r="Y1907" s="786"/>
      <c r="Z1907" s="786"/>
      <c r="AA1907" s="786"/>
      <c r="AB1907" s="786"/>
      <c r="AC1907" s="786"/>
      <c r="AD1907" s="786"/>
      <c r="AE1907" s="786"/>
      <c r="AF1907" s="786"/>
      <c r="AG1907" s="786"/>
    </row>
    <row r="1908" spans="1:33" s="56" customFormat="1" hidden="1" outlineLevel="1" x14ac:dyDescent="0.25">
      <c r="A1908" s="724"/>
      <c r="B1908" s="130"/>
      <c r="C1908" s="616"/>
      <c r="D1908" s="2101"/>
      <c r="E1908" s="2104"/>
      <c r="F1908" s="2098" t="str">
        <f t="shared" si="75"/>
        <v>ASHP - SEER 17 - replace on fail MF</v>
      </c>
      <c r="G1908" s="2098"/>
      <c r="H1908" s="2098"/>
      <c r="I1908" s="2098"/>
      <c r="J1908" s="709"/>
      <c r="K1908" s="786">
        <v>18</v>
      </c>
      <c r="L1908" s="778"/>
      <c r="M1908" s="770"/>
      <c r="N1908" s="130"/>
      <c r="O1908" s="251"/>
      <c r="P1908" s="766"/>
      <c r="Q1908" s="767"/>
      <c r="R1908" s="766"/>
      <c r="S1908" s="752"/>
      <c r="T1908" s="760"/>
      <c r="U1908" s="130"/>
      <c r="V1908" s="2107"/>
      <c r="W1908" s="786">
        <v>18</v>
      </c>
      <c r="X1908" s="786">
        <v>18</v>
      </c>
      <c r="Y1908" s="786"/>
      <c r="Z1908" s="786"/>
      <c r="AA1908" s="786"/>
      <c r="AB1908" s="786"/>
      <c r="AC1908" s="786"/>
      <c r="AD1908" s="786"/>
      <c r="AE1908" s="786"/>
      <c r="AF1908" s="786"/>
      <c r="AG1908" s="786"/>
    </row>
    <row r="1909" spans="1:33" s="56" customFormat="1" hidden="1" outlineLevel="1" x14ac:dyDescent="0.25">
      <c r="A1909" s="724"/>
      <c r="B1909" s="130"/>
      <c r="C1909" s="616"/>
      <c r="D1909" s="2101"/>
      <c r="E1909" s="2104"/>
      <c r="F1909" s="2098" t="str">
        <f t="shared" si="75"/>
        <v>ASHP - SEER 17 - replace on fail MF</v>
      </c>
      <c r="G1909" s="2098"/>
      <c r="H1909" s="2098"/>
      <c r="I1909" s="2098"/>
      <c r="J1909" s="709"/>
      <c r="K1909" s="786">
        <v>18</v>
      </c>
      <c r="L1909" s="778"/>
      <c r="M1909" s="770"/>
      <c r="N1909" s="130"/>
      <c r="O1909" s="251"/>
      <c r="P1909" s="766"/>
      <c r="Q1909" s="767"/>
      <c r="R1909" s="766"/>
      <c r="S1909" s="752"/>
      <c r="T1909" s="760"/>
      <c r="U1909" s="130"/>
      <c r="V1909" s="2107"/>
      <c r="W1909" s="786">
        <v>18</v>
      </c>
      <c r="X1909" s="786">
        <v>18</v>
      </c>
      <c r="Y1909" s="786"/>
      <c r="Z1909" s="786"/>
      <c r="AA1909" s="786"/>
      <c r="AB1909" s="786"/>
      <c r="AC1909" s="786"/>
      <c r="AD1909" s="786"/>
      <c r="AE1909" s="786"/>
      <c r="AF1909" s="786"/>
      <c r="AG1909" s="786"/>
    </row>
    <row r="1910" spans="1:33" s="56" customFormat="1" hidden="1" outlineLevel="1" x14ac:dyDescent="0.25">
      <c r="A1910" s="724"/>
      <c r="B1910" s="130"/>
      <c r="C1910" s="616"/>
      <c r="D1910" s="2101"/>
      <c r="E1910" s="2104"/>
      <c r="F1910" s="2098" t="str">
        <f t="shared" si="75"/>
        <v>ASHP - SEER 18 - replace on fail MF</v>
      </c>
      <c r="G1910" s="2098"/>
      <c r="H1910" s="2098"/>
      <c r="I1910" s="2098"/>
      <c r="J1910" s="709"/>
      <c r="K1910" s="786">
        <v>18</v>
      </c>
      <c r="L1910" s="778"/>
      <c r="M1910" s="770"/>
      <c r="N1910" s="130"/>
      <c r="O1910" s="251"/>
      <c r="P1910" s="766"/>
      <c r="Q1910" s="767"/>
      <c r="R1910" s="766"/>
      <c r="S1910" s="752"/>
      <c r="T1910" s="760"/>
      <c r="U1910" s="130"/>
      <c r="V1910" s="2107"/>
      <c r="W1910" s="786">
        <v>18</v>
      </c>
      <c r="X1910" s="786">
        <v>18</v>
      </c>
      <c r="Y1910" s="786"/>
      <c r="Z1910" s="786"/>
      <c r="AA1910" s="786"/>
      <c r="AB1910" s="786"/>
      <c r="AC1910" s="786"/>
      <c r="AD1910" s="786"/>
      <c r="AE1910" s="786"/>
      <c r="AF1910" s="786"/>
      <c r="AG1910" s="786"/>
    </row>
    <row r="1911" spans="1:33" s="56" customFormat="1" hidden="1" outlineLevel="1" x14ac:dyDescent="0.25">
      <c r="A1911" s="724"/>
      <c r="B1911" s="130"/>
      <c r="C1911" s="616"/>
      <c r="D1911" s="2101"/>
      <c r="E1911" s="2104"/>
      <c r="F1911" s="2098" t="str">
        <f t="shared" si="75"/>
        <v>ASHP - SEER 18 - replace on fail MF</v>
      </c>
      <c r="G1911" s="2098"/>
      <c r="H1911" s="2098"/>
      <c r="I1911" s="2098"/>
      <c r="J1911" s="709"/>
      <c r="K1911" s="786">
        <v>18</v>
      </c>
      <c r="L1911" s="778"/>
      <c r="M1911" s="770"/>
      <c r="N1911" s="130"/>
      <c r="O1911" s="251"/>
      <c r="P1911" s="766"/>
      <c r="Q1911" s="767"/>
      <c r="R1911" s="766"/>
      <c r="S1911" s="752"/>
      <c r="T1911" s="760"/>
      <c r="U1911" s="130"/>
      <c r="V1911" s="2107"/>
      <c r="W1911" s="786">
        <v>18</v>
      </c>
      <c r="X1911" s="786">
        <v>18</v>
      </c>
      <c r="Y1911" s="786"/>
      <c r="Z1911" s="786"/>
      <c r="AA1911" s="786"/>
      <c r="AB1911" s="786"/>
      <c r="AC1911" s="786"/>
      <c r="AD1911" s="786"/>
      <c r="AE1911" s="786"/>
      <c r="AF1911" s="786"/>
      <c r="AG1911" s="786"/>
    </row>
    <row r="1912" spans="1:33" s="56" customFormat="1" hidden="1" outlineLevel="1" x14ac:dyDescent="0.25">
      <c r="A1912" s="724"/>
      <c r="B1912" s="130"/>
      <c r="C1912" s="616"/>
      <c r="D1912" s="2101"/>
      <c r="E1912" s="2104"/>
      <c r="F1912" s="2098" t="str">
        <f t="shared" si="75"/>
        <v>ASHP - SEER 19 - replace on fail MF</v>
      </c>
      <c r="G1912" s="2098"/>
      <c r="H1912" s="2098"/>
      <c r="I1912" s="2098"/>
      <c r="J1912" s="709"/>
      <c r="K1912" s="786">
        <v>18</v>
      </c>
      <c r="L1912" s="778"/>
      <c r="M1912" s="770"/>
      <c r="N1912" s="130"/>
      <c r="O1912" s="251"/>
      <c r="P1912" s="766"/>
      <c r="Q1912" s="767"/>
      <c r="R1912" s="766"/>
      <c r="S1912" s="752"/>
      <c r="T1912" s="760"/>
      <c r="U1912" s="130"/>
      <c r="V1912" s="2107"/>
      <c r="W1912" s="786">
        <v>18</v>
      </c>
      <c r="X1912" s="786">
        <v>18</v>
      </c>
      <c r="Y1912" s="786"/>
      <c r="Z1912" s="786"/>
      <c r="AA1912" s="786"/>
      <c r="AB1912" s="786"/>
      <c r="AC1912" s="786"/>
      <c r="AD1912" s="786"/>
      <c r="AE1912" s="786"/>
      <c r="AF1912" s="786"/>
      <c r="AG1912" s="786"/>
    </row>
    <row r="1913" spans="1:33" s="56" customFormat="1" ht="15" hidden="1" customHeight="1" outlineLevel="1" x14ac:dyDescent="0.25">
      <c r="A1913" s="724"/>
      <c r="B1913" s="130"/>
      <c r="C1913" s="616"/>
      <c r="D1913" s="2101"/>
      <c r="E1913" s="2104"/>
      <c r="F1913" s="2098" t="str">
        <f t="shared" si="75"/>
        <v>ASHP - SEER 19 - replace on fail MF</v>
      </c>
      <c r="G1913" s="2098"/>
      <c r="H1913" s="2098"/>
      <c r="I1913" s="2098"/>
      <c r="J1913" s="709" t="s">
        <v>1198</v>
      </c>
      <c r="K1913" s="786">
        <v>18</v>
      </c>
      <c r="L1913" s="670"/>
      <c r="M1913" s="613"/>
      <c r="N1913" s="130"/>
      <c r="O1913" s="251"/>
      <c r="P1913" s="766"/>
      <c r="Q1913" s="767"/>
      <c r="R1913" s="766"/>
      <c r="S1913" s="752"/>
      <c r="T1913" s="760"/>
      <c r="U1913" s="130"/>
      <c r="V1913" s="2107"/>
      <c r="W1913" s="786">
        <v>18</v>
      </c>
      <c r="X1913" s="786">
        <v>18</v>
      </c>
      <c r="Y1913" s="786"/>
      <c r="Z1913" s="786"/>
      <c r="AA1913" s="786"/>
      <c r="AB1913" s="786"/>
      <c r="AC1913" s="786"/>
      <c r="AD1913" s="786"/>
      <c r="AE1913" s="786"/>
      <c r="AF1913" s="786"/>
      <c r="AG1913" s="786"/>
    </row>
    <row r="1914" spans="1:33" s="56" customFormat="1" ht="15" hidden="1" customHeight="1" outlineLevel="1" x14ac:dyDescent="0.25">
      <c r="A1914" s="724"/>
      <c r="B1914" s="130"/>
      <c r="C1914" s="616"/>
      <c r="D1914" s="2101"/>
      <c r="E1914" s="2104"/>
      <c r="F1914" s="2098" t="str">
        <f t="shared" si="75"/>
        <v>ASHP - SEER 20 - replace on fail MF</v>
      </c>
      <c r="G1914" s="2098"/>
      <c r="H1914" s="2098"/>
      <c r="I1914" s="2098"/>
      <c r="J1914" s="709" t="s">
        <v>1199</v>
      </c>
      <c r="K1914" s="786">
        <v>18</v>
      </c>
      <c r="L1914" s="670"/>
      <c r="M1914" s="613"/>
      <c r="N1914" s="130"/>
      <c r="O1914" s="251"/>
      <c r="P1914" s="766"/>
      <c r="Q1914" s="767"/>
      <c r="R1914" s="766"/>
      <c r="S1914" s="752"/>
      <c r="T1914" s="760"/>
      <c r="U1914" s="130"/>
      <c r="V1914" s="2107"/>
      <c r="W1914" s="786">
        <v>18</v>
      </c>
      <c r="X1914" s="786">
        <v>18</v>
      </c>
      <c r="Y1914" s="786"/>
      <c r="Z1914" s="786"/>
      <c r="AA1914" s="786"/>
      <c r="AB1914" s="786"/>
      <c r="AC1914" s="786"/>
      <c r="AD1914" s="786"/>
      <c r="AE1914" s="786"/>
      <c r="AF1914" s="786"/>
      <c r="AG1914" s="786"/>
    </row>
    <row r="1915" spans="1:33" s="56" customFormat="1" ht="15" hidden="1" customHeight="1" outlineLevel="1" x14ac:dyDescent="0.25">
      <c r="A1915" s="724"/>
      <c r="B1915" s="130"/>
      <c r="C1915" s="616"/>
      <c r="D1915" s="2101"/>
      <c r="E1915" s="2104"/>
      <c r="F1915" s="2098" t="str">
        <f t="shared" si="75"/>
        <v>ASHP - SEER 20 - replace on fail MF</v>
      </c>
      <c r="G1915" s="2098"/>
      <c r="H1915" s="2098"/>
      <c r="I1915" s="2098"/>
      <c r="J1915" s="709" t="s">
        <v>1200</v>
      </c>
      <c r="K1915" s="786">
        <v>18</v>
      </c>
      <c r="L1915" s="670"/>
      <c r="M1915" s="613"/>
      <c r="N1915" s="130"/>
      <c r="O1915" s="251"/>
      <c r="P1915" s="766"/>
      <c r="Q1915" s="767"/>
      <c r="R1915" s="766"/>
      <c r="S1915" s="752"/>
      <c r="T1915" s="760"/>
      <c r="U1915" s="130"/>
      <c r="V1915" s="2107"/>
      <c r="W1915" s="786">
        <v>18</v>
      </c>
      <c r="X1915" s="786">
        <v>18</v>
      </c>
      <c r="Y1915" s="786"/>
      <c r="Z1915" s="786"/>
      <c r="AA1915" s="786"/>
      <c r="AB1915" s="786"/>
      <c r="AC1915" s="786"/>
      <c r="AD1915" s="786"/>
      <c r="AE1915" s="786"/>
      <c r="AF1915" s="786"/>
      <c r="AG1915" s="786"/>
    </row>
    <row r="1916" spans="1:33" s="56" customFormat="1" ht="15" hidden="1" customHeight="1" outlineLevel="1" x14ac:dyDescent="0.25">
      <c r="A1916" s="724"/>
      <c r="B1916" s="130"/>
      <c r="C1916" s="616"/>
      <c r="D1916" s="2101"/>
      <c r="E1916" s="2104"/>
      <c r="F1916" s="2098" t="str">
        <f t="shared" si="75"/>
        <v>ASHP - SEER 21 - replace on fail MF</v>
      </c>
      <c r="G1916" s="2098"/>
      <c r="H1916" s="2098"/>
      <c r="I1916" s="2098"/>
      <c r="J1916" s="709" t="s">
        <v>1201</v>
      </c>
      <c r="K1916" s="786">
        <v>18</v>
      </c>
      <c r="L1916" s="778"/>
      <c r="M1916" s="613"/>
      <c r="N1916" s="130"/>
      <c r="O1916" s="251"/>
      <c r="P1916" s="766"/>
      <c r="Q1916" s="767"/>
      <c r="R1916" s="766"/>
      <c r="S1916" s="752"/>
      <c r="T1916" s="760"/>
      <c r="U1916" s="130"/>
      <c r="V1916" s="2107"/>
      <c r="W1916" s="786">
        <v>18</v>
      </c>
      <c r="X1916" s="786">
        <v>18</v>
      </c>
      <c r="Y1916" s="786"/>
      <c r="Z1916" s="786"/>
      <c r="AA1916" s="786"/>
      <c r="AB1916" s="786"/>
      <c r="AC1916" s="786"/>
      <c r="AD1916" s="786"/>
      <c r="AE1916" s="786"/>
      <c r="AF1916" s="786"/>
      <c r="AG1916" s="786"/>
    </row>
    <row r="1917" spans="1:33" s="56" customFormat="1" ht="15.75" hidden="1" customHeight="1" outlineLevel="1" thickBot="1" x14ac:dyDescent="0.3">
      <c r="A1917" s="724"/>
      <c r="B1917" s="130"/>
      <c r="C1917" s="616"/>
      <c r="D1917" s="2102"/>
      <c r="E1917" s="2105"/>
      <c r="F1917" s="2098" t="str">
        <f t="shared" si="75"/>
        <v>ASHP - SEER 21 - replace on fail MF</v>
      </c>
      <c r="G1917" s="2098"/>
      <c r="H1917" s="2098"/>
      <c r="I1917" s="2098"/>
      <c r="J1917" s="712" t="s">
        <v>1202</v>
      </c>
      <c r="K1917" s="788">
        <v>18</v>
      </c>
      <c r="L1917" s="779"/>
      <c r="M1917" s="613"/>
      <c r="N1917" s="130"/>
      <c r="O1917" s="251"/>
      <c r="P1917" s="766"/>
      <c r="Q1917" s="767"/>
      <c r="R1917" s="766"/>
      <c r="S1917" s="752"/>
      <c r="T1917" s="760"/>
      <c r="U1917" s="130"/>
      <c r="V1917" s="2108"/>
      <c r="W1917" s="788">
        <v>18</v>
      </c>
      <c r="X1917" s="788">
        <v>18</v>
      </c>
      <c r="Y1917" s="788"/>
      <c r="Z1917" s="788"/>
      <c r="AA1917" s="788"/>
      <c r="AB1917" s="788"/>
      <c r="AC1917" s="788"/>
      <c r="AD1917" s="788"/>
      <c r="AE1917" s="788"/>
      <c r="AF1917" s="788"/>
      <c r="AG1917" s="788"/>
    </row>
    <row r="1918" spans="1:33" s="56" customFormat="1" hidden="1" outlineLevel="1" x14ac:dyDescent="0.25">
      <c r="A1918" s="724"/>
      <c r="B1918" s="130"/>
      <c r="C1918" s="616"/>
      <c r="D1918" s="2100" t="str">
        <f>D762</f>
        <v>Inc. Cost</v>
      </c>
      <c r="E1918" s="2103" t="str">
        <f>E762</f>
        <v>Incremental Cost ($)</v>
      </c>
      <c r="F1918" s="2109" t="str">
        <f>E780</f>
        <v>ASHP - SEER 15 ER Elec Resist Furnace: HVAC ER1</v>
      </c>
      <c r="G1918" s="2109"/>
      <c r="H1918" s="2109"/>
      <c r="I1918" s="2109"/>
      <c r="J1918" s="707">
        <v>919</v>
      </c>
      <c r="K1918" s="1697">
        <f>$Q$973*$L$972*$K$1660</f>
        <v>1788.6187345526278</v>
      </c>
      <c r="L1918" s="660"/>
      <c r="M1918" s="783"/>
      <c r="N1918" s="130"/>
      <c r="O1918" s="251"/>
      <c r="P1918" s="766"/>
      <c r="Q1918" s="766"/>
      <c r="R1918" s="766"/>
      <c r="S1918" s="752"/>
      <c r="T1918" s="760"/>
      <c r="U1918" s="130"/>
      <c r="V1918" s="2106" t="s">
        <v>598</v>
      </c>
      <c r="W1918" s="790">
        <v>2365.1309007383738</v>
      </c>
      <c r="X1918" s="789">
        <f>$Q$973*$L$972*$K$1660</f>
        <v>1788.6187345526278</v>
      </c>
      <c r="Y1918" s="708"/>
      <c r="Z1918" s="708"/>
      <c r="AA1918" s="708"/>
      <c r="AB1918" s="708"/>
      <c r="AC1918" s="708"/>
      <c r="AD1918" s="708"/>
      <c r="AE1918" s="708"/>
      <c r="AF1918" s="708"/>
      <c r="AG1918" s="708"/>
    </row>
    <row r="1919" spans="1:33" s="56" customFormat="1" ht="15" hidden="1" customHeight="1" outlineLevel="1" x14ac:dyDescent="0.25">
      <c r="A1919" s="724"/>
      <c r="B1919" s="130"/>
      <c r="C1919" s="616"/>
      <c r="D1919" s="2101"/>
      <c r="E1919" s="2104"/>
      <c r="F1919" s="2098" t="str">
        <f t="shared" ref="F1919:F1982" si="76">E781</f>
        <v>ASHP - SEER 15 ER Elec Resist Furnace: HVAC ER1</v>
      </c>
      <c r="G1919" s="2098"/>
      <c r="H1919" s="2098"/>
      <c r="I1919" s="2098"/>
      <c r="J1919" s="709" t="s">
        <v>1156</v>
      </c>
      <c r="K1919" s="742"/>
      <c r="L1919" s="669"/>
      <c r="M1919" s="770"/>
      <c r="N1919" s="130"/>
      <c r="O1919" s="251"/>
      <c r="P1919" s="766"/>
      <c r="Q1919" s="766"/>
      <c r="R1919" s="766"/>
      <c r="S1919" s="752"/>
      <c r="T1919" s="760"/>
      <c r="U1919" s="130"/>
      <c r="V1919" s="2107"/>
      <c r="W1919" s="792"/>
      <c r="X1919" s="791"/>
      <c r="Y1919" s="710"/>
      <c r="Z1919" s="710"/>
      <c r="AA1919" s="710"/>
      <c r="AB1919" s="710"/>
      <c r="AC1919" s="710"/>
      <c r="AD1919" s="710"/>
      <c r="AE1919" s="710"/>
      <c r="AF1919" s="710"/>
      <c r="AG1919" s="710"/>
    </row>
    <row r="1920" spans="1:33" s="56" customFormat="1" ht="15" hidden="1" customHeight="1" outlineLevel="1" x14ac:dyDescent="0.25">
      <c r="A1920" s="724"/>
      <c r="B1920" s="130"/>
      <c r="C1920" s="616"/>
      <c r="D1920" s="2101"/>
      <c r="E1920" s="2104"/>
      <c r="F1920" s="2098" t="str">
        <f t="shared" si="76"/>
        <v>ASHP - SEER 15 ER Elec Resist Furnace: HVAC ER2</v>
      </c>
      <c r="G1920" s="2098"/>
      <c r="H1920" s="2098"/>
      <c r="I1920" s="2098"/>
      <c r="J1920" s="709">
        <v>920</v>
      </c>
      <c r="K1920" s="742"/>
      <c r="L1920" s="669"/>
      <c r="M1920" s="770"/>
      <c r="N1920" s="130"/>
      <c r="O1920" s="251"/>
      <c r="P1920" s="766"/>
      <c r="Q1920" s="766"/>
      <c r="R1920" s="766"/>
      <c r="S1920" s="752"/>
      <c r="T1920" s="760"/>
      <c r="U1920" s="130"/>
      <c r="V1920" s="2107"/>
      <c r="W1920" s="792"/>
      <c r="X1920" s="791"/>
      <c r="Y1920" s="710"/>
      <c r="Z1920" s="710"/>
      <c r="AA1920" s="710"/>
      <c r="AB1920" s="710"/>
      <c r="AC1920" s="710"/>
      <c r="AD1920" s="710"/>
      <c r="AE1920" s="710"/>
      <c r="AF1920" s="710"/>
      <c r="AG1920" s="710"/>
    </row>
    <row r="1921" spans="1:33" s="56" customFormat="1" ht="15" hidden="1" customHeight="1" outlineLevel="1" x14ac:dyDescent="0.25">
      <c r="A1921" s="724"/>
      <c r="B1921" s="130"/>
      <c r="C1921" s="616"/>
      <c r="D1921" s="2101"/>
      <c r="E1921" s="2104"/>
      <c r="F1921" s="2098" t="str">
        <f t="shared" si="76"/>
        <v>ASHP - SEER 15 ER Elec Resist Furnace: HVAC ER2</v>
      </c>
      <c r="G1921" s="2098"/>
      <c r="H1921" s="2098"/>
      <c r="I1921" s="2098"/>
      <c r="J1921" s="709" t="s">
        <v>1159</v>
      </c>
      <c r="K1921" s="742"/>
      <c r="L1921" s="669"/>
      <c r="M1921" s="770"/>
      <c r="N1921" s="130"/>
      <c r="O1921" s="251"/>
      <c r="P1921" s="766"/>
      <c r="Q1921" s="766"/>
      <c r="R1921" s="766"/>
      <c r="S1921" s="752"/>
      <c r="T1921" s="760"/>
      <c r="U1921" s="130"/>
      <c r="V1921" s="2107"/>
      <c r="W1921" s="792"/>
      <c r="X1921" s="791"/>
      <c r="Y1921" s="710"/>
      <c r="Z1921" s="710"/>
      <c r="AA1921" s="710"/>
      <c r="AB1921" s="710"/>
      <c r="AC1921" s="710"/>
      <c r="AD1921" s="710"/>
      <c r="AE1921" s="710"/>
      <c r="AF1921" s="710"/>
      <c r="AG1921" s="710"/>
    </row>
    <row r="1922" spans="1:33" s="56" customFormat="1" ht="15" hidden="1" customHeight="1" outlineLevel="1" x14ac:dyDescent="0.25">
      <c r="A1922" s="724"/>
      <c r="B1922" s="130"/>
      <c r="C1922" s="616"/>
      <c r="D1922" s="2101"/>
      <c r="E1922" s="2104"/>
      <c r="F1922" s="2098" t="str">
        <f t="shared" si="76"/>
        <v>ASHP - SEER 15 ER with ASHP: HVAC ER1</v>
      </c>
      <c r="G1922" s="2098"/>
      <c r="H1922" s="2098"/>
      <c r="I1922" s="2098"/>
      <c r="J1922" s="709">
        <v>921</v>
      </c>
      <c r="K1922" s="742">
        <f>$Q$973*$L$974*$K$1662</f>
        <v>1788.6187345526278</v>
      </c>
      <c r="L1922" s="669"/>
      <c r="M1922" s="770"/>
      <c r="N1922" s="130"/>
      <c r="O1922" s="251"/>
      <c r="P1922" s="766"/>
      <c r="Q1922" s="766"/>
      <c r="R1922" s="766"/>
      <c r="S1922" s="752"/>
      <c r="T1922" s="760"/>
      <c r="U1922" s="130"/>
      <c r="V1922" s="2107"/>
      <c r="W1922" s="792">
        <v>2618.5377829603426</v>
      </c>
      <c r="X1922" s="791">
        <f>$Q$973*$L$974*$K$1662</f>
        <v>1788.6187345526278</v>
      </c>
      <c r="Y1922" s="710"/>
      <c r="Z1922" s="710"/>
      <c r="AA1922" s="710"/>
      <c r="AB1922" s="710"/>
      <c r="AC1922" s="710"/>
      <c r="AD1922" s="710"/>
      <c r="AE1922" s="710"/>
      <c r="AF1922" s="710"/>
      <c r="AG1922" s="710"/>
    </row>
    <row r="1923" spans="1:33" s="56" customFormat="1" ht="15" hidden="1" customHeight="1" outlineLevel="1" x14ac:dyDescent="0.25">
      <c r="A1923" s="724"/>
      <c r="B1923" s="130"/>
      <c r="C1923" s="616"/>
      <c r="D1923" s="2101"/>
      <c r="E1923" s="2104"/>
      <c r="F1923" s="2098" t="str">
        <f t="shared" si="76"/>
        <v>ASHP - SEER 15 ER with ASHP: HVAC ER1</v>
      </c>
      <c r="G1923" s="2098"/>
      <c r="H1923" s="2098"/>
      <c r="I1923" s="2098"/>
      <c r="J1923" s="709">
        <v>922</v>
      </c>
      <c r="K1923" s="742"/>
      <c r="L1923" s="669"/>
      <c r="M1923" s="770"/>
      <c r="N1923" s="130"/>
      <c r="O1923" s="251"/>
      <c r="P1923" s="766"/>
      <c r="Q1923" s="766"/>
      <c r="R1923" s="766"/>
      <c r="S1923" s="752"/>
      <c r="T1923" s="760"/>
      <c r="U1923" s="130"/>
      <c r="V1923" s="2107"/>
      <c r="W1923" s="792"/>
      <c r="X1923" s="791"/>
      <c r="Y1923" s="710"/>
      <c r="Z1923" s="710"/>
      <c r="AA1923" s="710"/>
      <c r="AB1923" s="710"/>
      <c r="AC1923" s="710"/>
      <c r="AD1923" s="710"/>
      <c r="AE1923" s="710"/>
      <c r="AF1923" s="710"/>
      <c r="AG1923" s="710"/>
    </row>
    <row r="1924" spans="1:33" s="56" customFormat="1" ht="15" hidden="1" customHeight="1" outlineLevel="1" x14ac:dyDescent="0.25">
      <c r="A1924" s="724"/>
      <c r="B1924" s="130"/>
      <c r="C1924" s="616"/>
      <c r="D1924" s="2101"/>
      <c r="E1924" s="2104"/>
      <c r="F1924" s="2098" t="str">
        <f t="shared" si="76"/>
        <v>ASHP - SEER 15 ER with ASHP: HVAC ER2</v>
      </c>
      <c r="G1924" s="2098"/>
      <c r="H1924" s="2098"/>
      <c r="I1924" s="2098"/>
      <c r="J1924" s="709">
        <v>923</v>
      </c>
      <c r="K1924" s="742"/>
      <c r="L1924" s="669"/>
      <c r="M1924" s="770"/>
      <c r="N1924" s="130"/>
      <c r="O1924" s="251"/>
      <c r="P1924" s="766"/>
      <c r="Q1924" s="766"/>
      <c r="R1924" s="766"/>
      <c r="S1924" s="752"/>
      <c r="T1924" s="760"/>
      <c r="U1924" s="130"/>
      <c r="V1924" s="2107"/>
      <c r="W1924" s="792"/>
      <c r="X1924" s="791"/>
      <c r="Y1924" s="710"/>
      <c r="Z1924" s="710"/>
      <c r="AA1924" s="710"/>
      <c r="AB1924" s="710"/>
      <c r="AC1924" s="710"/>
      <c r="AD1924" s="710"/>
      <c r="AE1924" s="710"/>
      <c r="AF1924" s="710"/>
      <c r="AG1924" s="710"/>
    </row>
    <row r="1925" spans="1:33" s="56" customFormat="1" ht="15" hidden="1" customHeight="1" outlineLevel="1" x14ac:dyDescent="0.25">
      <c r="A1925" s="724"/>
      <c r="B1925" s="130"/>
      <c r="C1925" s="616"/>
      <c r="D1925" s="2101"/>
      <c r="E1925" s="2104"/>
      <c r="F1925" s="2098" t="str">
        <f t="shared" si="76"/>
        <v>ASHP - SEER 15 ER with ASHP: HVAC ER2</v>
      </c>
      <c r="G1925" s="2098"/>
      <c r="H1925" s="2098"/>
      <c r="I1925" s="2098"/>
      <c r="J1925" s="709" t="s">
        <v>1161</v>
      </c>
      <c r="K1925" s="742"/>
      <c r="L1925" s="669"/>
      <c r="M1925" s="770"/>
      <c r="N1925" s="130"/>
      <c r="O1925" s="251"/>
      <c r="P1925" s="766"/>
      <c r="Q1925" s="766"/>
      <c r="R1925" s="766"/>
      <c r="S1925" s="752"/>
      <c r="T1925" s="760"/>
      <c r="U1925" s="130"/>
      <c r="V1925" s="2107"/>
      <c r="W1925" s="792"/>
      <c r="X1925" s="791"/>
      <c r="Y1925" s="710"/>
      <c r="Z1925" s="710"/>
      <c r="AA1925" s="710"/>
      <c r="AB1925" s="710"/>
      <c r="AC1925" s="710"/>
      <c r="AD1925" s="710"/>
      <c r="AE1925" s="710"/>
      <c r="AF1925" s="710"/>
      <c r="AG1925" s="710"/>
    </row>
    <row r="1926" spans="1:33" s="56" customFormat="1" ht="15" hidden="1" customHeight="1" outlineLevel="1" x14ac:dyDescent="0.25">
      <c r="A1926" s="724"/>
      <c r="B1926" s="130"/>
      <c r="C1926" s="616"/>
      <c r="D1926" s="2101"/>
      <c r="E1926" s="2104"/>
      <c r="F1926" s="2098" t="str">
        <f t="shared" si="76"/>
        <v>ASHP-  SEER 15 Replace at Fail Elec Resist Furnace: HVAC</v>
      </c>
      <c r="G1926" s="2098"/>
      <c r="H1926" s="2098"/>
      <c r="I1926" s="2098"/>
      <c r="J1926" s="709">
        <v>924</v>
      </c>
      <c r="K1926" s="742">
        <f>$R$973*$L$976*$K$1664</f>
        <v>927.18000000000006</v>
      </c>
      <c r="L1926" s="669"/>
      <c r="M1926" s="770"/>
      <c r="N1926" s="130"/>
      <c r="O1926" s="251"/>
      <c r="P1926" s="766"/>
      <c r="Q1926" s="766"/>
      <c r="R1926" s="766"/>
      <c r="S1926" s="752"/>
      <c r="T1926" s="760"/>
      <c r="U1926" s="130"/>
      <c r="V1926" s="2107"/>
      <c r="W1926" s="792">
        <v>787.80000000000007</v>
      </c>
      <c r="X1926" s="791">
        <f>$R$973*$L$976*$K$1664</f>
        <v>927.18000000000006</v>
      </c>
      <c r="Y1926" s="710"/>
      <c r="Z1926" s="710"/>
      <c r="AA1926" s="710"/>
      <c r="AB1926" s="710"/>
      <c r="AC1926" s="710"/>
      <c r="AD1926" s="710"/>
      <c r="AE1926" s="710"/>
      <c r="AF1926" s="710"/>
      <c r="AG1926" s="710"/>
    </row>
    <row r="1927" spans="1:33" s="56" customFormat="1" ht="15" hidden="1" customHeight="1" outlineLevel="1" x14ac:dyDescent="0.25">
      <c r="A1927" s="724"/>
      <c r="B1927" s="130"/>
      <c r="C1927" s="616"/>
      <c r="D1927" s="2101"/>
      <c r="E1927" s="2104"/>
      <c r="F1927" s="2098" t="str">
        <f t="shared" si="76"/>
        <v>ASHP-  SEER 15 Replace at Fail Elec Resist Furnace: HVAC</v>
      </c>
      <c r="G1927" s="2098"/>
      <c r="H1927" s="2098"/>
      <c r="I1927" s="2098"/>
      <c r="J1927" s="709" t="s">
        <v>1163</v>
      </c>
      <c r="K1927" s="742"/>
      <c r="L1927" s="670"/>
      <c r="M1927" s="770"/>
      <c r="N1927" s="130"/>
      <c r="O1927" s="251"/>
      <c r="P1927" s="766"/>
      <c r="Q1927" s="766"/>
      <c r="R1927" s="766"/>
      <c r="S1927" s="752"/>
      <c r="T1927" s="760"/>
      <c r="U1927" s="130"/>
      <c r="V1927" s="2107"/>
      <c r="W1927" s="792"/>
      <c r="X1927" s="791"/>
      <c r="Y1927" s="710"/>
      <c r="Z1927" s="710"/>
      <c r="AA1927" s="710"/>
      <c r="AB1927" s="710"/>
      <c r="AC1927" s="710"/>
      <c r="AD1927" s="710"/>
      <c r="AE1927" s="710"/>
      <c r="AF1927" s="710"/>
      <c r="AG1927" s="710"/>
    </row>
    <row r="1928" spans="1:33" s="56" customFormat="1" ht="15" hidden="1" customHeight="1" outlineLevel="1" x14ac:dyDescent="0.25">
      <c r="A1928" s="724"/>
      <c r="B1928" s="130"/>
      <c r="C1928" s="616"/>
      <c r="D1928" s="2101"/>
      <c r="E1928" s="2104"/>
      <c r="F1928" s="2098" t="str">
        <f t="shared" si="76"/>
        <v>ASHP - SEER 15 Replace at Fail with ASHP: HVAC</v>
      </c>
      <c r="G1928" s="2098"/>
      <c r="H1928" s="2098"/>
      <c r="I1928" s="2098"/>
      <c r="J1928" s="709">
        <v>925</v>
      </c>
      <c r="K1928" s="742">
        <f>$R$973*$L$977*$K$1665</f>
        <v>927.18000000000006</v>
      </c>
      <c r="L1928" s="670"/>
      <c r="M1928" s="770"/>
      <c r="N1928" s="130"/>
      <c r="O1928" s="251"/>
      <c r="P1928" s="766"/>
      <c r="Q1928" s="766"/>
      <c r="R1928" s="766"/>
      <c r="S1928" s="752"/>
      <c r="T1928" s="760"/>
      <c r="U1928" s="130"/>
      <c r="V1928" s="2107"/>
      <c r="W1928" s="792">
        <v>939.30000000000007</v>
      </c>
      <c r="X1928" s="791">
        <f>$R$973*$L$977*$K$1665</f>
        <v>927.18000000000006</v>
      </c>
      <c r="Y1928" s="710"/>
      <c r="Z1928" s="710"/>
      <c r="AA1928" s="710"/>
      <c r="AB1928" s="710"/>
      <c r="AC1928" s="710"/>
      <c r="AD1928" s="710"/>
      <c r="AE1928" s="710"/>
      <c r="AF1928" s="710"/>
      <c r="AG1928" s="710"/>
    </row>
    <row r="1929" spans="1:33" s="56" customFormat="1" ht="15" hidden="1" customHeight="1" outlineLevel="1" x14ac:dyDescent="0.25">
      <c r="A1929" s="724"/>
      <c r="B1929" s="130"/>
      <c r="C1929" s="616"/>
      <c r="D1929" s="2101"/>
      <c r="E1929" s="2104"/>
      <c r="F1929" s="2098" t="str">
        <f t="shared" si="76"/>
        <v>ASHP - SEER 15 Replace at Fail with ASHP: HVAC</v>
      </c>
      <c r="G1929" s="2098"/>
      <c r="H1929" s="2098"/>
      <c r="I1929" s="2098"/>
      <c r="J1929" s="709">
        <v>926</v>
      </c>
      <c r="K1929" s="742"/>
      <c r="L1929" s="670"/>
      <c r="M1929" s="770"/>
      <c r="N1929" s="130"/>
      <c r="O1929" s="251"/>
      <c r="P1929" s="766"/>
      <c r="Q1929" s="766"/>
      <c r="R1929" s="766"/>
      <c r="S1929" s="752"/>
      <c r="T1929" s="760"/>
      <c r="U1929" s="130"/>
      <c r="V1929" s="2107"/>
      <c r="W1929" s="792"/>
      <c r="X1929" s="791"/>
      <c r="Y1929" s="710"/>
      <c r="Z1929" s="710"/>
      <c r="AA1929" s="710"/>
      <c r="AB1929" s="710"/>
      <c r="AC1929" s="710"/>
      <c r="AD1929" s="710"/>
      <c r="AE1929" s="710"/>
      <c r="AF1929" s="710"/>
      <c r="AG1929" s="710"/>
    </row>
    <row r="1930" spans="1:33" s="56" customFormat="1" ht="15" hidden="1" customHeight="1" outlineLevel="1" x14ac:dyDescent="0.25">
      <c r="A1930" s="724"/>
      <c r="B1930" s="130"/>
      <c r="C1930" s="616"/>
      <c r="D1930" s="2101"/>
      <c r="E1930" s="2104"/>
      <c r="F1930" s="2098" t="str">
        <f t="shared" si="76"/>
        <v>ASHP - SEER 16 - replace electric furnace / CAC - early replacement SF ER1</v>
      </c>
      <c r="G1930" s="2098"/>
      <c r="H1930" s="2098"/>
      <c r="I1930" s="2098"/>
      <c r="J1930" s="709">
        <v>1239</v>
      </c>
      <c r="K1930" s="742">
        <f>$Q$974*$L$978*$K$1666</f>
        <v>2063.1007345526277</v>
      </c>
      <c r="L1930" s="670"/>
      <c r="M1930" s="613"/>
      <c r="N1930" s="130"/>
      <c r="O1930" s="251"/>
      <c r="P1930" s="766"/>
      <c r="Q1930" s="766"/>
      <c r="R1930" s="766"/>
      <c r="S1930" s="752"/>
      <c r="T1930" s="760"/>
      <c r="U1930" s="130"/>
      <c r="V1930" s="2107"/>
      <c r="W1930" s="792">
        <v>2896.6077829603428</v>
      </c>
      <c r="X1930" s="791">
        <f>$Q$974*$L$978*$K$1666</f>
        <v>2063.1007345526277</v>
      </c>
      <c r="Y1930" s="710"/>
      <c r="Z1930" s="710"/>
      <c r="AA1930" s="710"/>
      <c r="AB1930" s="710"/>
      <c r="AC1930" s="710"/>
      <c r="AD1930" s="710"/>
      <c r="AE1930" s="710"/>
      <c r="AF1930" s="710"/>
      <c r="AG1930" s="710"/>
    </row>
    <row r="1931" spans="1:33" s="56" customFormat="1" ht="15" hidden="1" customHeight="1" outlineLevel="1" x14ac:dyDescent="0.25">
      <c r="A1931" s="724"/>
      <c r="B1931" s="130"/>
      <c r="C1931" s="616"/>
      <c r="D1931" s="2101"/>
      <c r="E1931" s="2104"/>
      <c r="F1931" s="2098" t="str">
        <f t="shared" si="76"/>
        <v>ASHP - SEER 16 - replace electric furnace / CAC - early replacement SF ER1</v>
      </c>
      <c r="G1931" s="2098"/>
      <c r="H1931" s="2098"/>
      <c r="I1931" s="2098"/>
      <c r="J1931" s="709" t="s">
        <v>1166</v>
      </c>
      <c r="K1931" s="742"/>
      <c r="L1931" s="670"/>
      <c r="M1931" s="613"/>
      <c r="N1931" s="130"/>
      <c r="O1931" s="251"/>
      <c r="P1931" s="766"/>
      <c r="Q1931" s="766"/>
      <c r="R1931" s="766"/>
      <c r="S1931" s="752"/>
      <c r="T1931" s="760"/>
      <c r="U1931" s="130"/>
      <c r="V1931" s="2107"/>
      <c r="W1931" s="792"/>
      <c r="X1931" s="791"/>
      <c r="Y1931" s="710"/>
      <c r="Z1931" s="710"/>
      <c r="AA1931" s="710"/>
      <c r="AB1931" s="710"/>
      <c r="AC1931" s="710"/>
      <c r="AD1931" s="710"/>
      <c r="AE1931" s="710"/>
      <c r="AF1931" s="710"/>
      <c r="AG1931" s="710"/>
    </row>
    <row r="1932" spans="1:33" s="56" customFormat="1" ht="15" hidden="1" customHeight="1" outlineLevel="1" x14ac:dyDescent="0.25">
      <c r="A1932" s="724"/>
      <c r="B1932" s="130"/>
      <c r="C1932" s="616"/>
      <c r="D1932" s="2101"/>
      <c r="E1932" s="2104"/>
      <c r="F1932" s="2098" t="str">
        <f t="shared" si="76"/>
        <v>ASHP - SEER 16 - replace electric furnace / CAC - early replacement SF ER2</v>
      </c>
      <c r="G1932" s="2098"/>
      <c r="H1932" s="2098"/>
      <c r="I1932" s="2098"/>
      <c r="J1932" s="709">
        <v>1266</v>
      </c>
      <c r="K1932" s="742"/>
      <c r="L1932" s="670"/>
      <c r="M1932" s="613"/>
      <c r="N1932" s="130"/>
      <c r="O1932" s="251"/>
      <c r="P1932" s="766"/>
      <c r="Q1932" s="766"/>
      <c r="R1932" s="766"/>
      <c r="S1932" s="752"/>
      <c r="T1932" s="760"/>
      <c r="U1932" s="130"/>
      <c r="V1932" s="2107"/>
      <c r="W1932" s="792"/>
      <c r="X1932" s="791"/>
      <c r="Y1932" s="710"/>
      <c r="Z1932" s="710"/>
      <c r="AA1932" s="710"/>
      <c r="AB1932" s="710"/>
      <c r="AC1932" s="710"/>
      <c r="AD1932" s="710"/>
      <c r="AE1932" s="710"/>
      <c r="AF1932" s="710"/>
      <c r="AG1932" s="710"/>
    </row>
    <row r="1933" spans="1:33" s="56" customFormat="1" ht="15" hidden="1" customHeight="1" outlineLevel="1" x14ac:dyDescent="0.25">
      <c r="A1933" s="724"/>
      <c r="B1933" s="130"/>
      <c r="C1933" s="616"/>
      <c r="D1933" s="2101"/>
      <c r="E1933" s="2104"/>
      <c r="F1933" s="2098" t="str">
        <f t="shared" si="76"/>
        <v>ASHP - SEER 16 - replace electric furnace / CAC - early replacement SF ER2</v>
      </c>
      <c r="G1933" s="2098"/>
      <c r="H1933" s="2098"/>
      <c r="I1933" s="2098"/>
      <c r="J1933" s="709" t="s">
        <v>1168</v>
      </c>
      <c r="K1933" s="742"/>
      <c r="L1933" s="670"/>
      <c r="M1933" s="613"/>
      <c r="N1933" s="130"/>
      <c r="O1933" s="251"/>
      <c r="P1933" s="766"/>
      <c r="Q1933" s="766"/>
      <c r="R1933" s="766"/>
      <c r="S1933" s="752"/>
      <c r="T1933" s="760"/>
      <c r="U1933" s="130"/>
      <c r="V1933" s="2107"/>
      <c r="W1933" s="792"/>
      <c r="X1933" s="791"/>
      <c r="Y1933" s="710"/>
      <c r="Z1933" s="710"/>
      <c r="AA1933" s="710"/>
      <c r="AB1933" s="710"/>
      <c r="AC1933" s="710"/>
      <c r="AD1933" s="710"/>
      <c r="AE1933" s="710"/>
      <c r="AF1933" s="710"/>
      <c r="AG1933" s="710"/>
    </row>
    <row r="1934" spans="1:33" s="56" customFormat="1" ht="15" hidden="1" customHeight="1" outlineLevel="1" x14ac:dyDescent="0.25">
      <c r="A1934" s="724"/>
      <c r="B1934" s="130"/>
      <c r="C1934" s="616"/>
      <c r="D1934" s="2101"/>
      <c r="E1934" s="2104"/>
      <c r="F1934" s="2098" t="str">
        <f t="shared" si="76"/>
        <v>ASHP SEER 16 replace ASHP - early replacement SF ER1</v>
      </c>
      <c r="G1934" s="2098"/>
      <c r="H1934" s="2098"/>
      <c r="I1934" s="2098"/>
      <c r="J1934" s="709">
        <v>1268</v>
      </c>
      <c r="K1934" s="742">
        <f>$Q$974*$L$980*$K$1668</f>
        <v>2063.1007345526277</v>
      </c>
      <c r="L1934" s="670"/>
      <c r="M1934" s="613"/>
      <c r="N1934" s="130"/>
      <c r="O1934" s="251"/>
      <c r="P1934" s="766"/>
      <c r="Q1934" s="766"/>
      <c r="R1934" s="766"/>
      <c r="S1934" s="752"/>
      <c r="T1934" s="760"/>
      <c r="U1934" s="130"/>
      <c r="V1934" s="2107"/>
      <c r="W1934" s="792">
        <v>3083.4857044416549</v>
      </c>
      <c r="X1934" s="791">
        <f>$Q$974*$L$980*$K$1668</f>
        <v>2063.1007345526277</v>
      </c>
      <c r="Y1934" s="710"/>
      <c r="Z1934" s="710"/>
      <c r="AA1934" s="710"/>
      <c r="AB1934" s="710"/>
      <c r="AC1934" s="710"/>
      <c r="AD1934" s="710"/>
      <c r="AE1934" s="710"/>
      <c r="AF1934" s="710"/>
      <c r="AG1934" s="710"/>
    </row>
    <row r="1935" spans="1:33" s="56" customFormat="1" ht="15" hidden="1" customHeight="1" outlineLevel="1" x14ac:dyDescent="0.25">
      <c r="A1935" s="724"/>
      <c r="B1935" s="130"/>
      <c r="C1935" s="616"/>
      <c r="D1935" s="2101"/>
      <c r="E1935" s="2104"/>
      <c r="F1935" s="2098" t="str">
        <f t="shared" si="76"/>
        <v>ASHP SEER 16 replace ASHP - early replacement SF ER1</v>
      </c>
      <c r="G1935" s="2098"/>
      <c r="H1935" s="2098"/>
      <c r="I1935" s="2098"/>
      <c r="J1935" s="709">
        <v>1240</v>
      </c>
      <c r="K1935" s="742"/>
      <c r="L1935" s="670"/>
      <c r="M1935" s="613"/>
      <c r="N1935" s="130"/>
      <c r="O1935" s="251"/>
      <c r="P1935" s="766"/>
      <c r="Q1935" s="766"/>
      <c r="R1935" s="766"/>
      <c r="S1935" s="752"/>
      <c r="T1935" s="760"/>
      <c r="U1935" s="130"/>
      <c r="V1935" s="2107"/>
      <c r="W1935" s="792"/>
      <c r="X1935" s="791"/>
      <c r="Y1935" s="710"/>
      <c r="Z1935" s="710"/>
      <c r="AA1935" s="710"/>
      <c r="AB1935" s="710"/>
      <c r="AC1935" s="710"/>
      <c r="AD1935" s="710"/>
      <c r="AE1935" s="710"/>
      <c r="AF1935" s="710"/>
      <c r="AG1935" s="710"/>
    </row>
    <row r="1936" spans="1:33" s="56" customFormat="1" ht="15" hidden="1" customHeight="1" outlineLevel="1" x14ac:dyDescent="0.25">
      <c r="A1936" s="724"/>
      <c r="B1936" s="130"/>
      <c r="C1936" s="616"/>
      <c r="D1936" s="2101"/>
      <c r="E1936" s="2104"/>
      <c r="F1936" s="2098" t="str">
        <f t="shared" si="76"/>
        <v>ASHP SEER 16 replace ASHP - early replacement SF ER2</v>
      </c>
      <c r="G1936" s="2098"/>
      <c r="H1936" s="2098"/>
      <c r="I1936" s="2098"/>
      <c r="J1936" s="709" t="s">
        <v>1170</v>
      </c>
      <c r="K1936" s="742"/>
      <c r="L1936" s="670"/>
      <c r="M1936" s="613"/>
      <c r="N1936" s="130"/>
      <c r="O1936" s="251"/>
      <c r="P1936" s="766"/>
      <c r="Q1936" s="766"/>
      <c r="R1936" s="766"/>
      <c r="S1936" s="752"/>
      <c r="T1936" s="760"/>
      <c r="U1936" s="130"/>
      <c r="V1936" s="2107"/>
      <c r="W1936" s="792"/>
      <c r="X1936" s="791"/>
      <c r="Y1936" s="710"/>
      <c r="Z1936" s="710"/>
      <c r="AA1936" s="710"/>
      <c r="AB1936" s="710"/>
      <c r="AC1936" s="710"/>
      <c r="AD1936" s="710"/>
      <c r="AE1936" s="710"/>
      <c r="AF1936" s="710"/>
      <c r="AG1936" s="710"/>
    </row>
    <row r="1937" spans="1:33" s="56" customFormat="1" ht="15" hidden="1" customHeight="1" outlineLevel="1" x14ac:dyDescent="0.25">
      <c r="A1937" s="724"/>
      <c r="B1937" s="130"/>
      <c r="C1937" s="616"/>
      <c r="D1937" s="2101"/>
      <c r="E1937" s="2104"/>
      <c r="F1937" s="2098" t="str">
        <f t="shared" si="76"/>
        <v>ASHP SEER 16 replace ASHP - early replacement SF ER2</v>
      </c>
      <c r="G1937" s="2098"/>
      <c r="H1937" s="2098"/>
      <c r="I1937" s="2098"/>
      <c r="J1937" s="709">
        <v>1270</v>
      </c>
      <c r="K1937" s="742"/>
      <c r="L1937" s="670"/>
      <c r="M1937" s="613"/>
      <c r="N1937" s="130"/>
      <c r="O1937" s="251"/>
      <c r="P1937" s="766"/>
      <c r="Q1937" s="766"/>
      <c r="R1937" s="766"/>
      <c r="S1937" s="752"/>
      <c r="T1937" s="760"/>
      <c r="U1937" s="130"/>
      <c r="V1937" s="2107"/>
      <c r="W1937" s="792"/>
      <c r="X1937" s="791"/>
      <c r="Y1937" s="710"/>
      <c r="Z1937" s="710"/>
      <c r="AA1937" s="710"/>
      <c r="AB1937" s="710"/>
      <c r="AC1937" s="710"/>
      <c r="AD1937" s="710"/>
      <c r="AE1937" s="710"/>
      <c r="AF1937" s="710"/>
      <c r="AG1937" s="710"/>
    </row>
    <row r="1938" spans="1:33" s="56" customFormat="1" ht="15" hidden="1" customHeight="1" outlineLevel="1" x14ac:dyDescent="0.25">
      <c r="A1938" s="724"/>
      <c r="B1938" s="130"/>
      <c r="C1938" s="616"/>
      <c r="D1938" s="2101"/>
      <c r="E1938" s="2104"/>
      <c r="F1938" s="2098" t="str">
        <f t="shared" si="76"/>
        <v>ASHP - SEER 16 - replace electric furnace / CAC SF</v>
      </c>
      <c r="G1938" s="2098"/>
      <c r="H1938" s="2098"/>
      <c r="I1938" s="2098"/>
      <c r="J1938" s="709">
        <v>1271</v>
      </c>
      <c r="K1938" s="792">
        <f>$R$974*$L$982*$K$1670</f>
        <v>1201.662</v>
      </c>
      <c r="L1938" s="670"/>
      <c r="M1938" s="613"/>
      <c r="N1938" s="130"/>
      <c r="O1938" s="251"/>
      <c r="P1938" s="766"/>
      <c r="Q1938" s="766"/>
      <c r="R1938" s="766"/>
      <c r="S1938" s="752"/>
      <c r="T1938" s="760"/>
      <c r="U1938" s="130"/>
      <c r="V1938" s="2107"/>
      <c r="W1938" s="792">
        <v>1256.6400000000001</v>
      </c>
      <c r="X1938" s="791">
        <f>$R$974*$L$982*$K$1670</f>
        <v>1201.662</v>
      </c>
      <c r="Y1938" s="710"/>
      <c r="Z1938" s="710"/>
      <c r="AA1938" s="710"/>
      <c r="AB1938" s="710"/>
      <c r="AC1938" s="710"/>
      <c r="AD1938" s="710"/>
      <c r="AE1938" s="710"/>
      <c r="AF1938" s="710"/>
      <c r="AG1938" s="710"/>
    </row>
    <row r="1939" spans="1:33" s="56" customFormat="1" ht="15" hidden="1" customHeight="1" outlineLevel="1" x14ac:dyDescent="0.25">
      <c r="A1939" s="724"/>
      <c r="B1939" s="130"/>
      <c r="C1939" s="616"/>
      <c r="D1939" s="2101"/>
      <c r="E1939" s="2104"/>
      <c r="F1939" s="2098" t="str">
        <f t="shared" si="76"/>
        <v>ASHP - SEER 16 - replace electric furnace / CAC SF</v>
      </c>
      <c r="G1939" s="2098"/>
      <c r="H1939" s="2098"/>
      <c r="I1939" s="2098"/>
      <c r="J1939" s="709">
        <v>1269</v>
      </c>
      <c r="K1939" s="792"/>
      <c r="L1939" s="670"/>
      <c r="M1939" s="613"/>
      <c r="N1939" s="130"/>
      <c r="O1939" s="251"/>
      <c r="P1939" s="766"/>
      <c r="Q1939" s="766"/>
      <c r="R1939" s="766"/>
      <c r="S1939" s="752"/>
      <c r="T1939" s="760"/>
      <c r="U1939" s="130"/>
      <c r="V1939" s="2107"/>
      <c r="W1939" s="792"/>
      <c r="X1939" s="791"/>
      <c r="Y1939" s="710"/>
      <c r="Z1939" s="710"/>
      <c r="AA1939" s="710"/>
      <c r="AB1939" s="710"/>
      <c r="AC1939" s="710"/>
      <c r="AD1939" s="710"/>
      <c r="AE1939" s="710"/>
      <c r="AF1939" s="710"/>
      <c r="AG1939" s="710"/>
    </row>
    <row r="1940" spans="1:33" s="56" customFormat="1" ht="15" hidden="1" customHeight="1" outlineLevel="1" x14ac:dyDescent="0.25">
      <c r="A1940" s="724"/>
      <c r="B1940" s="130"/>
      <c r="C1940" s="616"/>
      <c r="D1940" s="2101"/>
      <c r="E1940" s="2104"/>
      <c r="F1940" s="2098" t="str">
        <f t="shared" si="76"/>
        <v>ASHP SEER 16 replace ASHP - replace on fail SF</v>
      </c>
      <c r="G1940" s="2098"/>
      <c r="H1940" s="2098"/>
      <c r="I1940" s="2098"/>
      <c r="J1940" s="709" t="s">
        <v>1171</v>
      </c>
      <c r="K1940" s="792">
        <f>$R$973*$L$983*$K$1671</f>
        <v>927.18000000000006</v>
      </c>
      <c r="L1940" s="670"/>
      <c r="M1940" s="613"/>
      <c r="N1940" s="130"/>
      <c r="O1940" s="251"/>
      <c r="P1940" s="766"/>
      <c r="Q1940" s="766"/>
      <c r="R1940" s="766"/>
      <c r="S1940" s="752"/>
      <c r="T1940" s="760"/>
      <c r="U1940" s="130"/>
      <c r="V1940" s="2107"/>
      <c r="W1940" s="792">
        <v>999.9</v>
      </c>
      <c r="X1940" s="791">
        <f>$R$973*$L$983*$K$1671</f>
        <v>927.18000000000006</v>
      </c>
      <c r="Y1940" s="710"/>
      <c r="Z1940" s="710"/>
      <c r="AA1940" s="710"/>
      <c r="AB1940" s="710"/>
      <c r="AC1940" s="710"/>
      <c r="AD1940" s="710"/>
      <c r="AE1940" s="710"/>
      <c r="AF1940" s="710"/>
      <c r="AG1940" s="710"/>
    </row>
    <row r="1941" spans="1:33" s="56" customFormat="1" ht="15" hidden="1" customHeight="1" outlineLevel="1" x14ac:dyDescent="0.25">
      <c r="A1941" s="724"/>
      <c r="B1941" s="130"/>
      <c r="C1941" s="616"/>
      <c r="D1941" s="2101"/>
      <c r="E1941" s="2104"/>
      <c r="F1941" s="2098" t="str">
        <f t="shared" si="76"/>
        <v>ASHP SEER 16 replace ASHP - replace on fail SF</v>
      </c>
      <c r="G1941" s="2098"/>
      <c r="H1941" s="2098"/>
      <c r="I1941" s="2098"/>
      <c r="J1941" s="709">
        <v>1267</v>
      </c>
      <c r="K1941" s="792"/>
      <c r="L1941" s="670"/>
      <c r="M1941" s="613"/>
      <c r="N1941" s="130"/>
      <c r="O1941" s="251"/>
      <c r="P1941" s="766"/>
      <c r="Q1941" s="766"/>
      <c r="R1941" s="766"/>
      <c r="S1941" s="752"/>
      <c r="T1941" s="760"/>
      <c r="U1941" s="130"/>
      <c r="V1941" s="2107"/>
      <c r="W1941" s="792"/>
      <c r="X1941" s="793"/>
      <c r="Y1941" s="710"/>
      <c r="Z1941" s="710"/>
      <c r="AA1941" s="710"/>
      <c r="AB1941" s="710"/>
      <c r="AC1941" s="710"/>
      <c r="AD1941" s="710"/>
      <c r="AE1941" s="710"/>
      <c r="AF1941" s="710"/>
      <c r="AG1941" s="710"/>
    </row>
    <row r="1942" spans="1:33" s="56" customFormat="1" ht="15" hidden="1" customHeight="1" outlineLevel="1" x14ac:dyDescent="0.25">
      <c r="A1942" s="724"/>
      <c r="B1942" s="130"/>
      <c r="C1942" s="616"/>
      <c r="D1942" s="2101"/>
      <c r="E1942" s="2104"/>
      <c r="F1942" s="2098" t="str">
        <f t="shared" si="76"/>
        <v>ASHP SEER 15 MFMR / MFLI ER Replace ASHP: HVAC ER1</v>
      </c>
      <c r="G1942" s="2098"/>
      <c r="H1942" s="2098"/>
      <c r="I1942" s="2098"/>
      <c r="J1942" s="709" t="s">
        <v>1172</v>
      </c>
      <c r="K1942" s="792">
        <f>$Q$973*$L$984*$K$1672</f>
        <v>1177.7995915436422</v>
      </c>
      <c r="L1942" s="670"/>
      <c r="M1942" s="613"/>
      <c r="N1942" s="130"/>
      <c r="O1942" s="251"/>
      <c r="P1942" s="766"/>
      <c r="Q1942" s="766"/>
      <c r="R1942" s="766"/>
      <c r="S1942" s="752"/>
      <c r="T1942" s="760"/>
      <c r="U1942" s="130"/>
      <c r="V1942" s="2107"/>
      <c r="W1942" s="792">
        <v>2618.5377829603426</v>
      </c>
      <c r="X1942" s="793">
        <f>$Q$973*$L$984*$K$1672</f>
        <v>1177.7995915436422</v>
      </c>
      <c r="Y1942" s="710"/>
      <c r="Z1942" s="710"/>
      <c r="AA1942" s="710"/>
      <c r="AB1942" s="710"/>
      <c r="AC1942" s="710"/>
      <c r="AD1942" s="710"/>
      <c r="AE1942" s="710"/>
      <c r="AF1942" s="710"/>
      <c r="AG1942" s="710"/>
    </row>
    <row r="1943" spans="1:33" s="56" customFormat="1" ht="15" hidden="1" customHeight="1" outlineLevel="1" x14ac:dyDescent="0.25">
      <c r="A1943" s="724"/>
      <c r="B1943" s="130"/>
      <c r="C1943" s="616"/>
      <c r="D1943" s="2101"/>
      <c r="E1943" s="2104"/>
      <c r="F1943" s="2098" t="str">
        <f t="shared" si="76"/>
        <v>ASHP SEER 15 MFMR / MFLI ER Replace ASHP: HVAC ER1</v>
      </c>
      <c r="G1943" s="2098"/>
      <c r="H1943" s="2098"/>
      <c r="I1943" s="2098"/>
      <c r="J1943" s="709" t="s">
        <v>1174</v>
      </c>
      <c r="K1943" s="792"/>
      <c r="L1943" s="670"/>
      <c r="M1943" s="613"/>
      <c r="N1943" s="130"/>
      <c r="O1943" s="251"/>
      <c r="P1943" s="766"/>
      <c r="Q1943" s="766"/>
      <c r="R1943" s="766"/>
      <c r="S1943" s="752"/>
      <c r="T1943" s="760"/>
      <c r="U1943" s="130"/>
      <c r="V1943" s="2107"/>
      <c r="W1943" s="792"/>
      <c r="X1943" s="793"/>
      <c r="Y1943" s="710"/>
      <c r="Z1943" s="710"/>
      <c r="AA1943" s="710"/>
      <c r="AB1943" s="710"/>
      <c r="AC1943" s="710"/>
      <c r="AD1943" s="710"/>
      <c r="AE1943" s="710"/>
      <c r="AF1943" s="710"/>
      <c r="AG1943" s="710"/>
    </row>
    <row r="1944" spans="1:33" s="56" customFormat="1" ht="15" hidden="1" customHeight="1" outlineLevel="1" x14ac:dyDescent="0.25">
      <c r="A1944" s="724"/>
      <c r="B1944" s="130"/>
      <c r="C1944" s="616"/>
      <c r="D1944" s="2101"/>
      <c r="E1944" s="2104"/>
      <c r="F1944" s="2098" t="str">
        <f t="shared" si="76"/>
        <v>ASHP SEER 15 MF ER Replace ASHP: HVAC ER2</v>
      </c>
      <c r="G1944" s="2098"/>
      <c r="H1944" s="2098"/>
      <c r="I1944" s="2098"/>
      <c r="J1944" s="709" t="s">
        <v>1175</v>
      </c>
      <c r="K1944" s="792"/>
      <c r="L1944" s="670"/>
      <c r="M1944" s="613"/>
      <c r="N1944" s="130"/>
      <c r="O1944" s="251"/>
      <c r="P1944" s="766"/>
      <c r="Q1944" s="766"/>
      <c r="R1944" s="766"/>
      <c r="S1944" s="752"/>
      <c r="T1944" s="760"/>
      <c r="U1944" s="130"/>
      <c r="V1944" s="2107"/>
      <c r="W1944" s="792"/>
      <c r="X1944" s="793"/>
      <c r="Y1944" s="710"/>
      <c r="Z1944" s="710"/>
      <c r="AA1944" s="710"/>
      <c r="AB1944" s="710"/>
      <c r="AC1944" s="710"/>
      <c r="AD1944" s="710"/>
      <c r="AE1944" s="710"/>
      <c r="AF1944" s="710"/>
      <c r="AG1944" s="710"/>
    </row>
    <row r="1945" spans="1:33" s="56" customFormat="1" ht="15" hidden="1" customHeight="1" outlineLevel="1" x14ac:dyDescent="0.25">
      <c r="A1945" s="724"/>
      <c r="B1945" s="130"/>
      <c r="C1945" s="616"/>
      <c r="D1945" s="2101"/>
      <c r="E1945" s="2104"/>
      <c r="F1945" s="2098" t="str">
        <f t="shared" si="76"/>
        <v>ASHP SEER 15 MF ER Replace ASHP: HVAC ER2</v>
      </c>
      <c r="G1945" s="2098"/>
      <c r="H1945" s="2098"/>
      <c r="I1945" s="2098"/>
      <c r="J1945" s="709" t="s">
        <v>1176</v>
      </c>
      <c r="K1945" s="792"/>
      <c r="L1945" s="670"/>
      <c r="M1945" s="613"/>
      <c r="N1945" s="130"/>
      <c r="O1945" s="251"/>
      <c r="P1945" s="766"/>
      <c r="Q1945" s="766"/>
      <c r="R1945" s="766"/>
      <c r="S1945" s="752"/>
      <c r="T1945" s="760"/>
      <c r="U1945" s="130"/>
      <c r="V1945" s="2107"/>
      <c r="W1945" s="792"/>
      <c r="X1945" s="793"/>
      <c r="Y1945" s="710"/>
      <c r="Z1945" s="710"/>
      <c r="AA1945" s="710"/>
      <c r="AB1945" s="710"/>
      <c r="AC1945" s="710"/>
      <c r="AD1945" s="710"/>
      <c r="AE1945" s="710"/>
      <c r="AF1945" s="710"/>
      <c r="AG1945" s="710"/>
    </row>
    <row r="1946" spans="1:33" s="56" customFormat="1" ht="15" hidden="1" customHeight="1" outlineLevel="1" x14ac:dyDescent="0.25">
      <c r="A1946" s="724"/>
      <c r="B1946" s="130"/>
      <c r="C1946" s="616"/>
      <c r="D1946" s="2101"/>
      <c r="E1946" s="2104"/>
      <c r="F1946" s="2098" t="str">
        <f t="shared" si="76"/>
        <v>ASHP SEER 15 MF ER Replace Elec Resist Furnace: HVAC ER1</v>
      </c>
      <c r="G1946" s="2098"/>
      <c r="H1946" s="2098"/>
      <c r="I1946" s="2098"/>
      <c r="J1946" s="709" t="s">
        <v>1177</v>
      </c>
      <c r="K1946" s="792">
        <f>$Q$973*$L$986*$K$1674</f>
        <v>1063.8189859103863</v>
      </c>
      <c r="L1946" s="670"/>
      <c r="M1946" s="613"/>
      <c r="N1946" s="130"/>
      <c r="O1946" s="251"/>
      <c r="P1946" s="766"/>
      <c r="Q1946" s="766"/>
      <c r="R1946" s="766"/>
      <c r="S1946" s="752"/>
      <c r="T1946" s="760"/>
      <c r="U1946" s="130"/>
      <c r="V1946" s="2107"/>
      <c r="W1946" s="792">
        <v>2365.1309007383738</v>
      </c>
      <c r="X1946" s="793">
        <f>$Q$973*$L$986*$K$1674</f>
        <v>1063.8189859103863</v>
      </c>
      <c r="Y1946" s="710"/>
      <c r="Z1946" s="710"/>
      <c r="AA1946" s="710"/>
      <c r="AB1946" s="710"/>
      <c r="AC1946" s="710"/>
      <c r="AD1946" s="710"/>
      <c r="AE1946" s="710"/>
      <c r="AF1946" s="710"/>
      <c r="AG1946" s="710"/>
    </row>
    <row r="1947" spans="1:33" s="56" customFormat="1" ht="15" hidden="1" customHeight="1" outlineLevel="1" x14ac:dyDescent="0.25">
      <c r="A1947" s="724"/>
      <c r="B1947" s="130"/>
      <c r="C1947" s="616"/>
      <c r="D1947" s="2101"/>
      <c r="E1947" s="2104"/>
      <c r="F1947" s="2098" t="str">
        <f t="shared" si="76"/>
        <v>ASHP SEER 15 MF ER Replace Elec Resist Furnace: HVAC ER1</v>
      </c>
      <c r="G1947" s="2098"/>
      <c r="H1947" s="2098"/>
      <c r="I1947" s="2098"/>
      <c r="J1947" s="709" t="s">
        <v>1178</v>
      </c>
      <c r="K1947" s="792"/>
      <c r="L1947" s="670"/>
      <c r="M1947" s="613"/>
      <c r="N1947" s="130"/>
      <c r="O1947" s="251"/>
      <c r="P1947" s="766"/>
      <c r="Q1947" s="766"/>
      <c r="R1947" s="766"/>
      <c r="S1947" s="752"/>
      <c r="T1947" s="760"/>
      <c r="U1947" s="130"/>
      <c r="V1947" s="2107"/>
      <c r="W1947" s="792"/>
      <c r="X1947" s="793"/>
      <c r="Y1947" s="710"/>
      <c r="Z1947" s="710"/>
      <c r="AA1947" s="710"/>
      <c r="AB1947" s="710"/>
      <c r="AC1947" s="710"/>
      <c r="AD1947" s="710"/>
      <c r="AE1947" s="710"/>
      <c r="AF1947" s="710"/>
      <c r="AG1947" s="710"/>
    </row>
    <row r="1948" spans="1:33" s="56" customFormat="1" ht="15" hidden="1" customHeight="1" outlineLevel="1" x14ac:dyDescent="0.25">
      <c r="A1948" s="724"/>
      <c r="B1948" s="130"/>
      <c r="C1948" s="616"/>
      <c r="D1948" s="2101"/>
      <c r="E1948" s="2104"/>
      <c r="F1948" s="2098" t="str">
        <f t="shared" si="76"/>
        <v>ASHP SEER 15 MF ER Replace Elec Resist Furnace: HVAC ER2</v>
      </c>
      <c r="G1948" s="2098"/>
      <c r="H1948" s="2098"/>
      <c r="I1948" s="2098"/>
      <c r="J1948" s="709" t="s">
        <v>1179</v>
      </c>
      <c r="K1948" s="792"/>
      <c r="L1948" s="670"/>
      <c r="M1948" s="613"/>
      <c r="N1948" s="130"/>
      <c r="O1948" s="251"/>
      <c r="P1948" s="766"/>
      <c r="Q1948" s="766"/>
      <c r="R1948" s="766"/>
      <c r="S1948" s="752"/>
      <c r="T1948" s="760"/>
      <c r="U1948" s="130"/>
      <c r="V1948" s="2107"/>
      <c r="W1948" s="792"/>
      <c r="X1948" s="793"/>
      <c r="Y1948" s="710"/>
      <c r="Z1948" s="710"/>
      <c r="AA1948" s="710"/>
      <c r="AB1948" s="710"/>
      <c r="AC1948" s="710"/>
      <c r="AD1948" s="710"/>
      <c r="AE1948" s="710"/>
      <c r="AF1948" s="710"/>
      <c r="AG1948" s="710"/>
    </row>
    <row r="1949" spans="1:33" s="56" customFormat="1" ht="15" hidden="1" customHeight="1" outlineLevel="1" x14ac:dyDescent="0.25">
      <c r="A1949" s="724"/>
      <c r="B1949" s="130"/>
      <c r="C1949" s="616"/>
      <c r="D1949" s="2101"/>
      <c r="E1949" s="2104"/>
      <c r="F1949" s="2098" t="str">
        <f t="shared" si="76"/>
        <v>ASHP SEER 15 MF ER Replace Elec Resist Furnace: HVAC ER2</v>
      </c>
      <c r="G1949" s="2098"/>
      <c r="H1949" s="2098"/>
      <c r="I1949" s="2098"/>
      <c r="J1949" s="709" t="s">
        <v>1180</v>
      </c>
      <c r="K1949" s="792"/>
      <c r="L1949" s="670"/>
      <c r="M1949" s="613"/>
      <c r="N1949" s="130"/>
      <c r="O1949" s="251"/>
      <c r="P1949" s="766"/>
      <c r="Q1949" s="766"/>
      <c r="R1949" s="766"/>
      <c r="S1949" s="752"/>
      <c r="T1949" s="760"/>
      <c r="U1949" s="130"/>
      <c r="V1949" s="2107"/>
      <c r="W1949" s="792"/>
      <c r="X1949" s="793"/>
      <c r="Y1949" s="710"/>
      <c r="Z1949" s="710"/>
      <c r="AA1949" s="710"/>
      <c r="AB1949" s="710"/>
      <c r="AC1949" s="710"/>
      <c r="AD1949" s="710"/>
      <c r="AE1949" s="710"/>
      <c r="AF1949" s="710"/>
      <c r="AG1949" s="710"/>
    </row>
    <row r="1950" spans="1:33" s="56" customFormat="1" ht="15" hidden="1" customHeight="1" outlineLevel="1" x14ac:dyDescent="0.25">
      <c r="A1950" s="724"/>
      <c r="B1950" s="130"/>
      <c r="C1950" s="616"/>
      <c r="D1950" s="2101"/>
      <c r="E1950" s="2104"/>
      <c r="F1950" s="2098" t="str">
        <f t="shared" si="76"/>
        <v>ASHP SEER 15 MF Replace at Fail Elec Resist Furnace: HVAC</v>
      </c>
      <c r="G1950" s="2098"/>
      <c r="H1950" s="2098"/>
      <c r="I1950" s="2098"/>
      <c r="J1950" s="709" t="s">
        <v>1181</v>
      </c>
      <c r="K1950" s="792">
        <f>$R$973*$L$988*$K$1676</f>
        <v>512.07000000000005</v>
      </c>
      <c r="L1950" s="670"/>
      <c r="M1950" s="613"/>
      <c r="N1950" s="130"/>
      <c r="O1950" s="251"/>
      <c r="P1950" s="766"/>
      <c r="Q1950" s="766"/>
      <c r="R1950" s="766"/>
      <c r="S1950" s="752"/>
      <c r="T1950" s="760"/>
      <c r="U1950" s="130"/>
      <c r="V1950" s="2107"/>
      <c r="W1950" s="792">
        <v>787.80000000000007</v>
      </c>
      <c r="X1950" s="793">
        <f>$R$973*$L$988*$K$1676</f>
        <v>512.07000000000005</v>
      </c>
      <c r="Y1950" s="710"/>
      <c r="Z1950" s="710"/>
      <c r="AA1950" s="710"/>
      <c r="AB1950" s="710"/>
      <c r="AC1950" s="710"/>
      <c r="AD1950" s="710"/>
      <c r="AE1950" s="710"/>
      <c r="AF1950" s="710"/>
      <c r="AG1950" s="710"/>
    </row>
    <row r="1951" spans="1:33" s="56" customFormat="1" ht="15" hidden="1" customHeight="1" outlineLevel="1" x14ac:dyDescent="0.25">
      <c r="A1951" s="724"/>
      <c r="B1951" s="130"/>
      <c r="C1951" s="616"/>
      <c r="D1951" s="2101"/>
      <c r="E1951" s="2104"/>
      <c r="F1951" s="2098" t="str">
        <f t="shared" si="76"/>
        <v>ASHP SEER 15 MF Replace at Fail Elec Resist Furnace: HVAC</v>
      </c>
      <c r="G1951" s="2098"/>
      <c r="H1951" s="2098"/>
      <c r="I1951" s="2098"/>
      <c r="J1951" s="709" t="s">
        <v>1182</v>
      </c>
      <c r="K1951" s="792"/>
      <c r="L1951" s="670"/>
      <c r="M1951" s="613"/>
      <c r="N1951" s="130"/>
      <c r="O1951" s="251"/>
      <c r="P1951" s="766"/>
      <c r="Q1951" s="767"/>
      <c r="R1951" s="766"/>
      <c r="S1951" s="752"/>
      <c r="T1951" s="760"/>
      <c r="U1951" s="130"/>
      <c r="V1951" s="2107"/>
      <c r="W1951" s="792"/>
      <c r="X1951" s="793"/>
      <c r="Y1951" s="710"/>
      <c r="Z1951" s="710"/>
      <c r="AA1951" s="710"/>
      <c r="AB1951" s="710"/>
      <c r="AC1951" s="710"/>
      <c r="AD1951" s="710"/>
      <c r="AE1951" s="710"/>
      <c r="AF1951" s="710"/>
      <c r="AG1951" s="710"/>
    </row>
    <row r="1952" spans="1:33" s="56" customFormat="1" ht="15" hidden="1" customHeight="1" outlineLevel="1" x14ac:dyDescent="0.25">
      <c r="A1952" s="724"/>
      <c r="B1952" s="130"/>
      <c r="C1952" s="616"/>
      <c r="D1952" s="2101"/>
      <c r="E1952" s="2104"/>
      <c r="F1952" s="2098" t="str">
        <f t="shared" si="76"/>
        <v>ASHP SEER 16 MF ER Replace ASHP: HVAC ER1</v>
      </c>
      <c r="G1952" s="2098"/>
      <c r="H1952" s="2098"/>
      <c r="I1952" s="2098"/>
      <c r="J1952" s="709" t="s">
        <v>1183</v>
      </c>
      <c r="K1952" s="792">
        <f>$Q$974*$L$989*$K$1677</f>
        <v>1446.1931619658126</v>
      </c>
      <c r="L1952" s="670"/>
      <c r="M1952" s="613"/>
      <c r="N1952" s="130"/>
      <c r="O1952" s="251"/>
      <c r="P1952" s="766"/>
      <c r="Q1952" s="767"/>
      <c r="R1952" s="766"/>
      <c r="S1952" s="752"/>
      <c r="T1952" s="760"/>
      <c r="U1952" s="130"/>
      <c r="V1952" s="2107"/>
      <c r="W1952" s="792">
        <v>3083.4857044416549</v>
      </c>
      <c r="X1952" s="793">
        <f>$Q$974*$L$989*$K$1677</f>
        <v>1446.1931619658126</v>
      </c>
      <c r="Y1952" s="710"/>
      <c r="Z1952" s="710"/>
      <c r="AA1952" s="710"/>
      <c r="AB1952" s="710"/>
      <c r="AC1952" s="710"/>
      <c r="AD1952" s="710"/>
      <c r="AE1952" s="710"/>
      <c r="AF1952" s="710"/>
      <c r="AG1952" s="710"/>
    </row>
    <row r="1953" spans="1:33" s="56" customFormat="1" ht="15" hidden="1" customHeight="1" outlineLevel="1" x14ac:dyDescent="0.25">
      <c r="A1953" s="724"/>
      <c r="B1953" s="130"/>
      <c r="C1953" s="616"/>
      <c r="D1953" s="2101"/>
      <c r="E1953" s="2104"/>
      <c r="F1953" s="2098" t="str">
        <f t="shared" si="76"/>
        <v>ASHP SEER 16 MF ER Replace ASHP: HVAC ER1</v>
      </c>
      <c r="G1953" s="2098"/>
      <c r="H1953" s="2098"/>
      <c r="I1953" s="2098"/>
      <c r="J1953" s="709" t="s">
        <v>1184</v>
      </c>
      <c r="K1953" s="792"/>
      <c r="L1953" s="670"/>
      <c r="M1953" s="613"/>
      <c r="N1953" s="130"/>
      <c r="O1953" s="251"/>
      <c r="P1953" s="766"/>
      <c r="Q1953" s="767"/>
      <c r="R1953" s="766"/>
      <c r="S1953" s="752"/>
      <c r="T1953" s="760"/>
      <c r="U1953" s="130"/>
      <c r="V1953" s="2107"/>
      <c r="W1953" s="792"/>
      <c r="X1953" s="793"/>
      <c r="Y1953" s="710"/>
      <c r="Z1953" s="710"/>
      <c r="AA1953" s="710"/>
      <c r="AB1953" s="710"/>
      <c r="AC1953" s="710"/>
      <c r="AD1953" s="710"/>
      <c r="AE1953" s="710"/>
      <c r="AF1953" s="710"/>
      <c r="AG1953" s="710"/>
    </row>
    <row r="1954" spans="1:33" s="56" customFormat="1" ht="15" hidden="1" customHeight="1" outlineLevel="1" x14ac:dyDescent="0.25">
      <c r="A1954" s="724"/>
      <c r="B1954" s="130"/>
      <c r="C1954" s="616"/>
      <c r="D1954" s="2101"/>
      <c r="E1954" s="2104"/>
      <c r="F1954" s="2098" t="str">
        <f t="shared" si="76"/>
        <v>ASHP SEER 16 MF ER Replace ASHP: HVAC ER2</v>
      </c>
      <c r="G1954" s="2098"/>
      <c r="H1954" s="2098"/>
      <c r="I1954" s="2098"/>
      <c r="J1954" s="709" t="s">
        <v>1185</v>
      </c>
      <c r="K1954" s="792"/>
      <c r="L1954" s="670"/>
      <c r="M1954" s="613"/>
      <c r="N1954" s="130"/>
      <c r="O1954" s="251"/>
      <c r="P1954" s="766"/>
      <c r="Q1954" s="767"/>
      <c r="R1954" s="766"/>
      <c r="S1954" s="752"/>
      <c r="T1954" s="760"/>
      <c r="U1954" s="130"/>
      <c r="V1954" s="2107"/>
      <c r="W1954" s="792"/>
      <c r="X1954" s="793"/>
      <c r="Y1954" s="710"/>
      <c r="Z1954" s="710"/>
      <c r="AA1954" s="710"/>
      <c r="AB1954" s="710"/>
      <c r="AC1954" s="710"/>
      <c r="AD1954" s="710"/>
      <c r="AE1954" s="710"/>
      <c r="AF1954" s="710"/>
      <c r="AG1954" s="710"/>
    </row>
    <row r="1955" spans="1:33" s="56" customFormat="1" ht="15" hidden="1" customHeight="1" outlineLevel="1" x14ac:dyDescent="0.25">
      <c r="A1955" s="724"/>
      <c r="B1955" s="130"/>
      <c r="C1955" s="616"/>
      <c r="D1955" s="2101"/>
      <c r="E1955" s="2104"/>
      <c r="F1955" s="2098" t="str">
        <f t="shared" si="76"/>
        <v>ASHP SEER 16 MF ER Replace ASHP: HVAC ER2</v>
      </c>
      <c r="G1955" s="2098"/>
      <c r="H1955" s="2098"/>
      <c r="I1955" s="2098"/>
      <c r="J1955" s="709" t="s">
        <v>1186</v>
      </c>
      <c r="K1955" s="792"/>
      <c r="L1955" s="670"/>
      <c r="M1955" s="613"/>
      <c r="N1955" s="130"/>
      <c r="O1955" s="251"/>
      <c r="P1955" s="766"/>
      <c r="Q1955" s="767"/>
      <c r="R1955" s="766"/>
      <c r="S1955" s="752"/>
      <c r="T1955" s="760"/>
      <c r="U1955" s="130"/>
      <c r="V1955" s="2107"/>
      <c r="W1955" s="792"/>
      <c r="X1955" s="793"/>
      <c r="Y1955" s="710"/>
      <c r="Z1955" s="710"/>
      <c r="AA1955" s="710"/>
      <c r="AB1955" s="710"/>
      <c r="AC1955" s="710"/>
      <c r="AD1955" s="710"/>
      <c r="AE1955" s="710"/>
      <c r="AF1955" s="710"/>
      <c r="AG1955" s="710"/>
    </row>
    <row r="1956" spans="1:33" s="56" customFormat="1" ht="15" hidden="1" customHeight="1" outlineLevel="1" x14ac:dyDescent="0.25">
      <c r="A1956" s="724"/>
      <c r="B1956" s="130"/>
      <c r="C1956" s="616"/>
      <c r="D1956" s="2101"/>
      <c r="E1956" s="2104"/>
      <c r="F1956" s="2098" t="str">
        <f t="shared" si="76"/>
        <v>ASHP - SEER 16 - replace on fail MF</v>
      </c>
      <c r="G1956" s="2098"/>
      <c r="H1956" s="2098"/>
      <c r="I1956" s="2098"/>
      <c r="J1956" s="709" t="s">
        <v>1187</v>
      </c>
      <c r="K1956" s="792">
        <f>$R$974*$L$991*$K$1679</f>
        <v>842.34149999999988</v>
      </c>
      <c r="L1956" s="670"/>
      <c r="M1956" s="613"/>
      <c r="N1956" s="130"/>
      <c r="O1956" s="251"/>
      <c r="P1956" s="766"/>
      <c r="Q1956" s="767"/>
      <c r="R1956" s="766"/>
      <c r="S1956" s="752"/>
      <c r="T1956" s="760"/>
      <c r="U1956" s="130"/>
      <c r="V1956" s="2107"/>
      <c r="W1956" s="792">
        <v>1295.9099999999999</v>
      </c>
      <c r="X1956" s="793">
        <f>$R$974*$L$991*$K$1679</f>
        <v>842.34149999999988</v>
      </c>
      <c r="Y1956" s="710"/>
      <c r="Z1956" s="710"/>
      <c r="AA1956" s="710"/>
      <c r="AB1956" s="710"/>
      <c r="AC1956" s="710"/>
      <c r="AD1956" s="710"/>
      <c r="AE1956" s="710"/>
      <c r="AF1956" s="710"/>
      <c r="AG1956" s="710"/>
    </row>
    <row r="1957" spans="1:33" s="56" customFormat="1" ht="15" hidden="1" customHeight="1" outlineLevel="1" x14ac:dyDescent="0.25">
      <c r="A1957" s="597"/>
      <c r="B1957" s="130"/>
      <c r="C1957" s="616"/>
      <c r="D1957" s="2101"/>
      <c r="E1957" s="2104"/>
      <c r="F1957" s="2098" t="str">
        <f t="shared" si="76"/>
        <v>ASHP - SEER 16 - replace on fail MF</v>
      </c>
      <c r="G1957" s="2098"/>
      <c r="H1957" s="2098"/>
      <c r="I1957" s="2098"/>
      <c r="J1957" s="709" t="s">
        <v>614</v>
      </c>
      <c r="K1957" s="792"/>
      <c r="L1957" s="670"/>
      <c r="M1957" s="613"/>
      <c r="N1957" s="130"/>
      <c r="O1957" s="251"/>
      <c r="P1957" s="251"/>
      <c r="Q1957" s="251"/>
      <c r="R1957" s="251"/>
      <c r="S1957" s="130"/>
      <c r="T1957" s="130"/>
      <c r="U1957" s="130"/>
      <c r="V1957" s="2107"/>
      <c r="W1957" s="792"/>
      <c r="X1957" s="793"/>
      <c r="Y1957" s="710"/>
      <c r="Z1957" s="710"/>
      <c r="AA1957" s="710"/>
      <c r="AB1957" s="710"/>
      <c r="AC1957" s="710"/>
      <c r="AD1957" s="710"/>
      <c r="AE1957" s="710"/>
      <c r="AF1957" s="710"/>
      <c r="AG1957" s="710"/>
    </row>
    <row r="1958" spans="1:33" s="56" customFormat="1" ht="15" hidden="1" customHeight="1" outlineLevel="1" x14ac:dyDescent="0.25">
      <c r="A1958" s="724"/>
      <c r="B1958" s="130"/>
      <c r="C1958" s="616"/>
      <c r="D1958" s="2101"/>
      <c r="E1958" s="2104"/>
      <c r="F1958" s="2098" t="str">
        <f t="shared" si="76"/>
        <v>ASHP - SEER 16 - replace electric furnace / CAC MF</v>
      </c>
      <c r="G1958" s="2098"/>
      <c r="H1958" s="2098"/>
      <c r="I1958" s="2098"/>
      <c r="J1958" s="709" t="s">
        <v>1188</v>
      </c>
      <c r="K1958" s="792">
        <f>$R$974*$L$992*$K$1680</f>
        <v>816.81600000000014</v>
      </c>
      <c r="L1958" s="670"/>
      <c r="M1958" s="770"/>
      <c r="N1958" s="130"/>
      <c r="O1958" s="251"/>
      <c r="P1958" s="766"/>
      <c r="Q1958" s="767"/>
      <c r="R1958" s="766"/>
      <c r="S1958" s="752"/>
      <c r="T1958" s="760"/>
      <c r="U1958" s="130"/>
      <c r="V1958" s="2107"/>
      <c r="W1958" s="792">
        <v>1256.6400000000001</v>
      </c>
      <c r="X1958" s="793">
        <f>$R$974*$L$992*$K$1680</f>
        <v>816.81600000000014</v>
      </c>
      <c r="Y1958" s="710"/>
      <c r="Z1958" s="710"/>
      <c r="AA1958" s="710"/>
      <c r="AB1958" s="710"/>
      <c r="AC1958" s="710"/>
      <c r="AD1958" s="710"/>
      <c r="AE1958" s="710"/>
      <c r="AF1958" s="710"/>
      <c r="AG1958" s="710"/>
    </row>
    <row r="1959" spans="1:33" s="56" customFormat="1" ht="15" hidden="1" customHeight="1" outlineLevel="1" x14ac:dyDescent="0.25">
      <c r="A1959" s="597"/>
      <c r="B1959" s="130"/>
      <c r="C1959" s="616"/>
      <c r="D1959" s="2101"/>
      <c r="E1959" s="2104"/>
      <c r="F1959" s="2098" t="str">
        <f t="shared" si="76"/>
        <v>ASHP - SEER 16 - replace electric furnace / CAC MF</v>
      </c>
      <c r="G1959" s="2098"/>
      <c r="H1959" s="2098"/>
      <c r="I1959" s="2098"/>
      <c r="J1959" s="709" t="s">
        <v>1189</v>
      </c>
      <c r="K1959" s="792"/>
      <c r="L1959" s="670"/>
      <c r="M1959" s="770"/>
      <c r="N1959" s="130"/>
      <c r="O1959" s="251"/>
      <c r="P1959" s="251"/>
      <c r="Q1959" s="251"/>
      <c r="R1959" s="251"/>
      <c r="S1959" s="130"/>
      <c r="T1959" s="130"/>
      <c r="U1959" s="130"/>
      <c r="V1959" s="2107"/>
      <c r="W1959" s="792"/>
      <c r="X1959" s="793"/>
      <c r="Y1959" s="710"/>
      <c r="Z1959" s="710"/>
      <c r="AA1959" s="710"/>
      <c r="AB1959" s="710"/>
      <c r="AC1959" s="710"/>
      <c r="AD1959" s="710"/>
      <c r="AE1959" s="710"/>
      <c r="AF1959" s="710"/>
      <c r="AG1959" s="710"/>
    </row>
    <row r="1960" spans="1:33" s="56" customFormat="1" ht="15" hidden="1" customHeight="1" outlineLevel="1" x14ac:dyDescent="0.25">
      <c r="A1960" s="724"/>
      <c r="B1960" s="130"/>
      <c r="C1960" s="616"/>
      <c r="D1960" s="2101"/>
      <c r="E1960" s="2104"/>
      <c r="F1960" s="2098" t="str">
        <f t="shared" si="76"/>
        <v>ASHP - SEER 16 - replace electric furnace / CAC - early replacement MF ER1</v>
      </c>
      <c r="G1960" s="2098"/>
      <c r="H1960" s="2098"/>
      <c r="I1960" s="2098"/>
      <c r="J1960" s="709" t="s">
        <v>1190</v>
      </c>
      <c r="K1960" s="792">
        <f>$Q$974*$L$993*$K$1681</f>
        <v>1358.5450915436422</v>
      </c>
      <c r="L1960" s="670"/>
      <c r="M1960" s="770"/>
      <c r="N1960" s="130"/>
      <c r="O1960" s="251"/>
      <c r="P1960" s="766"/>
      <c r="Q1960" s="767"/>
      <c r="R1960" s="766"/>
      <c r="S1960" s="752"/>
      <c r="T1960" s="760"/>
      <c r="U1960" s="130"/>
      <c r="V1960" s="2107"/>
      <c r="W1960" s="792">
        <v>2896.6077829603428</v>
      </c>
      <c r="X1960" s="793">
        <f>$Q$974*$L$993*$K$1681</f>
        <v>1358.5450915436422</v>
      </c>
      <c r="Y1960" s="710"/>
      <c r="Z1960" s="710"/>
      <c r="AA1960" s="710"/>
      <c r="AB1960" s="710"/>
      <c r="AC1960" s="710"/>
      <c r="AD1960" s="710"/>
      <c r="AE1960" s="710"/>
      <c r="AF1960" s="710"/>
      <c r="AG1960" s="710"/>
    </row>
    <row r="1961" spans="1:33" s="56" customFormat="1" ht="15" hidden="1" customHeight="1" outlineLevel="1" x14ac:dyDescent="0.25">
      <c r="A1961" s="597"/>
      <c r="B1961" s="130"/>
      <c r="C1961" s="616"/>
      <c r="D1961" s="2101"/>
      <c r="E1961" s="2104"/>
      <c r="F1961" s="2098" t="str">
        <f t="shared" si="76"/>
        <v>ASHP - SEER 16 - replace electric furnace / CAC - early replacement MF ER1</v>
      </c>
      <c r="G1961" s="2098"/>
      <c r="H1961" s="2098"/>
      <c r="I1961" s="2098"/>
      <c r="J1961" s="709" t="s">
        <v>1191</v>
      </c>
      <c r="K1961" s="792"/>
      <c r="L1961" s="670"/>
      <c r="M1961" s="770"/>
      <c r="N1961" s="130"/>
      <c r="O1961" s="251"/>
      <c r="P1961" s="251"/>
      <c r="Q1961" s="251"/>
      <c r="R1961" s="251"/>
      <c r="S1961" s="130"/>
      <c r="T1961" s="130"/>
      <c r="U1961" s="130"/>
      <c r="V1961" s="2107"/>
      <c r="W1961" s="792"/>
      <c r="X1961" s="793"/>
      <c r="Y1961" s="710"/>
      <c r="Z1961" s="710"/>
      <c r="AA1961" s="710"/>
      <c r="AB1961" s="710"/>
      <c r="AC1961" s="710"/>
      <c r="AD1961" s="710"/>
      <c r="AE1961" s="710"/>
      <c r="AF1961" s="710"/>
      <c r="AG1961" s="710"/>
    </row>
    <row r="1962" spans="1:33" s="56" customFormat="1" ht="15" hidden="1" customHeight="1" outlineLevel="1" x14ac:dyDescent="0.25">
      <c r="A1962" s="597"/>
      <c r="B1962" s="130"/>
      <c r="C1962" s="616"/>
      <c r="D1962" s="2101"/>
      <c r="E1962" s="2104"/>
      <c r="F1962" s="2098" t="str">
        <f t="shared" si="76"/>
        <v>ASHP - SEER 16 - replace electric furnace / CAC - early replacement MF ER2</v>
      </c>
      <c r="G1962" s="2098"/>
      <c r="H1962" s="2098"/>
      <c r="I1962" s="2098"/>
      <c r="J1962" s="709" t="s">
        <v>1192</v>
      </c>
      <c r="K1962" s="792"/>
      <c r="L1962" s="670"/>
      <c r="M1962" s="770"/>
      <c r="N1962" s="130"/>
      <c r="O1962" s="251"/>
      <c r="P1962" s="251"/>
      <c r="Q1962" s="251"/>
      <c r="R1962" s="251"/>
      <c r="S1962" s="130"/>
      <c r="T1962" s="130"/>
      <c r="U1962" s="130"/>
      <c r="V1962" s="2107"/>
      <c r="W1962" s="792"/>
      <c r="X1962" s="793"/>
      <c r="Y1962" s="710"/>
      <c r="Z1962" s="710"/>
      <c r="AA1962" s="710"/>
      <c r="AB1962" s="710"/>
      <c r="AC1962" s="710"/>
      <c r="AD1962" s="710"/>
      <c r="AE1962" s="710"/>
      <c r="AF1962" s="710"/>
      <c r="AG1962" s="710"/>
    </row>
    <row r="1963" spans="1:33" s="56" customFormat="1" ht="15" hidden="1" customHeight="1" outlineLevel="1" x14ac:dyDescent="0.25">
      <c r="A1963" s="724"/>
      <c r="B1963" s="130"/>
      <c r="C1963" s="616"/>
      <c r="D1963" s="2101"/>
      <c r="E1963" s="2104"/>
      <c r="F1963" s="2098" t="str">
        <f t="shared" si="76"/>
        <v>ASHP - SEER 16 - replace electric furnace / CAC - early replacement MF ER2</v>
      </c>
      <c r="G1963" s="2098"/>
      <c r="H1963" s="2098"/>
      <c r="I1963" s="2098"/>
      <c r="J1963" s="709" t="s">
        <v>1193</v>
      </c>
      <c r="K1963" s="792"/>
      <c r="L1963" s="670"/>
      <c r="M1963" s="770"/>
      <c r="N1963" s="130"/>
      <c r="O1963" s="251"/>
      <c r="P1963" s="766"/>
      <c r="Q1963" s="767"/>
      <c r="R1963" s="766"/>
      <c r="S1963" s="752"/>
      <c r="T1963" s="760"/>
      <c r="U1963" s="130"/>
      <c r="V1963" s="2107"/>
      <c r="W1963" s="792"/>
      <c r="X1963" s="793"/>
      <c r="Y1963" s="710"/>
      <c r="Z1963" s="710"/>
      <c r="AA1963" s="710"/>
      <c r="AB1963" s="710"/>
      <c r="AC1963" s="710"/>
      <c r="AD1963" s="710"/>
      <c r="AE1963" s="710"/>
      <c r="AF1963" s="710"/>
      <c r="AG1963" s="710"/>
    </row>
    <row r="1964" spans="1:33" s="56" customFormat="1" ht="15" hidden="1" customHeight="1" outlineLevel="1" x14ac:dyDescent="0.25">
      <c r="A1964" s="724"/>
      <c r="B1964" s="130"/>
      <c r="C1964" s="616"/>
      <c r="D1964" s="2101"/>
      <c r="E1964" s="2104"/>
      <c r="F1964" s="2098" t="str">
        <f t="shared" si="76"/>
        <v>ASHP SEER 15 MF Replace at Fail ASHP: HVAC</v>
      </c>
      <c r="G1964" s="2098"/>
      <c r="H1964" s="2098"/>
      <c r="I1964" s="2098"/>
      <c r="J1964" s="709" t="s">
        <v>1194</v>
      </c>
      <c r="K1964" s="792">
        <f>$R$973*$L$995*$K$1683</f>
        <v>610.54500000000007</v>
      </c>
      <c r="L1964" s="670"/>
      <c r="M1964" s="770"/>
      <c r="N1964" s="130"/>
      <c r="O1964" s="251"/>
      <c r="P1964" s="766"/>
      <c r="Q1964" s="767"/>
      <c r="R1964" s="766"/>
      <c r="S1964" s="752"/>
      <c r="T1964" s="760"/>
      <c r="U1964" s="130"/>
      <c r="V1964" s="2107"/>
      <c r="W1964" s="792">
        <v>939.30000000000007</v>
      </c>
      <c r="X1964" s="793">
        <f>$R$973*$L$995*$K$1683</f>
        <v>610.54500000000007</v>
      </c>
      <c r="Y1964" s="710"/>
      <c r="Z1964" s="710"/>
      <c r="AA1964" s="710"/>
      <c r="AB1964" s="710"/>
      <c r="AC1964" s="710"/>
      <c r="AD1964" s="710"/>
      <c r="AE1964" s="710"/>
      <c r="AF1964" s="710"/>
      <c r="AG1964" s="710"/>
    </row>
    <row r="1965" spans="1:33" s="56" customFormat="1" ht="15" hidden="1" customHeight="1" outlineLevel="1" x14ac:dyDescent="0.25">
      <c r="A1965" s="597"/>
      <c r="B1965" s="130"/>
      <c r="C1965" s="616"/>
      <c r="D1965" s="2101"/>
      <c r="E1965" s="2104"/>
      <c r="F1965" s="2098" t="str">
        <f t="shared" si="76"/>
        <v>ASHP SEER 15 MF Replace at Fail ASHP: HVAC</v>
      </c>
      <c r="G1965" s="2098"/>
      <c r="H1965" s="2098"/>
      <c r="I1965" s="2098"/>
      <c r="J1965" s="709" t="s">
        <v>1195</v>
      </c>
      <c r="K1965" s="792"/>
      <c r="L1965" s="670"/>
      <c r="M1965" s="770"/>
      <c r="N1965" s="130"/>
      <c r="O1965" s="251"/>
      <c r="P1965" s="251"/>
      <c r="Q1965" s="251"/>
      <c r="R1965" s="251"/>
      <c r="S1965" s="130"/>
      <c r="T1965" s="130"/>
      <c r="U1965" s="130"/>
      <c r="V1965" s="2107"/>
      <c r="W1965" s="792"/>
      <c r="X1965" s="793"/>
      <c r="Y1965" s="710"/>
      <c r="Z1965" s="710"/>
      <c r="AA1965" s="710"/>
      <c r="AB1965" s="710"/>
      <c r="AC1965" s="710"/>
      <c r="AD1965" s="710"/>
      <c r="AE1965" s="710"/>
      <c r="AF1965" s="710"/>
      <c r="AG1965" s="710"/>
    </row>
    <row r="1966" spans="1:33" s="56" customFormat="1" ht="15" hidden="1" customHeight="1" outlineLevel="1" x14ac:dyDescent="0.25">
      <c r="A1966" s="597"/>
      <c r="B1966" s="130"/>
      <c r="C1966" s="616"/>
      <c r="D1966" s="2101"/>
      <c r="E1966" s="2104"/>
      <c r="F1966" s="2098" t="str">
        <f t="shared" si="76"/>
        <v>ASHP - SEER 17 - replace electric furnace / CAC SF</v>
      </c>
      <c r="G1966" s="2098"/>
      <c r="H1966" s="2098"/>
      <c r="I1966" s="2098"/>
      <c r="J1966" s="709" t="s">
        <v>1196</v>
      </c>
      <c r="K1966" s="792">
        <f>$R$975*$L$996*$K$1684</f>
        <v>1624</v>
      </c>
      <c r="L1966" s="670"/>
      <c r="M1966" s="770"/>
      <c r="N1966" s="130"/>
      <c r="O1966" s="251"/>
      <c r="P1966" s="251"/>
      <c r="Q1966" s="251"/>
      <c r="R1966" s="251"/>
      <c r="S1966" s="130"/>
      <c r="T1966" s="130"/>
      <c r="U1966" s="130"/>
      <c r="V1966" s="2107"/>
      <c r="W1966" s="792">
        <v>1624</v>
      </c>
      <c r="X1966" s="793">
        <f>$R$975*$L$996*$K$1684</f>
        <v>1624</v>
      </c>
      <c r="Y1966" s="710"/>
      <c r="Z1966" s="710"/>
      <c r="AA1966" s="710"/>
      <c r="AB1966" s="710"/>
      <c r="AC1966" s="710"/>
      <c r="AD1966" s="710"/>
      <c r="AE1966" s="710"/>
      <c r="AF1966" s="710"/>
      <c r="AG1966" s="710"/>
    </row>
    <row r="1967" spans="1:33" s="56" customFormat="1" ht="15" hidden="1" customHeight="1" outlineLevel="1" x14ac:dyDescent="0.25">
      <c r="A1967" s="724"/>
      <c r="B1967" s="130"/>
      <c r="C1967" s="616"/>
      <c r="D1967" s="2101"/>
      <c r="E1967" s="2104"/>
      <c r="F1967" s="2098" t="str">
        <f t="shared" si="76"/>
        <v>ASHP - SEER 17 - replace electric furnace / CAC SF</v>
      </c>
      <c r="G1967" s="2098"/>
      <c r="H1967" s="2098"/>
      <c r="I1967" s="2098"/>
      <c r="J1967" s="709" t="s">
        <v>1197</v>
      </c>
      <c r="K1967" s="792"/>
      <c r="L1967" s="670"/>
      <c r="M1967" s="770"/>
      <c r="N1967" s="130"/>
      <c r="O1967" s="251"/>
      <c r="P1967" s="766"/>
      <c r="Q1967" s="767"/>
      <c r="R1967" s="766"/>
      <c r="S1967" s="752"/>
      <c r="T1967" s="760"/>
      <c r="U1967" s="130"/>
      <c r="V1967" s="2107"/>
      <c r="W1967" s="792"/>
      <c r="X1967" s="793"/>
      <c r="Y1967" s="710"/>
      <c r="Z1967" s="710"/>
      <c r="AA1967" s="710"/>
      <c r="AB1967" s="710"/>
      <c r="AC1967" s="710"/>
      <c r="AD1967" s="710"/>
      <c r="AE1967" s="710"/>
      <c r="AF1967" s="710"/>
      <c r="AG1967" s="710"/>
    </row>
    <row r="1968" spans="1:33" s="56" customFormat="1" ht="15" hidden="1" customHeight="1" outlineLevel="1" x14ac:dyDescent="0.25">
      <c r="A1968" s="724"/>
      <c r="B1968" s="130"/>
      <c r="C1968" s="616"/>
      <c r="D1968" s="2101"/>
      <c r="E1968" s="2104"/>
      <c r="F1968" s="2098" t="str">
        <f t="shared" si="76"/>
        <v>ASHP - SEER 17 - replace electric furnace / CAC MF</v>
      </c>
      <c r="G1968" s="2098"/>
      <c r="H1968" s="2098"/>
      <c r="I1968" s="2098"/>
      <c r="J1968" s="709"/>
      <c r="K1968" s="792">
        <f>$R$975*$L$997*$K$1685</f>
        <v>1055.6000000000001</v>
      </c>
      <c r="L1968" s="670"/>
      <c r="M1968" s="770"/>
      <c r="N1968" s="130"/>
      <c r="O1968" s="251"/>
      <c r="P1968" s="766"/>
      <c r="Q1968" s="767"/>
      <c r="R1968" s="766"/>
      <c r="S1968" s="752"/>
      <c r="T1968" s="760"/>
      <c r="U1968" s="130"/>
      <c r="V1968" s="2107"/>
      <c r="W1968" s="792">
        <v>1624</v>
      </c>
      <c r="X1968" s="793">
        <f>$R$975*$L$997*$K$1685</f>
        <v>1055.6000000000001</v>
      </c>
      <c r="Y1968" s="710"/>
      <c r="Z1968" s="710"/>
      <c r="AA1968" s="710"/>
      <c r="AB1968" s="710"/>
      <c r="AC1968" s="710"/>
      <c r="AD1968" s="710"/>
      <c r="AE1968" s="710"/>
      <c r="AF1968" s="710"/>
      <c r="AG1968" s="710"/>
    </row>
    <row r="1969" spans="1:33" s="56" customFormat="1" ht="15" hidden="1" customHeight="1" outlineLevel="1" x14ac:dyDescent="0.25">
      <c r="A1969" s="724"/>
      <c r="B1969" s="130"/>
      <c r="C1969" s="616"/>
      <c r="D1969" s="2101"/>
      <c r="E1969" s="2104"/>
      <c r="F1969" s="2098" t="str">
        <f t="shared" si="76"/>
        <v>ASHP - SEER 17 - replace electric furnace / CAC MF</v>
      </c>
      <c r="G1969" s="2098"/>
      <c r="H1969" s="2098"/>
      <c r="I1969" s="2098"/>
      <c r="J1969" s="709"/>
      <c r="K1969" s="792"/>
      <c r="L1969" s="670"/>
      <c r="M1969" s="770"/>
      <c r="N1969" s="130"/>
      <c r="O1969" s="251"/>
      <c r="P1969" s="766"/>
      <c r="Q1969" s="767"/>
      <c r="R1969" s="766"/>
      <c r="S1969" s="752"/>
      <c r="T1969" s="760"/>
      <c r="U1969" s="130"/>
      <c r="V1969" s="2107"/>
      <c r="W1969" s="792"/>
      <c r="X1969" s="793"/>
      <c r="Y1969" s="710"/>
      <c r="Z1969" s="710"/>
      <c r="AA1969" s="710"/>
      <c r="AB1969" s="710"/>
      <c r="AC1969" s="710"/>
      <c r="AD1969" s="710"/>
      <c r="AE1969" s="710"/>
      <c r="AF1969" s="710"/>
      <c r="AG1969" s="710"/>
    </row>
    <row r="1970" spans="1:33" s="56" customFormat="1" ht="15" hidden="1" customHeight="1" outlineLevel="1" x14ac:dyDescent="0.25">
      <c r="A1970" s="724"/>
      <c r="B1970" s="130"/>
      <c r="C1970" s="616"/>
      <c r="D1970" s="2101"/>
      <c r="E1970" s="2104"/>
      <c r="F1970" s="2098" t="str">
        <f t="shared" si="76"/>
        <v>ASHP - SEER 18 - replace electric furnace / CAC SF</v>
      </c>
      <c r="G1970" s="2098"/>
      <c r="H1970" s="2098"/>
      <c r="I1970" s="2098"/>
      <c r="J1970" s="709"/>
      <c r="K1970" s="792">
        <f>$R$976*$L$998*$K$1686</f>
        <v>1997.3333333333333</v>
      </c>
      <c r="L1970" s="670"/>
      <c r="M1970" s="770"/>
      <c r="N1970" s="130"/>
      <c r="O1970" s="251"/>
      <c r="P1970" s="766"/>
      <c r="Q1970" s="767"/>
      <c r="R1970" s="766"/>
      <c r="S1970" s="752"/>
      <c r="T1970" s="760"/>
      <c r="U1970" s="130"/>
      <c r="V1970" s="2107"/>
      <c r="W1970" s="792">
        <v>1997.3333333333333</v>
      </c>
      <c r="X1970" s="793">
        <f>$R$976*$L$998*$K$1686</f>
        <v>1997.3333333333333</v>
      </c>
      <c r="Y1970" s="710"/>
      <c r="Z1970" s="710"/>
      <c r="AA1970" s="710"/>
      <c r="AB1970" s="710"/>
      <c r="AC1970" s="710"/>
      <c r="AD1970" s="710"/>
      <c r="AE1970" s="710"/>
      <c r="AF1970" s="710"/>
      <c r="AG1970" s="710"/>
    </row>
    <row r="1971" spans="1:33" s="56" customFormat="1" ht="15" hidden="1" customHeight="1" outlineLevel="1" x14ac:dyDescent="0.25">
      <c r="A1971" s="724"/>
      <c r="B1971" s="130"/>
      <c r="C1971" s="616"/>
      <c r="D1971" s="2101"/>
      <c r="E1971" s="2104"/>
      <c r="F1971" s="2098" t="str">
        <f t="shared" si="76"/>
        <v>ASHP - SEER 18 - replace electric furnace / CAC SF</v>
      </c>
      <c r="G1971" s="2098"/>
      <c r="H1971" s="2098"/>
      <c r="I1971" s="2098"/>
      <c r="J1971" s="709"/>
      <c r="K1971" s="792"/>
      <c r="L1971" s="670"/>
      <c r="M1971" s="770"/>
      <c r="N1971" s="130"/>
      <c r="O1971" s="251"/>
      <c r="P1971" s="766"/>
      <c r="Q1971" s="767"/>
      <c r="R1971" s="766"/>
      <c r="S1971" s="752"/>
      <c r="T1971" s="760"/>
      <c r="U1971" s="130"/>
      <c r="V1971" s="2107"/>
      <c r="W1971" s="792"/>
      <c r="X1971" s="793"/>
      <c r="Y1971" s="710"/>
      <c r="Z1971" s="710"/>
      <c r="AA1971" s="710"/>
      <c r="AB1971" s="710"/>
      <c r="AC1971" s="710"/>
      <c r="AD1971" s="710"/>
      <c r="AE1971" s="710"/>
      <c r="AF1971" s="710"/>
      <c r="AG1971" s="710"/>
    </row>
    <row r="1972" spans="1:33" s="56" customFormat="1" ht="15" hidden="1" customHeight="1" outlineLevel="1" x14ac:dyDescent="0.25">
      <c r="A1972" s="724"/>
      <c r="B1972" s="130"/>
      <c r="C1972" s="616"/>
      <c r="D1972" s="2101"/>
      <c r="E1972" s="2104"/>
      <c r="F1972" s="2098" t="str">
        <f t="shared" si="76"/>
        <v>ASHP - SEER 18 - replace electric furnace / CAC MF</v>
      </c>
      <c r="G1972" s="2098"/>
      <c r="H1972" s="2098"/>
      <c r="I1972" s="2098"/>
      <c r="J1972" s="709"/>
      <c r="K1972" s="792">
        <f>$R$976*$L$999*$K$1687</f>
        <v>1298.2666666666667</v>
      </c>
      <c r="L1972" s="670"/>
      <c r="M1972" s="770"/>
      <c r="N1972" s="130"/>
      <c r="O1972" s="251"/>
      <c r="P1972" s="766"/>
      <c r="Q1972" s="767"/>
      <c r="R1972" s="766"/>
      <c r="S1972" s="752"/>
      <c r="T1972" s="760"/>
      <c r="U1972" s="130"/>
      <c r="V1972" s="2107"/>
      <c r="W1972" s="792">
        <v>1997.3333333333333</v>
      </c>
      <c r="X1972" s="793">
        <f>$R$976*$L$999*$K$1687</f>
        <v>1298.2666666666667</v>
      </c>
      <c r="Y1972" s="710"/>
      <c r="Z1972" s="710"/>
      <c r="AA1972" s="710"/>
      <c r="AB1972" s="710"/>
      <c r="AC1972" s="710"/>
      <c r="AD1972" s="710"/>
      <c r="AE1972" s="710"/>
      <c r="AF1972" s="710"/>
      <c r="AG1972" s="710"/>
    </row>
    <row r="1973" spans="1:33" s="56" customFormat="1" ht="15" hidden="1" customHeight="1" outlineLevel="1" x14ac:dyDescent="0.25">
      <c r="A1973" s="724"/>
      <c r="B1973" s="130"/>
      <c r="C1973" s="616"/>
      <c r="D1973" s="2101"/>
      <c r="E1973" s="2104"/>
      <c r="F1973" s="2098" t="str">
        <f t="shared" si="76"/>
        <v>ASHP - SEER 18 - replace electric furnace / CAC MF</v>
      </c>
      <c r="G1973" s="2098"/>
      <c r="H1973" s="2098"/>
      <c r="I1973" s="2098"/>
      <c r="J1973" s="780"/>
      <c r="K1973" s="792"/>
      <c r="L1973" s="670"/>
      <c r="M1973" s="770"/>
      <c r="N1973" s="130"/>
      <c r="O1973" s="251"/>
      <c r="P1973" s="766"/>
      <c r="Q1973" s="767"/>
      <c r="R1973" s="766"/>
      <c r="S1973" s="752"/>
      <c r="T1973" s="760"/>
      <c r="U1973" s="130"/>
      <c r="V1973" s="2107"/>
      <c r="W1973" s="792"/>
      <c r="X1973" s="793"/>
      <c r="Y1973" s="784"/>
      <c r="Z1973" s="784"/>
      <c r="AA1973" s="784"/>
      <c r="AB1973" s="784"/>
      <c r="AC1973" s="784"/>
      <c r="AD1973" s="784"/>
      <c r="AE1973" s="784"/>
      <c r="AF1973" s="784"/>
      <c r="AG1973" s="784"/>
    </row>
    <row r="1974" spans="1:33" s="56" customFormat="1" hidden="1" outlineLevel="1" x14ac:dyDescent="0.25">
      <c r="A1974" s="724"/>
      <c r="B1974" s="130"/>
      <c r="C1974" s="616"/>
      <c r="D1974" s="2101"/>
      <c r="E1974" s="2104"/>
      <c r="F1974" s="2098" t="str">
        <f t="shared" si="76"/>
        <v>ASHP - SEER 19 - replace electric furnace / CAC SF</v>
      </c>
      <c r="G1974" s="2098"/>
      <c r="H1974" s="2098"/>
      <c r="I1974" s="2098"/>
      <c r="J1974" s="709"/>
      <c r="K1974" s="792">
        <f>$R$977*$L$1000*$K$1688</f>
        <v>2277.3333333333335</v>
      </c>
      <c r="L1974" s="778"/>
      <c r="M1974" s="770"/>
      <c r="N1974" s="130"/>
      <c r="O1974" s="251"/>
      <c r="P1974" s="766"/>
      <c r="Q1974" s="767"/>
      <c r="R1974" s="766"/>
      <c r="S1974" s="752"/>
      <c r="T1974" s="760"/>
      <c r="U1974" s="130"/>
      <c r="V1974" s="2107"/>
      <c r="W1974" s="792">
        <v>2277.3333333333335</v>
      </c>
      <c r="X1974" s="793">
        <f>$R$977*$L$1000*$K$1688</f>
        <v>2277.3333333333335</v>
      </c>
      <c r="Y1974" s="710"/>
      <c r="Z1974" s="710"/>
      <c r="AA1974" s="710"/>
      <c r="AB1974" s="710"/>
      <c r="AC1974" s="710"/>
      <c r="AD1974" s="710"/>
      <c r="AE1974" s="710"/>
      <c r="AF1974" s="710"/>
      <c r="AG1974" s="710"/>
    </row>
    <row r="1975" spans="1:33" s="56" customFormat="1" hidden="1" outlineLevel="1" x14ac:dyDescent="0.25">
      <c r="A1975" s="724"/>
      <c r="B1975" s="130"/>
      <c r="C1975" s="616"/>
      <c r="D1975" s="2101"/>
      <c r="E1975" s="2104"/>
      <c r="F1975" s="2098" t="str">
        <f t="shared" si="76"/>
        <v>ASHP - SEER 19 - replace electric furnace / CAC SF</v>
      </c>
      <c r="G1975" s="2098"/>
      <c r="H1975" s="2098"/>
      <c r="I1975" s="2098"/>
      <c r="J1975" s="709"/>
      <c r="K1975" s="792"/>
      <c r="L1975" s="778"/>
      <c r="M1975" s="770"/>
      <c r="N1975" s="130"/>
      <c r="O1975" s="251"/>
      <c r="P1975" s="766"/>
      <c r="Q1975" s="767"/>
      <c r="R1975" s="766"/>
      <c r="S1975" s="752"/>
      <c r="T1975" s="760"/>
      <c r="U1975" s="130"/>
      <c r="V1975" s="2107"/>
      <c r="W1975" s="792"/>
      <c r="X1975" s="793"/>
      <c r="Y1975" s="710"/>
      <c r="Z1975" s="710"/>
      <c r="AA1975" s="710"/>
      <c r="AB1975" s="710"/>
      <c r="AC1975" s="710"/>
      <c r="AD1975" s="710"/>
      <c r="AE1975" s="710"/>
      <c r="AF1975" s="710"/>
      <c r="AG1975" s="710"/>
    </row>
    <row r="1976" spans="1:33" s="56" customFormat="1" hidden="1" outlineLevel="1" x14ac:dyDescent="0.25">
      <c r="A1976" s="724"/>
      <c r="B1976" s="130"/>
      <c r="C1976" s="616"/>
      <c r="D1976" s="2101"/>
      <c r="E1976" s="2104"/>
      <c r="F1976" s="2098" t="str">
        <f t="shared" si="76"/>
        <v>ASHP - SEER 19 - replace electric furnace / CAC MF</v>
      </c>
      <c r="G1976" s="2098"/>
      <c r="H1976" s="2098"/>
      <c r="I1976" s="2098"/>
      <c r="J1976" s="709"/>
      <c r="K1976" s="792">
        <f>$R$977*$L$1001*$K$1689</f>
        <v>1480.2666666666669</v>
      </c>
      <c r="L1976" s="778"/>
      <c r="M1976" s="770"/>
      <c r="N1976" s="130"/>
      <c r="O1976" s="251"/>
      <c r="P1976" s="766"/>
      <c r="Q1976" s="767"/>
      <c r="R1976" s="766"/>
      <c r="S1976" s="752"/>
      <c r="T1976" s="760"/>
      <c r="U1976" s="130"/>
      <c r="V1976" s="2107"/>
      <c r="W1976" s="792">
        <v>2277.3333333333335</v>
      </c>
      <c r="X1976" s="793">
        <f>$R$977*$L$1001*$K$1689</f>
        <v>1480.2666666666669</v>
      </c>
      <c r="Y1976" s="710"/>
      <c r="Z1976" s="710"/>
      <c r="AA1976" s="710"/>
      <c r="AB1976" s="710"/>
      <c r="AC1976" s="710"/>
      <c r="AD1976" s="710"/>
      <c r="AE1976" s="710"/>
      <c r="AF1976" s="710"/>
      <c r="AG1976" s="710"/>
    </row>
    <row r="1977" spans="1:33" s="56" customFormat="1" hidden="1" outlineLevel="1" x14ac:dyDescent="0.25">
      <c r="A1977" s="724"/>
      <c r="B1977" s="130"/>
      <c r="C1977" s="616"/>
      <c r="D1977" s="2101"/>
      <c r="E1977" s="2104"/>
      <c r="F1977" s="2098" t="str">
        <f t="shared" si="76"/>
        <v>ASHP - SEER 19 - replace electric furnace / CAC MF</v>
      </c>
      <c r="G1977" s="2098"/>
      <c r="H1977" s="2098"/>
      <c r="I1977" s="2098"/>
      <c r="J1977" s="709"/>
      <c r="K1977" s="792"/>
      <c r="L1977" s="778"/>
      <c r="M1977" s="770"/>
      <c r="N1977" s="130"/>
      <c r="O1977" s="251"/>
      <c r="P1977" s="766"/>
      <c r="Q1977" s="767"/>
      <c r="R1977" s="766"/>
      <c r="S1977" s="752"/>
      <c r="T1977" s="760"/>
      <c r="U1977" s="130"/>
      <c r="V1977" s="2107"/>
      <c r="W1977" s="792"/>
      <c r="X1977" s="793"/>
      <c r="Y1977" s="710"/>
      <c r="Z1977" s="710"/>
      <c r="AA1977" s="710"/>
      <c r="AB1977" s="710"/>
      <c r="AC1977" s="710"/>
      <c r="AD1977" s="710"/>
      <c r="AE1977" s="710"/>
      <c r="AF1977" s="710"/>
      <c r="AG1977" s="710"/>
    </row>
    <row r="1978" spans="1:33" s="56" customFormat="1" hidden="1" outlineLevel="1" x14ac:dyDescent="0.25">
      <c r="A1978" s="724"/>
      <c r="B1978" s="130"/>
      <c r="C1978" s="616"/>
      <c r="D1978" s="2101"/>
      <c r="E1978" s="2104"/>
      <c r="F1978" s="2098" t="str">
        <f t="shared" si="76"/>
        <v>ASHP - SEER 20 - replace electric furnace / CAC - early replacement SF ER1</v>
      </c>
      <c r="G1978" s="2098"/>
      <c r="H1978" s="2098"/>
      <c r="I1978" s="2098"/>
      <c r="J1978" s="709"/>
      <c r="K1978" s="792">
        <f>$Q$978*$L$1002*$K$1690</f>
        <v>4468.6993716056031</v>
      </c>
      <c r="L1978" s="778"/>
      <c r="M1978" s="770"/>
      <c r="N1978" s="130"/>
      <c r="O1978" s="251"/>
      <c r="P1978" s="766"/>
      <c r="Q1978" s="767"/>
      <c r="R1978" s="766"/>
      <c r="S1978" s="752"/>
      <c r="T1978" s="760"/>
      <c r="U1978" s="130"/>
      <c r="V1978" s="2107"/>
      <c r="W1978" s="792">
        <v>5275.2377829603429</v>
      </c>
      <c r="X1978" s="793">
        <f>$Q$978*$L$1002*$K$1690</f>
        <v>4468.6993716056031</v>
      </c>
      <c r="Y1978" s="710"/>
      <c r="Z1978" s="710"/>
      <c r="AA1978" s="710"/>
      <c r="AB1978" s="710"/>
      <c r="AC1978" s="710"/>
      <c r="AD1978" s="710"/>
      <c r="AE1978" s="710"/>
      <c r="AF1978" s="710"/>
      <c r="AG1978" s="710"/>
    </row>
    <row r="1979" spans="1:33" s="56" customFormat="1" hidden="1" outlineLevel="1" x14ac:dyDescent="0.25">
      <c r="A1979" s="724"/>
      <c r="B1979" s="130"/>
      <c r="C1979" s="616"/>
      <c r="D1979" s="2101"/>
      <c r="E1979" s="2104"/>
      <c r="F1979" s="2098" t="str">
        <f t="shared" si="76"/>
        <v>ASHP - SEER 20 - replace electric furnace / CAC - early replacement SF ER1</v>
      </c>
      <c r="G1979" s="2098"/>
      <c r="H1979" s="2098"/>
      <c r="I1979" s="2098"/>
      <c r="J1979" s="709"/>
      <c r="K1979" s="792"/>
      <c r="L1979" s="778"/>
      <c r="M1979" s="770"/>
      <c r="N1979" s="130"/>
      <c r="O1979" s="251"/>
      <c r="P1979" s="766"/>
      <c r="Q1979" s="767"/>
      <c r="R1979" s="766"/>
      <c r="S1979" s="752"/>
      <c r="T1979" s="760"/>
      <c r="U1979" s="130"/>
      <c r="V1979" s="2107"/>
      <c r="W1979" s="792"/>
      <c r="X1979" s="793"/>
      <c r="Y1979" s="710"/>
      <c r="Z1979" s="710"/>
      <c r="AA1979" s="710"/>
      <c r="AB1979" s="710"/>
      <c r="AC1979" s="710"/>
      <c r="AD1979" s="710"/>
      <c r="AE1979" s="710"/>
      <c r="AF1979" s="710"/>
      <c r="AG1979" s="710"/>
    </row>
    <row r="1980" spans="1:33" s="56" customFormat="1" hidden="1" outlineLevel="1" x14ac:dyDescent="0.25">
      <c r="A1980" s="724"/>
      <c r="B1980" s="130"/>
      <c r="C1980" s="616"/>
      <c r="D1980" s="2101"/>
      <c r="E1980" s="2104"/>
      <c r="F1980" s="2098" t="str">
        <f t="shared" si="76"/>
        <v>ASHP - SEER 20 - replace electric furnace / CAC - early replacement SF ER2</v>
      </c>
      <c r="G1980" s="2098"/>
      <c r="H1980" s="2098"/>
      <c r="I1980" s="2098"/>
      <c r="J1980" s="709"/>
      <c r="K1980" s="792"/>
      <c r="L1980" s="778"/>
      <c r="M1980" s="770"/>
      <c r="N1980" s="130"/>
      <c r="O1980" s="251"/>
      <c r="P1980" s="766"/>
      <c r="Q1980" s="767"/>
      <c r="R1980" s="766"/>
      <c r="S1980" s="752"/>
      <c r="T1980" s="760"/>
      <c r="U1980" s="130"/>
      <c r="V1980" s="2107"/>
      <c r="W1980" s="792"/>
      <c r="X1980" s="793"/>
      <c r="Y1980" s="710"/>
      <c r="Z1980" s="710"/>
      <c r="AA1980" s="710"/>
      <c r="AB1980" s="710"/>
      <c r="AC1980" s="710"/>
      <c r="AD1980" s="710"/>
      <c r="AE1980" s="710"/>
      <c r="AF1980" s="710"/>
      <c r="AG1980" s="710"/>
    </row>
    <row r="1981" spans="1:33" s="56" customFormat="1" hidden="1" outlineLevel="1" x14ac:dyDescent="0.25">
      <c r="A1981" s="724"/>
      <c r="B1981" s="130"/>
      <c r="C1981" s="616"/>
      <c r="D1981" s="2101"/>
      <c r="E1981" s="2104"/>
      <c r="F1981" s="2098" t="str">
        <f t="shared" si="76"/>
        <v>ASHP - SEER 20 - replace electric furnace / CAC - early replacement SF ER2</v>
      </c>
      <c r="G1981" s="2098"/>
      <c r="H1981" s="2098"/>
      <c r="I1981" s="2098"/>
      <c r="J1981" s="709"/>
      <c r="K1981" s="792"/>
      <c r="L1981" s="778"/>
      <c r="M1981" s="770"/>
      <c r="N1981" s="130"/>
      <c r="O1981" s="251"/>
      <c r="P1981" s="766"/>
      <c r="Q1981" s="767"/>
      <c r="R1981" s="766"/>
      <c r="S1981" s="752"/>
      <c r="T1981" s="760"/>
      <c r="U1981" s="130"/>
      <c r="V1981" s="2107"/>
      <c r="W1981" s="792"/>
      <c r="X1981" s="793"/>
      <c r="Y1981" s="710"/>
      <c r="Z1981" s="710"/>
      <c r="AA1981" s="710"/>
      <c r="AB1981" s="710"/>
      <c r="AC1981" s="710"/>
      <c r="AD1981" s="710"/>
      <c r="AE1981" s="710"/>
      <c r="AF1981" s="710"/>
      <c r="AG1981" s="710"/>
    </row>
    <row r="1982" spans="1:33" s="56" customFormat="1" hidden="1" outlineLevel="1" x14ac:dyDescent="0.25">
      <c r="A1982" s="724"/>
      <c r="B1982" s="130"/>
      <c r="C1982" s="616"/>
      <c r="D1982" s="2101"/>
      <c r="E1982" s="2104"/>
      <c r="F1982" s="2098" t="str">
        <f t="shared" si="76"/>
        <v>ASHP - SEER 20 - replace electric furnace / CAC SF</v>
      </c>
      <c r="G1982" s="2098"/>
      <c r="H1982" s="2098"/>
      <c r="I1982" s="2098"/>
      <c r="J1982" s="709"/>
      <c r="K1982" s="792">
        <f>$R$978*$L$1004*$K$1692</f>
        <v>3712</v>
      </c>
      <c r="L1982" s="778"/>
      <c r="M1982" s="770"/>
      <c r="N1982" s="130"/>
      <c r="O1982" s="251"/>
      <c r="P1982" s="766"/>
      <c r="Q1982" s="767"/>
      <c r="R1982" s="766"/>
      <c r="S1982" s="752"/>
      <c r="T1982" s="760"/>
      <c r="U1982" s="130"/>
      <c r="V1982" s="2107"/>
      <c r="W1982" s="792">
        <v>3712</v>
      </c>
      <c r="X1982" s="793">
        <f>$R$978*$L$1004*$K$1692</f>
        <v>3712</v>
      </c>
      <c r="Y1982" s="710"/>
      <c r="Z1982" s="710"/>
      <c r="AA1982" s="710"/>
      <c r="AB1982" s="710"/>
      <c r="AC1982" s="710"/>
      <c r="AD1982" s="710"/>
      <c r="AE1982" s="710"/>
      <c r="AF1982" s="710"/>
      <c r="AG1982" s="710"/>
    </row>
    <row r="1983" spans="1:33" s="56" customFormat="1" hidden="1" outlineLevel="1" x14ac:dyDescent="0.25">
      <c r="A1983" s="724"/>
      <c r="B1983" s="130"/>
      <c r="C1983" s="616"/>
      <c r="D1983" s="2101"/>
      <c r="E1983" s="2104"/>
      <c r="F1983" s="2098" t="str">
        <f t="shared" ref="F1983:F2046" si="77">E845</f>
        <v>ASHP - SEER 20 - replace electric furnace / CAC SF</v>
      </c>
      <c r="G1983" s="2098"/>
      <c r="H1983" s="2098"/>
      <c r="I1983" s="2098"/>
      <c r="J1983" s="709"/>
      <c r="K1983" s="792"/>
      <c r="L1983" s="778"/>
      <c r="M1983" s="770"/>
      <c r="N1983" s="130"/>
      <c r="O1983" s="251"/>
      <c r="P1983" s="766"/>
      <c r="Q1983" s="767"/>
      <c r="R1983" s="766"/>
      <c r="S1983" s="752"/>
      <c r="T1983" s="760"/>
      <c r="U1983" s="130"/>
      <c r="V1983" s="2107"/>
      <c r="W1983" s="792"/>
      <c r="X1983" s="793"/>
      <c r="Y1983" s="710"/>
      <c r="Z1983" s="710"/>
      <c r="AA1983" s="710"/>
      <c r="AB1983" s="710"/>
      <c r="AC1983" s="710"/>
      <c r="AD1983" s="710"/>
      <c r="AE1983" s="710"/>
      <c r="AF1983" s="710"/>
      <c r="AG1983" s="710"/>
    </row>
    <row r="1984" spans="1:33" s="56" customFormat="1" hidden="1" outlineLevel="1" x14ac:dyDescent="0.25">
      <c r="A1984" s="724"/>
      <c r="B1984" s="130"/>
      <c r="C1984" s="616"/>
      <c r="D1984" s="2101"/>
      <c r="E1984" s="2104"/>
      <c r="F1984" s="2098" t="str">
        <f t="shared" si="77"/>
        <v>ASHP - SEER 20 - replace electric furnace / CAC MF</v>
      </c>
      <c r="G1984" s="2098"/>
      <c r="H1984" s="2098"/>
      <c r="I1984" s="2098"/>
      <c r="J1984" s="709"/>
      <c r="K1984" s="792">
        <f>$R$978*$L$1005*$K$1693</f>
        <v>2412.8000000000002</v>
      </c>
      <c r="L1984" s="778"/>
      <c r="M1984" s="770"/>
      <c r="N1984" s="130"/>
      <c r="O1984" s="251"/>
      <c r="P1984" s="766"/>
      <c r="Q1984" s="767"/>
      <c r="R1984" s="766"/>
      <c r="S1984" s="752"/>
      <c r="T1984" s="760"/>
      <c r="U1984" s="130"/>
      <c r="V1984" s="2107"/>
      <c r="W1984" s="792">
        <v>3596</v>
      </c>
      <c r="X1984" s="793">
        <f>$R$978*$L$1005*$K$1693</f>
        <v>2412.8000000000002</v>
      </c>
      <c r="Y1984" s="710"/>
      <c r="Z1984" s="710"/>
      <c r="AA1984" s="710"/>
      <c r="AB1984" s="710"/>
      <c r="AC1984" s="710"/>
      <c r="AD1984" s="710"/>
      <c r="AE1984" s="710"/>
      <c r="AF1984" s="710"/>
      <c r="AG1984" s="710"/>
    </row>
    <row r="1985" spans="1:33" s="56" customFormat="1" hidden="1" outlineLevel="1" x14ac:dyDescent="0.25">
      <c r="A1985" s="724"/>
      <c r="B1985" s="130"/>
      <c r="C1985" s="616"/>
      <c r="D1985" s="2101"/>
      <c r="E1985" s="2104"/>
      <c r="F1985" s="2098" t="str">
        <f t="shared" si="77"/>
        <v>ASHP - SEER 20 - replace electric furnace / CAC MF</v>
      </c>
      <c r="G1985" s="2098"/>
      <c r="H1985" s="2098"/>
      <c r="I1985" s="2098"/>
      <c r="J1985" s="709"/>
      <c r="K1985" s="792"/>
      <c r="L1985" s="778"/>
      <c r="M1985" s="770"/>
      <c r="N1985" s="130"/>
      <c r="O1985" s="251"/>
      <c r="P1985" s="766"/>
      <c r="Q1985" s="767"/>
      <c r="R1985" s="766"/>
      <c r="S1985" s="752"/>
      <c r="T1985" s="760"/>
      <c r="U1985" s="130"/>
      <c r="V1985" s="2107"/>
      <c r="W1985" s="792"/>
      <c r="X1985" s="793"/>
      <c r="Y1985" s="710"/>
      <c r="Z1985" s="710"/>
      <c r="AA1985" s="710"/>
      <c r="AB1985" s="710"/>
      <c r="AC1985" s="710"/>
      <c r="AD1985" s="710"/>
      <c r="AE1985" s="710"/>
      <c r="AF1985" s="710"/>
      <c r="AG1985" s="710"/>
    </row>
    <row r="1986" spans="1:33" s="56" customFormat="1" hidden="1" outlineLevel="1" x14ac:dyDescent="0.25">
      <c r="A1986" s="724"/>
      <c r="B1986" s="130"/>
      <c r="C1986" s="616"/>
      <c r="D1986" s="2101"/>
      <c r="E1986" s="2104"/>
      <c r="F1986" s="2098" t="str">
        <f t="shared" si="77"/>
        <v>ASHP - SEER 21 - replace electric furnace / CAC - early replacement SF ER1</v>
      </c>
      <c r="G1986" s="2098"/>
      <c r="H1986" s="2098"/>
      <c r="I1986" s="2098"/>
      <c r="J1986" s="709"/>
      <c r="K1986" s="792">
        <f>$Q$979*$L$1006*$K$1694</f>
        <v>4468.6993716056031</v>
      </c>
      <c r="L1986" s="778"/>
      <c r="M1986" s="770"/>
      <c r="N1986" s="130"/>
      <c r="O1986" s="251"/>
      <c r="P1986" s="766"/>
      <c r="Q1986" s="767"/>
      <c r="R1986" s="766"/>
      <c r="S1986" s="752"/>
      <c r="T1986" s="760"/>
      <c r="U1986" s="130"/>
      <c r="V1986" s="2107"/>
      <c r="W1986" s="792">
        <v>5275.2377829603429</v>
      </c>
      <c r="X1986" s="793">
        <f>$Q$979*$L$1006*$K$1694</f>
        <v>4468.6993716056031</v>
      </c>
      <c r="Y1986" s="710"/>
      <c r="Z1986" s="710"/>
      <c r="AA1986" s="710"/>
      <c r="AB1986" s="710"/>
      <c r="AC1986" s="710"/>
      <c r="AD1986" s="710"/>
      <c r="AE1986" s="710"/>
      <c r="AF1986" s="710"/>
      <c r="AG1986" s="710"/>
    </row>
    <row r="1987" spans="1:33" s="56" customFormat="1" hidden="1" outlineLevel="1" x14ac:dyDescent="0.25">
      <c r="A1987" s="724"/>
      <c r="B1987" s="130"/>
      <c r="C1987" s="616"/>
      <c r="D1987" s="2101"/>
      <c r="E1987" s="2104"/>
      <c r="F1987" s="2098" t="str">
        <f t="shared" si="77"/>
        <v>ASHP - SEER 21 - replace electric furnace / CAC - early replacement SF ER1</v>
      </c>
      <c r="G1987" s="2098"/>
      <c r="H1987" s="2098"/>
      <c r="I1987" s="2098"/>
      <c r="J1987" s="709"/>
      <c r="K1987" s="792"/>
      <c r="L1987" s="778"/>
      <c r="M1987" s="770"/>
      <c r="N1987" s="130"/>
      <c r="O1987" s="251"/>
      <c r="P1987" s="766"/>
      <c r="Q1987" s="767"/>
      <c r="R1987" s="766"/>
      <c r="S1987" s="752"/>
      <c r="T1987" s="760"/>
      <c r="U1987" s="130"/>
      <c r="V1987" s="2107"/>
      <c r="W1987" s="792"/>
      <c r="X1987" s="793"/>
      <c r="Y1987" s="710"/>
      <c r="Z1987" s="710"/>
      <c r="AA1987" s="710"/>
      <c r="AB1987" s="710"/>
      <c r="AC1987" s="710"/>
      <c r="AD1987" s="710"/>
      <c r="AE1987" s="710"/>
      <c r="AF1987" s="710"/>
      <c r="AG1987" s="710"/>
    </row>
    <row r="1988" spans="1:33" s="56" customFormat="1" hidden="1" outlineLevel="1" x14ac:dyDescent="0.25">
      <c r="A1988" s="724"/>
      <c r="B1988" s="130"/>
      <c r="C1988" s="616"/>
      <c r="D1988" s="2101"/>
      <c r="E1988" s="2104"/>
      <c r="F1988" s="2098" t="str">
        <f t="shared" si="77"/>
        <v>ASHP - SEER 21 - replace electric furnace / CAC - early replacement SF ER2</v>
      </c>
      <c r="G1988" s="2098"/>
      <c r="H1988" s="2098"/>
      <c r="I1988" s="2098"/>
      <c r="J1988" s="709"/>
      <c r="K1988" s="792"/>
      <c r="L1988" s="778"/>
      <c r="M1988" s="770"/>
      <c r="N1988" s="130"/>
      <c r="O1988" s="251"/>
      <c r="P1988" s="766"/>
      <c r="Q1988" s="767"/>
      <c r="R1988" s="766"/>
      <c r="S1988" s="752"/>
      <c r="T1988" s="760"/>
      <c r="U1988" s="130"/>
      <c r="V1988" s="2107"/>
      <c r="W1988" s="792"/>
      <c r="X1988" s="793"/>
      <c r="Y1988" s="710"/>
      <c r="Z1988" s="710"/>
      <c r="AA1988" s="710"/>
      <c r="AB1988" s="710"/>
      <c r="AC1988" s="710"/>
      <c r="AD1988" s="710"/>
      <c r="AE1988" s="710"/>
      <c r="AF1988" s="710"/>
      <c r="AG1988" s="710"/>
    </row>
    <row r="1989" spans="1:33" s="56" customFormat="1" hidden="1" outlineLevel="1" x14ac:dyDescent="0.25">
      <c r="A1989" s="724"/>
      <c r="B1989" s="130"/>
      <c r="C1989" s="616"/>
      <c r="D1989" s="2101"/>
      <c r="E1989" s="2104"/>
      <c r="F1989" s="2098" t="str">
        <f t="shared" si="77"/>
        <v>ASHP - SEER 21 - replace electric furnace / CAC - early replacement SF ER2</v>
      </c>
      <c r="G1989" s="2098"/>
      <c r="H1989" s="2098"/>
      <c r="I1989" s="2098"/>
      <c r="J1989" s="709"/>
      <c r="K1989" s="792"/>
      <c r="L1989" s="778"/>
      <c r="M1989" s="770"/>
      <c r="N1989" s="130"/>
      <c r="O1989" s="251"/>
      <c r="P1989" s="766"/>
      <c r="Q1989" s="767"/>
      <c r="R1989" s="766"/>
      <c r="S1989" s="752"/>
      <c r="T1989" s="760"/>
      <c r="U1989" s="130"/>
      <c r="V1989" s="2107"/>
      <c r="W1989" s="792"/>
      <c r="X1989" s="793"/>
      <c r="Y1989" s="710"/>
      <c r="Z1989" s="710"/>
      <c r="AA1989" s="710"/>
      <c r="AB1989" s="710"/>
      <c r="AC1989" s="710"/>
      <c r="AD1989" s="710"/>
      <c r="AE1989" s="710"/>
      <c r="AF1989" s="710"/>
      <c r="AG1989" s="710"/>
    </row>
    <row r="1990" spans="1:33" s="56" customFormat="1" hidden="1" outlineLevel="1" x14ac:dyDescent="0.25">
      <c r="A1990" s="724"/>
      <c r="B1990" s="130"/>
      <c r="C1990" s="616"/>
      <c r="D1990" s="2101"/>
      <c r="E1990" s="2104"/>
      <c r="F1990" s="2098" t="str">
        <f t="shared" si="77"/>
        <v>ASHP - SEER 21 - replace electric furnace / CAC - early replacement MF ER1</v>
      </c>
      <c r="G1990" s="2098"/>
      <c r="H1990" s="2098"/>
      <c r="I1990" s="2098"/>
      <c r="J1990" s="709"/>
      <c r="K1990" s="792">
        <f>$Q$979*$L$1008*$K$1696</f>
        <v>2904.6545915436423</v>
      </c>
      <c r="L1990" s="778"/>
      <c r="M1990" s="770"/>
      <c r="N1990" s="130"/>
      <c r="O1990" s="251"/>
      <c r="P1990" s="766"/>
      <c r="Q1990" s="767"/>
      <c r="R1990" s="766"/>
      <c r="S1990" s="752"/>
      <c r="T1990" s="760"/>
      <c r="U1990" s="130"/>
      <c r="V1990" s="2107"/>
      <c r="W1990" s="792">
        <v>5275.2377829603429</v>
      </c>
      <c r="X1990" s="793">
        <f>$Q$979*$L$1008*$K$1696</f>
        <v>2904.6545915436423</v>
      </c>
      <c r="Y1990" s="710"/>
      <c r="Z1990" s="710"/>
      <c r="AA1990" s="710"/>
      <c r="AB1990" s="710"/>
      <c r="AC1990" s="710"/>
      <c r="AD1990" s="710"/>
      <c r="AE1990" s="710"/>
      <c r="AF1990" s="710"/>
      <c r="AG1990" s="710"/>
    </row>
    <row r="1991" spans="1:33" s="56" customFormat="1" hidden="1" outlineLevel="1" x14ac:dyDescent="0.25">
      <c r="A1991" s="724"/>
      <c r="B1991" s="130"/>
      <c r="C1991" s="616"/>
      <c r="D1991" s="2101"/>
      <c r="E1991" s="2104"/>
      <c r="F1991" s="2098" t="str">
        <f t="shared" si="77"/>
        <v>ASHP - SEER 21 - replace electric furnace / CAC - early replacement MF ER1</v>
      </c>
      <c r="G1991" s="2098"/>
      <c r="H1991" s="2098"/>
      <c r="I1991" s="2098"/>
      <c r="J1991" s="709"/>
      <c r="K1991" s="792"/>
      <c r="L1991" s="778"/>
      <c r="M1991" s="770"/>
      <c r="N1991" s="130"/>
      <c r="O1991" s="251"/>
      <c r="P1991" s="766"/>
      <c r="Q1991" s="767"/>
      <c r="R1991" s="766"/>
      <c r="S1991" s="752"/>
      <c r="T1991" s="760"/>
      <c r="U1991" s="130"/>
      <c r="V1991" s="2107"/>
      <c r="W1991" s="792"/>
      <c r="X1991" s="793"/>
      <c r="Y1991" s="710"/>
      <c r="Z1991" s="710"/>
      <c r="AA1991" s="710"/>
      <c r="AB1991" s="710"/>
      <c r="AC1991" s="710"/>
      <c r="AD1991" s="710"/>
      <c r="AE1991" s="710"/>
      <c r="AF1991" s="710"/>
      <c r="AG1991" s="710"/>
    </row>
    <row r="1992" spans="1:33" s="56" customFormat="1" hidden="1" outlineLevel="1" x14ac:dyDescent="0.25">
      <c r="A1992" s="724"/>
      <c r="B1992" s="130"/>
      <c r="C1992" s="616"/>
      <c r="D1992" s="2101"/>
      <c r="E1992" s="2104"/>
      <c r="F1992" s="2098" t="str">
        <f t="shared" si="77"/>
        <v>ASHP - SEER 21 - replace electric furnace / CAC - early replacement MF ER2</v>
      </c>
      <c r="G1992" s="2098"/>
      <c r="H1992" s="2098"/>
      <c r="I1992" s="2098"/>
      <c r="J1992" s="709"/>
      <c r="K1992" s="792"/>
      <c r="L1992" s="778"/>
      <c r="M1992" s="770"/>
      <c r="N1992" s="130"/>
      <c r="O1992" s="251"/>
      <c r="P1992" s="766"/>
      <c r="Q1992" s="767"/>
      <c r="R1992" s="766"/>
      <c r="S1992" s="752"/>
      <c r="T1992" s="760"/>
      <c r="U1992" s="130"/>
      <c r="V1992" s="2107"/>
      <c r="W1992" s="792"/>
      <c r="X1992" s="793"/>
      <c r="Y1992" s="710"/>
      <c r="Z1992" s="710"/>
      <c r="AA1992" s="710"/>
      <c r="AB1992" s="710"/>
      <c r="AC1992" s="710"/>
      <c r="AD1992" s="710"/>
      <c r="AE1992" s="710"/>
      <c r="AF1992" s="710"/>
      <c r="AG1992" s="710"/>
    </row>
    <row r="1993" spans="1:33" s="56" customFormat="1" hidden="1" outlineLevel="1" x14ac:dyDescent="0.25">
      <c r="A1993" s="724"/>
      <c r="B1993" s="130"/>
      <c r="C1993" s="616"/>
      <c r="D1993" s="2101"/>
      <c r="E1993" s="2104"/>
      <c r="F1993" s="2098" t="str">
        <f t="shared" si="77"/>
        <v>ASHP - SEER 21 - replace electric furnace / CAC - early replacement MF ER2</v>
      </c>
      <c r="G1993" s="2098"/>
      <c r="H1993" s="2098"/>
      <c r="I1993" s="2098"/>
      <c r="J1993" s="709"/>
      <c r="K1993" s="792"/>
      <c r="L1993" s="778"/>
      <c r="M1993" s="770"/>
      <c r="N1993" s="130"/>
      <c r="O1993" s="251"/>
      <c r="P1993" s="766"/>
      <c r="Q1993" s="767"/>
      <c r="R1993" s="766"/>
      <c r="S1993" s="752"/>
      <c r="T1993" s="760"/>
      <c r="U1993" s="130"/>
      <c r="V1993" s="2107"/>
      <c r="W1993" s="792"/>
      <c r="X1993" s="793"/>
      <c r="Y1993" s="710"/>
      <c r="Z1993" s="710"/>
      <c r="AA1993" s="710"/>
      <c r="AB1993" s="710"/>
      <c r="AC1993" s="710"/>
      <c r="AD1993" s="710"/>
      <c r="AE1993" s="710"/>
      <c r="AF1993" s="710"/>
      <c r="AG1993" s="710"/>
    </row>
    <row r="1994" spans="1:33" s="56" customFormat="1" hidden="1" outlineLevel="1" x14ac:dyDescent="0.25">
      <c r="A1994" s="724"/>
      <c r="B1994" s="130"/>
      <c r="C1994" s="616"/>
      <c r="D1994" s="2101"/>
      <c r="E1994" s="2104"/>
      <c r="F1994" s="2098" t="str">
        <f t="shared" si="77"/>
        <v>ASHP - SEER 21 - replace electric furnace / CAC SF</v>
      </c>
      <c r="G1994" s="2098"/>
      <c r="H1994" s="2098"/>
      <c r="I1994" s="2098"/>
      <c r="J1994" s="709"/>
      <c r="K1994" s="792">
        <f>$R$979*$L$1010*$K$1698</f>
        <v>3712</v>
      </c>
      <c r="L1994" s="778"/>
      <c r="M1994" s="770"/>
      <c r="N1994" s="130"/>
      <c r="O1994" s="251"/>
      <c r="P1994" s="766"/>
      <c r="Q1994" s="767"/>
      <c r="R1994" s="766"/>
      <c r="S1994" s="752"/>
      <c r="T1994" s="760"/>
      <c r="U1994" s="130"/>
      <c r="V1994" s="2107"/>
      <c r="W1994" s="792">
        <v>3712</v>
      </c>
      <c r="X1994" s="793">
        <f>$R$979*$L$1010*$K$1698</f>
        <v>3712</v>
      </c>
      <c r="Y1994" s="710"/>
      <c r="Z1994" s="710"/>
      <c r="AA1994" s="710"/>
      <c r="AB1994" s="710"/>
      <c r="AC1994" s="710"/>
      <c r="AD1994" s="710"/>
      <c r="AE1994" s="710"/>
      <c r="AF1994" s="710"/>
      <c r="AG1994" s="710"/>
    </row>
    <row r="1995" spans="1:33" s="56" customFormat="1" hidden="1" outlineLevel="1" x14ac:dyDescent="0.25">
      <c r="A1995" s="724"/>
      <c r="B1995" s="130"/>
      <c r="C1995" s="616"/>
      <c r="D1995" s="2101"/>
      <c r="E1995" s="2104"/>
      <c r="F1995" s="2098" t="str">
        <f t="shared" si="77"/>
        <v>ASHP - SEER 21 - replace electric furnace / CAC SF</v>
      </c>
      <c r="G1995" s="2098"/>
      <c r="H1995" s="2098"/>
      <c r="I1995" s="2098"/>
      <c r="J1995" s="709"/>
      <c r="K1995" s="792"/>
      <c r="L1995" s="778"/>
      <c r="M1995" s="770"/>
      <c r="N1995" s="130"/>
      <c r="O1995" s="251"/>
      <c r="P1995" s="766"/>
      <c r="Q1995" s="767"/>
      <c r="R1995" s="766"/>
      <c r="S1995" s="752"/>
      <c r="T1995" s="760"/>
      <c r="U1995" s="130"/>
      <c r="V1995" s="2107"/>
      <c r="W1995" s="792"/>
      <c r="X1995" s="793"/>
      <c r="Y1995" s="710"/>
      <c r="Z1995" s="710"/>
      <c r="AA1995" s="710"/>
      <c r="AB1995" s="710"/>
      <c r="AC1995" s="710"/>
      <c r="AD1995" s="710"/>
      <c r="AE1995" s="710"/>
      <c r="AF1995" s="710"/>
      <c r="AG1995" s="710"/>
    </row>
    <row r="1996" spans="1:33" s="56" customFormat="1" hidden="1" outlineLevel="1" x14ac:dyDescent="0.25">
      <c r="A1996" s="724"/>
      <c r="B1996" s="130"/>
      <c r="C1996" s="616"/>
      <c r="D1996" s="2101"/>
      <c r="E1996" s="2104"/>
      <c r="F1996" s="2098" t="str">
        <f t="shared" si="77"/>
        <v>ASHP-  SEER 21+ Replace at Fail Elec Resist Furnace: HVAC</v>
      </c>
      <c r="G1996" s="2098"/>
      <c r="H1996" s="2098"/>
      <c r="I1996" s="2098"/>
      <c r="J1996" s="709"/>
      <c r="K1996" s="792">
        <f>$R$979*$L$1011*$K$1699</f>
        <v>2412.8000000000002</v>
      </c>
      <c r="L1996" s="778"/>
      <c r="M1996" s="770"/>
      <c r="N1996" s="130"/>
      <c r="O1996" s="251"/>
      <c r="P1996" s="766"/>
      <c r="Q1996" s="767"/>
      <c r="R1996" s="766"/>
      <c r="S1996" s="752"/>
      <c r="T1996" s="760"/>
      <c r="U1996" s="130"/>
      <c r="V1996" s="2107"/>
      <c r="W1996" s="792">
        <v>3712</v>
      </c>
      <c r="X1996" s="793">
        <f>$R$979*$L$1011*$K$1699</f>
        <v>2412.8000000000002</v>
      </c>
      <c r="Y1996" s="710"/>
      <c r="Z1996" s="710"/>
      <c r="AA1996" s="710"/>
      <c r="AB1996" s="710"/>
      <c r="AC1996" s="710"/>
      <c r="AD1996" s="710"/>
      <c r="AE1996" s="710"/>
      <c r="AF1996" s="710"/>
      <c r="AG1996" s="710"/>
    </row>
    <row r="1997" spans="1:33" s="56" customFormat="1" hidden="1" outlineLevel="1" x14ac:dyDescent="0.25">
      <c r="A1997" s="724"/>
      <c r="B1997" s="130"/>
      <c r="C1997" s="616"/>
      <c r="D1997" s="2101"/>
      <c r="E1997" s="2104"/>
      <c r="F1997" s="2098" t="str">
        <f t="shared" si="77"/>
        <v>ASHP-  SEER 21+ Replace at Fail Elec Resist Furnace: HVAC</v>
      </c>
      <c r="G1997" s="2098"/>
      <c r="H1997" s="2098"/>
      <c r="I1997" s="2098"/>
      <c r="J1997" s="709"/>
      <c r="K1997" s="792"/>
      <c r="L1997" s="778"/>
      <c r="M1997" s="770"/>
      <c r="N1997" s="130"/>
      <c r="O1997" s="251"/>
      <c r="P1997" s="766"/>
      <c r="Q1997" s="767"/>
      <c r="R1997" s="766"/>
      <c r="S1997" s="752"/>
      <c r="T1997" s="760"/>
      <c r="U1997" s="130"/>
      <c r="V1997" s="2107"/>
      <c r="W1997" s="792"/>
      <c r="X1997" s="791"/>
      <c r="Y1997" s="710"/>
      <c r="Z1997" s="710"/>
      <c r="AA1997" s="710"/>
      <c r="AB1997" s="710"/>
      <c r="AC1997" s="710"/>
      <c r="AD1997" s="710"/>
      <c r="AE1997" s="710"/>
      <c r="AF1997" s="710"/>
      <c r="AG1997" s="710"/>
    </row>
    <row r="1998" spans="1:33" s="56" customFormat="1" hidden="1" outlineLevel="1" x14ac:dyDescent="0.25">
      <c r="A1998" s="724"/>
      <c r="B1998" s="130"/>
      <c r="C1998" s="616"/>
      <c r="D1998" s="2101"/>
      <c r="E1998" s="2104"/>
      <c r="F1998" s="2098" t="str">
        <f t="shared" si="77"/>
        <v>ASHP SEER 17 replace ASHP - early replacement SF ER1</v>
      </c>
      <c r="G1998" s="2098"/>
      <c r="H1998" s="2098"/>
      <c r="I1998" s="2098"/>
      <c r="J1998" s="709"/>
      <c r="K1998" s="792">
        <f>$Q$975*$L$1012*$K$1700</f>
        <v>2843.0025568704809</v>
      </c>
      <c r="L1998" s="778"/>
      <c r="M1998" s="770"/>
      <c r="N1998" s="130"/>
      <c r="O1998" s="251"/>
      <c r="P1998" s="766"/>
      <c r="Q1998" s="767"/>
      <c r="R1998" s="766"/>
      <c r="S1998" s="752"/>
      <c r="T1998" s="760"/>
      <c r="U1998" s="130"/>
      <c r="V1998" s="2107"/>
      <c r="W1998" s="792">
        <v>3701.5757044416546</v>
      </c>
      <c r="X1998" s="791">
        <f>$Q$975*$L$1012*$K$1700</f>
        <v>2843.0025568704809</v>
      </c>
      <c r="Y1998" s="710"/>
      <c r="Z1998" s="710"/>
      <c r="AA1998" s="710"/>
      <c r="AB1998" s="710"/>
      <c r="AC1998" s="710"/>
      <c r="AD1998" s="710"/>
      <c r="AE1998" s="710"/>
      <c r="AF1998" s="710"/>
      <c r="AG1998" s="710"/>
    </row>
    <row r="1999" spans="1:33" s="56" customFormat="1" ht="15" hidden="1" customHeight="1" outlineLevel="1" x14ac:dyDescent="0.25">
      <c r="A1999" s="724"/>
      <c r="B1999" s="130"/>
      <c r="C1999" s="616"/>
      <c r="D1999" s="2101"/>
      <c r="E1999" s="2104"/>
      <c r="F1999" s="2098" t="str">
        <f t="shared" si="77"/>
        <v>ASHP SEER 17 replace ASHP - early replacement SF ER1</v>
      </c>
      <c r="G1999" s="2098"/>
      <c r="H1999" s="2098"/>
      <c r="I1999" s="2098"/>
      <c r="J1999" s="709" t="s">
        <v>1198</v>
      </c>
      <c r="K1999" s="792"/>
      <c r="L1999" s="670"/>
      <c r="M1999" s="613"/>
      <c r="N1999" s="130"/>
      <c r="O1999" s="251"/>
      <c r="P1999" s="766"/>
      <c r="Q1999" s="767"/>
      <c r="R1999" s="766"/>
      <c r="S1999" s="752"/>
      <c r="T1999" s="760"/>
      <c r="U1999" s="130"/>
      <c r="V1999" s="2107"/>
      <c r="W1999" s="792"/>
      <c r="X1999" s="791"/>
      <c r="Y1999" s="710"/>
      <c r="Z1999" s="710"/>
      <c r="AA1999" s="710"/>
      <c r="AB1999" s="710"/>
      <c r="AC1999" s="710"/>
      <c r="AD1999" s="710"/>
      <c r="AE1999" s="710"/>
      <c r="AF1999" s="710"/>
      <c r="AG1999" s="710"/>
    </row>
    <row r="2000" spans="1:33" s="56" customFormat="1" ht="15" hidden="1" customHeight="1" outlineLevel="1" x14ac:dyDescent="0.25">
      <c r="A2000" s="724"/>
      <c r="B2000" s="130"/>
      <c r="C2000" s="616"/>
      <c r="D2000" s="2101"/>
      <c r="E2000" s="2104"/>
      <c r="F2000" s="2098" t="str">
        <f t="shared" si="77"/>
        <v>ASHP SEER 17 replace ASHP - early replacement SF ER2</v>
      </c>
      <c r="G2000" s="2098"/>
      <c r="H2000" s="2098"/>
      <c r="I2000" s="2098"/>
      <c r="J2000" s="709" t="s">
        <v>1199</v>
      </c>
      <c r="K2000" s="792"/>
      <c r="L2000" s="670"/>
      <c r="M2000" s="613"/>
      <c r="N2000" s="130"/>
      <c r="O2000" s="251"/>
      <c r="P2000" s="766"/>
      <c r="Q2000" s="767"/>
      <c r="R2000" s="766"/>
      <c r="S2000" s="752"/>
      <c r="T2000" s="760"/>
      <c r="U2000" s="130"/>
      <c r="V2000" s="2107"/>
      <c r="W2000" s="792"/>
      <c r="X2000" s="791"/>
      <c r="Y2000" s="710"/>
      <c r="Z2000" s="710"/>
      <c r="AA2000" s="710"/>
      <c r="AB2000" s="710"/>
      <c r="AC2000" s="710"/>
      <c r="AD2000" s="710"/>
      <c r="AE2000" s="710"/>
      <c r="AF2000" s="710"/>
      <c r="AG2000" s="710"/>
    </row>
    <row r="2001" spans="1:33" s="56" customFormat="1" ht="15" hidden="1" customHeight="1" outlineLevel="1" x14ac:dyDescent="0.25">
      <c r="A2001" s="724"/>
      <c r="B2001" s="130"/>
      <c r="C2001" s="616"/>
      <c r="D2001" s="2101"/>
      <c r="E2001" s="2104"/>
      <c r="F2001" s="2098" t="str">
        <f t="shared" si="77"/>
        <v>ASHP SEER 17 replace ASHP - early replacement SF ER2</v>
      </c>
      <c r="G2001" s="2098"/>
      <c r="H2001" s="2098"/>
      <c r="I2001" s="2098"/>
      <c r="J2001" s="709" t="s">
        <v>1200</v>
      </c>
      <c r="K2001" s="792"/>
      <c r="L2001" s="670"/>
      <c r="M2001" s="613"/>
      <c r="N2001" s="130"/>
      <c r="O2001" s="251"/>
      <c r="P2001" s="766"/>
      <c r="Q2001" s="767"/>
      <c r="R2001" s="766"/>
      <c r="S2001" s="752"/>
      <c r="T2001" s="760"/>
      <c r="U2001" s="130"/>
      <c r="V2001" s="2107"/>
      <c r="W2001" s="792"/>
      <c r="X2001" s="791"/>
      <c r="Y2001" s="710"/>
      <c r="Z2001" s="710"/>
      <c r="AA2001" s="710"/>
      <c r="AB2001" s="710"/>
      <c r="AC2001" s="710"/>
      <c r="AD2001" s="710"/>
      <c r="AE2001" s="710"/>
      <c r="AF2001" s="710"/>
      <c r="AG2001" s="710"/>
    </row>
    <row r="2002" spans="1:33" s="56" customFormat="1" ht="15" hidden="1" customHeight="1" outlineLevel="1" x14ac:dyDescent="0.25">
      <c r="A2002" s="724"/>
      <c r="B2002" s="130"/>
      <c r="C2002" s="616"/>
      <c r="D2002" s="2101"/>
      <c r="E2002" s="2104"/>
      <c r="F2002" s="2098" t="str">
        <f t="shared" si="77"/>
        <v>ASHP SEER 17 replace ASHP - replace on fail SF</v>
      </c>
      <c r="G2002" s="2098"/>
      <c r="H2002" s="2098"/>
      <c r="I2002" s="2098"/>
      <c r="J2002" s="709" t="s">
        <v>1201</v>
      </c>
      <c r="K2002" s="792">
        <f>$R$975*$L$1014*$K$1702</f>
        <v>1914</v>
      </c>
      <c r="L2002" s="778"/>
      <c r="M2002" s="613"/>
      <c r="N2002" s="130"/>
      <c r="O2002" s="251"/>
      <c r="P2002" s="766"/>
      <c r="Q2002" s="767"/>
      <c r="R2002" s="766"/>
      <c r="S2002" s="752"/>
      <c r="T2002" s="760"/>
      <c r="U2002" s="130"/>
      <c r="V2002" s="2107"/>
      <c r="W2002" s="792">
        <v>1914</v>
      </c>
      <c r="X2002" s="791">
        <f>$R$975*$L$1014*$K$1702</f>
        <v>1914</v>
      </c>
      <c r="Y2002" s="710"/>
      <c r="Z2002" s="710"/>
      <c r="AA2002" s="710"/>
      <c r="AB2002" s="710"/>
      <c r="AC2002" s="710"/>
      <c r="AD2002" s="710"/>
      <c r="AE2002" s="710"/>
      <c r="AF2002" s="710"/>
      <c r="AG2002" s="710"/>
    </row>
    <row r="2003" spans="1:33" s="56" customFormat="1" ht="15" hidden="1" customHeight="1" outlineLevel="1" x14ac:dyDescent="0.25">
      <c r="A2003" s="724"/>
      <c r="B2003" s="130"/>
      <c r="C2003" s="616"/>
      <c r="D2003" s="2101"/>
      <c r="E2003" s="2104"/>
      <c r="F2003" s="2098" t="str">
        <f t="shared" si="77"/>
        <v>ASHP SEER 17 replace ASHP - replace on fail SF</v>
      </c>
      <c r="G2003" s="2098"/>
      <c r="H2003" s="2098"/>
      <c r="I2003" s="2098"/>
      <c r="J2003" s="709" t="s">
        <v>1156</v>
      </c>
      <c r="K2003" s="792"/>
      <c r="L2003" s="669"/>
      <c r="M2003" s="770"/>
      <c r="N2003" s="130"/>
      <c r="O2003" s="251"/>
      <c r="P2003" s="766"/>
      <c r="Q2003" s="766"/>
      <c r="R2003" s="766"/>
      <c r="S2003" s="752"/>
      <c r="T2003" s="760"/>
      <c r="U2003" s="130"/>
      <c r="V2003" s="2107"/>
      <c r="W2003" s="792"/>
      <c r="X2003" s="791"/>
      <c r="Y2003" s="710"/>
      <c r="Z2003" s="710"/>
      <c r="AA2003" s="710"/>
      <c r="AB2003" s="710"/>
      <c r="AC2003" s="710"/>
      <c r="AD2003" s="710"/>
      <c r="AE2003" s="710"/>
      <c r="AF2003" s="710"/>
      <c r="AG2003" s="710"/>
    </row>
    <row r="2004" spans="1:33" s="56" customFormat="1" ht="15" hidden="1" customHeight="1" outlineLevel="1" x14ac:dyDescent="0.25">
      <c r="A2004" s="724"/>
      <c r="B2004" s="130"/>
      <c r="C2004" s="616"/>
      <c r="D2004" s="2101"/>
      <c r="E2004" s="2104"/>
      <c r="F2004" s="2098" t="str">
        <f t="shared" si="77"/>
        <v>ASHP SEER 18 replace ASHP - early replacement SF ER1</v>
      </c>
      <c r="G2004" s="2098"/>
      <c r="H2004" s="2098"/>
      <c r="I2004" s="2098"/>
      <c r="J2004" s="709">
        <v>920</v>
      </c>
      <c r="K2004" s="792">
        <f>$Q$976*$L$1015*$K$1703</f>
        <v>3283.0025568704814</v>
      </c>
      <c r="L2004" s="669"/>
      <c r="M2004" s="770"/>
      <c r="N2004" s="130"/>
      <c r="O2004" s="251"/>
      <c r="P2004" s="766"/>
      <c r="Q2004" s="766"/>
      <c r="R2004" s="766"/>
      <c r="S2004" s="752"/>
      <c r="T2004" s="760"/>
      <c r="U2004" s="130"/>
      <c r="V2004" s="2107"/>
      <c r="W2004" s="792">
        <v>4141.575704441655</v>
      </c>
      <c r="X2004" s="791">
        <f>$Q$976*$L$1015*$K$1703</f>
        <v>3283.0025568704814</v>
      </c>
      <c r="Y2004" s="710"/>
      <c r="Z2004" s="710"/>
      <c r="AA2004" s="710"/>
      <c r="AB2004" s="710"/>
      <c r="AC2004" s="710"/>
      <c r="AD2004" s="710"/>
      <c r="AE2004" s="710"/>
      <c r="AF2004" s="710"/>
      <c r="AG2004" s="710"/>
    </row>
    <row r="2005" spans="1:33" s="56" customFormat="1" ht="15" hidden="1" customHeight="1" outlineLevel="1" x14ac:dyDescent="0.25">
      <c r="A2005" s="724"/>
      <c r="B2005" s="130"/>
      <c r="C2005" s="616"/>
      <c r="D2005" s="2101"/>
      <c r="E2005" s="2104"/>
      <c r="F2005" s="2098" t="str">
        <f t="shared" si="77"/>
        <v>ASHP SEER 18 replace ASHP - early replacement SF ER1</v>
      </c>
      <c r="G2005" s="2098"/>
      <c r="H2005" s="2098"/>
      <c r="I2005" s="2098"/>
      <c r="J2005" s="709" t="s">
        <v>1159</v>
      </c>
      <c r="K2005" s="792"/>
      <c r="L2005" s="669"/>
      <c r="M2005" s="770"/>
      <c r="N2005" s="130"/>
      <c r="O2005" s="251"/>
      <c r="P2005" s="766"/>
      <c r="Q2005" s="766"/>
      <c r="R2005" s="766"/>
      <c r="S2005" s="752"/>
      <c r="T2005" s="760"/>
      <c r="U2005" s="130"/>
      <c r="V2005" s="2107"/>
      <c r="W2005" s="792"/>
      <c r="X2005" s="791"/>
      <c r="Y2005" s="710"/>
      <c r="Z2005" s="710"/>
      <c r="AA2005" s="710"/>
      <c r="AB2005" s="710"/>
      <c r="AC2005" s="710"/>
      <c r="AD2005" s="710"/>
      <c r="AE2005" s="710"/>
      <c r="AF2005" s="710"/>
      <c r="AG2005" s="710"/>
    </row>
    <row r="2006" spans="1:33" s="56" customFormat="1" ht="15" hidden="1" customHeight="1" outlineLevel="1" x14ac:dyDescent="0.25">
      <c r="A2006" s="724"/>
      <c r="B2006" s="130"/>
      <c r="C2006" s="616"/>
      <c r="D2006" s="2101"/>
      <c r="E2006" s="2104"/>
      <c r="F2006" s="2098" t="str">
        <f t="shared" si="77"/>
        <v>ASHP SEER 18 replace ASHP - early replacement SF ER2</v>
      </c>
      <c r="G2006" s="2098"/>
      <c r="H2006" s="2098"/>
      <c r="I2006" s="2098"/>
      <c r="J2006" s="709">
        <v>921</v>
      </c>
      <c r="K2006" s="792"/>
      <c r="L2006" s="669"/>
      <c r="M2006" s="770"/>
      <c r="N2006" s="130"/>
      <c r="O2006" s="251"/>
      <c r="P2006" s="766"/>
      <c r="Q2006" s="766"/>
      <c r="R2006" s="766"/>
      <c r="S2006" s="752"/>
      <c r="T2006" s="760"/>
      <c r="U2006" s="130"/>
      <c r="V2006" s="2107"/>
      <c r="W2006" s="792"/>
      <c r="X2006" s="791"/>
      <c r="Y2006" s="710"/>
      <c r="Z2006" s="710"/>
      <c r="AA2006" s="710"/>
      <c r="AB2006" s="710"/>
      <c r="AC2006" s="710"/>
      <c r="AD2006" s="710"/>
      <c r="AE2006" s="710"/>
      <c r="AF2006" s="710"/>
      <c r="AG2006" s="710"/>
    </row>
    <row r="2007" spans="1:33" s="56" customFormat="1" ht="15" hidden="1" customHeight="1" outlineLevel="1" x14ac:dyDescent="0.25">
      <c r="A2007" s="724"/>
      <c r="B2007" s="130"/>
      <c r="C2007" s="616"/>
      <c r="D2007" s="2101"/>
      <c r="E2007" s="2104"/>
      <c r="F2007" s="2098" t="str">
        <f t="shared" si="77"/>
        <v>ASHP SEER 18 replace ASHP - early replacement SF ER2</v>
      </c>
      <c r="G2007" s="2098"/>
      <c r="H2007" s="2098"/>
      <c r="I2007" s="2098"/>
      <c r="J2007" s="709">
        <v>922</v>
      </c>
      <c r="K2007" s="792"/>
      <c r="L2007" s="669"/>
      <c r="M2007" s="770"/>
      <c r="N2007" s="130"/>
      <c r="O2007" s="251"/>
      <c r="P2007" s="766"/>
      <c r="Q2007" s="766"/>
      <c r="R2007" s="766"/>
      <c r="S2007" s="752"/>
      <c r="T2007" s="760"/>
      <c r="U2007" s="130"/>
      <c r="V2007" s="2107"/>
      <c r="W2007" s="792"/>
      <c r="X2007" s="791"/>
      <c r="Y2007" s="710"/>
      <c r="Z2007" s="710"/>
      <c r="AA2007" s="710"/>
      <c r="AB2007" s="710"/>
      <c r="AC2007" s="710"/>
      <c r="AD2007" s="710"/>
      <c r="AE2007" s="710"/>
      <c r="AF2007" s="710"/>
      <c r="AG2007" s="710"/>
    </row>
    <row r="2008" spans="1:33" s="56" customFormat="1" ht="15" hidden="1" customHeight="1" outlineLevel="1" x14ac:dyDescent="0.25">
      <c r="A2008" s="724"/>
      <c r="B2008" s="130"/>
      <c r="C2008" s="616"/>
      <c r="D2008" s="2101"/>
      <c r="E2008" s="2104"/>
      <c r="F2008" s="2098" t="str">
        <f t="shared" si="77"/>
        <v>ASHP SEER 18 replace ASHP - replace on fail SF</v>
      </c>
      <c r="G2008" s="2098"/>
      <c r="H2008" s="2098"/>
      <c r="I2008" s="2098"/>
      <c r="J2008" s="709">
        <v>923</v>
      </c>
      <c r="K2008" s="792">
        <f>$R$976*$L$1017*$K$1705</f>
        <v>2354</v>
      </c>
      <c r="L2008" s="669"/>
      <c r="M2008" s="770"/>
      <c r="N2008" s="130"/>
      <c r="O2008" s="251"/>
      <c r="P2008" s="766"/>
      <c r="Q2008" s="766"/>
      <c r="R2008" s="766"/>
      <c r="S2008" s="752"/>
      <c r="T2008" s="760"/>
      <c r="U2008" s="130"/>
      <c r="V2008" s="2107"/>
      <c r="W2008" s="792">
        <v>2354</v>
      </c>
      <c r="X2008" s="791">
        <f>$R$976*$L$1017*$K$1705</f>
        <v>2354</v>
      </c>
      <c r="Y2008" s="710"/>
      <c r="Z2008" s="710"/>
      <c r="AA2008" s="710"/>
      <c r="AB2008" s="710"/>
      <c r="AC2008" s="710"/>
      <c r="AD2008" s="710"/>
      <c r="AE2008" s="710"/>
      <c r="AF2008" s="710"/>
      <c r="AG2008" s="710"/>
    </row>
    <row r="2009" spans="1:33" s="56" customFormat="1" ht="15" hidden="1" customHeight="1" outlineLevel="1" x14ac:dyDescent="0.25">
      <c r="A2009" s="724"/>
      <c r="B2009" s="130"/>
      <c r="C2009" s="616"/>
      <c r="D2009" s="2101"/>
      <c r="E2009" s="2104"/>
      <c r="F2009" s="2098" t="str">
        <f t="shared" si="77"/>
        <v>ASHP SEER 18 replace ASHP - replace on fail SF</v>
      </c>
      <c r="G2009" s="2098"/>
      <c r="H2009" s="2098"/>
      <c r="I2009" s="2098"/>
      <c r="J2009" s="709" t="s">
        <v>1161</v>
      </c>
      <c r="K2009" s="792"/>
      <c r="L2009" s="669"/>
      <c r="M2009" s="770"/>
      <c r="N2009" s="130"/>
      <c r="O2009" s="251"/>
      <c r="P2009" s="766"/>
      <c r="Q2009" s="766"/>
      <c r="R2009" s="766"/>
      <c r="S2009" s="752"/>
      <c r="T2009" s="760"/>
      <c r="U2009" s="130"/>
      <c r="V2009" s="2107"/>
      <c r="W2009" s="792"/>
      <c r="X2009" s="791"/>
      <c r="Y2009" s="710"/>
      <c r="Z2009" s="710"/>
      <c r="AA2009" s="710"/>
      <c r="AB2009" s="710"/>
      <c r="AC2009" s="710"/>
      <c r="AD2009" s="710"/>
      <c r="AE2009" s="710"/>
      <c r="AF2009" s="710"/>
      <c r="AG2009" s="710"/>
    </row>
    <row r="2010" spans="1:33" s="56" customFormat="1" ht="15" hidden="1" customHeight="1" outlineLevel="1" x14ac:dyDescent="0.25">
      <c r="A2010" s="724"/>
      <c r="B2010" s="130"/>
      <c r="C2010" s="616"/>
      <c r="D2010" s="2101"/>
      <c r="E2010" s="2104"/>
      <c r="F2010" s="2098" t="str">
        <f t="shared" si="77"/>
        <v>ASHP - SEER 18 - replace on fail SF</v>
      </c>
      <c r="G2010" s="2098"/>
      <c r="H2010" s="2098"/>
      <c r="I2010" s="2098"/>
      <c r="J2010" s="709">
        <v>924</v>
      </c>
      <c r="K2010" s="792">
        <f>$R$976*$L$1018*$K$1706</f>
        <v>2354</v>
      </c>
      <c r="L2010" s="669"/>
      <c r="M2010" s="770"/>
      <c r="N2010" s="130"/>
      <c r="O2010" s="251"/>
      <c r="P2010" s="766"/>
      <c r="Q2010" s="766"/>
      <c r="R2010" s="766"/>
      <c r="S2010" s="752"/>
      <c r="T2010" s="760"/>
      <c r="U2010" s="130"/>
      <c r="V2010" s="2107"/>
      <c r="W2010" s="792">
        <v>2354</v>
      </c>
      <c r="X2010" s="791">
        <f>$R$976*$L$1018*$K$1706</f>
        <v>2354</v>
      </c>
      <c r="Y2010" s="710"/>
      <c r="Z2010" s="710"/>
      <c r="AA2010" s="710"/>
      <c r="AB2010" s="710"/>
      <c r="AC2010" s="710"/>
      <c r="AD2010" s="710"/>
      <c r="AE2010" s="710"/>
      <c r="AF2010" s="710"/>
      <c r="AG2010" s="710"/>
    </row>
    <row r="2011" spans="1:33" s="56" customFormat="1" ht="15" hidden="1" customHeight="1" outlineLevel="1" x14ac:dyDescent="0.25">
      <c r="A2011" s="724"/>
      <c r="B2011" s="130"/>
      <c r="C2011" s="616"/>
      <c r="D2011" s="2101"/>
      <c r="E2011" s="2104"/>
      <c r="F2011" s="2098" t="str">
        <f t="shared" si="77"/>
        <v>ASHP - SEER 18 - replace on fail SF</v>
      </c>
      <c r="G2011" s="2098"/>
      <c r="H2011" s="2098"/>
      <c r="I2011" s="2098"/>
      <c r="J2011" s="709" t="s">
        <v>1163</v>
      </c>
      <c r="K2011" s="792"/>
      <c r="L2011" s="670"/>
      <c r="M2011" s="770"/>
      <c r="N2011" s="130"/>
      <c r="O2011" s="251"/>
      <c r="P2011" s="766"/>
      <c r="Q2011" s="766"/>
      <c r="R2011" s="766"/>
      <c r="S2011" s="752"/>
      <c r="T2011" s="760"/>
      <c r="U2011" s="130"/>
      <c r="V2011" s="2107"/>
      <c r="W2011" s="792"/>
      <c r="X2011" s="791"/>
      <c r="Y2011" s="710"/>
      <c r="Z2011" s="710"/>
      <c r="AA2011" s="710"/>
      <c r="AB2011" s="710"/>
      <c r="AC2011" s="710"/>
      <c r="AD2011" s="710"/>
      <c r="AE2011" s="710"/>
      <c r="AF2011" s="710"/>
      <c r="AG2011" s="710"/>
    </row>
    <row r="2012" spans="1:33" s="56" customFormat="1" ht="15" hidden="1" customHeight="1" outlineLevel="1" x14ac:dyDescent="0.25">
      <c r="A2012" s="724"/>
      <c r="B2012" s="130"/>
      <c r="C2012" s="616"/>
      <c r="D2012" s="2101"/>
      <c r="E2012" s="2104"/>
      <c r="F2012" s="2098" t="str">
        <f t="shared" si="77"/>
        <v>ASHP SEER 19 replace ASHP - early replacement SF ER1</v>
      </c>
      <c r="G2012" s="2098"/>
      <c r="H2012" s="2098"/>
      <c r="I2012" s="2098"/>
      <c r="J2012" s="709">
        <v>925</v>
      </c>
      <c r="K2012" s="792">
        <f>$Q$977*$L$1019*$K$1707</f>
        <v>3613.0025568704814</v>
      </c>
      <c r="L2012" s="670"/>
      <c r="M2012" s="770"/>
      <c r="N2012" s="130"/>
      <c r="O2012" s="251"/>
      <c r="P2012" s="766"/>
      <c r="Q2012" s="766"/>
      <c r="R2012" s="766"/>
      <c r="S2012" s="752"/>
      <c r="T2012" s="760"/>
      <c r="U2012" s="130"/>
      <c r="V2012" s="2107"/>
      <c r="W2012" s="792">
        <v>4471.575704441655</v>
      </c>
      <c r="X2012" s="791">
        <f>$Q$977*$L$1019*$K$1707</f>
        <v>3613.0025568704814</v>
      </c>
      <c r="Y2012" s="710"/>
      <c r="Z2012" s="710"/>
      <c r="AA2012" s="710"/>
      <c r="AB2012" s="710"/>
      <c r="AC2012" s="710"/>
      <c r="AD2012" s="710"/>
      <c r="AE2012" s="710"/>
      <c r="AF2012" s="710"/>
      <c r="AG2012" s="710"/>
    </row>
    <row r="2013" spans="1:33" s="56" customFormat="1" ht="15" hidden="1" customHeight="1" outlineLevel="1" x14ac:dyDescent="0.25">
      <c r="A2013" s="724"/>
      <c r="B2013" s="130"/>
      <c r="C2013" s="616"/>
      <c r="D2013" s="2101"/>
      <c r="E2013" s="2104"/>
      <c r="F2013" s="2098" t="str">
        <f t="shared" si="77"/>
        <v>ASHP SEER 19 replace ASHP - early replacement SF ER1</v>
      </c>
      <c r="G2013" s="2098"/>
      <c r="H2013" s="2098"/>
      <c r="I2013" s="2098"/>
      <c r="J2013" s="709">
        <v>926</v>
      </c>
      <c r="K2013" s="792"/>
      <c r="L2013" s="670"/>
      <c r="M2013" s="770"/>
      <c r="N2013" s="130"/>
      <c r="O2013" s="251"/>
      <c r="P2013" s="766"/>
      <c r="Q2013" s="766"/>
      <c r="R2013" s="766"/>
      <c r="S2013" s="752"/>
      <c r="T2013" s="760"/>
      <c r="U2013" s="130"/>
      <c r="V2013" s="2107"/>
      <c r="W2013" s="792"/>
      <c r="X2013" s="791"/>
      <c r="Y2013" s="710"/>
      <c r="Z2013" s="710"/>
      <c r="AA2013" s="710"/>
      <c r="AB2013" s="710"/>
      <c r="AC2013" s="710"/>
      <c r="AD2013" s="710"/>
      <c r="AE2013" s="710"/>
      <c r="AF2013" s="710"/>
      <c r="AG2013" s="710"/>
    </row>
    <row r="2014" spans="1:33" s="56" customFormat="1" ht="15" hidden="1" customHeight="1" outlineLevel="1" x14ac:dyDescent="0.25">
      <c r="A2014" s="724"/>
      <c r="B2014" s="130"/>
      <c r="C2014" s="616"/>
      <c r="D2014" s="2101"/>
      <c r="E2014" s="2104"/>
      <c r="F2014" s="2098" t="str">
        <f t="shared" si="77"/>
        <v>ASHP SEER 19 replace ASHP - early replacement SF ER2</v>
      </c>
      <c r="G2014" s="2098"/>
      <c r="H2014" s="2098"/>
      <c r="I2014" s="2098"/>
      <c r="J2014" s="709">
        <v>1239</v>
      </c>
      <c r="K2014" s="792"/>
      <c r="L2014" s="670"/>
      <c r="M2014" s="613"/>
      <c r="N2014" s="130"/>
      <c r="O2014" s="251"/>
      <c r="P2014" s="766"/>
      <c r="Q2014" s="766"/>
      <c r="R2014" s="766"/>
      <c r="S2014" s="752"/>
      <c r="T2014" s="760"/>
      <c r="U2014" s="130"/>
      <c r="V2014" s="2107"/>
      <c r="W2014" s="792"/>
      <c r="X2014" s="791"/>
      <c r="Y2014" s="710"/>
      <c r="Z2014" s="710"/>
      <c r="AA2014" s="710"/>
      <c r="AB2014" s="710"/>
      <c r="AC2014" s="710"/>
      <c r="AD2014" s="710"/>
      <c r="AE2014" s="710"/>
      <c r="AF2014" s="710"/>
      <c r="AG2014" s="710"/>
    </row>
    <row r="2015" spans="1:33" s="56" customFormat="1" ht="15" hidden="1" customHeight="1" outlineLevel="1" x14ac:dyDescent="0.25">
      <c r="A2015" s="724"/>
      <c r="B2015" s="130"/>
      <c r="C2015" s="616"/>
      <c r="D2015" s="2101"/>
      <c r="E2015" s="2104"/>
      <c r="F2015" s="2098" t="str">
        <f t="shared" si="77"/>
        <v>ASHP SEER 19 replace ASHP - early replacement SF ER2</v>
      </c>
      <c r="G2015" s="2098"/>
      <c r="H2015" s="2098"/>
      <c r="I2015" s="2098"/>
      <c r="J2015" s="709" t="s">
        <v>1166</v>
      </c>
      <c r="K2015" s="792"/>
      <c r="L2015" s="670"/>
      <c r="M2015" s="613"/>
      <c r="N2015" s="130"/>
      <c r="O2015" s="251"/>
      <c r="P2015" s="766"/>
      <c r="Q2015" s="766"/>
      <c r="R2015" s="766"/>
      <c r="S2015" s="752"/>
      <c r="T2015" s="760"/>
      <c r="U2015" s="130"/>
      <c r="V2015" s="2107"/>
      <c r="W2015" s="792"/>
      <c r="X2015" s="791"/>
      <c r="Y2015" s="710"/>
      <c r="Z2015" s="710"/>
      <c r="AA2015" s="710"/>
      <c r="AB2015" s="710"/>
      <c r="AC2015" s="710"/>
      <c r="AD2015" s="710"/>
      <c r="AE2015" s="710"/>
      <c r="AF2015" s="710"/>
      <c r="AG2015" s="710"/>
    </row>
    <row r="2016" spans="1:33" s="56" customFormat="1" ht="15" hidden="1" customHeight="1" outlineLevel="1" x14ac:dyDescent="0.25">
      <c r="A2016" s="724"/>
      <c r="B2016" s="130"/>
      <c r="C2016" s="616"/>
      <c r="D2016" s="2101"/>
      <c r="E2016" s="2104"/>
      <c r="F2016" s="2098" t="str">
        <f t="shared" si="77"/>
        <v>ASHP SEER 19 replace ASHP - replace on fail SF</v>
      </c>
      <c r="G2016" s="2098"/>
      <c r="H2016" s="2098"/>
      <c r="I2016" s="2098"/>
      <c r="J2016" s="709">
        <v>1266</v>
      </c>
      <c r="K2016" s="792">
        <f>$R$977*$L$1021*$K$1709</f>
        <v>2684</v>
      </c>
      <c r="L2016" s="670"/>
      <c r="M2016" s="613"/>
      <c r="N2016" s="130"/>
      <c r="O2016" s="251"/>
      <c r="P2016" s="766"/>
      <c r="Q2016" s="766"/>
      <c r="R2016" s="766"/>
      <c r="S2016" s="752"/>
      <c r="T2016" s="760"/>
      <c r="U2016" s="130"/>
      <c r="V2016" s="2107"/>
      <c r="W2016" s="792">
        <v>2684</v>
      </c>
      <c r="X2016" s="791">
        <f>$R$977*$L$1021*$K$1709</f>
        <v>2684</v>
      </c>
      <c r="Y2016" s="710"/>
      <c r="Z2016" s="710"/>
      <c r="AA2016" s="710"/>
      <c r="AB2016" s="710"/>
      <c r="AC2016" s="710"/>
      <c r="AD2016" s="710"/>
      <c r="AE2016" s="710"/>
      <c r="AF2016" s="710"/>
      <c r="AG2016" s="710"/>
    </row>
    <row r="2017" spans="1:33" s="56" customFormat="1" ht="15" hidden="1" customHeight="1" outlineLevel="1" x14ac:dyDescent="0.25">
      <c r="A2017" s="724"/>
      <c r="B2017" s="130"/>
      <c r="C2017" s="616"/>
      <c r="D2017" s="2101"/>
      <c r="E2017" s="2104"/>
      <c r="F2017" s="2098" t="str">
        <f t="shared" si="77"/>
        <v>ASHP SEER 19 replace ASHP - replace on fail SF</v>
      </c>
      <c r="G2017" s="2098"/>
      <c r="H2017" s="2098"/>
      <c r="I2017" s="2098"/>
      <c r="J2017" s="709" t="s">
        <v>1168</v>
      </c>
      <c r="K2017" s="792"/>
      <c r="L2017" s="670"/>
      <c r="M2017" s="613"/>
      <c r="N2017" s="130"/>
      <c r="O2017" s="251"/>
      <c r="P2017" s="766"/>
      <c r="Q2017" s="766"/>
      <c r="R2017" s="766"/>
      <c r="S2017" s="752"/>
      <c r="T2017" s="760"/>
      <c r="U2017" s="130"/>
      <c r="V2017" s="2107"/>
      <c r="W2017" s="792"/>
      <c r="X2017" s="791"/>
      <c r="Y2017" s="710"/>
      <c r="Z2017" s="710"/>
      <c r="AA2017" s="710"/>
      <c r="AB2017" s="710"/>
      <c r="AC2017" s="710"/>
      <c r="AD2017" s="710"/>
      <c r="AE2017" s="710"/>
      <c r="AF2017" s="710"/>
      <c r="AG2017" s="710"/>
    </row>
    <row r="2018" spans="1:33" s="56" customFormat="1" ht="15" hidden="1" customHeight="1" outlineLevel="1" x14ac:dyDescent="0.25">
      <c r="A2018" s="724"/>
      <c r="B2018" s="130"/>
      <c r="C2018" s="616"/>
      <c r="D2018" s="2101"/>
      <c r="E2018" s="2104"/>
      <c r="F2018" s="2098" t="str">
        <f t="shared" si="77"/>
        <v>ASHP - SEER 17 - replace electric furnace / CAC - early replacement SF ER1</v>
      </c>
      <c r="G2018" s="2098"/>
      <c r="H2018" s="2098"/>
      <c r="I2018" s="2098"/>
      <c r="J2018" s="709">
        <v>1268</v>
      </c>
      <c r="K2018" s="792">
        <f>$L$1022*$Q$975*$K$1710</f>
        <v>2670.6993716056031</v>
      </c>
      <c r="L2018" s="670"/>
      <c r="M2018" s="613"/>
      <c r="N2018" s="130"/>
      <c r="O2018" s="251"/>
      <c r="P2018" s="766"/>
      <c r="Q2018" s="766"/>
      <c r="R2018" s="766"/>
      <c r="S2018" s="752"/>
      <c r="T2018" s="760"/>
      <c r="U2018" s="130"/>
      <c r="V2018" s="2107"/>
      <c r="W2018" s="792">
        <v>3824.9615612563771</v>
      </c>
      <c r="X2018" s="794">
        <f>$L$1022*$Q$975*$K$1710</f>
        <v>2670.6993716056031</v>
      </c>
      <c r="Y2018" s="710"/>
      <c r="Z2018" s="710"/>
      <c r="AA2018" s="710"/>
      <c r="AB2018" s="710"/>
      <c r="AC2018" s="710"/>
      <c r="AD2018" s="710"/>
      <c r="AE2018" s="710"/>
      <c r="AF2018" s="710"/>
      <c r="AG2018" s="710"/>
    </row>
    <row r="2019" spans="1:33" s="56" customFormat="1" ht="15" hidden="1" customHeight="1" outlineLevel="1" x14ac:dyDescent="0.25">
      <c r="A2019" s="724"/>
      <c r="B2019" s="130"/>
      <c r="C2019" s="616"/>
      <c r="D2019" s="2101"/>
      <c r="E2019" s="2104"/>
      <c r="F2019" s="2098" t="str">
        <f t="shared" si="77"/>
        <v>ASHP - SEER 17 - replace electric furnace / CAC - early replacement SF ER1</v>
      </c>
      <c r="G2019" s="2098"/>
      <c r="H2019" s="2098"/>
      <c r="I2019" s="2098"/>
      <c r="J2019" s="709">
        <v>1240</v>
      </c>
      <c r="K2019" s="792"/>
      <c r="L2019" s="670"/>
      <c r="M2019" s="613"/>
      <c r="N2019" s="130"/>
      <c r="O2019" s="251"/>
      <c r="P2019" s="766"/>
      <c r="Q2019" s="766"/>
      <c r="R2019" s="766"/>
      <c r="S2019" s="752"/>
      <c r="T2019" s="760"/>
      <c r="U2019" s="130"/>
      <c r="V2019" s="2107"/>
      <c r="W2019" s="792"/>
      <c r="X2019" s="791"/>
      <c r="Y2019" s="710"/>
      <c r="Z2019" s="710"/>
      <c r="AA2019" s="710"/>
      <c r="AB2019" s="710"/>
      <c r="AC2019" s="710"/>
      <c r="AD2019" s="710"/>
      <c r="AE2019" s="710"/>
      <c r="AF2019" s="710"/>
      <c r="AG2019" s="710"/>
    </row>
    <row r="2020" spans="1:33" s="56" customFormat="1" ht="15" hidden="1" customHeight="1" outlineLevel="1" x14ac:dyDescent="0.25">
      <c r="A2020" s="724"/>
      <c r="B2020" s="130"/>
      <c r="C2020" s="616"/>
      <c r="D2020" s="2101"/>
      <c r="E2020" s="2104"/>
      <c r="F2020" s="2098" t="str">
        <f t="shared" si="77"/>
        <v>ASHP - SEER 17 - replace electric furnace / CAC - early replacement SF ER2</v>
      </c>
      <c r="G2020" s="2098"/>
      <c r="H2020" s="2098"/>
      <c r="I2020" s="2098"/>
      <c r="J2020" s="709" t="s">
        <v>1170</v>
      </c>
      <c r="K2020" s="792"/>
      <c r="L2020" s="670"/>
      <c r="M2020" s="613"/>
      <c r="N2020" s="130"/>
      <c r="O2020" s="251"/>
      <c r="P2020" s="766"/>
      <c r="Q2020" s="766"/>
      <c r="R2020" s="766"/>
      <c r="S2020" s="752"/>
      <c r="T2020" s="760"/>
      <c r="U2020" s="130"/>
      <c r="V2020" s="2107"/>
      <c r="W2020" s="792"/>
      <c r="X2020" s="791"/>
      <c r="Y2020" s="710"/>
      <c r="Z2020" s="710"/>
      <c r="AA2020" s="710"/>
      <c r="AB2020" s="710"/>
      <c r="AC2020" s="710"/>
      <c r="AD2020" s="710"/>
      <c r="AE2020" s="710"/>
      <c r="AF2020" s="710"/>
      <c r="AG2020" s="710"/>
    </row>
    <row r="2021" spans="1:33" s="56" customFormat="1" ht="15" hidden="1" customHeight="1" outlineLevel="1" x14ac:dyDescent="0.25">
      <c r="A2021" s="724"/>
      <c r="B2021" s="130"/>
      <c r="C2021" s="616"/>
      <c r="D2021" s="2101"/>
      <c r="E2021" s="2104"/>
      <c r="F2021" s="2098" t="str">
        <f t="shared" si="77"/>
        <v>ASHP - SEER 17 - replace electric furnace / CAC - early replacement SF ER2</v>
      </c>
      <c r="G2021" s="2098"/>
      <c r="H2021" s="2098"/>
      <c r="I2021" s="2098"/>
      <c r="J2021" s="709">
        <v>1270</v>
      </c>
      <c r="K2021" s="792"/>
      <c r="L2021" s="670"/>
      <c r="M2021" s="613"/>
      <c r="N2021" s="130"/>
      <c r="O2021" s="251"/>
      <c r="P2021" s="766"/>
      <c r="Q2021" s="766"/>
      <c r="R2021" s="766"/>
      <c r="S2021" s="752"/>
      <c r="T2021" s="760"/>
      <c r="U2021" s="130"/>
      <c r="V2021" s="2107"/>
      <c r="W2021" s="792"/>
      <c r="X2021" s="791"/>
      <c r="Y2021" s="710"/>
      <c r="Z2021" s="710"/>
      <c r="AA2021" s="710"/>
      <c r="AB2021" s="710"/>
      <c r="AC2021" s="710"/>
      <c r="AD2021" s="710"/>
      <c r="AE2021" s="710"/>
      <c r="AF2021" s="710"/>
      <c r="AG2021" s="710"/>
    </row>
    <row r="2022" spans="1:33" s="56" customFormat="1" ht="15" hidden="1" customHeight="1" outlineLevel="1" x14ac:dyDescent="0.25">
      <c r="A2022" s="724"/>
      <c r="B2022" s="130"/>
      <c r="C2022" s="616"/>
      <c r="D2022" s="2101"/>
      <c r="E2022" s="2104"/>
      <c r="F2022" s="2098" t="str">
        <f t="shared" si="77"/>
        <v>ASHP - SEER 17 - replace electric furnace / CAC - early replacement MF ER1</v>
      </c>
      <c r="G2022" s="2098"/>
      <c r="H2022" s="2098"/>
      <c r="I2022" s="2098"/>
      <c r="J2022" s="709">
        <v>1271</v>
      </c>
      <c r="K2022" s="792">
        <f>$L$1024*$Q$975*$K$1712</f>
        <v>1735.954591543642</v>
      </c>
      <c r="L2022" s="670"/>
      <c r="M2022" s="613"/>
      <c r="N2022" s="130"/>
      <c r="O2022" s="251"/>
      <c r="P2022" s="766"/>
      <c r="Q2022" s="766"/>
      <c r="R2022" s="766"/>
      <c r="S2022" s="752"/>
      <c r="T2022" s="760"/>
      <c r="U2022" s="130"/>
      <c r="V2022" s="2107"/>
      <c r="W2022" s="792">
        <v>3824.9615612563771</v>
      </c>
      <c r="X2022" s="794">
        <f>$L$1024*$Q$975*$K$1712</f>
        <v>1735.954591543642</v>
      </c>
      <c r="Y2022" s="710"/>
      <c r="Z2022" s="710"/>
      <c r="AA2022" s="710"/>
      <c r="AB2022" s="710"/>
      <c r="AC2022" s="710"/>
      <c r="AD2022" s="710"/>
      <c r="AE2022" s="710"/>
      <c r="AF2022" s="710"/>
      <c r="AG2022" s="710"/>
    </row>
    <row r="2023" spans="1:33" s="56" customFormat="1" ht="15" hidden="1" customHeight="1" outlineLevel="1" x14ac:dyDescent="0.25">
      <c r="A2023" s="724"/>
      <c r="B2023" s="130"/>
      <c r="C2023" s="616"/>
      <c r="D2023" s="2101"/>
      <c r="E2023" s="2104"/>
      <c r="F2023" s="2098" t="str">
        <f t="shared" si="77"/>
        <v>ASHP - SEER 17 - replace electric furnace / CAC - early replacement MF ER1</v>
      </c>
      <c r="G2023" s="2098"/>
      <c r="H2023" s="2098"/>
      <c r="I2023" s="2098"/>
      <c r="J2023" s="709">
        <v>1269</v>
      </c>
      <c r="K2023" s="792"/>
      <c r="L2023" s="670"/>
      <c r="M2023" s="613"/>
      <c r="N2023" s="130"/>
      <c r="O2023" s="251"/>
      <c r="P2023" s="766"/>
      <c r="Q2023" s="766"/>
      <c r="R2023" s="766"/>
      <c r="S2023" s="752"/>
      <c r="T2023" s="760"/>
      <c r="U2023" s="130"/>
      <c r="V2023" s="2107"/>
      <c r="W2023" s="792"/>
      <c r="X2023" s="791"/>
      <c r="Y2023" s="710"/>
      <c r="Z2023" s="710"/>
      <c r="AA2023" s="710"/>
      <c r="AB2023" s="710"/>
      <c r="AC2023" s="710"/>
      <c r="AD2023" s="710"/>
      <c r="AE2023" s="710"/>
      <c r="AF2023" s="710"/>
      <c r="AG2023" s="710"/>
    </row>
    <row r="2024" spans="1:33" s="56" customFormat="1" ht="15" hidden="1" customHeight="1" outlineLevel="1" x14ac:dyDescent="0.25">
      <c r="A2024" s="724"/>
      <c r="B2024" s="130"/>
      <c r="C2024" s="616"/>
      <c r="D2024" s="2101"/>
      <c r="E2024" s="2104"/>
      <c r="F2024" s="2098" t="str">
        <f t="shared" si="77"/>
        <v>ASHP - SEER 17 - replace electric furnace / CAC - early replacement MF ER2</v>
      </c>
      <c r="G2024" s="2098"/>
      <c r="H2024" s="2098"/>
      <c r="I2024" s="2098"/>
      <c r="J2024" s="709" t="s">
        <v>1171</v>
      </c>
      <c r="K2024" s="792"/>
      <c r="L2024" s="670"/>
      <c r="M2024" s="613"/>
      <c r="N2024" s="130"/>
      <c r="O2024" s="251"/>
      <c r="P2024" s="766"/>
      <c r="Q2024" s="766"/>
      <c r="R2024" s="766"/>
      <c r="S2024" s="752"/>
      <c r="T2024" s="760"/>
      <c r="U2024" s="130"/>
      <c r="V2024" s="2107"/>
      <c r="W2024" s="792"/>
      <c r="X2024" s="791"/>
      <c r="Y2024" s="710"/>
      <c r="Z2024" s="710"/>
      <c r="AA2024" s="710"/>
      <c r="AB2024" s="710"/>
      <c r="AC2024" s="710"/>
      <c r="AD2024" s="710"/>
      <c r="AE2024" s="710"/>
      <c r="AF2024" s="710"/>
      <c r="AG2024" s="710"/>
    </row>
    <row r="2025" spans="1:33" s="56" customFormat="1" ht="15" hidden="1" customHeight="1" outlineLevel="1" x14ac:dyDescent="0.25">
      <c r="A2025" s="724"/>
      <c r="B2025" s="130"/>
      <c r="C2025" s="616"/>
      <c r="D2025" s="2101"/>
      <c r="E2025" s="2104"/>
      <c r="F2025" s="2098" t="str">
        <f t="shared" si="77"/>
        <v>ASHP - SEER 17 - replace electric furnace / CAC - early replacement MF ER2</v>
      </c>
      <c r="G2025" s="2098"/>
      <c r="H2025" s="2098"/>
      <c r="I2025" s="2098"/>
      <c r="J2025" s="709">
        <v>1267</v>
      </c>
      <c r="K2025" s="792"/>
      <c r="L2025" s="670"/>
      <c r="M2025" s="613"/>
      <c r="N2025" s="130"/>
      <c r="O2025" s="251"/>
      <c r="P2025" s="766"/>
      <c r="Q2025" s="766"/>
      <c r="R2025" s="766"/>
      <c r="S2025" s="752"/>
      <c r="T2025" s="760"/>
      <c r="U2025" s="130"/>
      <c r="V2025" s="2107"/>
      <c r="W2025" s="792"/>
      <c r="X2025" s="791"/>
      <c r="Y2025" s="710"/>
      <c r="Z2025" s="710"/>
      <c r="AA2025" s="710"/>
      <c r="AB2025" s="710"/>
      <c r="AC2025" s="710"/>
      <c r="AD2025" s="710"/>
      <c r="AE2025" s="710"/>
      <c r="AF2025" s="710"/>
      <c r="AG2025" s="710"/>
    </row>
    <row r="2026" spans="1:33" s="56" customFormat="1" ht="15" hidden="1" customHeight="1" outlineLevel="1" x14ac:dyDescent="0.25">
      <c r="A2026" s="724"/>
      <c r="B2026" s="130"/>
      <c r="C2026" s="616"/>
      <c r="D2026" s="2101"/>
      <c r="E2026" s="2104"/>
      <c r="F2026" s="2098" t="str">
        <f t="shared" si="77"/>
        <v>ASHP SEER 17 replace ASHP - early replacement MF ER1</v>
      </c>
      <c r="G2026" s="2098"/>
      <c r="H2026" s="2098"/>
      <c r="I2026" s="2098"/>
      <c r="J2026" s="709" t="s">
        <v>1172</v>
      </c>
      <c r="K2026" s="792">
        <f>$L$1026*$Q$975*$K$1714</f>
        <v>1847.9516619658127</v>
      </c>
      <c r="L2026" s="670"/>
      <c r="M2026" s="613"/>
      <c r="N2026" s="130"/>
      <c r="O2026" s="251"/>
      <c r="P2026" s="766"/>
      <c r="Q2026" s="766"/>
      <c r="R2026" s="766"/>
      <c r="S2026" s="752"/>
      <c r="T2026" s="760"/>
      <c r="U2026" s="130"/>
      <c r="V2026" s="2107"/>
      <c r="W2026" s="792">
        <v>6101.9914642916983</v>
      </c>
      <c r="X2026" s="794">
        <f>$L$1026*$Q$975*$K$1714</f>
        <v>1847.9516619658127</v>
      </c>
      <c r="Y2026" s="710"/>
      <c r="Z2026" s="710"/>
      <c r="AA2026" s="710"/>
      <c r="AB2026" s="710"/>
      <c r="AC2026" s="710"/>
      <c r="AD2026" s="710"/>
      <c r="AE2026" s="710"/>
      <c r="AF2026" s="710"/>
      <c r="AG2026" s="710"/>
    </row>
    <row r="2027" spans="1:33" s="56" customFormat="1" ht="15" hidden="1" customHeight="1" outlineLevel="1" x14ac:dyDescent="0.25">
      <c r="A2027" s="724"/>
      <c r="B2027" s="130"/>
      <c r="C2027" s="616"/>
      <c r="D2027" s="2101"/>
      <c r="E2027" s="2104"/>
      <c r="F2027" s="2098" t="str">
        <f t="shared" si="77"/>
        <v>ASHP SEER 17 replace ASHP - early replacement MF ER1</v>
      </c>
      <c r="G2027" s="2098"/>
      <c r="H2027" s="2098"/>
      <c r="I2027" s="2098"/>
      <c r="J2027" s="709" t="s">
        <v>1174</v>
      </c>
      <c r="K2027" s="792"/>
      <c r="L2027" s="670"/>
      <c r="M2027" s="613"/>
      <c r="N2027" s="130"/>
      <c r="O2027" s="251"/>
      <c r="P2027" s="766"/>
      <c r="Q2027" s="766"/>
      <c r="R2027" s="766"/>
      <c r="S2027" s="752"/>
      <c r="T2027" s="760"/>
      <c r="U2027" s="130"/>
      <c r="V2027" s="2107"/>
      <c r="W2027" s="792"/>
      <c r="X2027" s="791"/>
      <c r="Y2027" s="710"/>
      <c r="Z2027" s="710"/>
      <c r="AA2027" s="710"/>
      <c r="AB2027" s="710"/>
      <c r="AC2027" s="710"/>
      <c r="AD2027" s="710"/>
      <c r="AE2027" s="710"/>
      <c r="AF2027" s="710"/>
      <c r="AG2027" s="710"/>
    </row>
    <row r="2028" spans="1:33" s="56" customFormat="1" ht="15" hidden="1" customHeight="1" outlineLevel="1" x14ac:dyDescent="0.25">
      <c r="A2028" s="724"/>
      <c r="B2028" s="130"/>
      <c r="C2028" s="616"/>
      <c r="D2028" s="2101"/>
      <c r="E2028" s="2104"/>
      <c r="F2028" s="2098" t="str">
        <f t="shared" si="77"/>
        <v>ASHP SEER 17 replace ASHP - early replacement MF ER2</v>
      </c>
      <c r="G2028" s="2098"/>
      <c r="H2028" s="2098"/>
      <c r="I2028" s="2098"/>
      <c r="J2028" s="709" t="s">
        <v>1175</v>
      </c>
      <c r="K2028" s="792"/>
      <c r="L2028" s="670"/>
      <c r="M2028" s="613"/>
      <c r="N2028" s="130"/>
      <c r="O2028" s="251"/>
      <c r="P2028" s="766"/>
      <c r="Q2028" s="766"/>
      <c r="R2028" s="766"/>
      <c r="S2028" s="752"/>
      <c r="T2028" s="760"/>
      <c r="U2028" s="130"/>
      <c r="V2028" s="2107"/>
      <c r="W2028" s="792"/>
      <c r="X2028" s="791"/>
      <c r="Y2028" s="710"/>
      <c r="Z2028" s="710"/>
      <c r="AA2028" s="710"/>
      <c r="AB2028" s="710"/>
      <c r="AC2028" s="710"/>
      <c r="AD2028" s="710"/>
      <c r="AE2028" s="710"/>
      <c r="AF2028" s="710"/>
      <c r="AG2028" s="710"/>
    </row>
    <row r="2029" spans="1:33" s="56" customFormat="1" ht="15" hidden="1" customHeight="1" outlineLevel="1" x14ac:dyDescent="0.25">
      <c r="A2029" s="724"/>
      <c r="B2029" s="130"/>
      <c r="C2029" s="616"/>
      <c r="D2029" s="2101"/>
      <c r="E2029" s="2104"/>
      <c r="F2029" s="2098" t="str">
        <f t="shared" si="77"/>
        <v>ASHP SEER 17 replace ASHP - early replacement MF ER2</v>
      </c>
      <c r="G2029" s="2098"/>
      <c r="H2029" s="2098"/>
      <c r="I2029" s="2098"/>
      <c r="J2029" s="709" t="s">
        <v>1176</v>
      </c>
      <c r="K2029" s="792"/>
      <c r="L2029" s="670"/>
      <c r="M2029" s="613"/>
      <c r="N2029" s="130"/>
      <c r="O2029" s="251"/>
      <c r="P2029" s="766"/>
      <c r="Q2029" s="766"/>
      <c r="R2029" s="766"/>
      <c r="S2029" s="752"/>
      <c r="T2029" s="760"/>
      <c r="U2029" s="130"/>
      <c r="V2029" s="2107"/>
      <c r="W2029" s="792"/>
      <c r="X2029" s="791"/>
      <c r="Y2029" s="710"/>
      <c r="Z2029" s="710"/>
      <c r="AA2029" s="710"/>
      <c r="AB2029" s="710"/>
      <c r="AC2029" s="710"/>
      <c r="AD2029" s="710"/>
      <c r="AE2029" s="710"/>
      <c r="AF2029" s="710"/>
      <c r="AG2029" s="710"/>
    </row>
    <row r="2030" spans="1:33" s="56" customFormat="1" ht="15" hidden="1" customHeight="1" outlineLevel="1" x14ac:dyDescent="0.25">
      <c r="A2030" s="724"/>
      <c r="B2030" s="130"/>
      <c r="C2030" s="616"/>
      <c r="D2030" s="2101"/>
      <c r="E2030" s="2104"/>
      <c r="F2030" s="2098" t="str">
        <f t="shared" si="77"/>
        <v>ASHP - SEER 18 - replace electric furnace / CAC - early replacement SF ER1</v>
      </c>
      <c r="G2030" s="2098"/>
      <c r="H2030" s="2098"/>
      <c r="I2030" s="2098"/>
      <c r="J2030" s="709" t="s">
        <v>1177</v>
      </c>
      <c r="K2030" s="792">
        <f>$L$1028*$Q$976*$K$1716</f>
        <v>3084.0327049389371</v>
      </c>
      <c r="L2030" s="670"/>
      <c r="M2030" s="613"/>
      <c r="N2030" s="130"/>
      <c r="O2030" s="251"/>
      <c r="P2030" s="766"/>
      <c r="Q2030" s="766"/>
      <c r="R2030" s="766"/>
      <c r="S2030" s="752"/>
      <c r="T2030" s="760"/>
      <c r="U2030" s="130"/>
      <c r="V2030" s="2107"/>
      <c r="W2030" s="792">
        <v>4279.6282279230445</v>
      </c>
      <c r="X2030" s="794">
        <f>$L$1028*$Q$976*$K$1716</f>
        <v>3084.0327049389371</v>
      </c>
      <c r="Y2030" s="710"/>
      <c r="Z2030" s="710"/>
      <c r="AA2030" s="710"/>
      <c r="AB2030" s="710"/>
      <c r="AC2030" s="710"/>
      <c r="AD2030" s="710"/>
      <c r="AE2030" s="710"/>
      <c r="AF2030" s="710"/>
      <c r="AG2030" s="710"/>
    </row>
    <row r="2031" spans="1:33" s="56" customFormat="1" ht="15" hidden="1" customHeight="1" outlineLevel="1" x14ac:dyDescent="0.25">
      <c r="A2031" s="724"/>
      <c r="B2031" s="130"/>
      <c r="C2031" s="616"/>
      <c r="D2031" s="2101"/>
      <c r="E2031" s="2104"/>
      <c r="F2031" s="2098" t="str">
        <f t="shared" si="77"/>
        <v>ASHP - SEER 18 - replace electric furnace / CAC - early replacement SF ER1</v>
      </c>
      <c r="G2031" s="2098"/>
      <c r="H2031" s="2098"/>
      <c r="I2031" s="2098"/>
      <c r="J2031" s="709" t="s">
        <v>1178</v>
      </c>
      <c r="K2031" s="792"/>
      <c r="L2031" s="670"/>
      <c r="M2031" s="613"/>
      <c r="N2031" s="130"/>
      <c r="O2031" s="251"/>
      <c r="P2031" s="766"/>
      <c r="Q2031" s="766"/>
      <c r="R2031" s="766"/>
      <c r="S2031" s="752"/>
      <c r="T2031" s="760"/>
      <c r="U2031" s="130"/>
      <c r="V2031" s="2107"/>
      <c r="W2031" s="792"/>
      <c r="X2031" s="791"/>
      <c r="Y2031" s="710"/>
      <c r="Z2031" s="710"/>
      <c r="AA2031" s="710"/>
      <c r="AB2031" s="710"/>
      <c r="AC2031" s="710"/>
      <c r="AD2031" s="710"/>
      <c r="AE2031" s="710"/>
      <c r="AF2031" s="710"/>
      <c r="AG2031" s="710"/>
    </row>
    <row r="2032" spans="1:33" s="56" customFormat="1" ht="15" hidden="1" customHeight="1" outlineLevel="1" x14ac:dyDescent="0.25">
      <c r="A2032" s="724"/>
      <c r="B2032" s="130"/>
      <c r="C2032" s="616"/>
      <c r="D2032" s="2101"/>
      <c r="E2032" s="2104"/>
      <c r="F2032" s="2098" t="str">
        <f t="shared" si="77"/>
        <v>ASHP - SEER 18 - replace electric furnace / CAC - early replacement SF ER2</v>
      </c>
      <c r="G2032" s="2098"/>
      <c r="H2032" s="2098"/>
      <c r="I2032" s="2098"/>
      <c r="J2032" s="709" t="s">
        <v>1177</v>
      </c>
      <c r="K2032" s="792"/>
      <c r="L2032" s="670"/>
      <c r="M2032" s="613"/>
      <c r="N2032" s="130"/>
      <c r="O2032" s="251"/>
      <c r="P2032" s="766"/>
      <c r="Q2032" s="766"/>
      <c r="R2032" s="766"/>
      <c r="S2032" s="752"/>
      <c r="T2032" s="760"/>
      <c r="U2032" s="130"/>
      <c r="V2032" s="2107"/>
      <c r="W2032" s="792"/>
      <c r="X2032" s="791"/>
      <c r="Y2032" s="710"/>
      <c r="Z2032" s="710"/>
      <c r="AA2032" s="710"/>
      <c r="AB2032" s="710"/>
      <c r="AC2032" s="710"/>
      <c r="AD2032" s="710"/>
      <c r="AE2032" s="710"/>
      <c r="AF2032" s="710"/>
      <c r="AG2032" s="710"/>
    </row>
    <row r="2033" spans="1:33" s="56" customFormat="1" ht="15" hidden="1" customHeight="1" outlineLevel="1" x14ac:dyDescent="0.25">
      <c r="A2033" s="724"/>
      <c r="B2033" s="130"/>
      <c r="C2033" s="616"/>
      <c r="D2033" s="2101"/>
      <c r="E2033" s="2104"/>
      <c r="F2033" s="2098" t="str">
        <f t="shared" si="77"/>
        <v>ASHP - SEER 18 - replace electric furnace / CAC - early replacement SF ER2</v>
      </c>
      <c r="G2033" s="2098"/>
      <c r="H2033" s="2098"/>
      <c r="I2033" s="2098"/>
      <c r="J2033" s="709" t="s">
        <v>1178</v>
      </c>
      <c r="K2033" s="792"/>
      <c r="L2033" s="670"/>
      <c r="M2033" s="613"/>
      <c r="N2033" s="130"/>
      <c r="O2033" s="251"/>
      <c r="P2033" s="766"/>
      <c r="Q2033" s="766"/>
      <c r="R2033" s="766"/>
      <c r="S2033" s="752"/>
      <c r="T2033" s="760"/>
      <c r="U2033" s="130"/>
      <c r="V2033" s="2107"/>
      <c r="W2033" s="792"/>
      <c r="X2033" s="791"/>
      <c r="Y2033" s="710"/>
      <c r="Z2033" s="710"/>
      <c r="AA2033" s="710"/>
      <c r="AB2033" s="710"/>
      <c r="AC2033" s="710"/>
      <c r="AD2033" s="710"/>
      <c r="AE2033" s="710"/>
      <c r="AF2033" s="710"/>
      <c r="AG2033" s="710"/>
    </row>
    <row r="2034" spans="1:33" s="56" customFormat="1" ht="15" hidden="1" customHeight="1" outlineLevel="1" x14ac:dyDescent="0.25">
      <c r="A2034" s="724"/>
      <c r="B2034" s="130"/>
      <c r="C2034" s="616"/>
      <c r="D2034" s="2101"/>
      <c r="E2034" s="2104"/>
      <c r="F2034" s="2098" t="str">
        <f t="shared" si="77"/>
        <v>ASHP - SEER 18 - replace electric furnace / CAC - early replacement MF ER1</v>
      </c>
      <c r="G2034" s="2098"/>
      <c r="H2034" s="2098"/>
      <c r="I2034" s="2098"/>
      <c r="J2034" s="709" t="s">
        <v>1179</v>
      </c>
      <c r="K2034" s="792">
        <f>$L$1030*$Q$976*$K$1718</f>
        <v>2004.6212582103092</v>
      </c>
      <c r="L2034" s="670"/>
      <c r="M2034" s="613"/>
      <c r="N2034" s="130"/>
      <c r="O2034" s="251"/>
      <c r="P2034" s="766"/>
      <c r="Q2034" s="766"/>
      <c r="R2034" s="766"/>
      <c r="S2034" s="752"/>
      <c r="T2034" s="760"/>
      <c r="U2034" s="130"/>
      <c r="V2034" s="2107"/>
      <c r="W2034" s="792">
        <v>4279.6282279230445</v>
      </c>
      <c r="X2034" s="794">
        <f>$L$1030*$Q$976*$K$1718</f>
        <v>2004.6212582103092</v>
      </c>
      <c r="Y2034" s="710"/>
      <c r="Z2034" s="710"/>
      <c r="AA2034" s="710"/>
      <c r="AB2034" s="710"/>
      <c r="AC2034" s="710"/>
      <c r="AD2034" s="710"/>
      <c r="AE2034" s="710"/>
      <c r="AF2034" s="710"/>
      <c r="AG2034" s="710"/>
    </row>
    <row r="2035" spans="1:33" s="56" customFormat="1" ht="15" hidden="1" customHeight="1" outlineLevel="1" x14ac:dyDescent="0.25">
      <c r="A2035" s="724"/>
      <c r="B2035" s="130"/>
      <c r="C2035" s="616"/>
      <c r="D2035" s="2101"/>
      <c r="E2035" s="2104"/>
      <c r="F2035" s="2098" t="str">
        <f t="shared" si="77"/>
        <v>ASHP - SEER 18 - replace electric furnace / CAC - early replacement MF ER1</v>
      </c>
      <c r="G2035" s="2098"/>
      <c r="H2035" s="2098"/>
      <c r="I2035" s="2098"/>
      <c r="J2035" s="709" t="s">
        <v>1180</v>
      </c>
      <c r="K2035" s="792"/>
      <c r="L2035" s="670"/>
      <c r="M2035" s="613"/>
      <c r="N2035" s="130"/>
      <c r="O2035" s="251"/>
      <c r="P2035" s="766"/>
      <c r="Q2035" s="766"/>
      <c r="R2035" s="766"/>
      <c r="S2035" s="752"/>
      <c r="T2035" s="760"/>
      <c r="U2035" s="130"/>
      <c r="V2035" s="2107"/>
      <c r="W2035" s="792"/>
      <c r="X2035" s="791"/>
      <c r="Y2035" s="710"/>
      <c r="Z2035" s="710"/>
      <c r="AA2035" s="710"/>
      <c r="AB2035" s="710"/>
      <c r="AC2035" s="710"/>
      <c r="AD2035" s="710"/>
      <c r="AE2035" s="710"/>
      <c r="AF2035" s="710"/>
      <c r="AG2035" s="710"/>
    </row>
    <row r="2036" spans="1:33" s="56" customFormat="1" ht="15" hidden="1" customHeight="1" outlineLevel="1" x14ac:dyDescent="0.25">
      <c r="A2036" s="724"/>
      <c r="B2036" s="130"/>
      <c r="C2036" s="616"/>
      <c r="D2036" s="2101"/>
      <c r="E2036" s="2104"/>
      <c r="F2036" s="2098" t="str">
        <f t="shared" si="77"/>
        <v>ASHP - SEER 18 - replace electric furnace / CAC - early replacement MF ER2</v>
      </c>
      <c r="G2036" s="2098"/>
      <c r="H2036" s="2098"/>
      <c r="I2036" s="2098"/>
      <c r="J2036" s="709" t="s">
        <v>1181</v>
      </c>
      <c r="K2036" s="792"/>
      <c r="L2036" s="670"/>
      <c r="M2036" s="613"/>
      <c r="N2036" s="130"/>
      <c r="O2036" s="251"/>
      <c r="P2036" s="766"/>
      <c r="Q2036" s="766"/>
      <c r="R2036" s="766"/>
      <c r="S2036" s="752"/>
      <c r="T2036" s="760"/>
      <c r="U2036" s="130"/>
      <c r="V2036" s="2107"/>
      <c r="W2036" s="792"/>
      <c r="X2036" s="791"/>
      <c r="Y2036" s="710"/>
      <c r="Z2036" s="710"/>
      <c r="AA2036" s="710"/>
      <c r="AB2036" s="710"/>
      <c r="AC2036" s="710"/>
      <c r="AD2036" s="710"/>
      <c r="AE2036" s="710"/>
      <c r="AF2036" s="710"/>
      <c r="AG2036" s="710"/>
    </row>
    <row r="2037" spans="1:33" s="56" customFormat="1" ht="15" hidden="1" customHeight="1" outlineLevel="1" x14ac:dyDescent="0.25">
      <c r="A2037" s="724"/>
      <c r="B2037" s="130"/>
      <c r="C2037" s="616"/>
      <c r="D2037" s="2101"/>
      <c r="E2037" s="2104"/>
      <c r="F2037" s="2098" t="str">
        <f t="shared" si="77"/>
        <v>ASHP - SEER 18 - replace electric furnace / CAC - early replacement MF ER2</v>
      </c>
      <c r="G2037" s="2098"/>
      <c r="H2037" s="2098"/>
      <c r="I2037" s="2098"/>
      <c r="J2037" s="709" t="s">
        <v>1182</v>
      </c>
      <c r="K2037" s="792"/>
      <c r="L2037" s="670"/>
      <c r="M2037" s="613"/>
      <c r="N2037" s="130"/>
      <c r="O2037" s="251"/>
      <c r="P2037" s="766"/>
      <c r="Q2037" s="767"/>
      <c r="R2037" s="766"/>
      <c r="S2037" s="752"/>
      <c r="T2037" s="760"/>
      <c r="U2037" s="130"/>
      <c r="V2037" s="2107"/>
      <c r="W2037" s="792"/>
      <c r="X2037" s="791"/>
      <c r="Y2037" s="710"/>
      <c r="Z2037" s="710"/>
      <c r="AA2037" s="710"/>
      <c r="AB2037" s="710"/>
      <c r="AC2037" s="710"/>
      <c r="AD2037" s="710"/>
      <c r="AE2037" s="710"/>
      <c r="AF2037" s="710"/>
      <c r="AG2037" s="710"/>
    </row>
    <row r="2038" spans="1:33" s="56" customFormat="1" ht="15" hidden="1" customHeight="1" outlineLevel="1" x14ac:dyDescent="0.25">
      <c r="A2038" s="724"/>
      <c r="B2038" s="130"/>
      <c r="C2038" s="616"/>
      <c r="D2038" s="2101"/>
      <c r="E2038" s="2104"/>
      <c r="F2038" s="2098" t="str">
        <f t="shared" si="77"/>
        <v>ASHP SEER 18 replace ASHP - early replacement MF ER1</v>
      </c>
      <c r="G2038" s="2098"/>
      <c r="H2038" s="2098"/>
      <c r="I2038" s="2098"/>
      <c r="J2038" s="709" t="s">
        <v>1183</v>
      </c>
      <c r="K2038" s="792">
        <f>$L$1032*$Q$976*$K$1720</f>
        <v>2133.9516619658129</v>
      </c>
      <c r="L2038" s="670"/>
      <c r="M2038" s="613"/>
      <c r="N2038" s="130"/>
      <c r="O2038" s="251"/>
      <c r="P2038" s="766"/>
      <c r="Q2038" s="767"/>
      <c r="R2038" s="766"/>
      <c r="S2038" s="752"/>
      <c r="T2038" s="760"/>
      <c r="U2038" s="130"/>
      <c r="V2038" s="2107"/>
      <c r="W2038" s="792">
        <v>6827.3247976250323</v>
      </c>
      <c r="X2038" s="794">
        <f>$L$1032*$Q$976*$K$1720</f>
        <v>2133.9516619658129</v>
      </c>
      <c r="Y2038" s="710"/>
      <c r="Z2038" s="710"/>
      <c r="AA2038" s="710"/>
      <c r="AB2038" s="710"/>
      <c r="AC2038" s="710"/>
      <c r="AD2038" s="710"/>
      <c r="AE2038" s="710"/>
      <c r="AF2038" s="710"/>
      <c r="AG2038" s="710"/>
    </row>
    <row r="2039" spans="1:33" s="56" customFormat="1" ht="15" hidden="1" customHeight="1" outlineLevel="1" x14ac:dyDescent="0.25">
      <c r="A2039" s="724"/>
      <c r="B2039" s="130"/>
      <c r="C2039" s="616"/>
      <c r="D2039" s="2101"/>
      <c r="E2039" s="2104"/>
      <c r="F2039" s="2098" t="str">
        <f t="shared" si="77"/>
        <v>ASHP SEER 18 replace ASHP - early replacement MF ER1</v>
      </c>
      <c r="G2039" s="2098"/>
      <c r="H2039" s="2098"/>
      <c r="I2039" s="2098"/>
      <c r="J2039" s="709" t="s">
        <v>1184</v>
      </c>
      <c r="K2039" s="792"/>
      <c r="L2039" s="670"/>
      <c r="M2039" s="613"/>
      <c r="N2039" s="130"/>
      <c r="O2039" s="251"/>
      <c r="P2039" s="766"/>
      <c r="Q2039" s="767"/>
      <c r="R2039" s="766"/>
      <c r="S2039" s="752"/>
      <c r="T2039" s="760"/>
      <c r="U2039" s="130"/>
      <c r="V2039" s="2107"/>
      <c r="W2039" s="792"/>
      <c r="X2039" s="791"/>
      <c r="Y2039" s="710"/>
      <c r="Z2039" s="710"/>
      <c r="AA2039" s="710"/>
      <c r="AB2039" s="710"/>
      <c r="AC2039" s="710"/>
      <c r="AD2039" s="710"/>
      <c r="AE2039" s="710"/>
      <c r="AF2039" s="710"/>
      <c r="AG2039" s="710"/>
    </row>
    <row r="2040" spans="1:33" s="56" customFormat="1" ht="15" hidden="1" customHeight="1" outlineLevel="1" x14ac:dyDescent="0.25">
      <c r="A2040" s="724"/>
      <c r="B2040" s="130"/>
      <c r="C2040" s="616"/>
      <c r="D2040" s="2101"/>
      <c r="E2040" s="2104"/>
      <c r="F2040" s="2098" t="str">
        <f t="shared" si="77"/>
        <v>ASHP SEER 18 replace ASHP - early replacement MF ER2</v>
      </c>
      <c r="G2040" s="2098"/>
      <c r="H2040" s="2098"/>
      <c r="I2040" s="2098"/>
      <c r="J2040" s="709" t="s">
        <v>1185</v>
      </c>
      <c r="K2040" s="792"/>
      <c r="L2040" s="670"/>
      <c r="M2040" s="613"/>
      <c r="N2040" s="130"/>
      <c r="O2040" s="251"/>
      <c r="P2040" s="766"/>
      <c r="Q2040" s="767"/>
      <c r="R2040" s="766"/>
      <c r="S2040" s="752"/>
      <c r="T2040" s="760"/>
      <c r="U2040" s="130"/>
      <c r="V2040" s="2107"/>
      <c r="W2040" s="792"/>
      <c r="X2040" s="791"/>
      <c r="Y2040" s="710"/>
      <c r="Z2040" s="710"/>
      <c r="AA2040" s="710"/>
      <c r="AB2040" s="710"/>
      <c r="AC2040" s="710"/>
      <c r="AD2040" s="710"/>
      <c r="AE2040" s="710"/>
      <c r="AF2040" s="710"/>
      <c r="AG2040" s="710"/>
    </row>
    <row r="2041" spans="1:33" s="56" customFormat="1" ht="15" hidden="1" customHeight="1" outlineLevel="1" x14ac:dyDescent="0.25">
      <c r="A2041" s="724"/>
      <c r="B2041" s="130"/>
      <c r="C2041" s="616"/>
      <c r="D2041" s="2101"/>
      <c r="E2041" s="2104"/>
      <c r="F2041" s="2098" t="str">
        <f t="shared" si="77"/>
        <v>ASHP SEER 18 replace ASHP - early replacement MF ER2</v>
      </c>
      <c r="G2041" s="2098"/>
      <c r="H2041" s="2098"/>
      <c r="I2041" s="2098"/>
      <c r="J2041" s="709" t="s">
        <v>1186</v>
      </c>
      <c r="K2041" s="792"/>
      <c r="L2041" s="670"/>
      <c r="M2041" s="613"/>
      <c r="N2041" s="130"/>
      <c r="O2041" s="251"/>
      <c r="P2041" s="766"/>
      <c r="Q2041" s="767"/>
      <c r="R2041" s="766"/>
      <c r="S2041" s="752"/>
      <c r="T2041" s="760"/>
      <c r="U2041" s="130"/>
      <c r="V2041" s="2107"/>
      <c r="W2041" s="792"/>
      <c r="X2041" s="791"/>
      <c r="Y2041" s="710"/>
      <c r="Z2041" s="710"/>
      <c r="AA2041" s="710"/>
      <c r="AB2041" s="710"/>
      <c r="AC2041" s="710"/>
      <c r="AD2041" s="710"/>
      <c r="AE2041" s="710"/>
      <c r="AF2041" s="710"/>
      <c r="AG2041" s="710"/>
    </row>
    <row r="2042" spans="1:33" s="56" customFormat="1" ht="15" hidden="1" customHeight="1" outlineLevel="1" x14ac:dyDescent="0.25">
      <c r="A2042" s="724"/>
      <c r="B2042" s="130"/>
      <c r="C2042" s="616"/>
      <c r="D2042" s="2101"/>
      <c r="E2042" s="2104"/>
      <c r="F2042" s="2098" t="str">
        <f t="shared" si="77"/>
        <v>ASHP - SEER 19 - replace electric furnace / CAC - early replacement SF ER1</v>
      </c>
      <c r="G2042" s="2098"/>
      <c r="H2042" s="2098"/>
      <c r="I2042" s="2098"/>
      <c r="J2042" s="709" t="s">
        <v>1187</v>
      </c>
      <c r="K2042" s="792">
        <f>$L$1034*$Q$977*$K$1722</f>
        <v>3394.0327049389371</v>
      </c>
      <c r="L2042" s="670"/>
      <c r="M2042" s="613"/>
      <c r="N2042" s="130"/>
      <c r="O2042" s="251"/>
      <c r="P2042" s="766"/>
      <c r="Q2042" s="767"/>
      <c r="R2042" s="766"/>
      <c r="S2042" s="752"/>
      <c r="T2042" s="760"/>
      <c r="U2042" s="130"/>
      <c r="V2042" s="2107"/>
      <c r="W2042" s="792">
        <v>4620.6282279230445</v>
      </c>
      <c r="X2042" s="794">
        <f>$L$1034*$Q$977*$K$1722</f>
        <v>3394.0327049389371</v>
      </c>
      <c r="Y2042" s="710"/>
      <c r="Z2042" s="710"/>
      <c r="AA2042" s="710"/>
      <c r="AB2042" s="710"/>
      <c r="AC2042" s="710"/>
      <c r="AD2042" s="710"/>
      <c r="AE2042" s="710"/>
      <c r="AF2042" s="710"/>
      <c r="AG2042" s="710"/>
    </row>
    <row r="2043" spans="1:33" s="56" customFormat="1" ht="15" hidden="1" customHeight="1" outlineLevel="1" x14ac:dyDescent="0.25">
      <c r="A2043" s="597"/>
      <c r="B2043" s="130"/>
      <c r="C2043" s="616"/>
      <c r="D2043" s="2101"/>
      <c r="E2043" s="2104"/>
      <c r="F2043" s="2098" t="str">
        <f t="shared" si="77"/>
        <v>ASHP - SEER 19 - replace electric furnace / CAC - early replacement SF ER1</v>
      </c>
      <c r="G2043" s="2098"/>
      <c r="H2043" s="2098"/>
      <c r="I2043" s="2098"/>
      <c r="J2043" s="709" t="s">
        <v>614</v>
      </c>
      <c r="K2043" s="792"/>
      <c r="L2043" s="670"/>
      <c r="M2043" s="613"/>
      <c r="N2043" s="130"/>
      <c r="O2043" s="251"/>
      <c r="P2043" s="251"/>
      <c r="Q2043" s="251"/>
      <c r="R2043" s="251"/>
      <c r="S2043" s="130"/>
      <c r="T2043" s="130"/>
      <c r="U2043" s="130"/>
      <c r="V2043" s="2107"/>
      <c r="W2043" s="792"/>
      <c r="X2043" s="791"/>
      <c r="Y2043" s="710"/>
      <c r="Z2043" s="710"/>
      <c r="AA2043" s="710"/>
      <c r="AB2043" s="710"/>
      <c r="AC2043" s="710"/>
      <c r="AD2043" s="710"/>
      <c r="AE2043" s="710"/>
      <c r="AF2043" s="710"/>
      <c r="AG2043" s="710"/>
    </row>
    <row r="2044" spans="1:33" s="56" customFormat="1" ht="15" hidden="1" customHeight="1" outlineLevel="1" x14ac:dyDescent="0.25">
      <c r="A2044" s="724"/>
      <c r="B2044" s="130"/>
      <c r="C2044" s="616"/>
      <c r="D2044" s="2101"/>
      <c r="E2044" s="2104"/>
      <c r="F2044" s="2098" t="str">
        <f t="shared" si="77"/>
        <v>ASHP - SEER 19 - replace electric furnace / CAC - early replacement SF ER2</v>
      </c>
      <c r="G2044" s="2098"/>
      <c r="H2044" s="2098"/>
      <c r="I2044" s="2098"/>
      <c r="J2044" s="709" t="s">
        <v>1188</v>
      </c>
      <c r="K2044" s="792"/>
      <c r="L2044" s="670"/>
      <c r="M2044" s="770"/>
      <c r="N2044" s="130"/>
      <c r="O2044" s="251"/>
      <c r="P2044" s="766"/>
      <c r="Q2044" s="767"/>
      <c r="R2044" s="766"/>
      <c r="S2044" s="752"/>
      <c r="T2044" s="760"/>
      <c r="U2044" s="130"/>
      <c r="V2044" s="2107"/>
      <c r="W2044" s="792"/>
      <c r="X2044" s="791"/>
      <c r="Y2044" s="710"/>
      <c r="Z2044" s="710"/>
      <c r="AA2044" s="710"/>
      <c r="AB2044" s="710"/>
      <c r="AC2044" s="710"/>
      <c r="AD2044" s="710"/>
      <c r="AE2044" s="710"/>
      <c r="AF2044" s="710"/>
      <c r="AG2044" s="710"/>
    </row>
    <row r="2045" spans="1:33" s="56" customFormat="1" ht="15" hidden="1" customHeight="1" outlineLevel="1" x14ac:dyDescent="0.25">
      <c r="A2045" s="597"/>
      <c r="B2045" s="130"/>
      <c r="C2045" s="616"/>
      <c r="D2045" s="2101"/>
      <c r="E2045" s="2104"/>
      <c r="F2045" s="2098" t="str">
        <f t="shared" si="77"/>
        <v>ASHP - SEER 19 - replace electric furnace / CAC - early replacement SF ER2</v>
      </c>
      <c r="G2045" s="2098"/>
      <c r="H2045" s="2098"/>
      <c r="I2045" s="2098"/>
      <c r="J2045" s="709" t="s">
        <v>1189</v>
      </c>
      <c r="K2045" s="792"/>
      <c r="L2045" s="670"/>
      <c r="M2045" s="770"/>
      <c r="N2045" s="130"/>
      <c r="O2045" s="251"/>
      <c r="P2045" s="251"/>
      <c r="Q2045" s="251"/>
      <c r="R2045" s="251"/>
      <c r="S2045" s="130"/>
      <c r="T2045" s="130"/>
      <c r="U2045" s="130"/>
      <c r="V2045" s="2107"/>
      <c r="W2045" s="792"/>
      <c r="X2045" s="791"/>
      <c r="Y2045" s="710"/>
      <c r="Z2045" s="710"/>
      <c r="AA2045" s="710"/>
      <c r="AB2045" s="710"/>
      <c r="AC2045" s="710"/>
      <c r="AD2045" s="710"/>
      <c r="AE2045" s="710"/>
      <c r="AF2045" s="710"/>
      <c r="AG2045" s="710"/>
    </row>
    <row r="2046" spans="1:33" s="56" customFormat="1" ht="15" hidden="1" customHeight="1" outlineLevel="1" x14ac:dyDescent="0.25">
      <c r="A2046" s="724"/>
      <c r="B2046" s="130"/>
      <c r="C2046" s="616"/>
      <c r="D2046" s="2101"/>
      <c r="E2046" s="2104"/>
      <c r="F2046" s="2098" t="str">
        <f t="shared" si="77"/>
        <v>ASHP - SEER 19 - replace electric furnace / CAC - early replacement MF ER1</v>
      </c>
      <c r="G2046" s="2098"/>
      <c r="H2046" s="2098"/>
      <c r="I2046" s="2098"/>
      <c r="J2046" s="709" t="s">
        <v>1190</v>
      </c>
      <c r="K2046" s="792">
        <f>$L$1036*$Q$977*$K$1724</f>
        <v>2206.121258210309</v>
      </c>
      <c r="L2046" s="670"/>
      <c r="M2046" s="770"/>
      <c r="N2046" s="130"/>
      <c r="O2046" s="251"/>
      <c r="P2046" s="766"/>
      <c r="Q2046" s="767"/>
      <c r="R2046" s="766"/>
      <c r="S2046" s="752"/>
      <c r="T2046" s="760"/>
      <c r="U2046" s="130"/>
      <c r="V2046" s="2107"/>
      <c r="W2046" s="792">
        <v>4620.6282279230445</v>
      </c>
      <c r="X2046" s="794">
        <f>$L$1036*$Q$977*$K$1724</f>
        <v>2206.121258210309</v>
      </c>
      <c r="Y2046" s="710"/>
      <c r="Z2046" s="710"/>
      <c r="AA2046" s="710"/>
      <c r="AB2046" s="710"/>
      <c r="AC2046" s="710"/>
      <c r="AD2046" s="710"/>
      <c r="AE2046" s="710"/>
      <c r="AF2046" s="710"/>
      <c r="AG2046" s="710"/>
    </row>
    <row r="2047" spans="1:33" s="56" customFormat="1" ht="15" hidden="1" customHeight="1" outlineLevel="1" x14ac:dyDescent="0.25">
      <c r="A2047" s="597"/>
      <c r="B2047" s="130"/>
      <c r="C2047" s="616"/>
      <c r="D2047" s="2101"/>
      <c r="E2047" s="2104"/>
      <c r="F2047" s="2098" t="str">
        <f t="shared" ref="F2047:F2089" si="78">E909</f>
        <v>ASHP - SEER 19 - replace electric furnace / CAC - early replacement MF ER1</v>
      </c>
      <c r="G2047" s="2098"/>
      <c r="H2047" s="2098"/>
      <c r="I2047" s="2098"/>
      <c r="J2047" s="709" t="s">
        <v>1191</v>
      </c>
      <c r="K2047" s="792"/>
      <c r="L2047" s="670"/>
      <c r="M2047" s="770"/>
      <c r="N2047" s="130"/>
      <c r="O2047" s="251"/>
      <c r="P2047" s="251"/>
      <c r="Q2047" s="251"/>
      <c r="R2047" s="251"/>
      <c r="S2047" s="130"/>
      <c r="T2047" s="130"/>
      <c r="U2047" s="130"/>
      <c r="V2047" s="2107"/>
      <c r="W2047" s="792"/>
      <c r="X2047" s="791"/>
      <c r="Y2047" s="710"/>
      <c r="Z2047" s="710"/>
      <c r="AA2047" s="710"/>
      <c r="AB2047" s="710"/>
      <c r="AC2047" s="710"/>
      <c r="AD2047" s="710"/>
      <c r="AE2047" s="710"/>
      <c r="AF2047" s="710"/>
      <c r="AG2047" s="710"/>
    </row>
    <row r="2048" spans="1:33" s="56" customFormat="1" ht="15" hidden="1" customHeight="1" outlineLevel="1" x14ac:dyDescent="0.25">
      <c r="A2048" s="597"/>
      <c r="B2048" s="130"/>
      <c r="C2048" s="616"/>
      <c r="D2048" s="2101"/>
      <c r="E2048" s="2104"/>
      <c r="F2048" s="2098" t="str">
        <f t="shared" si="78"/>
        <v>ASHP - SEER 19 - replace electric furnace / CAC - early replacement MF ER2</v>
      </c>
      <c r="G2048" s="2098"/>
      <c r="H2048" s="2098"/>
      <c r="I2048" s="2098"/>
      <c r="J2048" s="709" t="s">
        <v>1192</v>
      </c>
      <c r="K2048" s="792"/>
      <c r="L2048" s="670"/>
      <c r="M2048" s="770"/>
      <c r="N2048" s="130"/>
      <c r="O2048" s="251"/>
      <c r="P2048" s="251"/>
      <c r="Q2048" s="251"/>
      <c r="R2048" s="251"/>
      <c r="S2048" s="130"/>
      <c r="T2048" s="130"/>
      <c r="U2048" s="130"/>
      <c r="V2048" s="2107"/>
      <c r="W2048" s="792"/>
      <c r="X2048" s="791"/>
      <c r="Y2048" s="710"/>
      <c r="Z2048" s="710"/>
      <c r="AA2048" s="710"/>
      <c r="AB2048" s="710"/>
      <c r="AC2048" s="710"/>
      <c r="AD2048" s="710"/>
      <c r="AE2048" s="710"/>
      <c r="AF2048" s="710"/>
      <c r="AG2048" s="710"/>
    </row>
    <row r="2049" spans="1:33" s="56" customFormat="1" ht="15" hidden="1" customHeight="1" outlineLevel="1" x14ac:dyDescent="0.25">
      <c r="A2049" s="724"/>
      <c r="B2049" s="130"/>
      <c r="C2049" s="616"/>
      <c r="D2049" s="2101"/>
      <c r="E2049" s="2104"/>
      <c r="F2049" s="2098" t="str">
        <f t="shared" si="78"/>
        <v>ASHP - SEER 19 - replace electric furnace / CAC - early replacement MF ER2</v>
      </c>
      <c r="G2049" s="2098"/>
      <c r="H2049" s="2098"/>
      <c r="I2049" s="2098"/>
      <c r="J2049" s="709" t="s">
        <v>1193</v>
      </c>
      <c r="K2049" s="792"/>
      <c r="L2049" s="670"/>
      <c r="M2049" s="770"/>
      <c r="N2049" s="130"/>
      <c r="O2049" s="251"/>
      <c r="P2049" s="766"/>
      <c r="Q2049" s="767"/>
      <c r="R2049" s="766"/>
      <c r="S2049" s="752"/>
      <c r="T2049" s="760"/>
      <c r="U2049" s="130"/>
      <c r="V2049" s="2107"/>
      <c r="W2049" s="792"/>
      <c r="X2049" s="791"/>
      <c r="Y2049" s="710"/>
      <c r="Z2049" s="710"/>
      <c r="AA2049" s="710"/>
      <c r="AB2049" s="710"/>
      <c r="AC2049" s="710"/>
      <c r="AD2049" s="710"/>
      <c r="AE2049" s="710"/>
      <c r="AF2049" s="710"/>
      <c r="AG2049" s="710"/>
    </row>
    <row r="2050" spans="1:33" s="56" customFormat="1" ht="15" hidden="1" customHeight="1" outlineLevel="1" x14ac:dyDescent="0.25">
      <c r="A2050" s="724"/>
      <c r="B2050" s="130"/>
      <c r="C2050" s="616"/>
      <c r="D2050" s="2101"/>
      <c r="E2050" s="2104"/>
      <c r="F2050" s="2098" t="str">
        <f t="shared" si="78"/>
        <v>ASHP SEER 19 replace ASHP - early replacement MF ER1</v>
      </c>
      <c r="G2050" s="2098"/>
      <c r="H2050" s="2098"/>
      <c r="I2050" s="2098"/>
      <c r="J2050" s="709" t="s">
        <v>1194</v>
      </c>
      <c r="K2050" s="792">
        <f>$L$1038*$Q$977*$K$1726</f>
        <v>2348.4516619658129</v>
      </c>
      <c r="L2050" s="670"/>
      <c r="M2050" s="770"/>
      <c r="N2050" s="130"/>
      <c r="O2050" s="251"/>
      <c r="P2050" s="766"/>
      <c r="Q2050" s="767"/>
      <c r="R2050" s="766"/>
      <c r="S2050" s="752"/>
      <c r="T2050" s="760"/>
      <c r="U2050" s="130"/>
      <c r="V2050" s="2107"/>
      <c r="W2050" s="792">
        <v>7371.3247976250323</v>
      </c>
      <c r="X2050" s="794">
        <f>$L$1038*$Q$977*$K$1726</f>
        <v>2348.4516619658129</v>
      </c>
      <c r="Y2050" s="710"/>
      <c r="Z2050" s="710"/>
      <c r="AA2050" s="710"/>
      <c r="AB2050" s="710"/>
      <c r="AC2050" s="710"/>
      <c r="AD2050" s="710"/>
      <c r="AE2050" s="710"/>
      <c r="AF2050" s="710"/>
      <c r="AG2050" s="710"/>
    </row>
    <row r="2051" spans="1:33" s="56" customFormat="1" ht="15" hidden="1" customHeight="1" outlineLevel="1" x14ac:dyDescent="0.25">
      <c r="A2051" s="597"/>
      <c r="B2051" s="130"/>
      <c r="C2051" s="616"/>
      <c r="D2051" s="2101"/>
      <c r="E2051" s="2104"/>
      <c r="F2051" s="2098" t="str">
        <f t="shared" si="78"/>
        <v>ASHP SEER 19 replace ASHP - early replacement MF ER1</v>
      </c>
      <c r="G2051" s="2098"/>
      <c r="H2051" s="2098"/>
      <c r="I2051" s="2098"/>
      <c r="J2051" s="709" t="s">
        <v>1195</v>
      </c>
      <c r="K2051" s="792"/>
      <c r="L2051" s="670"/>
      <c r="M2051" s="770"/>
      <c r="N2051" s="130"/>
      <c r="O2051" s="251"/>
      <c r="P2051" s="251"/>
      <c r="Q2051" s="251"/>
      <c r="R2051" s="251"/>
      <c r="S2051" s="130"/>
      <c r="T2051" s="130"/>
      <c r="U2051" s="130"/>
      <c r="V2051" s="2107"/>
      <c r="W2051" s="792"/>
      <c r="X2051" s="791"/>
      <c r="Y2051" s="710"/>
      <c r="Z2051" s="710"/>
      <c r="AA2051" s="710"/>
      <c r="AB2051" s="710"/>
      <c r="AC2051" s="710"/>
      <c r="AD2051" s="710"/>
      <c r="AE2051" s="710"/>
      <c r="AF2051" s="710"/>
      <c r="AG2051" s="710"/>
    </row>
    <row r="2052" spans="1:33" s="56" customFormat="1" ht="15" hidden="1" customHeight="1" outlineLevel="1" x14ac:dyDescent="0.25">
      <c r="A2052" s="597"/>
      <c r="B2052" s="130"/>
      <c r="C2052" s="616"/>
      <c r="D2052" s="2101"/>
      <c r="E2052" s="2104"/>
      <c r="F2052" s="2098" t="str">
        <f t="shared" si="78"/>
        <v>ASHP SEER 19 replace ASHP - early replacement MF ER2</v>
      </c>
      <c r="G2052" s="2098"/>
      <c r="H2052" s="2098"/>
      <c r="I2052" s="2098"/>
      <c r="J2052" s="709" t="s">
        <v>1196</v>
      </c>
      <c r="K2052" s="792"/>
      <c r="L2052" s="670"/>
      <c r="M2052" s="770"/>
      <c r="N2052" s="130"/>
      <c r="O2052" s="251"/>
      <c r="P2052" s="251"/>
      <c r="Q2052" s="251"/>
      <c r="R2052" s="251"/>
      <c r="S2052" s="130"/>
      <c r="T2052" s="130"/>
      <c r="U2052" s="130"/>
      <c r="V2052" s="2107"/>
      <c r="W2052" s="792"/>
      <c r="X2052" s="791"/>
      <c r="Y2052" s="710"/>
      <c r="Z2052" s="710"/>
      <c r="AA2052" s="710"/>
      <c r="AB2052" s="710"/>
      <c r="AC2052" s="710"/>
      <c r="AD2052" s="710"/>
      <c r="AE2052" s="710"/>
      <c r="AF2052" s="710"/>
      <c r="AG2052" s="710"/>
    </row>
    <row r="2053" spans="1:33" s="56" customFormat="1" ht="15" hidden="1" customHeight="1" outlineLevel="1" x14ac:dyDescent="0.25">
      <c r="A2053" s="724"/>
      <c r="B2053" s="130"/>
      <c r="C2053" s="616"/>
      <c r="D2053" s="2101"/>
      <c r="E2053" s="2104"/>
      <c r="F2053" s="2098" t="str">
        <f t="shared" si="78"/>
        <v>ASHP SEER 19 replace ASHP - early replacement MF ER2</v>
      </c>
      <c r="G2053" s="2098"/>
      <c r="H2053" s="2098"/>
      <c r="I2053" s="2098"/>
      <c r="J2053" s="709" t="s">
        <v>1197</v>
      </c>
      <c r="K2053" s="792"/>
      <c r="L2053" s="670"/>
      <c r="M2053" s="770"/>
      <c r="N2053" s="130"/>
      <c r="O2053" s="251"/>
      <c r="P2053" s="766"/>
      <c r="Q2053" s="767"/>
      <c r="R2053" s="766"/>
      <c r="S2053" s="752"/>
      <c r="T2053" s="760"/>
      <c r="U2053" s="130"/>
      <c r="V2053" s="2107"/>
      <c r="W2053" s="792"/>
      <c r="X2053" s="791"/>
      <c r="Y2053" s="710"/>
      <c r="Z2053" s="710"/>
      <c r="AA2053" s="710"/>
      <c r="AB2053" s="710"/>
      <c r="AC2053" s="710"/>
      <c r="AD2053" s="710"/>
      <c r="AE2053" s="710"/>
      <c r="AF2053" s="710"/>
      <c r="AG2053" s="710"/>
    </row>
    <row r="2054" spans="1:33" s="56" customFormat="1" ht="15" hidden="1" customHeight="1" outlineLevel="1" x14ac:dyDescent="0.25">
      <c r="A2054" s="724"/>
      <c r="B2054" s="130"/>
      <c r="C2054" s="616"/>
      <c r="D2054" s="2101"/>
      <c r="E2054" s="2104"/>
      <c r="F2054" s="2098" t="str">
        <f t="shared" si="78"/>
        <v>ASHP SEER 20 replace ASHP - early replacement SF ER1</v>
      </c>
      <c r="G2054" s="2098"/>
      <c r="H2054" s="2098"/>
      <c r="I2054" s="2098"/>
      <c r="J2054" s="709"/>
      <c r="K2054" s="792">
        <f>$L$1040*$Q$978*$K$1728</f>
        <v>4757.0025568704805</v>
      </c>
      <c r="L2054" s="670"/>
      <c r="M2054" s="770"/>
      <c r="N2054" s="130"/>
      <c r="O2054" s="251"/>
      <c r="P2054" s="766"/>
      <c r="Q2054" s="767"/>
      <c r="R2054" s="766"/>
      <c r="S2054" s="752"/>
      <c r="T2054" s="760"/>
      <c r="U2054" s="130"/>
      <c r="V2054" s="2107"/>
      <c r="W2054" s="792">
        <v>13953.854780733807</v>
      </c>
      <c r="X2054" s="794">
        <f>$L$1040*$Q$978*$K$1728</f>
        <v>4757.0025568704805</v>
      </c>
      <c r="Y2054" s="710"/>
      <c r="Z2054" s="710"/>
      <c r="AA2054" s="710"/>
      <c r="AB2054" s="710"/>
      <c r="AC2054" s="710"/>
      <c r="AD2054" s="710"/>
      <c r="AE2054" s="710"/>
      <c r="AF2054" s="710"/>
      <c r="AG2054" s="710"/>
    </row>
    <row r="2055" spans="1:33" s="56" customFormat="1" ht="15" hidden="1" customHeight="1" outlineLevel="1" x14ac:dyDescent="0.25">
      <c r="A2055" s="724"/>
      <c r="B2055" s="130"/>
      <c r="C2055" s="616"/>
      <c r="D2055" s="2101"/>
      <c r="E2055" s="2104"/>
      <c r="F2055" s="2098" t="str">
        <f t="shared" si="78"/>
        <v>ASHP SEER 20 replace ASHP - early replacement SF ER1</v>
      </c>
      <c r="G2055" s="2098"/>
      <c r="H2055" s="2098"/>
      <c r="I2055" s="2098"/>
      <c r="J2055" s="709"/>
      <c r="K2055" s="792"/>
      <c r="L2055" s="670"/>
      <c r="M2055" s="770"/>
      <c r="N2055" s="130"/>
      <c r="O2055" s="251"/>
      <c r="P2055" s="766"/>
      <c r="Q2055" s="767"/>
      <c r="R2055" s="766"/>
      <c r="S2055" s="752"/>
      <c r="T2055" s="760"/>
      <c r="U2055" s="130"/>
      <c r="V2055" s="2107"/>
      <c r="W2055" s="792"/>
      <c r="X2055" s="791"/>
      <c r="Y2055" s="710"/>
      <c r="Z2055" s="710"/>
      <c r="AA2055" s="710"/>
      <c r="AB2055" s="710"/>
      <c r="AC2055" s="710"/>
      <c r="AD2055" s="710"/>
      <c r="AE2055" s="710"/>
      <c r="AF2055" s="710"/>
      <c r="AG2055" s="710"/>
    </row>
    <row r="2056" spans="1:33" s="56" customFormat="1" ht="15" hidden="1" customHeight="1" outlineLevel="1" x14ac:dyDescent="0.25">
      <c r="A2056" s="724"/>
      <c r="B2056" s="130"/>
      <c r="C2056" s="616"/>
      <c r="D2056" s="2101"/>
      <c r="E2056" s="2104"/>
      <c r="F2056" s="2098" t="str">
        <f t="shared" si="78"/>
        <v>ASHP SEER 20 replace ASHP - early replacement SF ER2</v>
      </c>
      <c r="G2056" s="2098"/>
      <c r="H2056" s="2098"/>
      <c r="I2056" s="2098"/>
      <c r="J2056" s="709"/>
      <c r="K2056" s="792"/>
      <c r="L2056" s="670"/>
      <c r="M2056" s="770"/>
      <c r="N2056" s="130"/>
      <c r="O2056" s="251"/>
      <c r="P2056" s="766"/>
      <c r="Q2056" s="767"/>
      <c r="R2056" s="766"/>
      <c r="S2056" s="752"/>
      <c r="T2056" s="760"/>
      <c r="U2056" s="130"/>
      <c r="V2056" s="2107"/>
      <c r="W2056" s="792"/>
      <c r="X2056" s="791"/>
      <c r="Y2056" s="710"/>
      <c r="Z2056" s="710"/>
      <c r="AA2056" s="710"/>
      <c r="AB2056" s="710"/>
      <c r="AC2056" s="710"/>
      <c r="AD2056" s="710"/>
      <c r="AE2056" s="710"/>
      <c r="AF2056" s="710"/>
      <c r="AG2056" s="710"/>
    </row>
    <row r="2057" spans="1:33" s="56" customFormat="1" ht="15" hidden="1" customHeight="1" outlineLevel="1" x14ac:dyDescent="0.25">
      <c r="A2057" s="724"/>
      <c r="B2057" s="130"/>
      <c r="C2057" s="616"/>
      <c r="D2057" s="2101"/>
      <c r="E2057" s="2104"/>
      <c r="F2057" s="2098" t="str">
        <f t="shared" si="78"/>
        <v>ASHP SEER 20 replace ASHP - early replacement SF ER2</v>
      </c>
      <c r="G2057" s="2098"/>
      <c r="H2057" s="2098"/>
      <c r="I2057" s="2098"/>
      <c r="J2057" s="709"/>
      <c r="K2057" s="792"/>
      <c r="L2057" s="670"/>
      <c r="M2057" s="770"/>
      <c r="N2057" s="130"/>
      <c r="O2057" s="251"/>
      <c r="P2057" s="766"/>
      <c r="Q2057" s="767"/>
      <c r="R2057" s="766"/>
      <c r="S2057" s="752"/>
      <c r="T2057" s="760"/>
      <c r="U2057" s="130"/>
      <c r="V2057" s="2107"/>
      <c r="W2057" s="792"/>
      <c r="X2057" s="791"/>
      <c r="Y2057" s="710"/>
      <c r="Z2057" s="710"/>
      <c r="AA2057" s="710"/>
      <c r="AB2057" s="710"/>
      <c r="AC2057" s="710"/>
      <c r="AD2057" s="710"/>
      <c r="AE2057" s="710"/>
      <c r="AF2057" s="710"/>
      <c r="AG2057" s="710"/>
    </row>
    <row r="2058" spans="1:33" s="56" customFormat="1" ht="15" hidden="1" customHeight="1" outlineLevel="1" x14ac:dyDescent="0.25">
      <c r="A2058" s="724"/>
      <c r="B2058" s="130"/>
      <c r="C2058" s="616"/>
      <c r="D2058" s="2101"/>
      <c r="E2058" s="2104"/>
      <c r="F2058" s="2098" t="str">
        <f t="shared" si="78"/>
        <v>ASHP SEER 20 replace ASHP - replace on fail SF</v>
      </c>
      <c r="G2058" s="2098"/>
      <c r="H2058" s="2098"/>
      <c r="I2058" s="2098"/>
      <c r="J2058" s="709"/>
      <c r="K2058" s="792">
        <f>$L$1042*$R$978*$K$1730</f>
        <v>3828</v>
      </c>
      <c r="L2058" s="670"/>
      <c r="M2058" s="770"/>
      <c r="N2058" s="130"/>
      <c r="O2058" s="251"/>
      <c r="P2058" s="766"/>
      <c r="Q2058" s="767"/>
      <c r="R2058" s="766"/>
      <c r="S2058" s="752"/>
      <c r="T2058" s="760"/>
      <c r="U2058" s="130"/>
      <c r="V2058" s="2107"/>
      <c r="W2058" s="792">
        <v>9512</v>
      </c>
      <c r="X2058" s="794">
        <f>$L$1042*$R$978*$K$1730</f>
        <v>3828</v>
      </c>
      <c r="Y2058" s="710"/>
      <c r="Z2058" s="710"/>
      <c r="AA2058" s="710"/>
      <c r="AB2058" s="710"/>
      <c r="AC2058" s="710"/>
      <c r="AD2058" s="710"/>
      <c r="AE2058" s="710"/>
      <c r="AF2058" s="710"/>
      <c r="AG2058" s="710"/>
    </row>
    <row r="2059" spans="1:33" s="56" customFormat="1" ht="15" hidden="1" customHeight="1" outlineLevel="1" x14ac:dyDescent="0.25">
      <c r="A2059" s="724"/>
      <c r="B2059" s="130"/>
      <c r="C2059" s="616"/>
      <c r="D2059" s="2101"/>
      <c r="E2059" s="2104"/>
      <c r="F2059" s="2098" t="str">
        <f t="shared" si="78"/>
        <v>ASHP SEER 20 replace ASHP - replace on fail SF</v>
      </c>
      <c r="G2059" s="2098"/>
      <c r="H2059" s="2098"/>
      <c r="I2059" s="2098"/>
      <c r="J2059" s="780"/>
      <c r="K2059" s="792"/>
      <c r="L2059" s="670"/>
      <c r="M2059" s="770"/>
      <c r="N2059" s="130"/>
      <c r="O2059" s="251"/>
      <c r="P2059" s="766"/>
      <c r="Q2059" s="767"/>
      <c r="R2059" s="766"/>
      <c r="S2059" s="752"/>
      <c r="T2059" s="760"/>
      <c r="U2059" s="130"/>
      <c r="V2059" s="2107"/>
      <c r="W2059" s="792"/>
      <c r="X2059" s="791"/>
      <c r="Y2059" s="784"/>
      <c r="Z2059" s="784"/>
      <c r="AA2059" s="784"/>
      <c r="AB2059" s="784"/>
      <c r="AC2059" s="784"/>
      <c r="AD2059" s="784"/>
      <c r="AE2059" s="784"/>
      <c r="AF2059" s="784"/>
      <c r="AG2059" s="784"/>
    </row>
    <row r="2060" spans="1:33" s="56" customFormat="1" hidden="1" outlineLevel="1" x14ac:dyDescent="0.25">
      <c r="A2060" s="724"/>
      <c r="B2060" s="130"/>
      <c r="C2060" s="616"/>
      <c r="D2060" s="2101"/>
      <c r="E2060" s="2104"/>
      <c r="F2060" s="2098" t="str">
        <f t="shared" si="78"/>
        <v>ASHP - SEER 20 - replace electric furnace / CAC - early replacement MF ER1</v>
      </c>
      <c r="G2060" s="2098"/>
      <c r="H2060" s="2098"/>
      <c r="I2060" s="2098"/>
      <c r="J2060" s="709"/>
      <c r="K2060" s="792">
        <f>$L$1043*$Q$978*$K$1731</f>
        <v>2904.6545915436423</v>
      </c>
      <c r="L2060" s="778"/>
      <c r="M2060" s="770"/>
      <c r="N2060" s="130"/>
      <c r="O2060" s="251"/>
      <c r="P2060" s="766"/>
      <c r="Q2060" s="767"/>
      <c r="R2060" s="766"/>
      <c r="S2060" s="752"/>
      <c r="T2060" s="760"/>
      <c r="U2060" s="130"/>
      <c r="V2060" s="2107"/>
      <c r="W2060" s="792">
        <v>13953.854780733807</v>
      </c>
      <c r="X2060" s="794">
        <f>$L$1043*$Q$978*$K$1731</f>
        <v>2904.6545915436423</v>
      </c>
      <c r="Y2060" s="710"/>
      <c r="Z2060" s="710"/>
      <c r="AA2060" s="710"/>
      <c r="AB2060" s="710"/>
      <c r="AC2060" s="710"/>
      <c r="AD2060" s="710"/>
      <c r="AE2060" s="710"/>
      <c r="AF2060" s="710"/>
      <c r="AG2060" s="710"/>
    </row>
    <row r="2061" spans="1:33" s="56" customFormat="1" hidden="1" outlineLevel="1" x14ac:dyDescent="0.25">
      <c r="A2061" s="724"/>
      <c r="B2061" s="130"/>
      <c r="C2061" s="616"/>
      <c r="D2061" s="2101"/>
      <c r="E2061" s="2104"/>
      <c r="F2061" s="2098" t="str">
        <f t="shared" si="78"/>
        <v>ASHP - SEER 20 - replace electric furnace / CAC - early replacement MF ER1</v>
      </c>
      <c r="G2061" s="2098"/>
      <c r="H2061" s="2098"/>
      <c r="I2061" s="2098"/>
      <c r="J2061" s="709"/>
      <c r="K2061" s="792"/>
      <c r="L2061" s="778"/>
      <c r="M2061" s="770"/>
      <c r="N2061" s="130"/>
      <c r="O2061" s="251"/>
      <c r="P2061" s="766"/>
      <c r="Q2061" s="767"/>
      <c r="R2061" s="766"/>
      <c r="S2061" s="752"/>
      <c r="T2061" s="760"/>
      <c r="U2061" s="130"/>
      <c r="V2061" s="2107"/>
      <c r="W2061" s="792"/>
      <c r="X2061" s="791"/>
      <c r="Y2061" s="710"/>
      <c r="Z2061" s="710"/>
      <c r="AA2061" s="710"/>
      <c r="AB2061" s="710"/>
      <c r="AC2061" s="710"/>
      <c r="AD2061" s="710"/>
      <c r="AE2061" s="710"/>
      <c r="AF2061" s="710"/>
      <c r="AG2061" s="710"/>
    </row>
    <row r="2062" spans="1:33" s="56" customFormat="1" hidden="1" outlineLevel="1" x14ac:dyDescent="0.25">
      <c r="A2062" s="724"/>
      <c r="B2062" s="130"/>
      <c r="C2062" s="616"/>
      <c r="D2062" s="2101"/>
      <c r="E2062" s="2104"/>
      <c r="F2062" s="2098" t="str">
        <f t="shared" si="78"/>
        <v>ASHP - SEER 20 - replace electric furnace / CAC - early replacement MF ER2</v>
      </c>
      <c r="G2062" s="2098"/>
      <c r="H2062" s="2098"/>
      <c r="I2062" s="2098"/>
      <c r="J2062" s="709"/>
      <c r="K2062" s="792"/>
      <c r="L2062" s="778"/>
      <c r="M2062" s="770"/>
      <c r="N2062" s="130"/>
      <c r="O2062" s="251"/>
      <c r="P2062" s="766"/>
      <c r="Q2062" s="767"/>
      <c r="R2062" s="766"/>
      <c r="S2062" s="752"/>
      <c r="T2062" s="760"/>
      <c r="U2062" s="130"/>
      <c r="V2062" s="2107"/>
      <c r="W2062" s="792"/>
      <c r="X2062" s="791"/>
      <c r="Y2062" s="710"/>
      <c r="Z2062" s="710"/>
      <c r="AA2062" s="710"/>
      <c r="AB2062" s="710"/>
      <c r="AC2062" s="710"/>
      <c r="AD2062" s="710"/>
      <c r="AE2062" s="710"/>
      <c r="AF2062" s="710"/>
      <c r="AG2062" s="710"/>
    </row>
    <row r="2063" spans="1:33" s="56" customFormat="1" hidden="1" outlineLevel="1" x14ac:dyDescent="0.25">
      <c r="A2063" s="724"/>
      <c r="B2063" s="130"/>
      <c r="C2063" s="616"/>
      <c r="D2063" s="2101"/>
      <c r="E2063" s="2104"/>
      <c r="F2063" s="2098" t="str">
        <f t="shared" si="78"/>
        <v>ASHP - SEER 20 - replace electric furnace / CAC - early replacement MF ER2</v>
      </c>
      <c r="G2063" s="2098"/>
      <c r="H2063" s="2098"/>
      <c r="I2063" s="2098"/>
      <c r="J2063" s="709"/>
      <c r="K2063" s="792"/>
      <c r="L2063" s="778"/>
      <c r="M2063" s="770"/>
      <c r="N2063" s="130"/>
      <c r="O2063" s="251"/>
      <c r="P2063" s="766"/>
      <c r="Q2063" s="767"/>
      <c r="R2063" s="766"/>
      <c r="S2063" s="752"/>
      <c r="T2063" s="760"/>
      <c r="U2063" s="130"/>
      <c r="V2063" s="2107"/>
      <c r="W2063" s="792"/>
      <c r="X2063" s="791"/>
      <c r="Y2063" s="710"/>
      <c r="Z2063" s="710"/>
      <c r="AA2063" s="710"/>
      <c r="AB2063" s="710"/>
      <c r="AC2063" s="710"/>
      <c r="AD2063" s="710"/>
      <c r="AE2063" s="710"/>
      <c r="AF2063" s="710"/>
      <c r="AG2063" s="710"/>
    </row>
    <row r="2064" spans="1:33" s="56" customFormat="1" hidden="1" outlineLevel="1" x14ac:dyDescent="0.25">
      <c r="A2064" s="724"/>
      <c r="B2064" s="130"/>
      <c r="C2064" s="616"/>
      <c r="D2064" s="2101"/>
      <c r="E2064" s="2104"/>
      <c r="F2064" s="2098" t="str">
        <f t="shared" si="78"/>
        <v>ASHP SEER 20 replace ASHP - early replacement MF ER1</v>
      </c>
      <c r="G2064" s="2098"/>
      <c r="H2064" s="2098"/>
      <c r="I2064" s="2098"/>
      <c r="J2064" s="709"/>
      <c r="K2064" s="792">
        <f>$L$1045*$Q$978*$K$1733</f>
        <v>3092.0516619658124</v>
      </c>
      <c r="L2064" s="778"/>
      <c r="M2064" s="770"/>
      <c r="N2064" s="130"/>
      <c r="O2064" s="251"/>
      <c r="P2064" s="766"/>
      <c r="Q2064" s="767"/>
      <c r="R2064" s="766"/>
      <c r="S2064" s="752"/>
      <c r="T2064" s="760"/>
      <c r="U2064" s="130"/>
      <c r="V2064" s="2107"/>
      <c r="W2064" s="792">
        <v>14804.699584437089</v>
      </c>
      <c r="X2064" s="794">
        <f>$L$1045*$Q$978*$K$1733</f>
        <v>3092.0516619658124</v>
      </c>
      <c r="Y2064" s="710"/>
      <c r="Z2064" s="710"/>
      <c r="AA2064" s="710"/>
      <c r="AB2064" s="710"/>
      <c r="AC2064" s="710"/>
      <c r="AD2064" s="710"/>
      <c r="AE2064" s="710"/>
      <c r="AF2064" s="710"/>
      <c r="AG2064" s="710"/>
    </row>
    <row r="2065" spans="1:33" s="56" customFormat="1" hidden="1" outlineLevel="1" x14ac:dyDescent="0.25">
      <c r="A2065" s="724"/>
      <c r="B2065" s="130"/>
      <c r="C2065" s="616"/>
      <c r="D2065" s="2101"/>
      <c r="E2065" s="2104"/>
      <c r="F2065" s="2098" t="str">
        <f t="shared" si="78"/>
        <v>ASHP SEER 20 replace ASHP - early replacement MF ER1</v>
      </c>
      <c r="G2065" s="2098"/>
      <c r="H2065" s="2098"/>
      <c r="I2065" s="2098"/>
      <c r="J2065" s="709"/>
      <c r="K2065" s="792"/>
      <c r="L2065" s="778"/>
      <c r="M2065" s="770"/>
      <c r="N2065" s="130"/>
      <c r="O2065" s="251"/>
      <c r="P2065" s="766"/>
      <c r="Q2065" s="767"/>
      <c r="R2065" s="766"/>
      <c r="S2065" s="752"/>
      <c r="T2065" s="760"/>
      <c r="U2065" s="130"/>
      <c r="V2065" s="2107"/>
      <c r="W2065" s="792"/>
      <c r="X2065" s="791"/>
      <c r="Y2065" s="710"/>
      <c r="Z2065" s="710"/>
      <c r="AA2065" s="710"/>
      <c r="AB2065" s="710"/>
      <c r="AC2065" s="710"/>
      <c r="AD2065" s="710"/>
      <c r="AE2065" s="710"/>
      <c r="AF2065" s="710"/>
      <c r="AG2065" s="710"/>
    </row>
    <row r="2066" spans="1:33" s="56" customFormat="1" hidden="1" outlineLevel="1" x14ac:dyDescent="0.25">
      <c r="A2066" s="724"/>
      <c r="B2066" s="130"/>
      <c r="C2066" s="616"/>
      <c r="D2066" s="2101"/>
      <c r="E2066" s="2104"/>
      <c r="F2066" s="2098" t="str">
        <f t="shared" si="78"/>
        <v>ASHP SEER 20 replace ASHP - early replacement MF ER2</v>
      </c>
      <c r="G2066" s="2098"/>
      <c r="H2066" s="2098"/>
      <c r="I2066" s="2098"/>
      <c r="J2066" s="709"/>
      <c r="K2066" s="792"/>
      <c r="L2066" s="778"/>
      <c r="M2066" s="770"/>
      <c r="N2066" s="130"/>
      <c r="O2066" s="251"/>
      <c r="P2066" s="766"/>
      <c r="Q2066" s="767"/>
      <c r="R2066" s="766"/>
      <c r="S2066" s="752"/>
      <c r="T2066" s="760"/>
      <c r="U2066" s="130"/>
      <c r="V2066" s="2107"/>
      <c r="W2066" s="792"/>
      <c r="X2066" s="791"/>
      <c r="Y2066" s="710"/>
      <c r="Z2066" s="710"/>
      <c r="AA2066" s="710"/>
      <c r="AB2066" s="710"/>
      <c r="AC2066" s="710"/>
      <c r="AD2066" s="710"/>
      <c r="AE2066" s="710"/>
      <c r="AF2066" s="710"/>
      <c r="AG2066" s="710"/>
    </row>
    <row r="2067" spans="1:33" s="56" customFormat="1" hidden="1" outlineLevel="1" x14ac:dyDescent="0.25">
      <c r="A2067" s="724"/>
      <c r="B2067" s="130"/>
      <c r="C2067" s="616"/>
      <c r="D2067" s="2101"/>
      <c r="E2067" s="2104"/>
      <c r="F2067" s="2098" t="str">
        <f t="shared" si="78"/>
        <v>ASHP SEER 20 replace ASHP - early replacement MF ER2</v>
      </c>
      <c r="G2067" s="2098"/>
      <c r="H2067" s="2098"/>
      <c r="I2067" s="2098"/>
      <c r="J2067" s="709"/>
      <c r="K2067" s="792"/>
      <c r="L2067" s="778"/>
      <c r="M2067" s="770"/>
      <c r="N2067" s="130"/>
      <c r="O2067" s="251"/>
      <c r="P2067" s="766"/>
      <c r="Q2067" s="767"/>
      <c r="R2067" s="766"/>
      <c r="S2067" s="752"/>
      <c r="T2067" s="760"/>
      <c r="U2067" s="130"/>
      <c r="V2067" s="2107"/>
      <c r="W2067" s="792"/>
      <c r="X2067" s="791"/>
      <c r="Y2067" s="710"/>
      <c r="Z2067" s="710"/>
      <c r="AA2067" s="710"/>
      <c r="AB2067" s="710"/>
      <c r="AC2067" s="710"/>
      <c r="AD2067" s="710"/>
      <c r="AE2067" s="710"/>
      <c r="AF2067" s="710"/>
      <c r="AG2067" s="710"/>
    </row>
    <row r="2068" spans="1:33" s="56" customFormat="1" hidden="1" outlineLevel="1" x14ac:dyDescent="0.25">
      <c r="A2068" s="724"/>
      <c r="B2068" s="130"/>
      <c r="C2068" s="616"/>
      <c r="D2068" s="2101"/>
      <c r="E2068" s="2104"/>
      <c r="F2068" s="2098" t="str">
        <f t="shared" si="78"/>
        <v>ASHP SEER 21 replace ASHP - early replacement SF ER1</v>
      </c>
      <c r="G2068" s="2098"/>
      <c r="H2068" s="2098"/>
      <c r="I2068" s="2098"/>
      <c r="J2068" s="709"/>
      <c r="K2068" s="792">
        <f>$L$1047*$Q$979*$K$1735</f>
        <v>4757.0025568704805</v>
      </c>
      <c r="L2068" s="778"/>
      <c r="M2068" s="770"/>
      <c r="N2068" s="130"/>
      <c r="O2068" s="251"/>
      <c r="P2068" s="766"/>
      <c r="Q2068" s="767"/>
      <c r="R2068" s="766"/>
      <c r="S2068" s="752"/>
      <c r="T2068" s="760"/>
      <c r="U2068" s="130"/>
      <c r="V2068" s="2107"/>
      <c r="W2068" s="792">
        <v>14804.699584437089</v>
      </c>
      <c r="X2068" s="794">
        <f>$L$1047*$Q$979*$K$1735</f>
        <v>4757.0025568704805</v>
      </c>
      <c r="Y2068" s="710"/>
      <c r="Z2068" s="710"/>
      <c r="AA2068" s="710"/>
      <c r="AB2068" s="710"/>
      <c r="AC2068" s="710"/>
      <c r="AD2068" s="710"/>
      <c r="AE2068" s="710"/>
      <c r="AF2068" s="710"/>
      <c r="AG2068" s="710"/>
    </row>
    <row r="2069" spans="1:33" s="56" customFormat="1" hidden="1" outlineLevel="1" x14ac:dyDescent="0.25">
      <c r="A2069" s="724"/>
      <c r="B2069" s="130"/>
      <c r="C2069" s="616"/>
      <c r="D2069" s="2101"/>
      <c r="E2069" s="2104"/>
      <c r="F2069" s="2098" t="str">
        <f t="shared" si="78"/>
        <v>ASHP SEER 21 replace ASHP - early replacement SF ER1</v>
      </c>
      <c r="G2069" s="2098"/>
      <c r="H2069" s="2098"/>
      <c r="I2069" s="2098"/>
      <c r="J2069" s="709"/>
      <c r="K2069" s="792"/>
      <c r="L2069" s="778"/>
      <c r="M2069" s="770"/>
      <c r="N2069" s="130"/>
      <c r="O2069" s="251"/>
      <c r="P2069" s="766"/>
      <c r="Q2069" s="767"/>
      <c r="R2069" s="766"/>
      <c r="S2069" s="752"/>
      <c r="T2069" s="760"/>
      <c r="U2069" s="130"/>
      <c r="V2069" s="2107"/>
      <c r="W2069" s="792"/>
      <c r="X2069" s="791"/>
      <c r="Y2069" s="710"/>
      <c r="Z2069" s="710"/>
      <c r="AA2069" s="710"/>
      <c r="AB2069" s="710"/>
      <c r="AC2069" s="710"/>
      <c r="AD2069" s="710"/>
      <c r="AE2069" s="710"/>
      <c r="AF2069" s="710"/>
      <c r="AG2069" s="710"/>
    </row>
    <row r="2070" spans="1:33" s="56" customFormat="1" hidden="1" outlineLevel="1" x14ac:dyDescent="0.25">
      <c r="A2070" s="724"/>
      <c r="B2070" s="130"/>
      <c r="C2070" s="616"/>
      <c r="D2070" s="2101"/>
      <c r="E2070" s="2104"/>
      <c r="F2070" s="2098" t="str">
        <f t="shared" si="78"/>
        <v>ASHP SEER 21 replace ASHP - early replacement SF ER2</v>
      </c>
      <c r="G2070" s="2098"/>
      <c r="H2070" s="2098"/>
      <c r="I2070" s="2098"/>
      <c r="J2070" s="709"/>
      <c r="K2070" s="792"/>
      <c r="L2070" s="778"/>
      <c r="M2070" s="770"/>
      <c r="N2070" s="130"/>
      <c r="O2070" s="251"/>
      <c r="P2070" s="766"/>
      <c r="Q2070" s="767"/>
      <c r="R2070" s="766"/>
      <c r="S2070" s="752"/>
      <c r="T2070" s="760"/>
      <c r="U2070" s="130"/>
      <c r="V2070" s="2107"/>
      <c r="W2070" s="792"/>
      <c r="X2070" s="791"/>
      <c r="Y2070" s="710"/>
      <c r="Z2070" s="710"/>
      <c r="AA2070" s="710"/>
      <c r="AB2070" s="710"/>
      <c r="AC2070" s="710"/>
      <c r="AD2070" s="710"/>
      <c r="AE2070" s="710"/>
      <c r="AF2070" s="710"/>
      <c r="AG2070" s="710"/>
    </row>
    <row r="2071" spans="1:33" s="56" customFormat="1" hidden="1" outlineLevel="1" x14ac:dyDescent="0.25">
      <c r="A2071" s="724"/>
      <c r="B2071" s="130"/>
      <c r="C2071" s="616"/>
      <c r="D2071" s="2101"/>
      <c r="E2071" s="2104"/>
      <c r="F2071" s="2098" t="str">
        <f t="shared" si="78"/>
        <v>ASHP SEER 21 replace ASHP - early replacement SF ER2</v>
      </c>
      <c r="G2071" s="2098"/>
      <c r="H2071" s="2098"/>
      <c r="I2071" s="2098"/>
      <c r="J2071" s="709"/>
      <c r="K2071" s="792"/>
      <c r="L2071" s="778"/>
      <c r="M2071" s="770"/>
      <c r="N2071" s="130"/>
      <c r="O2071" s="251"/>
      <c r="P2071" s="766"/>
      <c r="Q2071" s="767"/>
      <c r="R2071" s="766"/>
      <c r="S2071" s="752"/>
      <c r="T2071" s="760"/>
      <c r="U2071" s="130"/>
      <c r="V2071" s="2107"/>
      <c r="W2071" s="792"/>
      <c r="X2071" s="791"/>
      <c r="Y2071" s="710"/>
      <c r="Z2071" s="710"/>
      <c r="AA2071" s="710"/>
      <c r="AB2071" s="710"/>
      <c r="AC2071" s="710"/>
      <c r="AD2071" s="710"/>
      <c r="AE2071" s="710"/>
      <c r="AF2071" s="710"/>
      <c r="AG2071" s="710"/>
    </row>
    <row r="2072" spans="1:33" s="56" customFormat="1" hidden="1" outlineLevel="1" x14ac:dyDescent="0.25">
      <c r="A2072" s="724"/>
      <c r="B2072" s="130"/>
      <c r="C2072" s="616"/>
      <c r="D2072" s="2101"/>
      <c r="E2072" s="2104"/>
      <c r="F2072" s="2098" t="str">
        <f t="shared" si="78"/>
        <v>ASHP SEER 21 replace ASHP - replace on fail SF</v>
      </c>
      <c r="G2072" s="2098"/>
      <c r="H2072" s="2098"/>
      <c r="I2072" s="2098"/>
      <c r="J2072" s="709"/>
      <c r="K2072" s="792">
        <f>$L$1049*$R$979*$K$1737</f>
        <v>3828</v>
      </c>
      <c r="L2072" s="778"/>
      <c r="M2072" s="770"/>
      <c r="N2072" s="130"/>
      <c r="O2072" s="251"/>
      <c r="P2072" s="766"/>
      <c r="Q2072" s="767"/>
      <c r="R2072" s="766"/>
      <c r="S2072" s="752"/>
      <c r="T2072" s="760"/>
      <c r="U2072" s="130"/>
      <c r="V2072" s="2107"/>
      <c r="W2072" s="792">
        <v>9976</v>
      </c>
      <c r="X2072" s="794">
        <f>$L$1049*$R$979*$K$1737</f>
        <v>3828</v>
      </c>
      <c r="Y2072" s="710"/>
      <c r="Z2072" s="710"/>
      <c r="AA2072" s="710"/>
      <c r="AB2072" s="710"/>
      <c r="AC2072" s="710"/>
      <c r="AD2072" s="710"/>
      <c r="AE2072" s="710"/>
      <c r="AF2072" s="710"/>
      <c r="AG2072" s="710"/>
    </row>
    <row r="2073" spans="1:33" s="56" customFormat="1" hidden="1" outlineLevel="1" x14ac:dyDescent="0.25">
      <c r="A2073" s="724"/>
      <c r="B2073" s="130"/>
      <c r="C2073" s="616"/>
      <c r="D2073" s="2101"/>
      <c r="E2073" s="2104"/>
      <c r="F2073" s="2098" t="str">
        <f t="shared" si="78"/>
        <v>ASHP SEER 21 replace ASHP - replace on fail SF</v>
      </c>
      <c r="G2073" s="2098"/>
      <c r="H2073" s="2098"/>
      <c r="I2073" s="2098"/>
      <c r="J2073" s="709"/>
      <c r="K2073" s="792"/>
      <c r="L2073" s="778"/>
      <c r="M2073" s="770"/>
      <c r="N2073" s="130"/>
      <c r="O2073" s="251"/>
      <c r="P2073" s="766"/>
      <c r="Q2073" s="767"/>
      <c r="R2073" s="766"/>
      <c r="S2073" s="752"/>
      <c r="T2073" s="760"/>
      <c r="U2073" s="130"/>
      <c r="V2073" s="2107"/>
      <c r="W2073" s="792"/>
      <c r="X2073" s="791"/>
      <c r="Y2073" s="710"/>
      <c r="Z2073" s="710"/>
      <c r="AA2073" s="710"/>
      <c r="AB2073" s="710"/>
      <c r="AC2073" s="710"/>
      <c r="AD2073" s="710"/>
      <c r="AE2073" s="710"/>
      <c r="AF2073" s="710"/>
      <c r="AG2073" s="710"/>
    </row>
    <row r="2074" spans="1:33" s="56" customFormat="1" hidden="1" outlineLevel="1" x14ac:dyDescent="0.25">
      <c r="A2074" s="724"/>
      <c r="B2074" s="130"/>
      <c r="C2074" s="616"/>
      <c r="D2074" s="2101"/>
      <c r="E2074" s="2104"/>
      <c r="F2074" s="2098" t="str">
        <f t="shared" si="78"/>
        <v>ASHP - SEER 21 - replace electric furnace / CAC MF</v>
      </c>
      <c r="G2074" s="2098"/>
      <c r="H2074" s="2098"/>
      <c r="I2074" s="2098"/>
      <c r="J2074" s="709"/>
      <c r="K2074" s="792">
        <f>$L$1050*$R$979*$K$1738</f>
        <v>2111.2000000000003</v>
      </c>
      <c r="L2074" s="778"/>
      <c r="M2074" s="770"/>
      <c r="N2074" s="130"/>
      <c r="O2074" s="251"/>
      <c r="P2074" s="766"/>
      <c r="Q2074" s="767"/>
      <c r="R2074" s="766"/>
      <c r="S2074" s="752"/>
      <c r="T2074" s="760"/>
      <c r="U2074" s="130"/>
      <c r="V2074" s="2107"/>
      <c r="W2074" s="792">
        <v>10092</v>
      </c>
      <c r="X2074" s="794">
        <f>$L$1050*$R$979*$K$1738</f>
        <v>2111.2000000000003</v>
      </c>
      <c r="Y2074" s="710"/>
      <c r="Z2074" s="710"/>
      <c r="AA2074" s="710"/>
      <c r="AB2074" s="710"/>
      <c r="AC2074" s="710"/>
      <c r="AD2074" s="710"/>
      <c r="AE2074" s="710"/>
      <c r="AF2074" s="710"/>
      <c r="AG2074" s="710"/>
    </row>
    <row r="2075" spans="1:33" s="56" customFormat="1" hidden="1" outlineLevel="1" x14ac:dyDescent="0.25">
      <c r="A2075" s="724"/>
      <c r="B2075" s="130"/>
      <c r="C2075" s="616"/>
      <c r="D2075" s="2101"/>
      <c r="E2075" s="2104"/>
      <c r="F2075" s="2098" t="str">
        <f t="shared" si="78"/>
        <v>ASHP - SEER 21 - replace electric furnace / CAC MF</v>
      </c>
      <c r="G2075" s="2098"/>
      <c r="H2075" s="2098"/>
      <c r="I2075" s="2098"/>
      <c r="J2075" s="709"/>
      <c r="K2075" s="792"/>
      <c r="L2075" s="778"/>
      <c r="M2075" s="770"/>
      <c r="N2075" s="130"/>
      <c r="O2075" s="251"/>
      <c r="P2075" s="766"/>
      <c r="Q2075" s="767"/>
      <c r="R2075" s="766"/>
      <c r="S2075" s="752"/>
      <c r="T2075" s="760"/>
      <c r="U2075" s="130"/>
      <c r="V2075" s="2107"/>
      <c r="W2075" s="792"/>
      <c r="X2075" s="791"/>
      <c r="Y2075" s="710"/>
      <c r="Z2075" s="710"/>
      <c r="AA2075" s="710"/>
      <c r="AB2075" s="710"/>
      <c r="AC2075" s="710"/>
      <c r="AD2075" s="710"/>
      <c r="AE2075" s="710"/>
      <c r="AF2075" s="710"/>
      <c r="AG2075" s="710"/>
    </row>
    <row r="2076" spans="1:33" s="56" customFormat="1" hidden="1" outlineLevel="1" x14ac:dyDescent="0.25">
      <c r="A2076" s="724"/>
      <c r="B2076" s="130"/>
      <c r="C2076" s="616"/>
      <c r="D2076" s="2101"/>
      <c r="E2076" s="2104"/>
      <c r="F2076" s="2098" t="str">
        <f t="shared" si="78"/>
        <v>ASHP SEER 21 replace ASHP - early replacement MF ER1</v>
      </c>
      <c r="G2076" s="2098"/>
      <c r="H2076" s="2098"/>
      <c r="I2076" s="2098"/>
      <c r="J2076" s="709"/>
      <c r="K2076" s="792">
        <f>$L$1051*$Q$979*$K$1739</f>
        <v>3092.0516619658124</v>
      </c>
      <c r="L2076" s="778"/>
      <c r="M2076" s="770"/>
      <c r="N2076" s="130"/>
      <c r="O2076" s="251"/>
      <c r="P2076" s="766"/>
      <c r="Q2076" s="767"/>
      <c r="R2076" s="766"/>
      <c r="S2076" s="752"/>
      <c r="T2076" s="760"/>
      <c r="U2076" s="130"/>
      <c r="V2076" s="2107"/>
      <c r="W2076" s="792">
        <v>15995.882309621684</v>
      </c>
      <c r="X2076" s="794">
        <f>$L$1051*$Q$979*$K$1739</f>
        <v>3092.0516619658124</v>
      </c>
      <c r="Y2076" s="710"/>
      <c r="Z2076" s="710"/>
      <c r="AA2076" s="710"/>
      <c r="AB2076" s="710"/>
      <c r="AC2076" s="710"/>
      <c r="AD2076" s="710"/>
      <c r="AE2076" s="710"/>
      <c r="AF2076" s="710"/>
      <c r="AG2076" s="710"/>
    </row>
    <row r="2077" spans="1:33" s="56" customFormat="1" hidden="1" outlineLevel="1" x14ac:dyDescent="0.25">
      <c r="A2077" s="724"/>
      <c r="B2077" s="130"/>
      <c r="C2077" s="616"/>
      <c r="D2077" s="2101"/>
      <c r="E2077" s="2104"/>
      <c r="F2077" s="2098" t="str">
        <f t="shared" si="78"/>
        <v>ASHP SEER 21 replace ASHP - early replacement MF ER1</v>
      </c>
      <c r="G2077" s="2098"/>
      <c r="H2077" s="2098"/>
      <c r="I2077" s="2098"/>
      <c r="J2077" s="709"/>
      <c r="K2077" s="792"/>
      <c r="L2077" s="778"/>
      <c r="M2077" s="770"/>
      <c r="N2077" s="130"/>
      <c r="O2077" s="251"/>
      <c r="P2077" s="766"/>
      <c r="Q2077" s="767"/>
      <c r="R2077" s="766"/>
      <c r="S2077" s="752"/>
      <c r="T2077" s="760"/>
      <c r="U2077" s="130"/>
      <c r="V2077" s="2107"/>
      <c r="W2077" s="792"/>
      <c r="X2077" s="791"/>
      <c r="Y2077" s="710"/>
      <c r="Z2077" s="710"/>
      <c r="AA2077" s="710"/>
      <c r="AB2077" s="710"/>
      <c r="AC2077" s="710"/>
      <c r="AD2077" s="710"/>
      <c r="AE2077" s="710"/>
      <c r="AF2077" s="710"/>
      <c r="AG2077" s="710"/>
    </row>
    <row r="2078" spans="1:33" s="56" customFormat="1" hidden="1" outlineLevel="1" x14ac:dyDescent="0.25">
      <c r="A2078" s="724"/>
      <c r="B2078" s="130"/>
      <c r="C2078" s="616"/>
      <c r="D2078" s="2101"/>
      <c r="E2078" s="2104"/>
      <c r="F2078" s="2098" t="str">
        <f t="shared" si="78"/>
        <v>ASHP SEER 21 replace ASHP - early replacement MF ER2</v>
      </c>
      <c r="G2078" s="2098"/>
      <c r="H2078" s="2098"/>
      <c r="I2078" s="2098"/>
      <c r="J2078" s="709"/>
      <c r="K2078" s="792"/>
      <c r="L2078" s="778"/>
      <c r="M2078" s="770"/>
      <c r="N2078" s="130"/>
      <c r="O2078" s="251"/>
      <c r="P2078" s="766"/>
      <c r="Q2078" s="767"/>
      <c r="R2078" s="766"/>
      <c r="S2078" s="752"/>
      <c r="T2078" s="760"/>
      <c r="U2078" s="130"/>
      <c r="V2078" s="2107"/>
      <c r="W2078" s="792"/>
      <c r="X2078" s="791"/>
      <c r="Y2078" s="710"/>
      <c r="Z2078" s="710"/>
      <c r="AA2078" s="710"/>
      <c r="AB2078" s="710"/>
      <c r="AC2078" s="710"/>
      <c r="AD2078" s="710"/>
      <c r="AE2078" s="710"/>
      <c r="AF2078" s="710"/>
      <c r="AG2078" s="710"/>
    </row>
    <row r="2079" spans="1:33" s="56" customFormat="1" hidden="1" outlineLevel="1" x14ac:dyDescent="0.25">
      <c r="A2079" s="724"/>
      <c r="B2079" s="130"/>
      <c r="C2079" s="616"/>
      <c r="D2079" s="2101"/>
      <c r="E2079" s="2104"/>
      <c r="F2079" s="2098" t="str">
        <f t="shared" si="78"/>
        <v>ASHP SEER 21 replace ASHP - early replacement MF ER2</v>
      </c>
      <c r="G2079" s="2098"/>
      <c r="H2079" s="2098"/>
      <c r="I2079" s="2098"/>
      <c r="J2079" s="709"/>
      <c r="K2079" s="792"/>
      <c r="L2079" s="778"/>
      <c r="M2079" s="770"/>
      <c r="N2079" s="130"/>
      <c r="O2079" s="251"/>
      <c r="P2079" s="766"/>
      <c r="Q2079" s="767"/>
      <c r="R2079" s="766"/>
      <c r="S2079" s="752"/>
      <c r="T2079" s="760"/>
      <c r="U2079" s="130"/>
      <c r="V2079" s="2107"/>
      <c r="W2079" s="792"/>
      <c r="X2079" s="791"/>
      <c r="Y2079" s="710"/>
      <c r="Z2079" s="710"/>
      <c r="AA2079" s="710"/>
      <c r="AB2079" s="710"/>
      <c r="AC2079" s="710"/>
      <c r="AD2079" s="710"/>
      <c r="AE2079" s="710"/>
      <c r="AF2079" s="710"/>
      <c r="AG2079" s="710"/>
    </row>
    <row r="2080" spans="1:33" s="56" customFormat="1" hidden="1" outlineLevel="1" x14ac:dyDescent="0.25">
      <c r="A2080" s="724"/>
      <c r="B2080" s="130"/>
      <c r="C2080" s="616"/>
      <c r="D2080" s="2101"/>
      <c r="E2080" s="2104"/>
      <c r="F2080" s="2098" t="str">
        <f t="shared" si="78"/>
        <v>ASHP - SEER 17 - replace on fail MF</v>
      </c>
      <c r="G2080" s="2098"/>
      <c r="H2080" s="2098"/>
      <c r="I2080" s="2098"/>
      <c r="J2080" s="709"/>
      <c r="K2080" s="792">
        <f>$R$975*$L$1053*$K$1741</f>
        <v>1244.1000000000001</v>
      </c>
      <c r="L2080" s="778"/>
      <c r="M2080" s="770"/>
      <c r="N2080" s="130"/>
      <c r="O2080" s="251"/>
      <c r="P2080" s="766"/>
      <c r="Q2080" s="767"/>
      <c r="R2080" s="766"/>
      <c r="S2080" s="752"/>
      <c r="T2080" s="760"/>
      <c r="U2080" s="130"/>
      <c r="V2080" s="2107"/>
      <c r="W2080" s="792">
        <v>1914</v>
      </c>
      <c r="X2080" s="791">
        <f>$R$975*$L$1053*$K$1741</f>
        <v>1244.1000000000001</v>
      </c>
      <c r="Y2080" s="710"/>
      <c r="Z2080" s="710"/>
      <c r="AA2080" s="710"/>
      <c r="AB2080" s="710"/>
      <c r="AC2080" s="710"/>
      <c r="AD2080" s="710"/>
      <c r="AE2080" s="710"/>
      <c r="AF2080" s="710"/>
      <c r="AG2080" s="710"/>
    </row>
    <row r="2081" spans="1:33" s="56" customFormat="1" hidden="1" outlineLevel="1" x14ac:dyDescent="0.25">
      <c r="A2081" s="724"/>
      <c r="B2081" s="130"/>
      <c r="C2081" s="616"/>
      <c r="D2081" s="2101"/>
      <c r="E2081" s="2104"/>
      <c r="F2081" s="2098" t="str">
        <f t="shared" si="78"/>
        <v>ASHP - SEER 17 - replace on fail MF</v>
      </c>
      <c r="G2081" s="2098"/>
      <c r="H2081" s="2098"/>
      <c r="I2081" s="2098"/>
      <c r="J2081" s="709"/>
      <c r="K2081" s="792"/>
      <c r="L2081" s="778"/>
      <c r="M2081" s="770"/>
      <c r="N2081" s="130"/>
      <c r="O2081" s="251"/>
      <c r="P2081" s="766"/>
      <c r="Q2081" s="767"/>
      <c r="R2081" s="766"/>
      <c r="S2081" s="752"/>
      <c r="T2081" s="760"/>
      <c r="U2081" s="130"/>
      <c r="V2081" s="2107"/>
      <c r="W2081" s="792"/>
      <c r="X2081" s="791"/>
      <c r="Y2081" s="710"/>
      <c r="Z2081" s="710"/>
      <c r="AA2081" s="710"/>
      <c r="AB2081" s="710"/>
      <c r="AC2081" s="710"/>
      <c r="AD2081" s="710"/>
      <c r="AE2081" s="710"/>
      <c r="AF2081" s="710"/>
      <c r="AG2081" s="710"/>
    </row>
    <row r="2082" spans="1:33" s="56" customFormat="1" hidden="1" outlineLevel="1" x14ac:dyDescent="0.25">
      <c r="A2082" s="724"/>
      <c r="B2082" s="130"/>
      <c r="C2082" s="616"/>
      <c r="D2082" s="2101"/>
      <c r="E2082" s="2104"/>
      <c r="F2082" s="2098" t="str">
        <f t="shared" si="78"/>
        <v>ASHP - SEER 18 - replace on fail MF</v>
      </c>
      <c r="G2082" s="2098"/>
      <c r="H2082" s="2098"/>
      <c r="I2082" s="2098"/>
      <c r="J2082" s="709"/>
      <c r="K2082" s="792">
        <f>$R$976*$L$1054*$K$1742</f>
        <v>1530.1000000000001</v>
      </c>
      <c r="L2082" s="778"/>
      <c r="M2082" s="770"/>
      <c r="N2082" s="130"/>
      <c r="O2082" s="251"/>
      <c r="P2082" s="766"/>
      <c r="Q2082" s="767"/>
      <c r="R2082" s="766"/>
      <c r="S2082" s="752"/>
      <c r="T2082" s="760"/>
      <c r="U2082" s="130"/>
      <c r="V2082" s="2107"/>
      <c r="W2082" s="792">
        <v>2354</v>
      </c>
      <c r="X2082" s="791">
        <f>$R$976*$L$1054*$K$1742</f>
        <v>1530.1000000000001</v>
      </c>
      <c r="Y2082" s="710"/>
      <c r="Z2082" s="710"/>
      <c r="AA2082" s="710"/>
      <c r="AB2082" s="710"/>
      <c r="AC2082" s="710"/>
      <c r="AD2082" s="710"/>
      <c r="AE2082" s="710"/>
      <c r="AF2082" s="710"/>
      <c r="AG2082" s="710"/>
    </row>
    <row r="2083" spans="1:33" s="56" customFormat="1" hidden="1" outlineLevel="1" x14ac:dyDescent="0.25">
      <c r="A2083" s="724"/>
      <c r="B2083" s="130"/>
      <c r="C2083" s="616"/>
      <c r="D2083" s="2101"/>
      <c r="E2083" s="2104"/>
      <c r="F2083" s="2098" t="str">
        <f t="shared" si="78"/>
        <v>ASHP - SEER 18 - replace on fail MF</v>
      </c>
      <c r="G2083" s="2098"/>
      <c r="H2083" s="2098"/>
      <c r="I2083" s="2098"/>
      <c r="J2083" s="709"/>
      <c r="K2083" s="792"/>
      <c r="L2083" s="778"/>
      <c r="M2083" s="770"/>
      <c r="N2083" s="130"/>
      <c r="O2083" s="251"/>
      <c r="P2083" s="766"/>
      <c r="Q2083" s="767"/>
      <c r="R2083" s="766"/>
      <c r="S2083" s="752"/>
      <c r="T2083" s="760"/>
      <c r="U2083" s="130"/>
      <c r="V2083" s="2107"/>
      <c r="W2083" s="792"/>
      <c r="X2083" s="791"/>
      <c r="Y2083" s="710"/>
      <c r="Z2083" s="710"/>
      <c r="AA2083" s="710"/>
      <c r="AB2083" s="710"/>
      <c r="AC2083" s="710"/>
      <c r="AD2083" s="710"/>
      <c r="AE2083" s="710"/>
      <c r="AF2083" s="710"/>
      <c r="AG2083" s="710"/>
    </row>
    <row r="2084" spans="1:33" s="56" customFormat="1" hidden="1" outlineLevel="1" x14ac:dyDescent="0.25">
      <c r="A2084" s="724"/>
      <c r="B2084" s="130"/>
      <c r="C2084" s="616"/>
      <c r="D2084" s="2101"/>
      <c r="E2084" s="2104"/>
      <c r="F2084" s="2098" t="str">
        <f t="shared" si="78"/>
        <v>ASHP - SEER 19 - replace on fail MF</v>
      </c>
      <c r="G2084" s="2098"/>
      <c r="H2084" s="2098"/>
      <c r="I2084" s="2098"/>
      <c r="J2084" s="709"/>
      <c r="K2084" s="792">
        <f>$R$977*$L$1055*$K$1743</f>
        <v>1744.6000000000001</v>
      </c>
      <c r="L2084" s="778"/>
      <c r="M2084" s="770"/>
      <c r="N2084" s="130"/>
      <c r="O2084" s="251"/>
      <c r="P2084" s="766"/>
      <c r="Q2084" s="767"/>
      <c r="R2084" s="766"/>
      <c r="S2084" s="752"/>
      <c r="T2084" s="760"/>
      <c r="U2084" s="130"/>
      <c r="V2084" s="2107"/>
      <c r="W2084" s="792">
        <v>2684</v>
      </c>
      <c r="X2084" s="791">
        <f>$R$977*$L$1055*$K$1743</f>
        <v>1744.6000000000001</v>
      </c>
      <c r="Y2084" s="710"/>
      <c r="Z2084" s="710"/>
      <c r="AA2084" s="710"/>
      <c r="AB2084" s="710"/>
      <c r="AC2084" s="710"/>
      <c r="AD2084" s="710"/>
      <c r="AE2084" s="710"/>
      <c r="AF2084" s="710"/>
      <c r="AG2084" s="710"/>
    </row>
    <row r="2085" spans="1:33" s="56" customFormat="1" ht="15" hidden="1" customHeight="1" outlineLevel="1" x14ac:dyDescent="0.25">
      <c r="A2085" s="724"/>
      <c r="B2085" s="130"/>
      <c r="C2085" s="616"/>
      <c r="D2085" s="2101"/>
      <c r="E2085" s="2104"/>
      <c r="F2085" s="2098" t="str">
        <f t="shared" si="78"/>
        <v>ASHP - SEER 19 - replace on fail MF</v>
      </c>
      <c r="G2085" s="2098"/>
      <c r="H2085" s="2098"/>
      <c r="I2085" s="2098"/>
      <c r="J2085" s="709" t="s">
        <v>1198</v>
      </c>
      <c r="K2085" s="792"/>
      <c r="L2085" s="670"/>
      <c r="M2085" s="613"/>
      <c r="N2085" s="130"/>
      <c r="O2085" s="251"/>
      <c r="P2085" s="766"/>
      <c r="Q2085" s="767"/>
      <c r="R2085" s="766"/>
      <c r="S2085" s="752"/>
      <c r="T2085" s="760"/>
      <c r="U2085" s="130"/>
      <c r="V2085" s="2107"/>
      <c r="W2085" s="792"/>
      <c r="X2085" s="791"/>
      <c r="Y2085" s="710"/>
      <c r="Z2085" s="710"/>
      <c r="AA2085" s="710"/>
      <c r="AB2085" s="710"/>
      <c r="AC2085" s="710"/>
      <c r="AD2085" s="710"/>
      <c r="AE2085" s="710"/>
      <c r="AF2085" s="710"/>
      <c r="AG2085" s="710"/>
    </row>
    <row r="2086" spans="1:33" s="56" customFormat="1" ht="15" hidden="1" customHeight="1" outlineLevel="1" x14ac:dyDescent="0.25">
      <c r="A2086" s="724"/>
      <c r="B2086" s="130"/>
      <c r="C2086" s="616"/>
      <c r="D2086" s="2101"/>
      <c r="E2086" s="2104"/>
      <c r="F2086" s="2098" t="str">
        <f t="shared" si="78"/>
        <v>ASHP - SEER 20 - replace on fail MF</v>
      </c>
      <c r="G2086" s="2098"/>
      <c r="H2086" s="2098"/>
      <c r="I2086" s="2098"/>
      <c r="J2086" s="709" t="s">
        <v>1199</v>
      </c>
      <c r="K2086" s="792">
        <f>$R$978*$L$1056*$K$1744</f>
        <v>2488.2000000000003</v>
      </c>
      <c r="L2086" s="670"/>
      <c r="M2086" s="613"/>
      <c r="N2086" s="130"/>
      <c r="O2086" s="251"/>
      <c r="P2086" s="766"/>
      <c r="Q2086" s="767"/>
      <c r="R2086" s="766"/>
      <c r="S2086" s="752"/>
      <c r="T2086" s="760"/>
      <c r="U2086" s="130"/>
      <c r="V2086" s="2107"/>
      <c r="W2086" s="792">
        <v>3828</v>
      </c>
      <c r="X2086" s="791">
        <f>$R$978*$L$1056*$K$1744</f>
        <v>2488.2000000000003</v>
      </c>
      <c r="Y2086" s="710"/>
      <c r="Z2086" s="710"/>
      <c r="AA2086" s="710"/>
      <c r="AB2086" s="710"/>
      <c r="AC2086" s="710"/>
      <c r="AD2086" s="710"/>
      <c r="AE2086" s="710"/>
      <c r="AF2086" s="710"/>
      <c r="AG2086" s="710"/>
    </row>
    <row r="2087" spans="1:33" s="56" customFormat="1" ht="15" hidden="1" customHeight="1" outlineLevel="1" x14ac:dyDescent="0.25">
      <c r="A2087" s="724"/>
      <c r="B2087" s="130"/>
      <c r="C2087" s="616"/>
      <c r="D2087" s="2101"/>
      <c r="E2087" s="2104"/>
      <c r="F2087" s="2098" t="str">
        <f t="shared" si="78"/>
        <v>ASHP - SEER 20 - replace on fail MF</v>
      </c>
      <c r="G2087" s="2098"/>
      <c r="H2087" s="2098"/>
      <c r="I2087" s="2098"/>
      <c r="J2087" s="709" t="s">
        <v>1200</v>
      </c>
      <c r="K2087" s="792"/>
      <c r="L2087" s="670"/>
      <c r="M2087" s="613"/>
      <c r="N2087" s="130"/>
      <c r="O2087" s="251"/>
      <c r="P2087" s="766"/>
      <c r="Q2087" s="767"/>
      <c r="R2087" s="766"/>
      <c r="S2087" s="752"/>
      <c r="T2087" s="760"/>
      <c r="U2087" s="130"/>
      <c r="V2087" s="2107"/>
      <c r="W2087" s="792"/>
      <c r="X2087" s="791"/>
      <c r="Y2087" s="710"/>
      <c r="Z2087" s="710"/>
      <c r="AA2087" s="710"/>
      <c r="AB2087" s="710"/>
      <c r="AC2087" s="710"/>
      <c r="AD2087" s="710"/>
      <c r="AE2087" s="710"/>
      <c r="AF2087" s="710"/>
      <c r="AG2087" s="710"/>
    </row>
    <row r="2088" spans="1:33" s="56" customFormat="1" ht="15" hidden="1" customHeight="1" outlineLevel="1" x14ac:dyDescent="0.25">
      <c r="A2088" s="724"/>
      <c r="B2088" s="130"/>
      <c r="C2088" s="616"/>
      <c r="D2088" s="2101"/>
      <c r="E2088" s="2104"/>
      <c r="F2088" s="2098" t="str">
        <f t="shared" si="78"/>
        <v>ASHP - SEER 21 - replace on fail MF</v>
      </c>
      <c r="G2088" s="2098"/>
      <c r="H2088" s="2098"/>
      <c r="I2088" s="2098"/>
      <c r="J2088" s="709" t="s">
        <v>1201</v>
      </c>
      <c r="K2088" s="792">
        <f>$R$979*$L$1057*$K$1745</f>
        <v>2488.2000000000003</v>
      </c>
      <c r="L2088" s="778"/>
      <c r="M2088" s="613"/>
      <c r="N2088" s="130"/>
      <c r="O2088" s="251"/>
      <c r="P2088" s="766"/>
      <c r="Q2088" s="767"/>
      <c r="R2088" s="766"/>
      <c r="S2088" s="752"/>
      <c r="T2088" s="760"/>
      <c r="U2088" s="130"/>
      <c r="V2088" s="2107"/>
      <c r="W2088" s="792">
        <v>3828</v>
      </c>
      <c r="X2088" s="791">
        <f>$R$979*$L$1057*$K$1745</f>
        <v>2488.2000000000003</v>
      </c>
      <c r="Y2088" s="710"/>
      <c r="Z2088" s="710"/>
      <c r="AA2088" s="710"/>
      <c r="AB2088" s="710"/>
      <c r="AC2088" s="710"/>
      <c r="AD2088" s="710"/>
      <c r="AE2088" s="710"/>
      <c r="AF2088" s="710"/>
      <c r="AG2088" s="710"/>
    </row>
    <row r="2089" spans="1:33" s="56" customFormat="1" ht="15.75" hidden="1" customHeight="1" outlineLevel="1" thickBot="1" x14ac:dyDescent="0.3">
      <c r="A2089" s="724"/>
      <c r="B2089" s="130"/>
      <c r="C2089" s="616"/>
      <c r="D2089" s="2102"/>
      <c r="E2089" s="2105"/>
      <c r="F2089" s="2099" t="str">
        <f t="shared" si="78"/>
        <v>ASHP - SEER 21 - replace on fail MF</v>
      </c>
      <c r="G2089" s="2099"/>
      <c r="H2089" s="2099"/>
      <c r="I2089" s="2099"/>
      <c r="J2089" s="712" t="s">
        <v>1202</v>
      </c>
      <c r="K2089" s="1698"/>
      <c r="L2089" s="779"/>
      <c r="M2089" s="623"/>
      <c r="N2089" s="130"/>
      <c r="O2089" s="251"/>
      <c r="P2089" s="766"/>
      <c r="Q2089" s="767"/>
      <c r="R2089" s="766"/>
      <c r="S2089" s="752"/>
      <c r="T2089" s="760"/>
      <c r="U2089" s="130"/>
      <c r="V2089" s="2108"/>
      <c r="W2089" s="796"/>
      <c r="X2089" s="795"/>
      <c r="Y2089" s="713"/>
      <c r="Z2089" s="713"/>
      <c r="AA2089" s="713"/>
      <c r="AB2089" s="713"/>
      <c r="AC2089" s="713"/>
      <c r="AD2089" s="713"/>
      <c r="AE2089" s="713"/>
      <c r="AF2089" s="713"/>
      <c r="AG2089" s="713"/>
    </row>
    <row r="2090" spans="1:33" ht="15" customHeight="1" collapsed="1" x14ac:dyDescent="0.25"/>
  </sheetData>
  <mergeCells count="1904">
    <mergeCell ref="A1:O1"/>
    <mergeCell ref="P1:R1"/>
    <mergeCell ref="D2:J2"/>
    <mergeCell ref="B4:Q4"/>
    <mergeCell ref="V4:AH4"/>
    <mergeCell ref="F32:H32"/>
    <mergeCell ref="V47:V58"/>
    <mergeCell ref="F48:H48"/>
    <mergeCell ref="F49:H49"/>
    <mergeCell ref="F50:H50"/>
    <mergeCell ref="F51:H51"/>
    <mergeCell ref="F52:H52"/>
    <mergeCell ref="F40:H40"/>
    <mergeCell ref="F41:H41"/>
    <mergeCell ref="F42:H42"/>
    <mergeCell ref="F43:H43"/>
    <mergeCell ref="F44:H44"/>
    <mergeCell ref="F45:H45"/>
    <mergeCell ref="D33:D44"/>
    <mergeCell ref="E33:E44"/>
    <mergeCell ref="F33:H33"/>
    <mergeCell ref="V33:V44"/>
    <mergeCell ref="F34:H34"/>
    <mergeCell ref="F35:H35"/>
    <mergeCell ref="F36:H36"/>
    <mergeCell ref="F37:H37"/>
    <mergeCell ref="F38:H38"/>
    <mergeCell ref="F39:H39"/>
    <mergeCell ref="F59:H59"/>
    <mergeCell ref="F60:H60"/>
    <mergeCell ref="F61:H61"/>
    <mergeCell ref="D62:D73"/>
    <mergeCell ref="E62:E73"/>
    <mergeCell ref="F62:H62"/>
    <mergeCell ref="F72:H72"/>
    <mergeCell ref="F73:H73"/>
    <mergeCell ref="F53:H53"/>
    <mergeCell ref="F54:H54"/>
    <mergeCell ref="F55:H55"/>
    <mergeCell ref="F56:H56"/>
    <mergeCell ref="F57:H57"/>
    <mergeCell ref="F58:H58"/>
    <mergeCell ref="F46:H46"/>
    <mergeCell ref="D47:D58"/>
    <mergeCell ref="E47:E58"/>
    <mergeCell ref="F47:H47"/>
    <mergeCell ref="F81:H81"/>
    <mergeCell ref="O81:Q81"/>
    <mergeCell ref="F82:H82"/>
    <mergeCell ref="O82:P82"/>
    <mergeCell ref="F83:H83"/>
    <mergeCell ref="O83:P83"/>
    <mergeCell ref="D74:D85"/>
    <mergeCell ref="E74:E85"/>
    <mergeCell ref="F74:H74"/>
    <mergeCell ref="V74:V85"/>
    <mergeCell ref="F75:H75"/>
    <mergeCell ref="F76:H76"/>
    <mergeCell ref="F77:H77"/>
    <mergeCell ref="F78:H78"/>
    <mergeCell ref="F79:H79"/>
    <mergeCell ref="F80:H80"/>
    <mergeCell ref="V62:V73"/>
    <mergeCell ref="F63:H63"/>
    <mergeCell ref="F64:H64"/>
    <mergeCell ref="F65:H65"/>
    <mergeCell ref="F66:H66"/>
    <mergeCell ref="F67:H67"/>
    <mergeCell ref="F68:H68"/>
    <mergeCell ref="F69:H69"/>
    <mergeCell ref="F70:H70"/>
    <mergeCell ref="F71:H71"/>
    <mergeCell ref="O90:Q90"/>
    <mergeCell ref="F91:H91"/>
    <mergeCell ref="O91:P91"/>
    <mergeCell ref="F92:H92"/>
    <mergeCell ref="O92:P92"/>
    <mergeCell ref="F93:H93"/>
    <mergeCell ref="O93:P93"/>
    <mergeCell ref="F84:H84"/>
    <mergeCell ref="F85:H85"/>
    <mergeCell ref="D86:D97"/>
    <mergeCell ref="E86:E97"/>
    <mergeCell ref="F86:H86"/>
    <mergeCell ref="V86:V97"/>
    <mergeCell ref="F87:H87"/>
    <mergeCell ref="F88:H88"/>
    <mergeCell ref="F89:H89"/>
    <mergeCell ref="F90:H90"/>
    <mergeCell ref="F142:H142"/>
    <mergeCell ref="O142:P142"/>
    <mergeCell ref="F143:H143"/>
    <mergeCell ref="O143:P143"/>
    <mergeCell ref="F144:H144"/>
    <mergeCell ref="O144:P144"/>
    <mergeCell ref="V100:AH100"/>
    <mergeCell ref="O138:R138"/>
    <mergeCell ref="F139:H139"/>
    <mergeCell ref="D140:D163"/>
    <mergeCell ref="E140:E163"/>
    <mergeCell ref="F140:H140"/>
    <mergeCell ref="O140:P140"/>
    <mergeCell ref="V140:V163"/>
    <mergeCell ref="F141:H141"/>
    <mergeCell ref="O141:P141"/>
    <mergeCell ref="F94:H94"/>
    <mergeCell ref="O94:P94"/>
    <mergeCell ref="F95:H95"/>
    <mergeCell ref="F96:H96"/>
    <mergeCell ref="F97:H97"/>
    <mergeCell ref="B100:Q100"/>
    <mergeCell ref="O152:P152"/>
    <mergeCell ref="F153:H153"/>
    <mergeCell ref="O153:P153"/>
    <mergeCell ref="F154:H154"/>
    <mergeCell ref="O154:P154"/>
    <mergeCell ref="F148:H148"/>
    <mergeCell ref="O148:P148"/>
    <mergeCell ref="F149:H149"/>
    <mergeCell ref="F150:H150"/>
    <mergeCell ref="O150:Q150"/>
    <mergeCell ref="F151:H151"/>
    <mergeCell ref="O151:P151"/>
    <mergeCell ref="F145:H145"/>
    <mergeCell ref="O145:P145"/>
    <mergeCell ref="F146:H146"/>
    <mergeCell ref="O146:P146"/>
    <mergeCell ref="F147:H147"/>
    <mergeCell ref="O147:P147"/>
    <mergeCell ref="F161:H161"/>
    <mergeCell ref="F162:H162"/>
    <mergeCell ref="F163:H163"/>
    <mergeCell ref="D164:D187"/>
    <mergeCell ref="E164:E187"/>
    <mergeCell ref="F164:H164"/>
    <mergeCell ref="F174:H174"/>
    <mergeCell ref="F175:H175"/>
    <mergeCell ref="F176:H176"/>
    <mergeCell ref="F177:H177"/>
    <mergeCell ref="F155:H155"/>
    <mergeCell ref="F156:H156"/>
    <mergeCell ref="F157:H157"/>
    <mergeCell ref="F158:H158"/>
    <mergeCell ref="F159:H159"/>
    <mergeCell ref="F160:H160"/>
    <mergeCell ref="F152:H152"/>
    <mergeCell ref="F184:H184"/>
    <mergeCell ref="F185:H185"/>
    <mergeCell ref="F186:H186"/>
    <mergeCell ref="F187:H187"/>
    <mergeCell ref="F178:H178"/>
    <mergeCell ref="F179:H179"/>
    <mergeCell ref="F180:H180"/>
    <mergeCell ref="F181:H181"/>
    <mergeCell ref="F182:H182"/>
    <mergeCell ref="F183:H183"/>
    <mergeCell ref="V164:V187"/>
    <mergeCell ref="F165:H165"/>
    <mergeCell ref="F166:H166"/>
    <mergeCell ref="F167:H167"/>
    <mergeCell ref="F168:H168"/>
    <mergeCell ref="F169:H169"/>
    <mergeCell ref="F170:H170"/>
    <mergeCell ref="F171:H171"/>
    <mergeCell ref="F172:H172"/>
    <mergeCell ref="F173:H173"/>
    <mergeCell ref="F207:H207"/>
    <mergeCell ref="D212:D235"/>
    <mergeCell ref="E212:E235"/>
    <mergeCell ref="F212:H212"/>
    <mergeCell ref="F222:H222"/>
    <mergeCell ref="F223:H223"/>
    <mergeCell ref="F201:H201"/>
    <mergeCell ref="F202:H202"/>
    <mergeCell ref="F203:H203"/>
    <mergeCell ref="F204:H204"/>
    <mergeCell ref="F205:H205"/>
    <mergeCell ref="F206:H206"/>
    <mergeCell ref="V188:V211"/>
    <mergeCell ref="F189:H189"/>
    <mergeCell ref="F190:H190"/>
    <mergeCell ref="F191:H191"/>
    <mergeCell ref="F192:H192"/>
    <mergeCell ref="F193:H193"/>
    <mergeCell ref="F194:H194"/>
    <mergeCell ref="F195:H195"/>
    <mergeCell ref="F196:H196"/>
    <mergeCell ref="F197:H197"/>
    <mergeCell ref="D188:D211"/>
    <mergeCell ref="E188:E211"/>
    <mergeCell ref="F188:H188"/>
    <mergeCell ref="F198:H198"/>
    <mergeCell ref="F199:H199"/>
    <mergeCell ref="F200:H200"/>
    <mergeCell ref="F208:H208"/>
    <mergeCell ref="F209:H209"/>
    <mergeCell ref="F210:H210"/>
    <mergeCell ref="F211:H211"/>
    <mergeCell ref="V236:V259"/>
    <mergeCell ref="F237:H237"/>
    <mergeCell ref="F238:H238"/>
    <mergeCell ref="F239:H239"/>
    <mergeCell ref="F240:H240"/>
    <mergeCell ref="F241:H241"/>
    <mergeCell ref="F242:H242"/>
    <mergeCell ref="F230:H230"/>
    <mergeCell ref="F231:H231"/>
    <mergeCell ref="F232:H232"/>
    <mergeCell ref="F233:H233"/>
    <mergeCell ref="F234:H234"/>
    <mergeCell ref="F235:H235"/>
    <mergeCell ref="F224:H224"/>
    <mergeCell ref="F225:H225"/>
    <mergeCell ref="F226:H226"/>
    <mergeCell ref="F227:H227"/>
    <mergeCell ref="F228:H228"/>
    <mergeCell ref="F229:H229"/>
    <mergeCell ref="V212:V235"/>
    <mergeCell ref="F213:H213"/>
    <mergeCell ref="F214:H214"/>
    <mergeCell ref="F215:H215"/>
    <mergeCell ref="F216:H216"/>
    <mergeCell ref="F217:H217"/>
    <mergeCell ref="F218:H218"/>
    <mergeCell ref="F219:H219"/>
    <mergeCell ref="F220:H220"/>
    <mergeCell ref="F221:H221"/>
    <mergeCell ref="F255:H255"/>
    <mergeCell ref="F256:H256"/>
    <mergeCell ref="F257:H257"/>
    <mergeCell ref="F258:H258"/>
    <mergeCell ref="F259:H259"/>
    <mergeCell ref="D260:D283"/>
    <mergeCell ref="E260:E283"/>
    <mergeCell ref="F260:H260"/>
    <mergeCell ref="F270:H270"/>
    <mergeCell ref="F271:H271"/>
    <mergeCell ref="F249:H249"/>
    <mergeCell ref="F250:H250"/>
    <mergeCell ref="F251:H251"/>
    <mergeCell ref="F252:H252"/>
    <mergeCell ref="F253:H253"/>
    <mergeCell ref="F254:H254"/>
    <mergeCell ref="F243:H243"/>
    <mergeCell ref="F244:H244"/>
    <mergeCell ref="F245:H245"/>
    <mergeCell ref="F246:H246"/>
    <mergeCell ref="F247:H247"/>
    <mergeCell ref="F248:H248"/>
    <mergeCell ref="D236:D259"/>
    <mergeCell ref="E236:E259"/>
    <mergeCell ref="F236:H236"/>
    <mergeCell ref="V284:V307"/>
    <mergeCell ref="F285:H285"/>
    <mergeCell ref="F286:H286"/>
    <mergeCell ref="F287:H287"/>
    <mergeCell ref="F288:H288"/>
    <mergeCell ref="F289:H289"/>
    <mergeCell ref="F290:H290"/>
    <mergeCell ref="F278:H278"/>
    <mergeCell ref="F279:H279"/>
    <mergeCell ref="F280:H280"/>
    <mergeCell ref="F281:H281"/>
    <mergeCell ref="F282:H282"/>
    <mergeCell ref="F283:H283"/>
    <mergeCell ref="F272:H272"/>
    <mergeCell ref="F273:H273"/>
    <mergeCell ref="F274:H274"/>
    <mergeCell ref="F275:H275"/>
    <mergeCell ref="F276:H276"/>
    <mergeCell ref="F277:H277"/>
    <mergeCell ref="V260:V283"/>
    <mergeCell ref="F261:H261"/>
    <mergeCell ref="F262:H262"/>
    <mergeCell ref="F263:H263"/>
    <mergeCell ref="F264:H264"/>
    <mergeCell ref="F265:H265"/>
    <mergeCell ref="F266:H266"/>
    <mergeCell ref="F267:H267"/>
    <mergeCell ref="F268:H268"/>
    <mergeCell ref="F269:H269"/>
    <mergeCell ref="F303:H303"/>
    <mergeCell ref="F304:H304"/>
    <mergeCell ref="F305:H305"/>
    <mergeCell ref="F306:H306"/>
    <mergeCell ref="F307:H307"/>
    <mergeCell ref="D308:D331"/>
    <mergeCell ref="E308:E331"/>
    <mergeCell ref="F308:H308"/>
    <mergeCell ref="F318:H318"/>
    <mergeCell ref="F319:H319"/>
    <mergeCell ref="F297:H297"/>
    <mergeCell ref="F298:H298"/>
    <mergeCell ref="F299:H299"/>
    <mergeCell ref="F300:H300"/>
    <mergeCell ref="F301:H301"/>
    <mergeCell ref="F302:H302"/>
    <mergeCell ref="F291:H291"/>
    <mergeCell ref="F292:H292"/>
    <mergeCell ref="F293:H293"/>
    <mergeCell ref="F294:H294"/>
    <mergeCell ref="F295:H295"/>
    <mergeCell ref="F296:H296"/>
    <mergeCell ref="D284:D307"/>
    <mergeCell ref="E284:E307"/>
    <mergeCell ref="F284:H284"/>
    <mergeCell ref="V334:AH334"/>
    <mergeCell ref="F389:H389"/>
    <mergeCell ref="D390:D396"/>
    <mergeCell ref="E390:E396"/>
    <mergeCell ref="F390:H390"/>
    <mergeCell ref="V390:V396"/>
    <mergeCell ref="F391:H391"/>
    <mergeCell ref="F392:H392"/>
    <mergeCell ref="F393:H393"/>
    <mergeCell ref="F394:H394"/>
    <mergeCell ref="F326:H326"/>
    <mergeCell ref="F327:H327"/>
    <mergeCell ref="F328:H328"/>
    <mergeCell ref="F329:H329"/>
    <mergeCell ref="F330:H330"/>
    <mergeCell ref="F331:H331"/>
    <mergeCell ref="F320:H320"/>
    <mergeCell ref="F321:H321"/>
    <mergeCell ref="F322:H322"/>
    <mergeCell ref="F323:H323"/>
    <mergeCell ref="F324:H324"/>
    <mergeCell ref="F325:H325"/>
    <mergeCell ref="V308:V331"/>
    <mergeCell ref="F309:H309"/>
    <mergeCell ref="F310:H310"/>
    <mergeCell ref="F311:H311"/>
    <mergeCell ref="F312:H312"/>
    <mergeCell ref="F313:H313"/>
    <mergeCell ref="F314:H314"/>
    <mergeCell ref="F315:H315"/>
    <mergeCell ref="F316:H316"/>
    <mergeCell ref="F317:H317"/>
    <mergeCell ref="F402:H402"/>
    <mergeCell ref="F403:H403"/>
    <mergeCell ref="D404:D410"/>
    <mergeCell ref="E404:E410"/>
    <mergeCell ref="F404:H404"/>
    <mergeCell ref="V404:V410"/>
    <mergeCell ref="F405:H405"/>
    <mergeCell ref="F406:H406"/>
    <mergeCell ref="F407:H407"/>
    <mergeCell ref="F408:H408"/>
    <mergeCell ref="F395:H395"/>
    <mergeCell ref="F396:H396"/>
    <mergeCell ref="D397:D403"/>
    <mergeCell ref="E397:E403"/>
    <mergeCell ref="F397:H397"/>
    <mergeCell ref="V397:V403"/>
    <mergeCell ref="F398:H398"/>
    <mergeCell ref="F399:H399"/>
    <mergeCell ref="F400:H400"/>
    <mergeCell ref="F401:H401"/>
    <mergeCell ref="F416:H416"/>
    <mergeCell ref="F417:H417"/>
    <mergeCell ref="D418:D424"/>
    <mergeCell ref="E418:E424"/>
    <mergeCell ref="F418:H418"/>
    <mergeCell ref="V418:V424"/>
    <mergeCell ref="F419:H419"/>
    <mergeCell ref="F420:H420"/>
    <mergeCell ref="F421:H421"/>
    <mergeCell ref="F422:H422"/>
    <mergeCell ref="F409:H409"/>
    <mergeCell ref="F410:H410"/>
    <mergeCell ref="D411:D417"/>
    <mergeCell ref="E411:E417"/>
    <mergeCell ref="F411:H411"/>
    <mergeCell ref="V411:V417"/>
    <mergeCell ref="F412:H412"/>
    <mergeCell ref="F413:H413"/>
    <mergeCell ref="F414:H414"/>
    <mergeCell ref="F415:H415"/>
    <mergeCell ref="F430:H430"/>
    <mergeCell ref="F431:H431"/>
    <mergeCell ref="D432:D438"/>
    <mergeCell ref="E432:E438"/>
    <mergeCell ref="F432:H432"/>
    <mergeCell ref="V432:V438"/>
    <mergeCell ref="F433:H433"/>
    <mergeCell ref="F434:H434"/>
    <mergeCell ref="F435:H435"/>
    <mergeCell ref="F436:H436"/>
    <mergeCell ref="F423:H423"/>
    <mergeCell ref="F424:H424"/>
    <mergeCell ref="D425:D431"/>
    <mergeCell ref="E425:E431"/>
    <mergeCell ref="F425:H425"/>
    <mergeCell ref="V425:V431"/>
    <mergeCell ref="F426:H426"/>
    <mergeCell ref="F427:H427"/>
    <mergeCell ref="F428:H428"/>
    <mergeCell ref="F429:H429"/>
    <mergeCell ref="F444:H444"/>
    <mergeCell ref="F445:H445"/>
    <mergeCell ref="D446:D452"/>
    <mergeCell ref="E446:E452"/>
    <mergeCell ref="F446:H446"/>
    <mergeCell ref="V446:V452"/>
    <mergeCell ref="F447:H447"/>
    <mergeCell ref="F448:H448"/>
    <mergeCell ref="F449:H449"/>
    <mergeCell ref="F450:H450"/>
    <mergeCell ref="F437:H437"/>
    <mergeCell ref="F438:H438"/>
    <mergeCell ref="D439:D445"/>
    <mergeCell ref="E439:E445"/>
    <mergeCell ref="F439:H439"/>
    <mergeCell ref="V439:V445"/>
    <mergeCell ref="F440:H440"/>
    <mergeCell ref="F441:H441"/>
    <mergeCell ref="F442:H442"/>
    <mergeCell ref="F443:H443"/>
    <mergeCell ref="F458:H458"/>
    <mergeCell ref="F459:H459"/>
    <mergeCell ref="D460:D493"/>
    <mergeCell ref="E460:E493"/>
    <mergeCell ref="F460:H460"/>
    <mergeCell ref="V460:V493"/>
    <mergeCell ref="F461:H461"/>
    <mergeCell ref="F462:H462"/>
    <mergeCell ref="F463:H463"/>
    <mergeCell ref="F464:H464"/>
    <mergeCell ref="F451:H451"/>
    <mergeCell ref="F452:H452"/>
    <mergeCell ref="D453:D459"/>
    <mergeCell ref="E453:E459"/>
    <mergeCell ref="F453:H453"/>
    <mergeCell ref="V453:V459"/>
    <mergeCell ref="F454:H454"/>
    <mergeCell ref="F455:H455"/>
    <mergeCell ref="F456:H456"/>
    <mergeCell ref="F457:H457"/>
    <mergeCell ref="F483:H483"/>
    <mergeCell ref="F484:H484"/>
    <mergeCell ref="F485:H485"/>
    <mergeCell ref="F486:H486"/>
    <mergeCell ref="F487:H487"/>
    <mergeCell ref="F488:H488"/>
    <mergeCell ref="F471:H471"/>
    <mergeCell ref="F472:H472"/>
    <mergeCell ref="F473:H473"/>
    <mergeCell ref="F474:H474"/>
    <mergeCell ref="F475:H475"/>
    <mergeCell ref="F476:H476"/>
    <mergeCell ref="F506:H506"/>
    <mergeCell ref="F507:H507"/>
    <mergeCell ref="F508:H508"/>
    <mergeCell ref="F509:H509"/>
    <mergeCell ref="F510:H510"/>
    <mergeCell ref="F465:H465"/>
    <mergeCell ref="F466:H466"/>
    <mergeCell ref="F467:H467"/>
    <mergeCell ref="F468:H468"/>
    <mergeCell ref="F469:H469"/>
    <mergeCell ref="F470:H470"/>
    <mergeCell ref="F489:H489"/>
    <mergeCell ref="F490:H490"/>
    <mergeCell ref="F491:H491"/>
    <mergeCell ref="F492:H492"/>
    <mergeCell ref="F493:H493"/>
    <mergeCell ref="F494:H494"/>
    <mergeCell ref="F504:H504"/>
    <mergeCell ref="F505:H505"/>
    <mergeCell ref="F524:H524"/>
    <mergeCell ref="F525:H525"/>
    <mergeCell ref="F526:H526"/>
    <mergeCell ref="F527:H527"/>
    <mergeCell ref="F477:H477"/>
    <mergeCell ref="F478:H478"/>
    <mergeCell ref="F479:H479"/>
    <mergeCell ref="F480:H480"/>
    <mergeCell ref="F481:H481"/>
    <mergeCell ref="F482:H482"/>
    <mergeCell ref="D494:D527"/>
    <mergeCell ref="E494:E527"/>
    <mergeCell ref="F553:H553"/>
    <mergeCell ref="F554:H554"/>
    <mergeCell ref="F555:H555"/>
    <mergeCell ref="F556:H556"/>
    <mergeCell ref="F557:H557"/>
    <mergeCell ref="F558:H558"/>
    <mergeCell ref="F547:H547"/>
    <mergeCell ref="F548:H548"/>
    <mergeCell ref="F549:H549"/>
    <mergeCell ref="F550:H550"/>
    <mergeCell ref="F551:H551"/>
    <mergeCell ref="F552:H552"/>
    <mergeCell ref="F511:H511"/>
    <mergeCell ref="V494:V527"/>
    <mergeCell ref="F495:H495"/>
    <mergeCell ref="F496:H496"/>
    <mergeCell ref="F497:H497"/>
    <mergeCell ref="F498:H498"/>
    <mergeCell ref="F499:H499"/>
    <mergeCell ref="F500:H500"/>
    <mergeCell ref="F501:H501"/>
    <mergeCell ref="F502:H502"/>
    <mergeCell ref="F503:H503"/>
    <mergeCell ref="E528:E561"/>
    <mergeCell ref="F528:H528"/>
    <mergeCell ref="F538:H538"/>
    <mergeCell ref="F539:H539"/>
    <mergeCell ref="F540:H540"/>
    <mergeCell ref="F518:H518"/>
    <mergeCell ref="F519:H519"/>
    <mergeCell ref="F520:H520"/>
    <mergeCell ref="F521:H521"/>
    <mergeCell ref="F522:H522"/>
    <mergeCell ref="F523:H523"/>
    <mergeCell ref="F512:H512"/>
    <mergeCell ref="F513:H513"/>
    <mergeCell ref="F514:H514"/>
    <mergeCell ref="F515:H515"/>
    <mergeCell ref="F516:H516"/>
    <mergeCell ref="F517:H517"/>
    <mergeCell ref="V564:AH564"/>
    <mergeCell ref="F593:H593"/>
    <mergeCell ref="D594:D600"/>
    <mergeCell ref="E594:E600"/>
    <mergeCell ref="F594:H594"/>
    <mergeCell ref="V594:V600"/>
    <mergeCell ref="F595:H595"/>
    <mergeCell ref="V528:V561"/>
    <mergeCell ref="F529:H529"/>
    <mergeCell ref="F530:H530"/>
    <mergeCell ref="F531:H531"/>
    <mergeCell ref="F532:H532"/>
    <mergeCell ref="F533:H533"/>
    <mergeCell ref="F534:H534"/>
    <mergeCell ref="F535:H535"/>
    <mergeCell ref="F536:H536"/>
    <mergeCell ref="F537:H537"/>
    <mergeCell ref="F541:H541"/>
    <mergeCell ref="F542:H542"/>
    <mergeCell ref="F543:H543"/>
    <mergeCell ref="F544:H544"/>
    <mergeCell ref="F545:H545"/>
    <mergeCell ref="F546:H546"/>
    <mergeCell ref="F596:H596"/>
    <mergeCell ref="F597:H597"/>
    <mergeCell ref="F598:H598"/>
    <mergeCell ref="F599:H599"/>
    <mergeCell ref="F600:H600"/>
    <mergeCell ref="F559:H559"/>
    <mergeCell ref="F560:H560"/>
    <mergeCell ref="F561:H561"/>
    <mergeCell ref="D528:D561"/>
    <mergeCell ref="D608:D614"/>
    <mergeCell ref="E608:E614"/>
    <mergeCell ref="F608:H608"/>
    <mergeCell ref="V608:V614"/>
    <mergeCell ref="F609:H609"/>
    <mergeCell ref="F610:H610"/>
    <mergeCell ref="F611:H611"/>
    <mergeCell ref="F612:H612"/>
    <mergeCell ref="F613:H613"/>
    <mergeCell ref="F614:H614"/>
    <mergeCell ref="V601:V607"/>
    <mergeCell ref="F602:H602"/>
    <mergeCell ref="F603:H603"/>
    <mergeCell ref="F604:H604"/>
    <mergeCell ref="F605:H605"/>
    <mergeCell ref="F606:H606"/>
    <mergeCell ref="F607:H607"/>
    <mergeCell ref="D601:D607"/>
    <mergeCell ref="E601:E607"/>
    <mergeCell ref="F601:H601"/>
    <mergeCell ref="D622:D628"/>
    <mergeCell ref="E622:E628"/>
    <mergeCell ref="F622:H622"/>
    <mergeCell ref="V622:V628"/>
    <mergeCell ref="F623:H623"/>
    <mergeCell ref="F624:H624"/>
    <mergeCell ref="F625:H625"/>
    <mergeCell ref="F626:H626"/>
    <mergeCell ref="F627:H627"/>
    <mergeCell ref="F628:H628"/>
    <mergeCell ref="D615:D621"/>
    <mergeCell ref="E615:E621"/>
    <mergeCell ref="F615:H615"/>
    <mergeCell ref="V615:V621"/>
    <mergeCell ref="F616:H616"/>
    <mergeCell ref="F617:H617"/>
    <mergeCell ref="F618:H618"/>
    <mergeCell ref="F619:H619"/>
    <mergeCell ref="F620:H620"/>
    <mergeCell ref="F621:H621"/>
    <mergeCell ref="D636:D642"/>
    <mergeCell ref="E636:E642"/>
    <mergeCell ref="F636:H636"/>
    <mergeCell ref="V636:V642"/>
    <mergeCell ref="F637:H637"/>
    <mergeCell ref="F638:H638"/>
    <mergeCell ref="F639:H639"/>
    <mergeCell ref="F640:H640"/>
    <mergeCell ref="F641:H641"/>
    <mergeCell ref="F642:H642"/>
    <mergeCell ref="D629:D635"/>
    <mergeCell ref="E629:E635"/>
    <mergeCell ref="F629:H629"/>
    <mergeCell ref="V629:V635"/>
    <mergeCell ref="F630:H630"/>
    <mergeCell ref="F631:H631"/>
    <mergeCell ref="F632:H632"/>
    <mergeCell ref="F633:H633"/>
    <mergeCell ref="F634:H634"/>
    <mergeCell ref="F635:H635"/>
    <mergeCell ref="D650:D656"/>
    <mergeCell ref="E650:E656"/>
    <mergeCell ref="F650:H650"/>
    <mergeCell ref="V650:V656"/>
    <mergeCell ref="F651:H651"/>
    <mergeCell ref="F652:H652"/>
    <mergeCell ref="F653:H653"/>
    <mergeCell ref="F654:H654"/>
    <mergeCell ref="F655:H655"/>
    <mergeCell ref="F656:H656"/>
    <mergeCell ref="D643:D649"/>
    <mergeCell ref="E643:E649"/>
    <mergeCell ref="F643:H643"/>
    <mergeCell ref="V643:V649"/>
    <mergeCell ref="F644:H644"/>
    <mergeCell ref="F645:H645"/>
    <mergeCell ref="F646:H646"/>
    <mergeCell ref="F647:H647"/>
    <mergeCell ref="F648:H648"/>
    <mergeCell ref="F649:H649"/>
    <mergeCell ref="D664:D670"/>
    <mergeCell ref="E664:E670"/>
    <mergeCell ref="F664:H664"/>
    <mergeCell ref="V664:V670"/>
    <mergeCell ref="F665:H665"/>
    <mergeCell ref="F666:H666"/>
    <mergeCell ref="F667:H667"/>
    <mergeCell ref="F668:H668"/>
    <mergeCell ref="F669:H669"/>
    <mergeCell ref="F670:H670"/>
    <mergeCell ref="D657:D663"/>
    <mergeCell ref="E657:E663"/>
    <mergeCell ref="F657:H657"/>
    <mergeCell ref="V657:V663"/>
    <mergeCell ref="F658:H658"/>
    <mergeCell ref="F659:H659"/>
    <mergeCell ref="F660:H660"/>
    <mergeCell ref="F661:H661"/>
    <mergeCell ref="F662:H662"/>
    <mergeCell ref="F663:H663"/>
    <mergeCell ref="D714:D718"/>
    <mergeCell ref="E714:E718"/>
    <mergeCell ref="F714:H714"/>
    <mergeCell ref="V714:V718"/>
    <mergeCell ref="F715:H715"/>
    <mergeCell ref="F716:H716"/>
    <mergeCell ref="F717:H717"/>
    <mergeCell ref="F718:H718"/>
    <mergeCell ref="V673:AH673"/>
    <mergeCell ref="F708:H708"/>
    <mergeCell ref="D709:D713"/>
    <mergeCell ref="E709:E713"/>
    <mergeCell ref="F709:H709"/>
    <mergeCell ref="V709:V713"/>
    <mergeCell ref="F710:H710"/>
    <mergeCell ref="F711:H711"/>
    <mergeCell ref="F712:H712"/>
    <mergeCell ref="F713:H713"/>
    <mergeCell ref="D730:D734"/>
    <mergeCell ref="E730:E734"/>
    <mergeCell ref="F730:H730"/>
    <mergeCell ref="V730:V734"/>
    <mergeCell ref="F731:H731"/>
    <mergeCell ref="F732:H732"/>
    <mergeCell ref="F733:H733"/>
    <mergeCell ref="F734:H734"/>
    <mergeCell ref="D725:D729"/>
    <mergeCell ref="E725:E729"/>
    <mergeCell ref="F725:H725"/>
    <mergeCell ref="V725:V729"/>
    <mergeCell ref="F726:H726"/>
    <mergeCell ref="F727:H727"/>
    <mergeCell ref="F728:H728"/>
    <mergeCell ref="F729:H729"/>
    <mergeCell ref="D719:D724"/>
    <mergeCell ref="E719:E724"/>
    <mergeCell ref="F719:H719"/>
    <mergeCell ref="V719:V724"/>
    <mergeCell ref="F720:H720"/>
    <mergeCell ref="F721:H721"/>
    <mergeCell ref="F723:H723"/>
    <mergeCell ref="F724:H724"/>
    <mergeCell ref="D745:D749"/>
    <mergeCell ref="E745:E749"/>
    <mergeCell ref="F745:H745"/>
    <mergeCell ref="V745:V749"/>
    <mergeCell ref="F746:H746"/>
    <mergeCell ref="F747:H747"/>
    <mergeCell ref="F748:H748"/>
    <mergeCell ref="F749:H749"/>
    <mergeCell ref="D740:D744"/>
    <mergeCell ref="E740:E744"/>
    <mergeCell ref="F740:H740"/>
    <mergeCell ref="V740:V744"/>
    <mergeCell ref="F741:H741"/>
    <mergeCell ref="F742:H742"/>
    <mergeCell ref="F743:H743"/>
    <mergeCell ref="F744:H744"/>
    <mergeCell ref="D735:D739"/>
    <mergeCell ref="E735:E739"/>
    <mergeCell ref="F735:H735"/>
    <mergeCell ref="V735:V739"/>
    <mergeCell ref="F736:H736"/>
    <mergeCell ref="F737:H737"/>
    <mergeCell ref="F738:H738"/>
    <mergeCell ref="F739:H739"/>
    <mergeCell ref="V762:V773"/>
    <mergeCell ref="F763:H763"/>
    <mergeCell ref="F764:H764"/>
    <mergeCell ref="F765:H765"/>
    <mergeCell ref="F766:H766"/>
    <mergeCell ref="F767:H767"/>
    <mergeCell ref="F768:H768"/>
    <mergeCell ref="F769:H769"/>
    <mergeCell ref="F770:H770"/>
    <mergeCell ref="F771:H771"/>
    <mergeCell ref="F757:H757"/>
    <mergeCell ref="F758:H758"/>
    <mergeCell ref="F759:H759"/>
    <mergeCell ref="F760:H760"/>
    <mergeCell ref="F761:H761"/>
    <mergeCell ref="D762:D773"/>
    <mergeCell ref="E762:E773"/>
    <mergeCell ref="F762:H762"/>
    <mergeCell ref="F772:H772"/>
    <mergeCell ref="F773:H773"/>
    <mergeCell ref="D750:D761"/>
    <mergeCell ref="E750:E761"/>
    <mergeCell ref="F750:H750"/>
    <mergeCell ref="V750:V761"/>
    <mergeCell ref="F751:H751"/>
    <mergeCell ref="F752:H752"/>
    <mergeCell ref="F753:H753"/>
    <mergeCell ref="F754:H754"/>
    <mergeCell ref="F755:H755"/>
    <mergeCell ref="F756:H756"/>
    <mergeCell ref="F982:I982"/>
    <mergeCell ref="P982:R982"/>
    <mergeCell ref="F983:I983"/>
    <mergeCell ref="F984:I984"/>
    <mergeCell ref="F985:I985"/>
    <mergeCell ref="F986:I986"/>
    <mergeCell ref="F976:I976"/>
    <mergeCell ref="F977:I977"/>
    <mergeCell ref="F978:I978"/>
    <mergeCell ref="F979:I979"/>
    <mergeCell ref="F980:I980"/>
    <mergeCell ref="F981:I981"/>
    <mergeCell ref="V776:AH776"/>
    <mergeCell ref="F971:I971"/>
    <mergeCell ref="P971:R971"/>
    <mergeCell ref="D972:D1057"/>
    <mergeCell ref="E972:E1057"/>
    <mergeCell ref="F972:I972"/>
    <mergeCell ref="V972:V1057"/>
    <mergeCell ref="F973:I973"/>
    <mergeCell ref="F974:I974"/>
    <mergeCell ref="F975:I975"/>
    <mergeCell ref="F999:I999"/>
    <mergeCell ref="F1000:I1000"/>
    <mergeCell ref="F1001:I1001"/>
    <mergeCell ref="F1002:I1002"/>
    <mergeCell ref="F1003:I1003"/>
    <mergeCell ref="F1004:I1004"/>
    <mergeCell ref="F993:I993"/>
    <mergeCell ref="F994:I994"/>
    <mergeCell ref="F995:I995"/>
    <mergeCell ref="F996:I996"/>
    <mergeCell ref="F997:I997"/>
    <mergeCell ref="F998:I998"/>
    <mergeCell ref="F987:I987"/>
    <mergeCell ref="F988:I988"/>
    <mergeCell ref="F989:I989"/>
    <mergeCell ref="F990:I990"/>
    <mergeCell ref="F991:I991"/>
    <mergeCell ref="F992:I992"/>
    <mergeCell ref="F1017:I1017"/>
    <mergeCell ref="F1018:I1018"/>
    <mergeCell ref="F1019:I1019"/>
    <mergeCell ref="F1020:I1020"/>
    <mergeCell ref="F1021:I1021"/>
    <mergeCell ref="F1022:I1022"/>
    <mergeCell ref="F1011:I1011"/>
    <mergeCell ref="F1012:I1012"/>
    <mergeCell ref="F1013:I1013"/>
    <mergeCell ref="F1014:I1014"/>
    <mergeCell ref="F1015:I1015"/>
    <mergeCell ref="F1016:I1016"/>
    <mergeCell ref="F1005:I1005"/>
    <mergeCell ref="F1006:I1006"/>
    <mergeCell ref="F1007:I1007"/>
    <mergeCell ref="F1008:I1008"/>
    <mergeCell ref="F1009:I1009"/>
    <mergeCell ref="F1010:I1010"/>
    <mergeCell ref="F1035:I1035"/>
    <mergeCell ref="F1036:I1036"/>
    <mergeCell ref="F1037:I1037"/>
    <mergeCell ref="F1038:I1038"/>
    <mergeCell ref="F1039:I1039"/>
    <mergeCell ref="F1040:I1040"/>
    <mergeCell ref="F1029:I1029"/>
    <mergeCell ref="F1030:I1030"/>
    <mergeCell ref="F1031:I1031"/>
    <mergeCell ref="F1032:I1032"/>
    <mergeCell ref="F1033:I1033"/>
    <mergeCell ref="F1034:I1034"/>
    <mergeCell ref="F1023:I1023"/>
    <mergeCell ref="F1024:I1024"/>
    <mergeCell ref="F1025:I1025"/>
    <mergeCell ref="F1026:I1026"/>
    <mergeCell ref="F1027:I1027"/>
    <mergeCell ref="F1028:I1028"/>
    <mergeCell ref="F1053:I1053"/>
    <mergeCell ref="F1054:I1054"/>
    <mergeCell ref="F1055:I1055"/>
    <mergeCell ref="F1056:I1056"/>
    <mergeCell ref="F1057:I1057"/>
    <mergeCell ref="D1058:D1143"/>
    <mergeCell ref="E1058:E1143"/>
    <mergeCell ref="F1058:I1058"/>
    <mergeCell ref="F1068:I1068"/>
    <mergeCell ref="F1069:I1069"/>
    <mergeCell ref="F1047:I1047"/>
    <mergeCell ref="F1048:I1048"/>
    <mergeCell ref="F1049:I1049"/>
    <mergeCell ref="F1050:I1050"/>
    <mergeCell ref="F1051:I1051"/>
    <mergeCell ref="F1052:I1052"/>
    <mergeCell ref="F1041:I1041"/>
    <mergeCell ref="F1042:I1042"/>
    <mergeCell ref="F1043:I1043"/>
    <mergeCell ref="F1044:I1044"/>
    <mergeCell ref="F1045:I1045"/>
    <mergeCell ref="F1046:I1046"/>
    <mergeCell ref="F1076:I1076"/>
    <mergeCell ref="F1077:I1077"/>
    <mergeCell ref="F1078:I1078"/>
    <mergeCell ref="F1079:I1079"/>
    <mergeCell ref="F1080:I1080"/>
    <mergeCell ref="F1081:I1081"/>
    <mergeCell ref="F1070:I1070"/>
    <mergeCell ref="F1071:I1071"/>
    <mergeCell ref="F1072:I1072"/>
    <mergeCell ref="F1073:I1073"/>
    <mergeCell ref="F1074:I1074"/>
    <mergeCell ref="F1075:I1075"/>
    <mergeCell ref="V1058:V1143"/>
    <mergeCell ref="F1059:I1059"/>
    <mergeCell ref="F1060:I1060"/>
    <mergeCell ref="F1061:I1061"/>
    <mergeCell ref="F1062:I1062"/>
    <mergeCell ref="F1063:I1063"/>
    <mergeCell ref="F1064:I1064"/>
    <mergeCell ref="F1065:I1065"/>
    <mergeCell ref="F1066:I1066"/>
    <mergeCell ref="F1067:I1067"/>
    <mergeCell ref="F1094:I1094"/>
    <mergeCell ref="F1095:I1095"/>
    <mergeCell ref="F1096:I1096"/>
    <mergeCell ref="F1097:I1097"/>
    <mergeCell ref="F1098:I1098"/>
    <mergeCell ref="F1099:I1099"/>
    <mergeCell ref="F1088:I1088"/>
    <mergeCell ref="F1089:I1089"/>
    <mergeCell ref="F1090:I1090"/>
    <mergeCell ref="F1091:I1091"/>
    <mergeCell ref="F1092:I1092"/>
    <mergeCell ref="F1093:I1093"/>
    <mergeCell ref="F1082:I1082"/>
    <mergeCell ref="F1083:I1083"/>
    <mergeCell ref="F1084:I1084"/>
    <mergeCell ref="F1085:I1085"/>
    <mergeCell ref="F1086:I1086"/>
    <mergeCell ref="F1087:I1087"/>
    <mergeCell ref="F1112:I1112"/>
    <mergeCell ref="F1113:I1113"/>
    <mergeCell ref="F1114:I1114"/>
    <mergeCell ref="F1115:I1115"/>
    <mergeCell ref="F1116:I1116"/>
    <mergeCell ref="F1117:I1117"/>
    <mergeCell ref="F1106:I1106"/>
    <mergeCell ref="F1107:I1107"/>
    <mergeCell ref="F1108:I1108"/>
    <mergeCell ref="F1109:I1109"/>
    <mergeCell ref="F1110:I1110"/>
    <mergeCell ref="F1111:I1111"/>
    <mergeCell ref="F1100:I1100"/>
    <mergeCell ref="F1101:I1101"/>
    <mergeCell ref="F1102:I1102"/>
    <mergeCell ref="F1103:I1103"/>
    <mergeCell ref="F1104:I1104"/>
    <mergeCell ref="F1105:I1105"/>
    <mergeCell ref="F1130:I1130"/>
    <mergeCell ref="F1131:I1131"/>
    <mergeCell ref="F1132:I1132"/>
    <mergeCell ref="F1133:I1133"/>
    <mergeCell ref="F1134:I1134"/>
    <mergeCell ref="F1135:I1135"/>
    <mergeCell ref="F1124:I1124"/>
    <mergeCell ref="F1125:I1125"/>
    <mergeCell ref="F1126:I1126"/>
    <mergeCell ref="F1127:I1127"/>
    <mergeCell ref="F1128:I1128"/>
    <mergeCell ref="F1129:I1129"/>
    <mergeCell ref="F1118:I1118"/>
    <mergeCell ref="F1119:I1119"/>
    <mergeCell ref="F1120:I1120"/>
    <mergeCell ref="F1121:I1121"/>
    <mergeCell ref="F1122:I1122"/>
    <mergeCell ref="F1123:I1123"/>
    <mergeCell ref="F1149:I1149"/>
    <mergeCell ref="F1150:I1150"/>
    <mergeCell ref="F1151:I1151"/>
    <mergeCell ref="F1152:I1152"/>
    <mergeCell ref="F1153:I1153"/>
    <mergeCell ref="F1154:I1154"/>
    <mergeCell ref="F1142:I1142"/>
    <mergeCell ref="F1143:I1143"/>
    <mergeCell ref="D1144:D1229"/>
    <mergeCell ref="E1144:E1229"/>
    <mergeCell ref="F1144:I1144"/>
    <mergeCell ref="V1144:V1229"/>
    <mergeCell ref="F1145:I1145"/>
    <mergeCell ref="F1146:I1146"/>
    <mergeCell ref="F1147:I1147"/>
    <mergeCell ref="F1148:I1148"/>
    <mergeCell ref="F1136:I1136"/>
    <mergeCell ref="F1137:I1137"/>
    <mergeCell ref="F1138:I1138"/>
    <mergeCell ref="F1139:I1139"/>
    <mergeCell ref="F1140:I1140"/>
    <mergeCell ref="F1141:I1141"/>
    <mergeCell ref="F1167:I1167"/>
    <mergeCell ref="F1168:I1168"/>
    <mergeCell ref="F1169:I1169"/>
    <mergeCell ref="F1170:I1170"/>
    <mergeCell ref="F1171:I1171"/>
    <mergeCell ref="F1172:I1172"/>
    <mergeCell ref="F1161:I1161"/>
    <mergeCell ref="F1162:I1162"/>
    <mergeCell ref="F1163:I1163"/>
    <mergeCell ref="F1164:I1164"/>
    <mergeCell ref="F1165:I1165"/>
    <mergeCell ref="F1166:I1166"/>
    <mergeCell ref="F1155:I1155"/>
    <mergeCell ref="F1156:I1156"/>
    <mergeCell ref="F1157:I1157"/>
    <mergeCell ref="F1158:I1158"/>
    <mergeCell ref="F1159:I1159"/>
    <mergeCell ref="F1160:I1160"/>
    <mergeCell ref="F1185:I1185"/>
    <mergeCell ref="F1186:I1186"/>
    <mergeCell ref="F1187:I1187"/>
    <mergeCell ref="F1188:I1188"/>
    <mergeCell ref="F1189:I1189"/>
    <mergeCell ref="F1190:I1190"/>
    <mergeCell ref="F1179:I1179"/>
    <mergeCell ref="F1180:I1180"/>
    <mergeCell ref="F1181:I1181"/>
    <mergeCell ref="F1182:I1182"/>
    <mergeCell ref="F1183:I1183"/>
    <mergeCell ref="F1184:I1184"/>
    <mergeCell ref="F1173:I1173"/>
    <mergeCell ref="F1174:I1174"/>
    <mergeCell ref="F1175:I1175"/>
    <mergeCell ref="F1176:I1176"/>
    <mergeCell ref="F1177:I1177"/>
    <mergeCell ref="F1178:I1178"/>
    <mergeCell ref="F1203:I1203"/>
    <mergeCell ref="F1204:I1204"/>
    <mergeCell ref="F1205:I1205"/>
    <mergeCell ref="F1206:I1206"/>
    <mergeCell ref="F1207:I1207"/>
    <mergeCell ref="F1208:I1208"/>
    <mergeCell ref="F1197:I1197"/>
    <mergeCell ref="F1198:I1198"/>
    <mergeCell ref="F1199:I1199"/>
    <mergeCell ref="F1200:I1200"/>
    <mergeCell ref="F1201:I1201"/>
    <mergeCell ref="F1202:I1202"/>
    <mergeCell ref="F1191:I1191"/>
    <mergeCell ref="F1192:I1192"/>
    <mergeCell ref="F1193:I1193"/>
    <mergeCell ref="F1194:I1194"/>
    <mergeCell ref="F1195:I1195"/>
    <mergeCell ref="F1196:I1196"/>
    <mergeCell ref="F1221:I1221"/>
    <mergeCell ref="F1222:I1222"/>
    <mergeCell ref="F1223:I1223"/>
    <mergeCell ref="F1224:I1224"/>
    <mergeCell ref="F1225:I1225"/>
    <mergeCell ref="F1226:I1226"/>
    <mergeCell ref="F1215:I1215"/>
    <mergeCell ref="F1216:I1216"/>
    <mergeCell ref="F1217:I1217"/>
    <mergeCell ref="F1218:I1218"/>
    <mergeCell ref="F1219:I1219"/>
    <mergeCell ref="F1220:I1220"/>
    <mergeCell ref="F1209:I1209"/>
    <mergeCell ref="F1210:I1210"/>
    <mergeCell ref="F1211:I1211"/>
    <mergeCell ref="F1212:I1212"/>
    <mergeCell ref="F1213:I1213"/>
    <mergeCell ref="F1214:I1214"/>
    <mergeCell ref="V1230:V1315"/>
    <mergeCell ref="F1231:I1231"/>
    <mergeCell ref="F1232:I1232"/>
    <mergeCell ref="F1233:I1233"/>
    <mergeCell ref="F1234:I1234"/>
    <mergeCell ref="F1235:I1235"/>
    <mergeCell ref="F1236:I1236"/>
    <mergeCell ref="F1237:I1237"/>
    <mergeCell ref="F1238:I1238"/>
    <mergeCell ref="F1239:I1239"/>
    <mergeCell ref="F1227:I1227"/>
    <mergeCell ref="F1228:I1228"/>
    <mergeCell ref="F1229:I1229"/>
    <mergeCell ref="D1230:D1315"/>
    <mergeCell ref="E1230:E1315"/>
    <mergeCell ref="F1230:I1230"/>
    <mergeCell ref="F1240:I1240"/>
    <mergeCell ref="F1241:I1241"/>
    <mergeCell ref="F1242:I1242"/>
    <mergeCell ref="F1243:I1243"/>
    <mergeCell ref="F1256:I1256"/>
    <mergeCell ref="F1257:I1257"/>
    <mergeCell ref="F1258:I1258"/>
    <mergeCell ref="F1259:I1259"/>
    <mergeCell ref="F1260:I1260"/>
    <mergeCell ref="F1261:I1261"/>
    <mergeCell ref="F1250:I1250"/>
    <mergeCell ref="F1251:I1251"/>
    <mergeCell ref="F1252:I1252"/>
    <mergeCell ref="F1253:I1253"/>
    <mergeCell ref="F1254:I1254"/>
    <mergeCell ref="F1255:I1255"/>
    <mergeCell ref="F1244:I1244"/>
    <mergeCell ref="F1245:I1245"/>
    <mergeCell ref="F1246:I1246"/>
    <mergeCell ref="F1247:I1247"/>
    <mergeCell ref="F1248:I1248"/>
    <mergeCell ref="F1249:I1249"/>
    <mergeCell ref="F1274:I1274"/>
    <mergeCell ref="F1275:I1275"/>
    <mergeCell ref="F1276:I1276"/>
    <mergeCell ref="F1277:I1277"/>
    <mergeCell ref="F1278:I1278"/>
    <mergeCell ref="F1279:I1279"/>
    <mergeCell ref="F1268:I1268"/>
    <mergeCell ref="F1269:I1269"/>
    <mergeCell ref="F1270:I1270"/>
    <mergeCell ref="F1271:I1271"/>
    <mergeCell ref="F1272:I1272"/>
    <mergeCell ref="F1273:I1273"/>
    <mergeCell ref="F1262:I1262"/>
    <mergeCell ref="F1263:I1263"/>
    <mergeCell ref="F1264:I1264"/>
    <mergeCell ref="F1265:I1265"/>
    <mergeCell ref="F1266:I1266"/>
    <mergeCell ref="F1267:I1267"/>
    <mergeCell ref="F1292:I1292"/>
    <mergeCell ref="F1293:I1293"/>
    <mergeCell ref="F1294:I1294"/>
    <mergeCell ref="F1295:I1295"/>
    <mergeCell ref="F1296:I1296"/>
    <mergeCell ref="F1297:I1297"/>
    <mergeCell ref="F1286:I1286"/>
    <mergeCell ref="F1287:I1287"/>
    <mergeCell ref="F1288:I1288"/>
    <mergeCell ref="F1289:I1289"/>
    <mergeCell ref="F1290:I1290"/>
    <mergeCell ref="F1291:I1291"/>
    <mergeCell ref="F1280:I1280"/>
    <mergeCell ref="F1281:I1281"/>
    <mergeCell ref="F1282:I1282"/>
    <mergeCell ref="F1283:I1283"/>
    <mergeCell ref="F1284:I1284"/>
    <mergeCell ref="F1285:I1285"/>
    <mergeCell ref="F1310:I1310"/>
    <mergeCell ref="F1311:I1311"/>
    <mergeCell ref="F1312:I1312"/>
    <mergeCell ref="F1313:I1313"/>
    <mergeCell ref="F1314:I1314"/>
    <mergeCell ref="F1315:I1315"/>
    <mergeCell ref="F1304:I1304"/>
    <mergeCell ref="F1305:I1305"/>
    <mergeCell ref="F1306:I1306"/>
    <mergeCell ref="F1307:I1307"/>
    <mergeCell ref="F1308:I1308"/>
    <mergeCell ref="F1309:I1309"/>
    <mergeCell ref="F1298:I1298"/>
    <mergeCell ref="F1299:I1299"/>
    <mergeCell ref="F1300:I1300"/>
    <mergeCell ref="F1301:I1301"/>
    <mergeCell ref="F1302:I1302"/>
    <mergeCell ref="F1303:I1303"/>
    <mergeCell ref="F1329:I1329"/>
    <mergeCell ref="F1330:I1330"/>
    <mergeCell ref="F1331:I1331"/>
    <mergeCell ref="F1332:I1332"/>
    <mergeCell ref="F1333:I1333"/>
    <mergeCell ref="F1334:I1334"/>
    <mergeCell ref="F1323:I1323"/>
    <mergeCell ref="F1324:I1324"/>
    <mergeCell ref="F1325:I1325"/>
    <mergeCell ref="F1326:I1326"/>
    <mergeCell ref="F1327:I1327"/>
    <mergeCell ref="F1328:I1328"/>
    <mergeCell ref="D1316:D1401"/>
    <mergeCell ref="E1316:E1401"/>
    <mergeCell ref="F1316:I1316"/>
    <mergeCell ref="V1316:V1401"/>
    <mergeCell ref="F1317:I1317"/>
    <mergeCell ref="F1318:I1318"/>
    <mergeCell ref="F1319:I1319"/>
    <mergeCell ref="F1320:I1320"/>
    <mergeCell ref="F1321:I1321"/>
    <mergeCell ref="F1322:I1322"/>
    <mergeCell ref="F1347:I1347"/>
    <mergeCell ref="F1348:I1348"/>
    <mergeCell ref="F1349:I1349"/>
    <mergeCell ref="F1350:I1350"/>
    <mergeCell ref="F1351:I1351"/>
    <mergeCell ref="F1352:I1352"/>
    <mergeCell ref="F1341:I1341"/>
    <mergeCell ref="F1342:I1342"/>
    <mergeCell ref="F1343:I1343"/>
    <mergeCell ref="F1344:I1344"/>
    <mergeCell ref="F1345:I1345"/>
    <mergeCell ref="F1346:I1346"/>
    <mergeCell ref="F1335:I1335"/>
    <mergeCell ref="F1336:I1336"/>
    <mergeCell ref="F1337:I1337"/>
    <mergeCell ref="F1338:I1338"/>
    <mergeCell ref="F1339:I1339"/>
    <mergeCell ref="F1340:I1340"/>
    <mergeCell ref="F1365:I1365"/>
    <mergeCell ref="F1366:I1366"/>
    <mergeCell ref="F1367:I1367"/>
    <mergeCell ref="F1368:I1368"/>
    <mergeCell ref="F1369:I1369"/>
    <mergeCell ref="F1370:I1370"/>
    <mergeCell ref="F1359:I1359"/>
    <mergeCell ref="F1360:I1360"/>
    <mergeCell ref="F1361:I1361"/>
    <mergeCell ref="F1362:I1362"/>
    <mergeCell ref="F1363:I1363"/>
    <mergeCell ref="F1364:I1364"/>
    <mergeCell ref="F1353:I1353"/>
    <mergeCell ref="F1354:I1354"/>
    <mergeCell ref="F1355:I1355"/>
    <mergeCell ref="F1356:I1356"/>
    <mergeCell ref="F1357:I1357"/>
    <mergeCell ref="F1358:I1358"/>
    <mergeCell ref="F1383:I1383"/>
    <mergeCell ref="F1384:I1384"/>
    <mergeCell ref="F1385:I1385"/>
    <mergeCell ref="F1386:I1386"/>
    <mergeCell ref="F1387:I1387"/>
    <mergeCell ref="F1388:I1388"/>
    <mergeCell ref="F1377:I1377"/>
    <mergeCell ref="F1378:I1378"/>
    <mergeCell ref="F1379:I1379"/>
    <mergeCell ref="F1380:I1380"/>
    <mergeCell ref="F1381:I1381"/>
    <mergeCell ref="F1382:I1382"/>
    <mergeCell ref="F1371:I1371"/>
    <mergeCell ref="F1372:I1372"/>
    <mergeCell ref="F1373:I1373"/>
    <mergeCell ref="F1374:I1374"/>
    <mergeCell ref="F1375:I1375"/>
    <mergeCell ref="F1376:I1376"/>
    <mergeCell ref="F1401:I1401"/>
    <mergeCell ref="D1402:D1487"/>
    <mergeCell ref="E1402:E1487"/>
    <mergeCell ref="F1402:I1402"/>
    <mergeCell ref="V1402:V1487"/>
    <mergeCell ref="F1403:I1403"/>
    <mergeCell ref="F1404:I1404"/>
    <mergeCell ref="F1405:I1405"/>
    <mergeCell ref="F1406:I1406"/>
    <mergeCell ref="F1407:I1407"/>
    <mergeCell ref="F1395:I1395"/>
    <mergeCell ref="F1396:I1396"/>
    <mergeCell ref="F1397:I1397"/>
    <mergeCell ref="F1398:I1398"/>
    <mergeCell ref="F1399:I1399"/>
    <mergeCell ref="F1400:I1400"/>
    <mergeCell ref="F1389:I1389"/>
    <mergeCell ref="F1390:I1390"/>
    <mergeCell ref="F1391:I1391"/>
    <mergeCell ref="F1392:I1392"/>
    <mergeCell ref="F1393:I1393"/>
    <mergeCell ref="F1394:I1394"/>
    <mergeCell ref="F1420:I1420"/>
    <mergeCell ref="F1421:I1421"/>
    <mergeCell ref="F1422:I1422"/>
    <mergeCell ref="F1423:I1423"/>
    <mergeCell ref="F1424:I1424"/>
    <mergeCell ref="F1425:I1425"/>
    <mergeCell ref="F1414:I1414"/>
    <mergeCell ref="F1415:I1415"/>
    <mergeCell ref="F1416:I1416"/>
    <mergeCell ref="F1417:I1417"/>
    <mergeCell ref="F1418:I1418"/>
    <mergeCell ref="F1419:I1419"/>
    <mergeCell ref="F1408:I1408"/>
    <mergeCell ref="F1409:I1409"/>
    <mergeCell ref="F1410:I1410"/>
    <mergeCell ref="F1411:I1411"/>
    <mergeCell ref="F1412:I1412"/>
    <mergeCell ref="F1413:I1413"/>
    <mergeCell ref="F1438:I1438"/>
    <mergeCell ref="F1439:I1439"/>
    <mergeCell ref="F1440:I1440"/>
    <mergeCell ref="F1441:I1441"/>
    <mergeCell ref="F1442:I1442"/>
    <mergeCell ref="F1443:I1443"/>
    <mergeCell ref="F1432:I1432"/>
    <mergeCell ref="F1433:I1433"/>
    <mergeCell ref="F1434:I1434"/>
    <mergeCell ref="F1435:I1435"/>
    <mergeCell ref="F1436:I1436"/>
    <mergeCell ref="F1437:I1437"/>
    <mergeCell ref="F1426:I1426"/>
    <mergeCell ref="F1427:I1427"/>
    <mergeCell ref="F1428:I1428"/>
    <mergeCell ref="F1429:I1429"/>
    <mergeCell ref="F1430:I1430"/>
    <mergeCell ref="F1431:I1431"/>
    <mergeCell ref="F1456:I1456"/>
    <mergeCell ref="F1457:I1457"/>
    <mergeCell ref="F1458:I1458"/>
    <mergeCell ref="F1459:I1459"/>
    <mergeCell ref="F1460:I1460"/>
    <mergeCell ref="F1461:I1461"/>
    <mergeCell ref="F1450:I1450"/>
    <mergeCell ref="F1451:I1451"/>
    <mergeCell ref="F1452:I1452"/>
    <mergeCell ref="F1453:I1453"/>
    <mergeCell ref="F1454:I1454"/>
    <mergeCell ref="F1455:I1455"/>
    <mergeCell ref="F1444:I1444"/>
    <mergeCell ref="F1445:I1445"/>
    <mergeCell ref="F1446:I1446"/>
    <mergeCell ref="F1447:I1447"/>
    <mergeCell ref="F1448:I1448"/>
    <mergeCell ref="F1449:I1449"/>
    <mergeCell ref="F1474:I1474"/>
    <mergeCell ref="F1475:I1475"/>
    <mergeCell ref="F1476:I1476"/>
    <mergeCell ref="F1477:I1477"/>
    <mergeCell ref="F1478:I1478"/>
    <mergeCell ref="F1479:I1479"/>
    <mergeCell ref="F1468:I1468"/>
    <mergeCell ref="F1469:I1469"/>
    <mergeCell ref="F1470:I1470"/>
    <mergeCell ref="F1471:I1471"/>
    <mergeCell ref="F1472:I1472"/>
    <mergeCell ref="F1473:I1473"/>
    <mergeCell ref="F1462:I1462"/>
    <mergeCell ref="F1463:I1463"/>
    <mergeCell ref="F1464:I1464"/>
    <mergeCell ref="F1465:I1465"/>
    <mergeCell ref="F1466:I1466"/>
    <mergeCell ref="F1467:I1467"/>
    <mergeCell ref="F1493:I1493"/>
    <mergeCell ref="F1494:I1494"/>
    <mergeCell ref="F1495:I1495"/>
    <mergeCell ref="F1496:I1496"/>
    <mergeCell ref="F1497:I1497"/>
    <mergeCell ref="F1498:I1498"/>
    <mergeCell ref="F1486:I1486"/>
    <mergeCell ref="F1487:I1487"/>
    <mergeCell ref="D1488:D1573"/>
    <mergeCell ref="E1488:E1573"/>
    <mergeCell ref="F1488:I1488"/>
    <mergeCell ref="V1488:V1573"/>
    <mergeCell ref="F1489:I1489"/>
    <mergeCell ref="F1490:I1490"/>
    <mergeCell ref="F1491:I1491"/>
    <mergeCell ref="F1492:I1492"/>
    <mergeCell ref="F1480:I1480"/>
    <mergeCell ref="F1481:I1481"/>
    <mergeCell ref="F1482:I1482"/>
    <mergeCell ref="F1483:I1483"/>
    <mergeCell ref="F1484:I1484"/>
    <mergeCell ref="F1485:I1485"/>
    <mergeCell ref="F1511:I1511"/>
    <mergeCell ref="F1512:I1512"/>
    <mergeCell ref="F1513:I1513"/>
    <mergeCell ref="F1514:I1514"/>
    <mergeCell ref="F1515:I1515"/>
    <mergeCell ref="F1516:I1516"/>
    <mergeCell ref="F1505:I1505"/>
    <mergeCell ref="F1506:I1506"/>
    <mergeCell ref="F1507:I1507"/>
    <mergeCell ref="F1508:I1508"/>
    <mergeCell ref="F1509:I1509"/>
    <mergeCell ref="F1510:I1510"/>
    <mergeCell ref="F1499:I1499"/>
    <mergeCell ref="F1500:I1500"/>
    <mergeCell ref="F1501:I1501"/>
    <mergeCell ref="F1502:I1502"/>
    <mergeCell ref="F1503:I1503"/>
    <mergeCell ref="F1504:I1504"/>
    <mergeCell ref="F1529:I1529"/>
    <mergeCell ref="F1530:I1530"/>
    <mergeCell ref="F1531:I1531"/>
    <mergeCell ref="F1532:I1532"/>
    <mergeCell ref="F1533:I1533"/>
    <mergeCell ref="F1534:I1534"/>
    <mergeCell ref="F1523:I1523"/>
    <mergeCell ref="F1524:I1524"/>
    <mergeCell ref="F1525:I1525"/>
    <mergeCell ref="F1526:I1526"/>
    <mergeCell ref="F1527:I1527"/>
    <mergeCell ref="F1528:I1528"/>
    <mergeCell ref="F1517:I1517"/>
    <mergeCell ref="F1518:I1518"/>
    <mergeCell ref="F1519:I1519"/>
    <mergeCell ref="F1520:I1520"/>
    <mergeCell ref="F1521:I1521"/>
    <mergeCell ref="F1522:I1522"/>
    <mergeCell ref="F1547:I1547"/>
    <mergeCell ref="F1548:I1548"/>
    <mergeCell ref="F1549:I1549"/>
    <mergeCell ref="F1550:I1550"/>
    <mergeCell ref="F1551:I1551"/>
    <mergeCell ref="F1552:I1552"/>
    <mergeCell ref="F1541:I1541"/>
    <mergeCell ref="F1542:I1542"/>
    <mergeCell ref="F1543:I1543"/>
    <mergeCell ref="F1544:I1544"/>
    <mergeCell ref="F1545:I1545"/>
    <mergeCell ref="F1546:I1546"/>
    <mergeCell ref="F1535:I1535"/>
    <mergeCell ref="F1536:I1536"/>
    <mergeCell ref="F1537:I1537"/>
    <mergeCell ref="F1538:I1538"/>
    <mergeCell ref="F1539:I1539"/>
    <mergeCell ref="F1540:I1540"/>
    <mergeCell ref="F1565:I1565"/>
    <mergeCell ref="F1566:I1566"/>
    <mergeCell ref="F1567:I1567"/>
    <mergeCell ref="F1568:I1568"/>
    <mergeCell ref="F1569:I1569"/>
    <mergeCell ref="F1570:I1570"/>
    <mergeCell ref="F1559:I1559"/>
    <mergeCell ref="F1560:I1560"/>
    <mergeCell ref="F1561:I1561"/>
    <mergeCell ref="F1562:I1562"/>
    <mergeCell ref="F1563:I1563"/>
    <mergeCell ref="F1564:I1564"/>
    <mergeCell ref="F1553:I1553"/>
    <mergeCell ref="F1554:I1554"/>
    <mergeCell ref="F1555:I1555"/>
    <mergeCell ref="F1556:I1556"/>
    <mergeCell ref="F1557:I1557"/>
    <mergeCell ref="F1558:I1558"/>
    <mergeCell ref="V1574:V1659"/>
    <mergeCell ref="F1575:I1575"/>
    <mergeCell ref="F1576:I1576"/>
    <mergeCell ref="F1577:I1577"/>
    <mergeCell ref="F1578:I1578"/>
    <mergeCell ref="F1579:I1579"/>
    <mergeCell ref="F1580:I1580"/>
    <mergeCell ref="F1581:I1581"/>
    <mergeCell ref="F1582:I1582"/>
    <mergeCell ref="F1583:I1583"/>
    <mergeCell ref="F1571:I1571"/>
    <mergeCell ref="F1572:I1572"/>
    <mergeCell ref="F1573:I1573"/>
    <mergeCell ref="D1574:D1659"/>
    <mergeCell ref="E1574:E1659"/>
    <mergeCell ref="F1574:I1574"/>
    <mergeCell ref="F1584:I1584"/>
    <mergeCell ref="F1585:I1585"/>
    <mergeCell ref="F1586:I1586"/>
    <mergeCell ref="F1587:I1587"/>
    <mergeCell ref="F1600:I1600"/>
    <mergeCell ref="F1601:I1601"/>
    <mergeCell ref="F1602:I1602"/>
    <mergeCell ref="F1603:I1603"/>
    <mergeCell ref="F1604:I1604"/>
    <mergeCell ref="F1605:I1605"/>
    <mergeCell ref="F1594:I1594"/>
    <mergeCell ref="F1595:I1595"/>
    <mergeCell ref="F1596:I1596"/>
    <mergeCell ref="F1597:I1597"/>
    <mergeCell ref="F1598:I1598"/>
    <mergeCell ref="F1599:I1599"/>
    <mergeCell ref="F1588:I1588"/>
    <mergeCell ref="F1589:I1589"/>
    <mergeCell ref="F1590:I1590"/>
    <mergeCell ref="F1591:I1591"/>
    <mergeCell ref="F1592:I1592"/>
    <mergeCell ref="F1593:I1593"/>
    <mergeCell ref="F1618:I1618"/>
    <mergeCell ref="F1619:I1619"/>
    <mergeCell ref="F1620:I1620"/>
    <mergeCell ref="F1621:I1621"/>
    <mergeCell ref="F1622:I1622"/>
    <mergeCell ref="F1623:I1623"/>
    <mergeCell ref="F1612:I1612"/>
    <mergeCell ref="F1613:I1613"/>
    <mergeCell ref="F1614:I1614"/>
    <mergeCell ref="F1615:I1615"/>
    <mergeCell ref="F1616:I1616"/>
    <mergeCell ref="F1617:I1617"/>
    <mergeCell ref="F1606:I1606"/>
    <mergeCell ref="F1607:I1607"/>
    <mergeCell ref="F1608:I1608"/>
    <mergeCell ref="F1609:I1609"/>
    <mergeCell ref="F1610:I1610"/>
    <mergeCell ref="F1611:I1611"/>
    <mergeCell ref="F1636:I1636"/>
    <mergeCell ref="F1637:I1637"/>
    <mergeCell ref="F1638:I1638"/>
    <mergeCell ref="F1639:I1639"/>
    <mergeCell ref="F1640:I1640"/>
    <mergeCell ref="F1641:I1641"/>
    <mergeCell ref="F1630:I1630"/>
    <mergeCell ref="F1631:I1631"/>
    <mergeCell ref="F1632:I1632"/>
    <mergeCell ref="F1633:I1633"/>
    <mergeCell ref="F1634:I1634"/>
    <mergeCell ref="F1635:I1635"/>
    <mergeCell ref="F1624:I1624"/>
    <mergeCell ref="F1625:I1625"/>
    <mergeCell ref="F1626:I1626"/>
    <mergeCell ref="F1627:I1627"/>
    <mergeCell ref="F1628:I1628"/>
    <mergeCell ref="F1629:I1629"/>
    <mergeCell ref="F1654:I1654"/>
    <mergeCell ref="F1655:I1655"/>
    <mergeCell ref="F1656:I1656"/>
    <mergeCell ref="F1657:I1657"/>
    <mergeCell ref="F1658:I1658"/>
    <mergeCell ref="F1659:I1659"/>
    <mergeCell ref="F1648:I1648"/>
    <mergeCell ref="F1649:I1649"/>
    <mergeCell ref="F1650:I1650"/>
    <mergeCell ref="F1651:I1651"/>
    <mergeCell ref="F1652:I1652"/>
    <mergeCell ref="F1653:I1653"/>
    <mergeCell ref="F1642:I1642"/>
    <mergeCell ref="F1643:I1643"/>
    <mergeCell ref="F1644:I1644"/>
    <mergeCell ref="F1645:I1645"/>
    <mergeCell ref="F1646:I1646"/>
    <mergeCell ref="F1647:I1647"/>
    <mergeCell ref="F1697:I1697"/>
    <mergeCell ref="F1698:I1698"/>
    <mergeCell ref="F1699:I1699"/>
    <mergeCell ref="F1700:I1700"/>
    <mergeCell ref="F1701:I1701"/>
    <mergeCell ref="F1702:I1702"/>
    <mergeCell ref="F1673:I1673"/>
    <mergeCell ref="F1674:I1674"/>
    <mergeCell ref="F1675:I1675"/>
    <mergeCell ref="F1676:I1676"/>
    <mergeCell ref="F1677:I1677"/>
    <mergeCell ref="F1678:I1678"/>
    <mergeCell ref="F1667:I1667"/>
    <mergeCell ref="F1668:I1668"/>
    <mergeCell ref="F1669:I1669"/>
    <mergeCell ref="F1670:I1670"/>
    <mergeCell ref="F1671:I1671"/>
    <mergeCell ref="F1672:I1672"/>
    <mergeCell ref="F1691:I1691"/>
    <mergeCell ref="F1692:I1692"/>
    <mergeCell ref="F1693:I1693"/>
    <mergeCell ref="F1694:I1694"/>
    <mergeCell ref="F1695:I1695"/>
    <mergeCell ref="F1696:I1696"/>
    <mergeCell ref="F1685:I1685"/>
    <mergeCell ref="F1686:I1686"/>
    <mergeCell ref="F1687:I1687"/>
    <mergeCell ref="F1688:I1688"/>
    <mergeCell ref="F1721:I1721"/>
    <mergeCell ref="F1722:I1722"/>
    <mergeCell ref="F1723:I1723"/>
    <mergeCell ref="F1724:I1724"/>
    <mergeCell ref="F1725:I1725"/>
    <mergeCell ref="F1726:I1726"/>
    <mergeCell ref="F1715:I1715"/>
    <mergeCell ref="F1716:I1716"/>
    <mergeCell ref="F1717:I1717"/>
    <mergeCell ref="F1718:I1718"/>
    <mergeCell ref="F1719:I1719"/>
    <mergeCell ref="F1720:I1720"/>
    <mergeCell ref="F1689:I1689"/>
    <mergeCell ref="F1690:I1690"/>
    <mergeCell ref="F1679:I1679"/>
    <mergeCell ref="F1680:I1680"/>
    <mergeCell ref="F1681:I1681"/>
    <mergeCell ref="F1682:I1682"/>
    <mergeCell ref="F1683:I1683"/>
    <mergeCell ref="F1684:I1684"/>
    <mergeCell ref="F1709:I1709"/>
    <mergeCell ref="F1710:I1710"/>
    <mergeCell ref="F1711:I1711"/>
    <mergeCell ref="F1712:I1712"/>
    <mergeCell ref="F1713:I1713"/>
    <mergeCell ref="F1714:I1714"/>
    <mergeCell ref="F1703:I1703"/>
    <mergeCell ref="F1704:I1704"/>
    <mergeCell ref="F1705:I1705"/>
    <mergeCell ref="F1706:I1706"/>
    <mergeCell ref="F1707:I1707"/>
    <mergeCell ref="F1708:I1708"/>
    <mergeCell ref="F1733:I1733"/>
    <mergeCell ref="F1734:I1734"/>
    <mergeCell ref="F1735:I1735"/>
    <mergeCell ref="F1736:I1736"/>
    <mergeCell ref="F1737:I1737"/>
    <mergeCell ref="F1738:I1738"/>
    <mergeCell ref="F1764:I1764"/>
    <mergeCell ref="F1765:I1765"/>
    <mergeCell ref="F1766:I1766"/>
    <mergeCell ref="F1767:I1767"/>
    <mergeCell ref="F1768:I1768"/>
    <mergeCell ref="F1769:I1769"/>
    <mergeCell ref="F1758:I1758"/>
    <mergeCell ref="F1759:I1759"/>
    <mergeCell ref="F1760:I1760"/>
    <mergeCell ref="F1761:I1761"/>
    <mergeCell ref="F1727:I1727"/>
    <mergeCell ref="F1728:I1728"/>
    <mergeCell ref="F1729:I1729"/>
    <mergeCell ref="F1730:I1730"/>
    <mergeCell ref="F1731:I1731"/>
    <mergeCell ref="F1732:I1732"/>
    <mergeCell ref="F1770:I1770"/>
    <mergeCell ref="F1771:I1771"/>
    <mergeCell ref="F1772:I1772"/>
    <mergeCell ref="F1773:I1773"/>
    <mergeCell ref="F1774:I1774"/>
    <mergeCell ref="F1775:I1775"/>
    <mergeCell ref="F1745:I1745"/>
    <mergeCell ref="D1746:D1917"/>
    <mergeCell ref="E1746:E1917"/>
    <mergeCell ref="F1746:I1746"/>
    <mergeCell ref="V1746:V1917"/>
    <mergeCell ref="F1747:I1747"/>
    <mergeCell ref="F1748:I1748"/>
    <mergeCell ref="F1749:I1749"/>
    <mergeCell ref="F1750:I1750"/>
    <mergeCell ref="F1751:I1751"/>
    <mergeCell ref="F1739:I1739"/>
    <mergeCell ref="F1740:I1740"/>
    <mergeCell ref="F1741:I1741"/>
    <mergeCell ref="F1742:I1742"/>
    <mergeCell ref="F1743:I1743"/>
    <mergeCell ref="F1744:I1744"/>
    <mergeCell ref="D1660:D1745"/>
    <mergeCell ref="E1660:E1745"/>
    <mergeCell ref="F1660:I1660"/>
    <mergeCell ref="V1660:V1745"/>
    <mergeCell ref="F1661:I1661"/>
    <mergeCell ref="F1662:I1662"/>
    <mergeCell ref="F1663:I1663"/>
    <mergeCell ref="F1664:I1664"/>
    <mergeCell ref="F1665:I1665"/>
    <mergeCell ref="F1666:I1666"/>
    <mergeCell ref="F1794:I1794"/>
    <mergeCell ref="F1795:I1795"/>
    <mergeCell ref="F1796:I1796"/>
    <mergeCell ref="F1797:I1797"/>
    <mergeCell ref="F1798:I1798"/>
    <mergeCell ref="F1799:I1799"/>
    <mergeCell ref="F1788:I1788"/>
    <mergeCell ref="F1789:I1789"/>
    <mergeCell ref="F1790:I1790"/>
    <mergeCell ref="F1791:I1791"/>
    <mergeCell ref="F1792:I1792"/>
    <mergeCell ref="F1793:I1793"/>
    <mergeCell ref="F1762:I1762"/>
    <mergeCell ref="F1763:I1763"/>
    <mergeCell ref="F1752:I1752"/>
    <mergeCell ref="F1753:I1753"/>
    <mergeCell ref="F1754:I1754"/>
    <mergeCell ref="F1755:I1755"/>
    <mergeCell ref="F1756:I1756"/>
    <mergeCell ref="F1757:I1757"/>
    <mergeCell ref="F1782:I1782"/>
    <mergeCell ref="F1783:I1783"/>
    <mergeCell ref="F1784:I1784"/>
    <mergeCell ref="F1785:I1785"/>
    <mergeCell ref="F1786:I1786"/>
    <mergeCell ref="F1787:I1787"/>
    <mergeCell ref="F1776:I1776"/>
    <mergeCell ref="F1777:I1777"/>
    <mergeCell ref="F1778:I1778"/>
    <mergeCell ref="F1779:I1779"/>
    <mergeCell ref="F1780:I1780"/>
    <mergeCell ref="F1781:I1781"/>
    <mergeCell ref="F1812:I1812"/>
    <mergeCell ref="F1813:I1813"/>
    <mergeCell ref="F1814:I1814"/>
    <mergeCell ref="F1815:I1815"/>
    <mergeCell ref="F1816:I1816"/>
    <mergeCell ref="F1817:I1817"/>
    <mergeCell ref="F1806:I1806"/>
    <mergeCell ref="F1807:I1807"/>
    <mergeCell ref="F1808:I1808"/>
    <mergeCell ref="F1809:I1809"/>
    <mergeCell ref="F1810:I1810"/>
    <mergeCell ref="F1811:I1811"/>
    <mergeCell ref="F1800:I1800"/>
    <mergeCell ref="F1801:I1801"/>
    <mergeCell ref="F1802:I1802"/>
    <mergeCell ref="F1803:I1803"/>
    <mergeCell ref="F1804:I1804"/>
    <mergeCell ref="F1805:I1805"/>
    <mergeCell ref="F1830:I1830"/>
    <mergeCell ref="F1831:I1831"/>
    <mergeCell ref="F1832:I1832"/>
    <mergeCell ref="F1833:I1833"/>
    <mergeCell ref="F1834:I1834"/>
    <mergeCell ref="F1835:I1835"/>
    <mergeCell ref="F1824:I1824"/>
    <mergeCell ref="F1825:I1825"/>
    <mergeCell ref="F1826:I1826"/>
    <mergeCell ref="F1827:I1827"/>
    <mergeCell ref="F1828:I1828"/>
    <mergeCell ref="F1829:I1829"/>
    <mergeCell ref="F1818:I1818"/>
    <mergeCell ref="F1819:I1819"/>
    <mergeCell ref="F1820:I1820"/>
    <mergeCell ref="F1821:I1821"/>
    <mergeCell ref="F1822:I1822"/>
    <mergeCell ref="F1823:I1823"/>
    <mergeCell ref="F1848:I1848"/>
    <mergeCell ref="F1849:I1849"/>
    <mergeCell ref="F1850:I1850"/>
    <mergeCell ref="F1851:I1851"/>
    <mergeCell ref="F1852:I1852"/>
    <mergeCell ref="F1853:I1853"/>
    <mergeCell ref="F1842:I1842"/>
    <mergeCell ref="F1843:I1843"/>
    <mergeCell ref="F1844:I1844"/>
    <mergeCell ref="F1845:I1845"/>
    <mergeCell ref="F1846:I1846"/>
    <mergeCell ref="F1847:I1847"/>
    <mergeCell ref="F1836:I1836"/>
    <mergeCell ref="F1837:I1837"/>
    <mergeCell ref="F1838:I1838"/>
    <mergeCell ref="F1839:I1839"/>
    <mergeCell ref="F1840:I1840"/>
    <mergeCell ref="F1841:I1841"/>
    <mergeCell ref="F1866:I1866"/>
    <mergeCell ref="F1867:I1867"/>
    <mergeCell ref="F1868:I1868"/>
    <mergeCell ref="F1869:I1869"/>
    <mergeCell ref="F1870:I1870"/>
    <mergeCell ref="F1871:I1871"/>
    <mergeCell ref="F1860:I1860"/>
    <mergeCell ref="F1861:I1861"/>
    <mergeCell ref="F1862:I1862"/>
    <mergeCell ref="F1863:I1863"/>
    <mergeCell ref="F1864:I1864"/>
    <mergeCell ref="F1865:I1865"/>
    <mergeCell ref="F1854:I1854"/>
    <mergeCell ref="F1855:I1855"/>
    <mergeCell ref="F1856:I1856"/>
    <mergeCell ref="F1857:I1857"/>
    <mergeCell ref="F1858:I1858"/>
    <mergeCell ref="F1859:I1859"/>
    <mergeCell ref="F1884:I1884"/>
    <mergeCell ref="F1885:I1885"/>
    <mergeCell ref="F1886:I1886"/>
    <mergeCell ref="F1887:I1887"/>
    <mergeCell ref="F1888:I1888"/>
    <mergeCell ref="F1889:I1889"/>
    <mergeCell ref="F1878:I1878"/>
    <mergeCell ref="F1879:I1879"/>
    <mergeCell ref="F1880:I1880"/>
    <mergeCell ref="F1881:I1881"/>
    <mergeCell ref="F1882:I1882"/>
    <mergeCell ref="F1883:I1883"/>
    <mergeCell ref="F1872:I1872"/>
    <mergeCell ref="F1873:I1873"/>
    <mergeCell ref="F1874:I1874"/>
    <mergeCell ref="F1875:I1875"/>
    <mergeCell ref="F1876:I1876"/>
    <mergeCell ref="F1877:I1877"/>
    <mergeCell ref="F1902:I1902"/>
    <mergeCell ref="F1903:I1903"/>
    <mergeCell ref="F1904:I1904"/>
    <mergeCell ref="F1905:I1905"/>
    <mergeCell ref="F1906:I1906"/>
    <mergeCell ref="F1907:I1907"/>
    <mergeCell ref="F1896:I1896"/>
    <mergeCell ref="F1897:I1897"/>
    <mergeCell ref="F1898:I1898"/>
    <mergeCell ref="F1899:I1899"/>
    <mergeCell ref="F1900:I1900"/>
    <mergeCell ref="F1901:I1901"/>
    <mergeCell ref="F1890:I1890"/>
    <mergeCell ref="F1891:I1891"/>
    <mergeCell ref="F1892:I1892"/>
    <mergeCell ref="F1893:I1893"/>
    <mergeCell ref="F1894:I1894"/>
    <mergeCell ref="F1895:I1895"/>
    <mergeCell ref="F1914:I1914"/>
    <mergeCell ref="F1915:I1915"/>
    <mergeCell ref="F1916:I1916"/>
    <mergeCell ref="F1917:I1917"/>
    <mergeCell ref="F1918:I1918"/>
    <mergeCell ref="F1928:I1928"/>
    <mergeCell ref="F1929:I1929"/>
    <mergeCell ref="F1930:I1930"/>
    <mergeCell ref="F1949:I1949"/>
    <mergeCell ref="F1950:I1950"/>
    <mergeCell ref="F1951:I1951"/>
    <mergeCell ref="F1952:I1952"/>
    <mergeCell ref="F1953:I1953"/>
    <mergeCell ref="F1954:I1954"/>
    <mergeCell ref="F1943:I1943"/>
    <mergeCell ref="F1944:I1944"/>
    <mergeCell ref="F1908:I1908"/>
    <mergeCell ref="F1909:I1909"/>
    <mergeCell ref="F1910:I1910"/>
    <mergeCell ref="F1911:I1911"/>
    <mergeCell ref="F1912:I1912"/>
    <mergeCell ref="F1913:I1913"/>
    <mergeCell ref="F1965:I1965"/>
    <mergeCell ref="F1966:I1966"/>
    <mergeCell ref="F1955:I1955"/>
    <mergeCell ref="F1956:I1956"/>
    <mergeCell ref="F1957:I1957"/>
    <mergeCell ref="F1958:I1958"/>
    <mergeCell ref="F1959:I1959"/>
    <mergeCell ref="F1960:I1960"/>
    <mergeCell ref="F1931:I1931"/>
    <mergeCell ref="F1932:I1932"/>
    <mergeCell ref="F1933:I1933"/>
    <mergeCell ref="F1934:I1934"/>
    <mergeCell ref="F1935:I1935"/>
    <mergeCell ref="F1936:I1936"/>
    <mergeCell ref="V1918:V2089"/>
    <mergeCell ref="F1919:I1919"/>
    <mergeCell ref="F1920:I1920"/>
    <mergeCell ref="F1921:I1921"/>
    <mergeCell ref="F1922:I1922"/>
    <mergeCell ref="F1923:I1923"/>
    <mergeCell ref="F1924:I1924"/>
    <mergeCell ref="F1925:I1925"/>
    <mergeCell ref="F1926:I1926"/>
    <mergeCell ref="F1927:I1927"/>
    <mergeCell ref="F1979:I1979"/>
    <mergeCell ref="F1980:I1980"/>
    <mergeCell ref="F1981:I1981"/>
    <mergeCell ref="F1982:I1982"/>
    <mergeCell ref="F1983:I1983"/>
    <mergeCell ref="F1984:I1984"/>
    <mergeCell ref="F1973:I1973"/>
    <mergeCell ref="F1974:I1974"/>
    <mergeCell ref="F1975:I1975"/>
    <mergeCell ref="F1976:I1976"/>
    <mergeCell ref="F1977:I1977"/>
    <mergeCell ref="F1978:I1978"/>
    <mergeCell ref="F1945:I1945"/>
    <mergeCell ref="F1946:I1946"/>
    <mergeCell ref="F1947:I1947"/>
    <mergeCell ref="F1948:I1948"/>
    <mergeCell ref="F1937:I1937"/>
    <mergeCell ref="F1938:I1938"/>
    <mergeCell ref="F1939:I1939"/>
    <mergeCell ref="F1940:I1940"/>
    <mergeCell ref="F1941:I1941"/>
    <mergeCell ref="F1942:I1942"/>
    <mergeCell ref="F1967:I1967"/>
    <mergeCell ref="F1968:I1968"/>
    <mergeCell ref="F1969:I1969"/>
    <mergeCell ref="F1970:I1970"/>
    <mergeCell ref="F1971:I1971"/>
    <mergeCell ref="F1972:I1972"/>
    <mergeCell ref="F1961:I1961"/>
    <mergeCell ref="F1962:I1962"/>
    <mergeCell ref="F1963:I1963"/>
    <mergeCell ref="F1964:I1964"/>
    <mergeCell ref="F1997:I1997"/>
    <mergeCell ref="F1998:I1998"/>
    <mergeCell ref="F1999:I1999"/>
    <mergeCell ref="F2000:I2000"/>
    <mergeCell ref="F2001:I2001"/>
    <mergeCell ref="F2002:I2002"/>
    <mergeCell ref="F1991:I1991"/>
    <mergeCell ref="F1992:I1992"/>
    <mergeCell ref="F1993:I1993"/>
    <mergeCell ref="F1994:I1994"/>
    <mergeCell ref="F1995:I1995"/>
    <mergeCell ref="F1996:I1996"/>
    <mergeCell ref="F1985:I1985"/>
    <mergeCell ref="F1986:I1986"/>
    <mergeCell ref="F1987:I1987"/>
    <mergeCell ref="F1988:I1988"/>
    <mergeCell ref="F1989:I1989"/>
    <mergeCell ref="F1990:I1990"/>
    <mergeCell ref="F2015:I2015"/>
    <mergeCell ref="F2016:I2016"/>
    <mergeCell ref="F2017:I2017"/>
    <mergeCell ref="F2018:I2018"/>
    <mergeCell ref="F2019:I2019"/>
    <mergeCell ref="F2020:I2020"/>
    <mergeCell ref="F2009:I2009"/>
    <mergeCell ref="F2010:I2010"/>
    <mergeCell ref="F2011:I2011"/>
    <mergeCell ref="F2012:I2012"/>
    <mergeCell ref="F2013:I2013"/>
    <mergeCell ref="F2014:I2014"/>
    <mergeCell ref="F2003:I2003"/>
    <mergeCell ref="F2004:I2004"/>
    <mergeCell ref="F2005:I2005"/>
    <mergeCell ref="F2006:I2006"/>
    <mergeCell ref="F2007:I2007"/>
    <mergeCell ref="F2008:I2008"/>
    <mergeCell ref="F2033:I2033"/>
    <mergeCell ref="F2034:I2034"/>
    <mergeCell ref="F2035:I2035"/>
    <mergeCell ref="F2036:I2036"/>
    <mergeCell ref="F2037:I2037"/>
    <mergeCell ref="F2038:I2038"/>
    <mergeCell ref="F2027:I2027"/>
    <mergeCell ref="F2028:I2028"/>
    <mergeCell ref="F2029:I2029"/>
    <mergeCell ref="F2030:I2030"/>
    <mergeCell ref="F2031:I2031"/>
    <mergeCell ref="F2032:I2032"/>
    <mergeCell ref="F2021:I2021"/>
    <mergeCell ref="F2022:I2022"/>
    <mergeCell ref="F2023:I2023"/>
    <mergeCell ref="F2024:I2024"/>
    <mergeCell ref="F2025:I2025"/>
    <mergeCell ref="F2026:I2026"/>
    <mergeCell ref="F2060:I2060"/>
    <mergeCell ref="F2061:I2061"/>
    <mergeCell ref="F2062:I2062"/>
    <mergeCell ref="F2051:I2051"/>
    <mergeCell ref="F2052:I2052"/>
    <mergeCell ref="F2053:I2053"/>
    <mergeCell ref="F2054:I2054"/>
    <mergeCell ref="F2055:I2055"/>
    <mergeCell ref="F2056:I2056"/>
    <mergeCell ref="F2045:I2045"/>
    <mergeCell ref="F2046:I2046"/>
    <mergeCell ref="F2047:I2047"/>
    <mergeCell ref="F2048:I2048"/>
    <mergeCell ref="F2049:I2049"/>
    <mergeCell ref="F2050:I2050"/>
    <mergeCell ref="F2039:I2039"/>
    <mergeCell ref="F2040:I2040"/>
    <mergeCell ref="F2041:I2041"/>
    <mergeCell ref="F2042:I2042"/>
    <mergeCell ref="F2043:I2043"/>
    <mergeCell ref="F2044:I2044"/>
    <mergeCell ref="F2087:I2087"/>
    <mergeCell ref="F2088:I2088"/>
    <mergeCell ref="F2089:I2089"/>
    <mergeCell ref="F2081:I2081"/>
    <mergeCell ref="F2082:I2082"/>
    <mergeCell ref="F2083:I2083"/>
    <mergeCell ref="F2084:I2084"/>
    <mergeCell ref="F2085:I2085"/>
    <mergeCell ref="F2086:I2086"/>
    <mergeCell ref="D1918:D2089"/>
    <mergeCell ref="E1918:E2089"/>
    <mergeCell ref="F2075:I2075"/>
    <mergeCell ref="F2076:I2076"/>
    <mergeCell ref="F2077:I2077"/>
    <mergeCell ref="F2078:I2078"/>
    <mergeCell ref="F2079:I2079"/>
    <mergeCell ref="F2080:I2080"/>
    <mergeCell ref="F2069:I2069"/>
    <mergeCell ref="F2070:I2070"/>
    <mergeCell ref="F2071:I2071"/>
    <mergeCell ref="F2072:I2072"/>
    <mergeCell ref="F2073:I2073"/>
    <mergeCell ref="F2074:I2074"/>
    <mergeCell ref="F2063:I2063"/>
    <mergeCell ref="F2064:I2064"/>
    <mergeCell ref="F2065:I2065"/>
    <mergeCell ref="F2066:I2066"/>
    <mergeCell ref="F2067:I2067"/>
    <mergeCell ref="F2068:I2068"/>
    <mergeCell ref="F2057:I2057"/>
    <mergeCell ref="F2058:I2058"/>
    <mergeCell ref="F2059:I2059"/>
  </mergeCells>
  <pageMargins left="0.7" right="0.7" top="0.75" bottom="0.75" header="0.3" footer="0.3"/>
  <pageSetup scale="19" fitToHeight="0" orientation="landscape" r:id="rId1"/>
  <rowBreaks count="3" manualBreakCount="3">
    <brk id="333" max="36" man="1"/>
    <brk id="775" max="36" man="1"/>
    <brk id="2090" max="36"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1168"/>
  <sheetViews>
    <sheetView showGridLines="0" topLeftCell="A226" zoomScale="55" zoomScaleNormal="55" zoomScaleSheetLayoutView="55" workbookViewId="0">
      <selection sqref="A1:O1"/>
    </sheetView>
  </sheetViews>
  <sheetFormatPr defaultRowHeight="15" outlineLevelRow="1" x14ac:dyDescent="0.25"/>
  <cols>
    <col min="1" max="1" width="4.28515625" style="249" customWidth="1"/>
    <col min="2" max="2" width="9.140625" style="904"/>
    <col min="3" max="3" width="11.7109375" style="1088" customWidth="1"/>
    <col min="4" max="4" width="24" style="1444" customWidth="1"/>
    <col min="5" max="5" width="78.5703125" style="1444" customWidth="1"/>
    <col min="6" max="6" width="43.7109375" style="904" customWidth="1"/>
    <col min="7" max="7" width="41.42578125" style="904" customWidth="1"/>
    <col min="8" max="8" width="24.7109375" style="904" customWidth="1"/>
    <col min="9" max="9" width="56.140625" style="904" customWidth="1"/>
    <col min="10" max="10" width="17.140625" style="904" customWidth="1"/>
    <col min="11" max="11" width="12.28515625" style="904" customWidth="1"/>
    <col min="12" max="12" width="15.5703125" style="904" customWidth="1"/>
    <col min="13" max="13" width="21.28515625" style="904" customWidth="1"/>
    <col min="14" max="14" width="13.7109375" style="904" customWidth="1"/>
    <col min="15" max="15" width="11" style="904" customWidth="1"/>
    <col min="16" max="16" width="13.7109375" style="904" customWidth="1"/>
    <col min="17" max="17" width="9.42578125" style="904" customWidth="1"/>
    <col min="18" max="18" width="17.42578125" style="904" customWidth="1"/>
    <col min="19" max="19" width="9.28515625" style="904" customWidth="1"/>
    <col min="20" max="21" width="9.140625" style="904" customWidth="1"/>
    <col min="22" max="22" width="49.42578125" style="249" customWidth="1"/>
    <col min="23" max="23" width="13.5703125" style="249" customWidth="1"/>
    <col min="24" max="24" width="17" style="249" customWidth="1"/>
    <col min="25" max="33" width="13.42578125" style="249" customWidth="1"/>
    <col min="34" max="34" width="9.140625" style="249"/>
    <col min="35" max="45" width="13.5703125" style="249" customWidth="1"/>
    <col min="46" max="16384" width="9.140625" style="249"/>
  </cols>
  <sheetData>
    <row r="1" spans="1:37" s="22" customFormat="1" ht="18.75" x14ac:dyDescent="0.3">
      <c r="A1" s="2028" t="s">
        <v>1230</v>
      </c>
      <c r="B1" s="2097"/>
      <c r="C1" s="2097"/>
      <c r="D1" s="2097"/>
      <c r="E1" s="2097"/>
      <c r="F1" s="2097"/>
      <c r="G1" s="2097"/>
      <c r="H1" s="2097"/>
      <c r="I1" s="2097"/>
      <c r="J1" s="2097"/>
      <c r="K1" s="2097"/>
      <c r="L1" s="2097"/>
      <c r="M1" s="2097"/>
      <c r="N1" s="2097"/>
      <c r="O1" s="2097"/>
      <c r="P1" s="2030"/>
      <c r="Q1" s="2225"/>
      <c r="R1" s="2225"/>
      <c r="S1" s="1408"/>
      <c r="T1" s="1222"/>
      <c r="U1" s="1222"/>
      <c r="V1" s="27"/>
      <c r="W1" s="28"/>
      <c r="X1" s="28"/>
      <c r="Y1" s="29"/>
      <c r="Z1" s="29"/>
      <c r="AA1" s="29"/>
      <c r="AB1" s="29"/>
      <c r="AC1" s="29"/>
      <c r="AD1" s="29"/>
      <c r="AE1" s="29"/>
      <c r="AF1" s="29"/>
      <c r="AG1" s="29"/>
      <c r="AH1" s="29"/>
    </row>
    <row r="2" spans="1:37" s="22" customFormat="1" ht="30" customHeight="1" outlineLevel="1" x14ac:dyDescent="0.35">
      <c r="B2" s="1226"/>
      <c r="C2" s="1229"/>
      <c r="D2" s="2002" t="s">
        <v>1858</v>
      </c>
      <c r="E2" s="2032"/>
      <c r="F2" s="2033"/>
      <c r="G2" s="2033"/>
      <c r="H2" s="2033"/>
      <c r="I2" s="2033"/>
      <c r="J2" s="2033"/>
      <c r="K2" s="1228"/>
      <c r="L2" s="1228"/>
      <c r="M2" s="1222"/>
      <c r="N2" s="1222"/>
      <c r="O2" s="1222"/>
      <c r="P2" s="1222"/>
      <c r="Q2" s="1222"/>
      <c r="R2" s="1222"/>
      <c r="S2" s="1222"/>
      <c r="T2" s="1222"/>
      <c r="U2" s="1222"/>
    </row>
    <row r="3" spans="1:37" s="24" customFormat="1" ht="33.75" customHeight="1" x14ac:dyDescent="0.25">
      <c r="B3" s="1223"/>
      <c r="C3" s="1224"/>
      <c r="D3" s="1409"/>
      <c r="E3" s="1409"/>
      <c r="F3" s="1224"/>
      <c r="G3" s="1224"/>
      <c r="H3" s="1224"/>
      <c r="I3" s="1224"/>
      <c r="J3" s="1224"/>
      <c r="K3" s="1223"/>
      <c r="L3" s="1223"/>
      <c r="M3" s="1223"/>
      <c r="N3" s="1223"/>
      <c r="O3" s="1223"/>
      <c r="P3" s="1223"/>
      <c r="Q3" s="1223"/>
      <c r="R3" s="1223"/>
      <c r="S3" s="1223"/>
      <c r="T3" s="1223"/>
      <c r="U3" s="1223"/>
    </row>
    <row r="4" spans="1:37" x14ac:dyDescent="0.25">
      <c r="B4" s="2387" t="s">
        <v>1206</v>
      </c>
      <c r="C4" s="2387"/>
      <c r="D4" s="2387"/>
      <c r="E4" s="2387"/>
      <c r="F4" s="2387"/>
      <c r="G4" s="2387"/>
      <c r="H4" s="2387"/>
      <c r="I4" s="2387"/>
      <c r="J4" s="2387"/>
      <c r="K4" s="2387"/>
      <c r="L4" s="2387"/>
      <c r="M4" s="2387"/>
      <c r="N4" s="2269"/>
      <c r="O4" s="2269"/>
      <c r="P4" s="2269"/>
      <c r="Q4" s="2269"/>
      <c r="R4" s="2269"/>
      <c r="V4" s="2022" t="str">
        <f>B4</f>
        <v>AC Tune-up</v>
      </c>
      <c r="W4" s="2023"/>
      <c r="X4" s="2023"/>
      <c r="Y4" s="2023"/>
      <c r="Z4" s="2023"/>
      <c r="AA4" s="2023"/>
      <c r="AB4" s="2023"/>
      <c r="AC4" s="2024"/>
      <c r="AD4" s="2024"/>
      <c r="AE4" s="2024"/>
      <c r="AF4" s="2024"/>
      <c r="AG4" s="2024"/>
      <c r="AH4" s="2024"/>
      <c r="AI4" s="2025"/>
    </row>
    <row r="5" spans="1:37" x14ac:dyDescent="0.25">
      <c r="B5" s="1087"/>
      <c r="C5" s="1434"/>
      <c r="D5" s="1435"/>
      <c r="E5" s="1435"/>
      <c r="F5" s="1436"/>
      <c r="G5" s="1436"/>
      <c r="H5" s="1436"/>
      <c r="I5" s="1436"/>
      <c r="J5" s="1436"/>
      <c r="K5" s="1436"/>
      <c r="L5" s="1437"/>
    </row>
    <row r="6" spans="1:37" ht="45" x14ac:dyDescent="0.25">
      <c r="B6" s="1087"/>
      <c r="C6" s="184" t="s">
        <v>16</v>
      </c>
      <c r="D6" s="184" t="s">
        <v>509</v>
      </c>
      <c r="E6" s="184" t="s">
        <v>18</v>
      </c>
      <c r="F6" s="184" t="s">
        <v>19</v>
      </c>
      <c r="G6" s="184" t="s">
        <v>20</v>
      </c>
      <c r="H6" s="184" t="s">
        <v>21</v>
      </c>
      <c r="I6" s="184" t="s">
        <v>22</v>
      </c>
      <c r="J6" s="448" t="s">
        <v>23</v>
      </c>
      <c r="K6" s="184" t="s">
        <v>24</v>
      </c>
      <c r="L6" s="184" t="s">
        <v>25</v>
      </c>
      <c r="V6" s="48" t="s">
        <v>26</v>
      </c>
      <c r="W6" s="49">
        <v>43252</v>
      </c>
      <c r="X6" s="49">
        <v>43465</v>
      </c>
      <c r="Y6" s="49" t="s">
        <v>27</v>
      </c>
      <c r="Z6" s="49" t="s">
        <v>27</v>
      </c>
      <c r="AA6" s="49" t="s">
        <v>27</v>
      </c>
      <c r="AB6" s="49" t="s">
        <v>27</v>
      </c>
      <c r="AC6" s="49" t="s">
        <v>27</v>
      </c>
      <c r="AD6" s="49" t="s">
        <v>27</v>
      </c>
      <c r="AE6" s="49" t="s">
        <v>27</v>
      </c>
      <c r="AF6" s="49" t="s">
        <v>27</v>
      </c>
      <c r="AG6" s="49" t="s">
        <v>27</v>
      </c>
    </row>
    <row r="7" spans="1:37" s="801" customFormat="1" x14ac:dyDescent="0.25">
      <c r="B7" s="1087"/>
      <c r="C7" s="1137"/>
      <c r="D7" s="1151" t="s">
        <v>1250</v>
      </c>
      <c r="E7" s="208" t="s">
        <v>1231</v>
      </c>
      <c r="F7" s="1702">
        <f>(G21*G22*(1/G24-1/G28)/G32)</f>
        <v>142.50980392156862</v>
      </c>
      <c r="G7" s="1660" t="s">
        <v>578</v>
      </c>
      <c r="H7" s="170">
        <f>VLOOKUP(G7,'CP FACTORS'!$A$3:$B$38, 2, FALSE)</f>
        <v>9.4741810000000004E-4</v>
      </c>
      <c r="I7" s="1639">
        <f t="shared" ref="I7:I14" si="0">F7*H7</f>
        <v>0.13501636766274511</v>
      </c>
      <c r="J7" s="799">
        <f>$G$33</f>
        <v>2</v>
      </c>
      <c r="K7" s="800">
        <f>G34</f>
        <v>70</v>
      </c>
      <c r="L7" s="209" t="s">
        <v>31</v>
      </c>
      <c r="M7" s="904"/>
      <c r="N7" s="904"/>
      <c r="O7" s="904"/>
      <c r="P7" s="252"/>
      <c r="Q7" s="252"/>
      <c r="R7" s="1413"/>
      <c r="S7" s="904"/>
      <c r="T7" s="904"/>
      <c r="U7" s="904"/>
      <c r="V7" s="176" t="str">
        <f>F6</f>
        <v>kWh Annual Savings</v>
      </c>
      <c r="W7" s="177">
        <v>142.50980392156862</v>
      </c>
      <c r="X7" s="177">
        <v>142.50980392156862</v>
      </c>
      <c r="Y7" s="176"/>
      <c r="Z7" s="176"/>
      <c r="AA7" s="176"/>
      <c r="AB7" s="176"/>
      <c r="AC7" s="176"/>
      <c r="AD7" s="176"/>
      <c r="AE7" s="176"/>
      <c r="AF7" s="176"/>
      <c r="AG7" s="176"/>
      <c r="AK7" s="802"/>
    </row>
    <row r="8" spans="1:37" s="801" customFormat="1" x14ac:dyDescent="0.25">
      <c r="B8" s="1087"/>
      <c r="C8" s="1137"/>
      <c r="D8" s="1151" t="s">
        <v>1246</v>
      </c>
      <c r="E8" s="208" t="s">
        <v>1232</v>
      </c>
      <c r="F8" s="1702">
        <f>(G21*G23*(1/G24-1/G28)/G32)</f>
        <v>92.631372549019588</v>
      </c>
      <c r="G8" s="1660" t="s">
        <v>578</v>
      </c>
      <c r="H8" s="170">
        <f>VLOOKUP(G8,'CP FACTORS'!$A$3:$B$38, 2, FALSE)</f>
        <v>9.4741810000000004E-4</v>
      </c>
      <c r="I8" s="1639">
        <f t="shared" si="0"/>
        <v>8.7760638980784303E-2</v>
      </c>
      <c r="J8" s="799">
        <f t="shared" ref="J8:J14" si="1">$G$33</f>
        <v>2</v>
      </c>
      <c r="K8" s="800">
        <f t="shared" ref="K8:K14" si="2">G35</f>
        <v>70</v>
      </c>
      <c r="L8" s="209" t="s">
        <v>31</v>
      </c>
      <c r="M8" s="904"/>
      <c r="N8" s="904"/>
      <c r="O8" s="904"/>
      <c r="P8" s="904"/>
      <c r="Q8" s="904"/>
      <c r="R8" s="1413"/>
      <c r="S8" s="904"/>
      <c r="T8" s="904"/>
      <c r="U8" s="904"/>
      <c r="V8" s="176" t="str">
        <f t="shared" ref="V8:V14" si="3">V7</f>
        <v>kWh Annual Savings</v>
      </c>
      <c r="W8" s="177">
        <v>92.631372549019588</v>
      </c>
      <c r="X8" s="177">
        <v>92.631372549019588</v>
      </c>
      <c r="Y8" s="176"/>
      <c r="Z8" s="176"/>
      <c r="AA8" s="176"/>
      <c r="AB8" s="176"/>
      <c r="AC8" s="176"/>
      <c r="AD8" s="176"/>
      <c r="AE8" s="176"/>
      <c r="AF8" s="176"/>
      <c r="AG8" s="176"/>
      <c r="AK8" s="802"/>
    </row>
    <row r="9" spans="1:37" s="801" customFormat="1" x14ac:dyDescent="0.25">
      <c r="B9" s="1087"/>
      <c r="C9" s="1137"/>
      <c r="D9" s="1151" t="s">
        <v>1250</v>
      </c>
      <c r="E9" s="208" t="s">
        <v>1233</v>
      </c>
      <c r="F9" s="1702">
        <f>(G21*G22*(1/G25-1/G29)/G32)</f>
        <v>594.39336108275074</v>
      </c>
      <c r="G9" s="1660" t="s">
        <v>578</v>
      </c>
      <c r="H9" s="170">
        <f>VLOOKUP(G9,'CP FACTORS'!$A$3:$B$38, 2, FALSE)</f>
        <v>9.4741810000000004E-4</v>
      </c>
      <c r="I9" s="1639">
        <f t="shared" si="0"/>
        <v>0.56313902880963362</v>
      </c>
      <c r="J9" s="799">
        <f t="shared" si="1"/>
        <v>2</v>
      </c>
      <c r="K9" s="800">
        <f t="shared" si="2"/>
        <v>81</v>
      </c>
      <c r="L9" s="209" t="s">
        <v>31</v>
      </c>
      <c r="M9" s="904"/>
      <c r="N9" s="904"/>
      <c r="O9" s="904"/>
      <c r="P9" s="904"/>
      <c r="Q9" s="904"/>
      <c r="R9" s="1413"/>
      <c r="S9" s="904"/>
      <c r="T9" s="904"/>
      <c r="U9" s="904"/>
      <c r="V9" s="176" t="str">
        <f t="shared" si="3"/>
        <v>kWh Annual Savings</v>
      </c>
      <c r="W9" s="177">
        <v>594.39336108275074</v>
      </c>
      <c r="X9" s="177">
        <v>594.39336108275074</v>
      </c>
      <c r="Y9" s="176"/>
      <c r="Z9" s="176"/>
      <c r="AA9" s="176"/>
      <c r="AB9" s="176"/>
      <c r="AC9" s="176"/>
      <c r="AD9" s="176"/>
      <c r="AE9" s="176"/>
      <c r="AF9" s="176"/>
      <c r="AG9" s="176"/>
      <c r="AK9" s="802"/>
    </row>
    <row r="10" spans="1:37" s="801" customFormat="1" x14ac:dyDescent="0.25">
      <c r="B10" s="1087"/>
      <c r="C10" s="1137"/>
      <c r="D10" s="1151" t="s">
        <v>1246</v>
      </c>
      <c r="E10" s="208" t="s">
        <v>1234</v>
      </c>
      <c r="F10" s="1702">
        <f>(G21*G23*(1/G25-1/G29)/G32)</f>
        <v>386.35568470378792</v>
      </c>
      <c r="G10" s="1660" t="s">
        <v>578</v>
      </c>
      <c r="H10" s="170">
        <f>VLOOKUP(G10,'CP FACTORS'!$A$3:$B$38, 2, FALSE)</f>
        <v>9.4741810000000004E-4</v>
      </c>
      <c r="I10" s="1639">
        <f t="shared" si="0"/>
        <v>0.36604036872626183</v>
      </c>
      <c r="J10" s="799">
        <f t="shared" si="1"/>
        <v>2</v>
      </c>
      <c r="K10" s="800">
        <f t="shared" si="2"/>
        <v>81</v>
      </c>
      <c r="L10" s="209" t="s">
        <v>31</v>
      </c>
      <c r="M10" s="904"/>
      <c r="N10" s="904"/>
      <c r="O10" s="904"/>
      <c r="P10" s="904"/>
      <c r="Q10" s="904"/>
      <c r="R10" s="1413"/>
      <c r="S10" s="904"/>
      <c r="T10" s="904"/>
      <c r="U10" s="904"/>
      <c r="V10" s="176" t="str">
        <f t="shared" si="3"/>
        <v>kWh Annual Savings</v>
      </c>
      <c r="W10" s="177">
        <v>386.35568470378792</v>
      </c>
      <c r="X10" s="177">
        <v>386.35568470378792</v>
      </c>
      <c r="Y10" s="176"/>
      <c r="Z10" s="176"/>
      <c r="AA10" s="176"/>
      <c r="AB10" s="176"/>
      <c r="AC10" s="176"/>
      <c r="AD10" s="176"/>
      <c r="AE10" s="176"/>
      <c r="AF10" s="176"/>
      <c r="AG10" s="176"/>
      <c r="AK10" s="802"/>
    </row>
    <row r="11" spans="1:37" s="801" customFormat="1" x14ac:dyDescent="0.25">
      <c r="B11" s="1087"/>
      <c r="C11" s="1137"/>
      <c r="D11" s="1151" t="s">
        <v>1250</v>
      </c>
      <c r="E11" s="208" t="s">
        <v>1235</v>
      </c>
      <c r="F11" s="1702">
        <f>(G21*G22*(1/G26-1/G30)/G32)</f>
        <v>98.380013276987171</v>
      </c>
      <c r="G11" s="1660" t="s">
        <v>578</v>
      </c>
      <c r="H11" s="170">
        <f>VLOOKUP(G11,'CP FACTORS'!$A$3:$B$38, 2, FALSE)</f>
        <v>9.4741810000000004E-4</v>
      </c>
      <c r="I11" s="1639">
        <f t="shared" si="0"/>
        <v>9.3207005256857961E-2</v>
      </c>
      <c r="J11" s="799">
        <f t="shared" si="1"/>
        <v>2</v>
      </c>
      <c r="K11" s="800">
        <f t="shared" si="2"/>
        <v>63</v>
      </c>
      <c r="L11" s="209" t="s">
        <v>31</v>
      </c>
      <c r="M11" s="904"/>
      <c r="N11" s="904"/>
      <c r="O11" s="904"/>
      <c r="P11" s="904"/>
      <c r="Q11" s="904"/>
      <c r="R11" s="1413"/>
      <c r="S11" s="904"/>
      <c r="T11" s="904"/>
      <c r="U11" s="904"/>
      <c r="V11" s="176" t="str">
        <f t="shared" si="3"/>
        <v>kWh Annual Savings</v>
      </c>
      <c r="W11" s="177">
        <v>98.380013276987171</v>
      </c>
      <c r="X11" s="177">
        <v>98.380013276987171</v>
      </c>
      <c r="Y11" s="176"/>
      <c r="Z11" s="176"/>
      <c r="AA11" s="176"/>
      <c r="AB11" s="176"/>
      <c r="AC11" s="176"/>
      <c r="AD11" s="176"/>
      <c r="AE11" s="176"/>
      <c r="AF11" s="176"/>
      <c r="AG11" s="176"/>
      <c r="AK11" s="802"/>
    </row>
    <row r="12" spans="1:37" s="801" customFormat="1" x14ac:dyDescent="0.25">
      <c r="B12" s="1087"/>
      <c r="C12" s="1137"/>
      <c r="D12" s="1151" t="s">
        <v>1246</v>
      </c>
      <c r="E12" s="208" t="s">
        <v>1236</v>
      </c>
      <c r="F12" s="1702">
        <f>(G21*G23*(1/G26-1/G30)/G32)</f>
        <v>63.947008630041665</v>
      </c>
      <c r="G12" s="1660" t="s">
        <v>578</v>
      </c>
      <c r="H12" s="170">
        <f>VLOOKUP(G12,'CP FACTORS'!$A$3:$B$38, 2, FALSE)</f>
        <v>9.4741810000000004E-4</v>
      </c>
      <c r="I12" s="1639">
        <f t="shared" si="0"/>
        <v>6.0584553416957683E-2</v>
      </c>
      <c r="J12" s="799">
        <f t="shared" si="1"/>
        <v>2</v>
      </c>
      <c r="K12" s="800">
        <f t="shared" si="2"/>
        <v>63</v>
      </c>
      <c r="L12" s="209" t="s">
        <v>31</v>
      </c>
      <c r="M12" s="904"/>
      <c r="N12" s="904"/>
      <c r="O12" s="904"/>
      <c r="P12" s="904"/>
      <c r="Q12" s="904"/>
      <c r="R12" s="1413"/>
      <c r="S12" s="904"/>
      <c r="T12" s="904"/>
      <c r="U12" s="904"/>
      <c r="V12" s="176" t="str">
        <f t="shared" si="3"/>
        <v>kWh Annual Savings</v>
      </c>
      <c r="W12" s="177">
        <v>63.947008630041665</v>
      </c>
      <c r="X12" s="177">
        <v>63.947008630041665</v>
      </c>
      <c r="Y12" s="176"/>
      <c r="Z12" s="176"/>
      <c r="AA12" s="176"/>
      <c r="AB12" s="176"/>
      <c r="AC12" s="176"/>
      <c r="AD12" s="176"/>
      <c r="AE12" s="176"/>
      <c r="AF12" s="176"/>
      <c r="AG12" s="176"/>
      <c r="AK12" s="802"/>
    </row>
    <row r="13" spans="1:37" s="801" customFormat="1" x14ac:dyDescent="0.25">
      <c r="B13" s="1087"/>
      <c r="C13" s="1137"/>
      <c r="D13" s="1151" t="s">
        <v>1250</v>
      </c>
      <c r="E13" s="208" t="s">
        <v>1237</v>
      </c>
      <c r="F13" s="1702">
        <f>(G21*G22*(1/G27-1/G31)/G32)</f>
        <v>196.75522776302316</v>
      </c>
      <c r="G13" s="1660" t="s">
        <v>578</v>
      </c>
      <c r="H13" s="170">
        <f>VLOOKUP(G13,'CP FACTORS'!$A$3:$B$38, 2, FALSE)</f>
        <v>9.4741810000000004E-4</v>
      </c>
      <c r="I13" s="1639">
        <f t="shared" si="0"/>
        <v>0.18640946405231065</v>
      </c>
      <c r="J13" s="799">
        <f t="shared" si="1"/>
        <v>2</v>
      </c>
      <c r="K13" s="800">
        <f t="shared" si="2"/>
        <v>31</v>
      </c>
      <c r="L13" s="209" t="s">
        <v>31</v>
      </c>
      <c r="M13" s="904"/>
      <c r="N13" s="904"/>
      <c r="O13" s="904"/>
      <c r="P13" s="904"/>
      <c r="Q13" s="904"/>
      <c r="R13" s="1413"/>
      <c r="S13" s="904"/>
      <c r="T13" s="904"/>
      <c r="U13" s="904"/>
      <c r="V13" s="176" t="str">
        <f t="shared" si="3"/>
        <v>kWh Annual Savings</v>
      </c>
      <c r="W13" s="177">
        <v>196.75522776302316</v>
      </c>
      <c r="X13" s="177">
        <v>196.75522776302316</v>
      </c>
      <c r="Y13" s="176"/>
      <c r="Z13" s="176"/>
      <c r="AA13" s="176"/>
      <c r="AB13" s="176"/>
      <c r="AC13" s="176"/>
      <c r="AD13" s="176"/>
      <c r="AE13" s="176"/>
      <c r="AF13" s="176"/>
      <c r="AG13" s="176"/>
      <c r="AK13" s="802"/>
    </row>
    <row r="14" spans="1:37" s="801" customFormat="1" x14ac:dyDescent="0.25">
      <c r="B14" s="1087"/>
      <c r="C14" s="1137"/>
      <c r="D14" s="1151" t="s">
        <v>1246</v>
      </c>
      <c r="E14" s="208" t="s">
        <v>1238</v>
      </c>
      <c r="F14" s="1702">
        <f>(G21*G23*(1/G27-1/G31)/G32)</f>
        <v>127.89089804596506</v>
      </c>
      <c r="G14" s="1660" t="s">
        <v>578</v>
      </c>
      <c r="H14" s="170">
        <f>VLOOKUP(G14,'CP FACTORS'!$A$3:$B$38, 2, FALSE)</f>
        <v>9.4741810000000004E-4</v>
      </c>
      <c r="I14" s="1639">
        <f t="shared" si="0"/>
        <v>0.12116615163400193</v>
      </c>
      <c r="J14" s="799">
        <f t="shared" si="1"/>
        <v>2</v>
      </c>
      <c r="K14" s="800">
        <f t="shared" si="2"/>
        <v>31</v>
      </c>
      <c r="L14" s="209" t="s">
        <v>31</v>
      </c>
      <c r="M14" s="904"/>
      <c r="N14" s="904"/>
      <c r="O14" s="904"/>
      <c r="P14" s="904"/>
      <c r="Q14" s="904"/>
      <c r="R14" s="1413"/>
      <c r="S14" s="904"/>
      <c r="T14" s="904"/>
      <c r="U14" s="904"/>
      <c r="V14" s="176" t="str">
        <f t="shared" si="3"/>
        <v>kWh Annual Savings</v>
      </c>
      <c r="W14" s="177">
        <v>127.89089804596506</v>
      </c>
      <c r="X14" s="177">
        <v>127.89089804596506</v>
      </c>
      <c r="Y14" s="176"/>
      <c r="Z14" s="176"/>
      <c r="AA14" s="176"/>
      <c r="AB14" s="176"/>
      <c r="AC14" s="176"/>
      <c r="AD14" s="176"/>
      <c r="AE14" s="176"/>
      <c r="AF14" s="176"/>
      <c r="AG14" s="176"/>
      <c r="AK14" s="802"/>
    </row>
    <row r="15" spans="1:37" outlineLevel="1" x14ac:dyDescent="0.25">
      <c r="B15" s="1087"/>
      <c r="C15" s="1410"/>
      <c r="D15" s="1411"/>
      <c r="E15" s="1411"/>
      <c r="F15" s="1703"/>
      <c r="G15" s="175"/>
      <c r="H15" s="175"/>
      <c r="I15" s="175"/>
      <c r="J15" s="175"/>
      <c r="V15"/>
      <c r="W15"/>
      <c r="X15"/>
      <c r="Y15"/>
      <c r="Z15"/>
      <c r="AA15"/>
      <c r="AB15"/>
      <c r="AC15"/>
      <c r="AD15"/>
      <c r="AE15"/>
      <c r="AF15"/>
      <c r="AG15"/>
      <c r="AK15" s="802"/>
    </row>
    <row r="16" spans="1:37" outlineLevel="1" x14ac:dyDescent="0.25">
      <c r="B16" s="1087"/>
      <c r="C16" s="1410"/>
      <c r="D16" s="803" t="s">
        <v>1239</v>
      </c>
      <c r="E16" s="1463"/>
      <c r="F16" s="1704"/>
      <c r="G16" s="175"/>
      <c r="H16" s="175"/>
      <c r="I16" s="175"/>
      <c r="J16" s="175"/>
      <c r="V16"/>
      <c r="W16"/>
      <c r="X16"/>
      <c r="Y16"/>
      <c r="Z16"/>
      <c r="AA16"/>
      <c r="AB16"/>
      <c r="AC16"/>
      <c r="AD16"/>
      <c r="AE16"/>
      <c r="AF16"/>
      <c r="AG16"/>
      <c r="AK16" s="802"/>
    </row>
    <row r="17" spans="2:37" outlineLevel="1" x14ac:dyDescent="0.25">
      <c r="B17" s="1087"/>
      <c r="C17" s="1410"/>
      <c r="D17" s="1705"/>
      <c r="E17" s="1706"/>
      <c r="F17" s="1704"/>
      <c r="G17" s="175"/>
      <c r="H17" s="175"/>
      <c r="I17" s="175"/>
      <c r="J17" s="175"/>
      <c r="K17" s="175"/>
      <c r="L17" s="175"/>
      <c r="V17"/>
      <c r="W17"/>
      <c r="X17"/>
      <c r="Y17"/>
      <c r="Z17"/>
      <c r="AA17"/>
      <c r="AB17"/>
      <c r="AC17"/>
      <c r="AD17"/>
      <c r="AE17"/>
      <c r="AF17"/>
      <c r="AG17"/>
      <c r="AK17" s="802"/>
    </row>
    <row r="18" spans="2:37" ht="15" customHeight="1" outlineLevel="1" x14ac:dyDescent="0.25">
      <c r="B18" s="1087"/>
      <c r="C18" s="1410"/>
      <c r="D18" s="1705"/>
      <c r="E18" s="1463"/>
      <c r="F18" s="1704"/>
      <c r="G18" s="175"/>
      <c r="H18" s="175"/>
      <c r="I18" s="175"/>
      <c r="J18" s="175"/>
      <c r="K18" s="175"/>
      <c r="L18" s="175"/>
      <c r="AK18" s="802"/>
    </row>
    <row r="19" spans="2:37" ht="15" customHeight="1" outlineLevel="1" x14ac:dyDescent="0.25">
      <c r="B19" s="1087"/>
      <c r="C19" s="1410"/>
      <c r="D19" s="1411"/>
      <c r="E19" s="1411"/>
      <c r="F19" s="175"/>
      <c r="G19" s="175"/>
      <c r="H19" s="175"/>
      <c r="I19" s="175"/>
      <c r="J19" s="175"/>
      <c r="K19" s="175"/>
      <c r="L19" s="175"/>
      <c r="AK19" s="802"/>
    </row>
    <row r="20" spans="2:37" ht="15" customHeight="1" outlineLevel="1" x14ac:dyDescent="0.25">
      <c r="B20" s="1087"/>
      <c r="C20" s="1410"/>
      <c r="D20" s="1098" t="s">
        <v>465</v>
      </c>
      <c r="E20" s="1098" t="s">
        <v>466</v>
      </c>
      <c r="F20" s="1098" t="s">
        <v>514</v>
      </c>
      <c r="G20" s="604" t="s">
        <v>467</v>
      </c>
      <c r="H20" s="2050" t="s">
        <v>515</v>
      </c>
      <c r="I20" s="2050"/>
      <c r="J20" s="2075"/>
      <c r="K20" s="2050" t="s">
        <v>468</v>
      </c>
      <c r="L20" s="2050"/>
      <c r="M20" s="2050"/>
      <c r="N20" s="2050"/>
      <c r="V20" s="48" t="s">
        <v>26</v>
      </c>
      <c r="W20" s="49">
        <f>W$6</f>
        <v>43252</v>
      </c>
      <c r="X20" s="49">
        <f t="shared" ref="X20:AG20" si="4">X$6</f>
        <v>43465</v>
      </c>
      <c r="Y20" s="49" t="str">
        <f t="shared" si="4"/>
        <v>-</v>
      </c>
      <c r="Z20" s="49" t="str">
        <f t="shared" si="4"/>
        <v>-</v>
      </c>
      <c r="AA20" s="49" t="str">
        <f t="shared" si="4"/>
        <v>-</v>
      </c>
      <c r="AB20" s="49" t="str">
        <f t="shared" si="4"/>
        <v>-</v>
      </c>
      <c r="AC20" s="49" t="str">
        <f t="shared" si="4"/>
        <v>-</v>
      </c>
      <c r="AD20" s="49" t="str">
        <f t="shared" si="4"/>
        <v>-</v>
      </c>
      <c r="AE20" s="49" t="str">
        <f t="shared" si="4"/>
        <v>-</v>
      </c>
      <c r="AF20" s="49" t="str">
        <f t="shared" si="4"/>
        <v>-</v>
      </c>
      <c r="AG20" s="49" t="str">
        <f t="shared" si="4"/>
        <v>-</v>
      </c>
      <c r="AK20" s="802"/>
    </row>
    <row r="21" spans="2:37" ht="18" customHeight="1" outlineLevel="1" x14ac:dyDescent="0.25">
      <c r="B21" s="1087"/>
      <c r="C21" s="1425"/>
      <c r="D21" s="807" t="s">
        <v>1416</v>
      </c>
      <c r="E21" s="807" t="s">
        <v>1041</v>
      </c>
      <c r="F21" s="797"/>
      <c r="G21" s="1146">
        <v>869</v>
      </c>
      <c r="H21" s="2349" t="s">
        <v>1240</v>
      </c>
      <c r="I21" s="2349"/>
      <c r="J21" s="2345"/>
      <c r="K21" s="2349"/>
      <c r="L21" s="2349"/>
      <c r="M21" s="2349"/>
      <c r="N21" s="2349"/>
      <c r="V21" s="804" t="str">
        <f>D21</f>
        <v>EFLHcool</v>
      </c>
      <c r="W21" s="806">
        <v>869</v>
      </c>
      <c r="X21" s="806">
        <v>869</v>
      </c>
      <c r="Y21" s="207"/>
      <c r="Z21" s="207"/>
      <c r="AA21" s="207"/>
      <c r="AB21" s="207"/>
      <c r="AC21" s="207"/>
      <c r="AD21" s="207"/>
      <c r="AE21" s="207"/>
      <c r="AF21" s="207"/>
      <c r="AG21" s="207"/>
      <c r="AK21" s="802"/>
    </row>
    <row r="22" spans="2:37" ht="15" customHeight="1" outlineLevel="1" x14ac:dyDescent="0.25">
      <c r="B22" s="1087"/>
      <c r="C22" s="1425"/>
      <c r="D22" s="2339" t="s">
        <v>1417</v>
      </c>
      <c r="E22" s="2339" t="s">
        <v>1210</v>
      </c>
      <c r="F22" s="797" t="s">
        <v>612</v>
      </c>
      <c r="G22" s="1146">
        <v>36800</v>
      </c>
      <c r="H22" s="2345" t="s">
        <v>1241</v>
      </c>
      <c r="I22" s="2351"/>
      <c r="J22" s="2352"/>
      <c r="K22" s="2349" t="s">
        <v>1211</v>
      </c>
      <c r="L22" s="2349"/>
      <c r="M22" s="2349"/>
      <c r="N22" s="2349"/>
      <c r="V22" s="2342" t="str">
        <f>D22</f>
        <v>Capacitycool</v>
      </c>
      <c r="W22" s="806">
        <v>36800</v>
      </c>
      <c r="X22" s="806">
        <v>36800</v>
      </c>
      <c r="Y22" s="207"/>
      <c r="Z22" s="207"/>
      <c r="AA22" s="207"/>
      <c r="AB22" s="207"/>
      <c r="AC22" s="207"/>
      <c r="AD22" s="207"/>
      <c r="AE22" s="207"/>
      <c r="AF22" s="207"/>
      <c r="AG22" s="207"/>
      <c r="AK22" s="802"/>
    </row>
    <row r="23" spans="2:37" ht="15" customHeight="1" outlineLevel="1" x14ac:dyDescent="0.25">
      <c r="B23" s="1087"/>
      <c r="C23" s="1425"/>
      <c r="D23" s="2341"/>
      <c r="E23" s="2341"/>
      <c r="F23" s="797" t="s">
        <v>614</v>
      </c>
      <c r="G23" s="1146">
        <v>23920</v>
      </c>
      <c r="H23" s="2345" t="s">
        <v>1802</v>
      </c>
      <c r="I23" s="2351"/>
      <c r="J23" s="2352"/>
      <c r="K23" s="2349"/>
      <c r="L23" s="2349"/>
      <c r="M23" s="2349"/>
      <c r="N23" s="2349"/>
      <c r="V23" s="2344"/>
      <c r="W23" s="806">
        <v>23920</v>
      </c>
      <c r="X23" s="806">
        <v>23920</v>
      </c>
      <c r="Y23" s="207"/>
      <c r="Z23" s="207"/>
      <c r="AA23" s="207"/>
      <c r="AB23" s="207"/>
      <c r="AC23" s="207"/>
      <c r="AD23" s="207"/>
      <c r="AE23" s="207"/>
      <c r="AF23" s="207"/>
      <c r="AG23" s="207"/>
      <c r="AK23" s="802"/>
    </row>
    <row r="24" spans="2:37" outlineLevel="1" x14ac:dyDescent="0.25">
      <c r="B24" s="1087"/>
      <c r="C24" s="1425"/>
      <c r="D24" s="2339" t="s">
        <v>1242</v>
      </c>
      <c r="E24" s="2339" t="s">
        <v>1212</v>
      </c>
      <c r="F24" s="797" t="s">
        <v>1216</v>
      </c>
      <c r="G24" s="884">
        <v>11.9</v>
      </c>
      <c r="H24" s="2349" t="s">
        <v>972</v>
      </c>
      <c r="I24" s="2349"/>
      <c r="J24" s="2345"/>
      <c r="K24" s="2285"/>
      <c r="L24" s="2285"/>
      <c r="M24" s="2285"/>
      <c r="N24" s="2285"/>
      <c r="V24" s="2342" t="str">
        <f>D24</f>
        <v>SEERtest-in</v>
      </c>
      <c r="W24" s="808">
        <v>11.9</v>
      </c>
      <c r="X24" s="808">
        <v>11.9</v>
      </c>
      <c r="Y24" s="200"/>
      <c r="Z24" s="200"/>
      <c r="AA24" s="200"/>
      <c r="AB24" s="200"/>
      <c r="AC24" s="200"/>
      <c r="AD24" s="200"/>
      <c r="AE24" s="200"/>
      <c r="AF24" s="200"/>
      <c r="AG24" s="200"/>
      <c r="AK24" s="802"/>
    </row>
    <row r="25" spans="2:37" ht="15" customHeight="1" outlineLevel="1" x14ac:dyDescent="0.25">
      <c r="B25" s="1087"/>
      <c r="C25" s="1425"/>
      <c r="D25" s="2340"/>
      <c r="E25" s="2340"/>
      <c r="F25" s="797" t="s">
        <v>1217</v>
      </c>
      <c r="G25" s="884">
        <v>11.9</v>
      </c>
      <c r="H25" s="2349"/>
      <c r="I25" s="2349"/>
      <c r="J25" s="2345"/>
      <c r="K25" s="2285"/>
      <c r="L25" s="2285"/>
      <c r="M25" s="2285"/>
      <c r="N25" s="2285"/>
      <c r="V25" s="2343"/>
      <c r="W25" s="808">
        <v>11.9</v>
      </c>
      <c r="X25" s="808">
        <v>11.9</v>
      </c>
      <c r="Y25" s="200"/>
      <c r="Z25" s="200"/>
      <c r="AA25" s="200"/>
      <c r="AB25" s="200"/>
      <c r="AC25" s="200"/>
      <c r="AD25" s="200"/>
      <c r="AE25" s="200"/>
      <c r="AF25" s="200"/>
      <c r="AG25" s="200"/>
      <c r="AK25" s="802"/>
    </row>
    <row r="26" spans="2:37" ht="15" customHeight="1" outlineLevel="1" x14ac:dyDescent="0.25">
      <c r="B26" s="905"/>
      <c r="C26" s="1425"/>
      <c r="D26" s="2340"/>
      <c r="E26" s="2340"/>
      <c r="F26" s="797" t="s">
        <v>1218</v>
      </c>
      <c r="G26" s="884">
        <v>11.9</v>
      </c>
      <c r="H26" s="2349" t="s">
        <v>972</v>
      </c>
      <c r="I26" s="2349"/>
      <c r="J26" s="2345"/>
      <c r="K26" s="2285" t="s">
        <v>1243</v>
      </c>
      <c r="L26" s="2285"/>
      <c r="M26" s="2285"/>
      <c r="N26" s="2285"/>
      <c r="V26" s="2343"/>
      <c r="W26" s="808">
        <v>11.9</v>
      </c>
      <c r="X26" s="808">
        <v>11.9</v>
      </c>
      <c r="Y26" s="200"/>
      <c r="Z26" s="200"/>
      <c r="AA26" s="200"/>
      <c r="AB26" s="200"/>
      <c r="AC26" s="200"/>
      <c r="AD26" s="200"/>
      <c r="AE26" s="200"/>
      <c r="AF26" s="200"/>
      <c r="AG26" s="200"/>
      <c r="AK26" s="802"/>
    </row>
    <row r="27" spans="2:37" ht="15" customHeight="1" outlineLevel="1" x14ac:dyDescent="0.25">
      <c r="B27" s="905"/>
      <c r="C27" s="1425"/>
      <c r="D27" s="2341"/>
      <c r="E27" s="2341"/>
      <c r="F27" s="797" t="s">
        <v>1219</v>
      </c>
      <c r="G27" s="805">
        <v>11.9</v>
      </c>
      <c r="H27" s="2349"/>
      <c r="I27" s="2349"/>
      <c r="J27" s="2345"/>
      <c r="K27" s="2285"/>
      <c r="L27" s="2285"/>
      <c r="M27" s="2285"/>
      <c r="N27" s="2285"/>
      <c r="V27" s="2344"/>
      <c r="W27" s="808">
        <v>11.9</v>
      </c>
      <c r="X27" s="808">
        <v>11.9</v>
      </c>
      <c r="Y27" s="200"/>
      <c r="Z27" s="200"/>
      <c r="AA27" s="200"/>
      <c r="AB27" s="200"/>
      <c r="AC27" s="200"/>
      <c r="AD27" s="200"/>
      <c r="AE27" s="200"/>
      <c r="AF27" s="200"/>
      <c r="AG27" s="200"/>
      <c r="AK27" s="802"/>
    </row>
    <row r="28" spans="2:37" ht="15" customHeight="1" outlineLevel="1" x14ac:dyDescent="0.25">
      <c r="B28" s="1087"/>
      <c r="C28" s="1425"/>
      <c r="D28" s="2339" t="s">
        <v>1419</v>
      </c>
      <c r="E28" s="2339" t="s">
        <v>1215</v>
      </c>
      <c r="F28" s="797" t="s">
        <v>1216</v>
      </c>
      <c r="G28" s="884">
        <v>12.566400000000002</v>
      </c>
      <c r="H28" s="2349" t="s">
        <v>972</v>
      </c>
      <c r="I28" s="2349"/>
      <c r="J28" s="2345"/>
      <c r="K28" s="2285"/>
      <c r="L28" s="2285"/>
      <c r="M28" s="2285"/>
      <c r="N28" s="2285"/>
      <c r="V28" s="2342" t="str">
        <f>D28</f>
        <v>SEERtest-out</v>
      </c>
      <c r="W28" s="808">
        <f>W24*(1+0.056)</f>
        <v>12.566400000000002</v>
      </c>
      <c r="X28" s="808">
        <f>X24*(1+0.056)</f>
        <v>12.566400000000002</v>
      </c>
      <c r="Y28" s="200"/>
      <c r="Z28" s="200"/>
      <c r="AA28" s="200"/>
      <c r="AB28" s="200"/>
      <c r="AC28" s="200"/>
      <c r="AD28" s="200"/>
      <c r="AE28" s="200"/>
      <c r="AF28" s="200"/>
      <c r="AG28" s="200"/>
      <c r="AK28" s="802"/>
    </row>
    <row r="29" spans="2:37" ht="15" customHeight="1" outlineLevel="1" x14ac:dyDescent="0.25">
      <c r="B29" s="1087"/>
      <c r="C29" s="1425"/>
      <c r="D29" s="2340"/>
      <c r="E29" s="2340"/>
      <c r="F29" s="797" t="s">
        <v>1217</v>
      </c>
      <c r="G29" s="884">
        <v>15.2796</v>
      </c>
      <c r="H29" s="2349"/>
      <c r="I29" s="2349"/>
      <c r="J29" s="2345"/>
      <c r="K29" s="2285" t="s">
        <v>1243</v>
      </c>
      <c r="L29" s="2285"/>
      <c r="M29" s="2285"/>
      <c r="N29" s="2285"/>
      <c r="V29" s="2343"/>
      <c r="W29" s="808">
        <f>W25*(1+0.284)</f>
        <v>15.2796</v>
      </c>
      <c r="X29" s="808">
        <f>X25*(1+0.284)</f>
        <v>15.2796</v>
      </c>
      <c r="Y29" s="200"/>
      <c r="Z29" s="200"/>
      <c r="AA29" s="200"/>
      <c r="AB29" s="200"/>
      <c r="AC29" s="200"/>
      <c r="AD29" s="200"/>
      <c r="AE29" s="200"/>
      <c r="AF29" s="200"/>
      <c r="AG29" s="200"/>
      <c r="AK29" s="802"/>
    </row>
    <row r="30" spans="2:37" ht="15" customHeight="1" outlineLevel="1" x14ac:dyDescent="0.25">
      <c r="B30" s="905"/>
      <c r="C30" s="1425"/>
      <c r="D30" s="2340"/>
      <c r="E30" s="2340"/>
      <c r="F30" s="797" t="s">
        <v>1218</v>
      </c>
      <c r="G30" s="884">
        <v>12.352200000000002</v>
      </c>
      <c r="H30" s="2349" t="s">
        <v>972</v>
      </c>
      <c r="I30" s="2349"/>
      <c r="J30" s="2345"/>
      <c r="K30" s="2285" t="s">
        <v>1243</v>
      </c>
      <c r="L30" s="2285"/>
      <c r="M30" s="2285"/>
      <c r="N30" s="2285"/>
      <c r="V30" s="2343"/>
      <c r="W30" s="808">
        <f>W26*(1+0.038)</f>
        <v>12.352200000000002</v>
      </c>
      <c r="X30" s="808">
        <f>X26*(1+0.038)</f>
        <v>12.352200000000002</v>
      </c>
      <c r="Y30" s="200"/>
      <c r="Z30" s="200"/>
      <c r="AA30" s="200"/>
      <c r="AB30" s="200"/>
      <c r="AC30" s="200"/>
      <c r="AD30" s="200"/>
      <c r="AE30" s="200"/>
      <c r="AF30" s="200"/>
      <c r="AG30" s="200"/>
      <c r="AK30" s="802"/>
    </row>
    <row r="31" spans="2:37" ht="15" customHeight="1" outlineLevel="1" x14ac:dyDescent="0.25">
      <c r="B31" s="905"/>
      <c r="C31" s="1425"/>
      <c r="D31" s="2341"/>
      <c r="E31" s="2341"/>
      <c r="F31" s="797" t="s">
        <v>1219</v>
      </c>
      <c r="G31" s="805">
        <v>12.8401</v>
      </c>
      <c r="H31" s="2349"/>
      <c r="I31" s="2349"/>
      <c r="J31" s="2345"/>
      <c r="K31" s="2285" t="s">
        <v>1243</v>
      </c>
      <c r="L31" s="2285"/>
      <c r="M31" s="2285"/>
      <c r="N31" s="2285"/>
      <c r="V31" s="2344"/>
      <c r="W31" s="200">
        <f>W27*(1+0.079)</f>
        <v>12.8401</v>
      </c>
      <c r="X31" s="810">
        <f>X27*(1+0.079)</f>
        <v>12.8401</v>
      </c>
      <c r="Y31" s="200"/>
      <c r="Z31" s="200"/>
      <c r="AA31" s="200"/>
      <c r="AB31" s="200"/>
      <c r="AC31" s="200"/>
      <c r="AD31" s="200"/>
      <c r="AE31" s="200"/>
      <c r="AF31" s="200"/>
      <c r="AG31" s="200"/>
      <c r="AK31" s="802"/>
    </row>
    <row r="32" spans="2:37" ht="15" customHeight="1" outlineLevel="1" x14ac:dyDescent="0.25">
      <c r="B32" s="905"/>
      <c r="C32" s="1425"/>
      <c r="D32" s="888">
        <v>1000</v>
      </c>
      <c r="E32" s="889" t="s">
        <v>1220</v>
      </c>
      <c r="F32" s="797"/>
      <c r="G32" s="1146">
        <v>1000</v>
      </c>
      <c r="H32" s="2228" t="s">
        <v>1221</v>
      </c>
      <c r="I32" s="2228"/>
      <c r="J32" s="2229"/>
      <c r="K32" s="2349"/>
      <c r="L32" s="2349"/>
      <c r="M32" s="2349"/>
      <c r="N32" s="2349"/>
      <c r="V32" s="809">
        <f>D32</f>
        <v>1000</v>
      </c>
      <c r="W32" s="806">
        <v>1000</v>
      </c>
      <c r="X32" s="806">
        <v>1000</v>
      </c>
      <c r="Y32" s="207"/>
      <c r="Z32" s="207"/>
      <c r="AA32" s="207"/>
      <c r="AB32" s="207"/>
      <c r="AC32" s="207"/>
      <c r="AD32" s="207"/>
      <c r="AE32" s="207"/>
      <c r="AF32" s="207"/>
      <c r="AG32" s="207"/>
      <c r="AK32" s="802"/>
    </row>
    <row r="33" spans="1:37" ht="30" customHeight="1" outlineLevel="1" x14ac:dyDescent="0.25">
      <c r="B33" s="905"/>
      <c r="C33" s="1425"/>
      <c r="D33" s="807" t="str">
        <f>J6</f>
        <v>EUL</v>
      </c>
      <c r="E33" s="807" t="s">
        <v>504</v>
      </c>
      <c r="F33" s="1707" t="s">
        <v>483</v>
      </c>
      <c r="G33" s="1146">
        <v>2</v>
      </c>
      <c r="H33" s="2228"/>
      <c r="I33" s="2228"/>
      <c r="J33" s="2229"/>
      <c r="K33" s="2349"/>
      <c r="L33" s="2349"/>
      <c r="M33" s="2349"/>
      <c r="N33" s="2349"/>
      <c r="V33" s="809" t="str">
        <f>D33</f>
        <v>EUL</v>
      </c>
      <c r="W33" s="806">
        <v>2</v>
      </c>
      <c r="X33" s="806">
        <v>2</v>
      </c>
      <c r="Y33" s="207"/>
      <c r="Z33" s="207"/>
      <c r="AA33" s="207"/>
      <c r="AB33" s="207"/>
      <c r="AC33" s="207"/>
      <c r="AD33" s="207"/>
      <c r="AE33" s="207"/>
      <c r="AF33" s="207"/>
      <c r="AG33" s="207"/>
      <c r="AK33" s="802"/>
    </row>
    <row r="34" spans="1:37" outlineLevel="1" x14ac:dyDescent="0.25">
      <c r="B34" s="905"/>
      <c r="C34" s="1425"/>
      <c r="D34" s="2339" t="str">
        <f>K6</f>
        <v>Inc. Cost</v>
      </c>
      <c r="E34" s="2339" t="s">
        <v>506</v>
      </c>
      <c r="F34" s="1707" t="str">
        <f t="shared" ref="F34:F41" si="5">E7</f>
        <v>AC General Tune-Up (no charge or coil clean) SF</v>
      </c>
      <c r="G34" s="1059">
        <v>70</v>
      </c>
      <c r="H34" s="2228"/>
      <c r="I34" s="2228"/>
      <c r="J34" s="2229"/>
      <c r="K34" s="2349"/>
      <c r="L34" s="2349"/>
      <c r="M34" s="2349"/>
      <c r="N34" s="2349"/>
      <c r="V34" s="2383" t="str">
        <f>D34</f>
        <v>Inc. Cost</v>
      </c>
      <c r="W34" s="332">
        <v>70</v>
      </c>
      <c r="X34" s="332">
        <v>70</v>
      </c>
      <c r="Y34" s="207"/>
      <c r="Z34" s="207"/>
      <c r="AA34" s="207"/>
      <c r="AB34" s="207"/>
      <c r="AC34" s="207"/>
      <c r="AD34" s="207"/>
      <c r="AE34" s="207"/>
      <c r="AF34" s="207"/>
      <c r="AG34" s="207"/>
      <c r="AK34" s="802"/>
    </row>
    <row r="35" spans="1:37" outlineLevel="1" x14ac:dyDescent="0.25">
      <c r="B35" s="905"/>
      <c r="C35" s="1425"/>
      <c r="D35" s="2386"/>
      <c r="E35" s="2386"/>
      <c r="F35" s="1707" t="str">
        <f t="shared" si="5"/>
        <v>AC General Tune-Up (no charge or coil clean) MF</v>
      </c>
      <c r="G35" s="1059">
        <v>70</v>
      </c>
      <c r="H35" s="2228"/>
      <c r="I35" s="2228"/>
      <c r="J35" s="2229"/>
      <c r="K35" s="2349"/>
      <c r="L35" s="2349"/>
      <c r="M35" s="2349"/>
      <c r="N35" s="2349"/>
      <c r="V35" s="2384"/>
      <c r="W35" s="332">
        <v>70</v>
      </c>
      <c r="X35" s="332">
        <v>70</v>
      </c>
      <c r="Y35" s="207"/>
      <c r="Z35" s="207"/>
      <c r="AA35" s="207"/>
      <c r="AB35" s="207"/>
      <c r="AC35" s="207"/>
      <c r="AD35" s="207"/>
      <c r="AE35" s="207"/>
      <c r="AF35" s="207"/>
      <c r="AG35" s="207"/>
      <c r="AK35" s="802"/>
    </row>
    <row r="36" spans="1:37" outlineLevel="1" x14ac:dyDescent="0.25">
      <c r="B36" s="905"/>
      <c r="C36" s="1425"/>
      <c r="D36" s="2386"/>
      <c r="E36" s="2386"/>
      <c r="F36" s="1707" t="str">
        <f t="shared" si="5"/>
        <v>AC Tune-up / Refrigerant charge SF</v>
      </c>
      <c r="G36" s="1059">
        <v>81</v>
      </c>
      <c r="H36" s="2228"/>
      <c r="I36" s="2228"/>
      <c r="J36" s="2229"/>
      <c r="K36" s="2349"/>
      <c r="L36" s="2349"/>
      <c r="M36" s="2349"/>
      <c r="N36" s="2349"/>
      <c r="V36" s="2384"/>
      <c r="W36" s="332">
        <v>81</v>
      </c>
      <c r="X36" s="332">
        <v>81</v>
      </c>
      <c r="Y36" s="207"/>
      <c r="Z36" s="207"/>
      <c r="AA36" s="207"/>
      <c r="AB36" s="207"/>
      <c r="AC36" s="207"/>
      <c r="AD36" s="207"/>
      <c r="AE36" s="207"/>
      <c r="AF36" s="207"/>
      <c r="AG36" s="207"/>
      <c r="AK36" s="802"/>
    </row>
    <row r="37" spans="1:37" outlineLevel="1" x14ac:dyDescent="0.25">
      <c r="B37" s="905"/>
      <c r="C37" s="1425"/>
      <c r="D37" s="2386"/>
      <c r="E37" s="2386"/>
      <c r="F37" s="1707" t="str">
        <f t="shared" si="5"/>
        <v>AC Tune-up / Refrigerant charge MF</v>
      </c>
      <c r="G37" s="1059">
        <v>81</v>
      </c>
      <c r="H37" s="2228"/>
      <c r="I37" s="2228"/>
      <c r="J37" s="2229"/>
      <c r="K37" s="2349"/>
      <c r="L37" s="2349"/>
      <c r="M37" s="2349"/>
      <c r="N37" s="2349"/>
      <c r="V37" s="2384"/>
      <c r="W37" s="332">
        <v>81</v>
      </c>
      <c r="X37" s="332">
        <v>81</v>
      </c>
      <c r="Y37" s="207"/>
      <c r="Z37" s="207"/>
      <c r="AA37" s="207"/>
      <c r="AB37" s="207"/>
      <c r="AC37" s="207"/>
      <c r="AD37" s="207"/>
      <c r="AE37" s="207"/>
      <c r="AF37" s="207"/>
      <c r="AG37" s="207"/>
      <c r="AK37" s="802"/>
    </row>
    <row r="38" spans="1:37" outlineLevel="1" x14ac:dyDescent="0.25">
      <c r="B38" s="905"/>
      <c r="C38" s="1425"/>
      <c r="D38" s="2386"/>
      <c r="E38" s="2386"/>
      <c r="F38" s="1707" t="str">
        <f t="shared" si="5"/>
        <v>AC Tune-up / Indoor Coil (Evaporator) Cleaning SF</v>
      </c>
      <c r="G38" s="1059">
        <v>63</v>
      </c>
      <c r="H38" s="2228"/>
      <c r="I38" s="2228"/>
      <c r="J38" s="2229"/>
      <c r="K38" s="2349"/>
      <c r="L38" s="2349"/>
      <c r="M38" s="2349"/>
      <c r="N38" s="2349"/>
      <c r="V38" s="2384"/>
      <c r="W38" s="332">
        <v>63</v>
      </c>
      <c r="X38" s="332">
        <v>63</v>
      </c>
      <c r="Y38" s="207"/>
      <c r="Z38" s="207"/>
      <c r="AA38" s="207"/>
      <c r="AB38" s="207"/>
      <c r="AC38" s="207"/>
      <c r="AD38" s="207"/>
      <c r="AE38" s="207"/>
      <c r="AF38" s="207"/>
      <c r="AG38" s="207"/>
      <c r="AK38" s="802"/>
    </row>
    <row r="39" spans="1:37" outlineLevel="1" x14ac:dyDescent="0.25">
      <c r="B39" s="905"/>
      <c r="C39" s="1425"/>
      <c r="D39" s="2386"/>
      <c r="E39" s="2386"/>
      <c r="F39" s="1707" t="str">
        <f t="shared" si="5"/>
        <v>AC Tune-up /Indoor Coil (Evaporator) Cleaning MF</v>
      </c>
      <c r="G39" s="1059">
        <v>63</v>
      </c>
      <c r="H39" s="2228"/>
      <c r="I39" s="2228"/>
      <c r="J39" s="2229"/>
      <c r="K39" s="2349"/>
      <c r="L39" s="2349"/>
      <c r="M39" s="2349"/>
      <c r="N39" s="2349"/>
      <c r="V39" s="2384"/>
      <c r="W39" s="332">
        <v>63</v>
      </c>
      <c r="X39" s="332">
        <v>63</v>
      </c>
      <c r="Y39" s="207"/>
      <c r="Z39" s="207"/>
      <c r="AA39" s="207"/>
      <c r="AB39" s="207"/>
      <c r="AC39" s="207"/>
      <c r="AD39" s="207"/>
      <c r="AE39" s="207"/>
      <c r="AF39" s="207"/>
      <c r="AG39" s="207"/>
      <c r="AK39" s="802"/>
    </row>
    <row r="40" spans="1:37" outlineLevel="1" x14ac:dyDescent="0.25">
      <c r="B40" s="905"/>
      <c r="C40" s="1425"/>
      <c r="D40" s="2386"/>
      <c r="E40" s="2386"/>
      <c r="F40" s="1707" t="str">
        <f t="shared" si="5"/>
        <v>AC Tune-up /Outdoor Coil (Condenser) Cleaning SF</v>
      </c>
      <c r="G40" s="1059">
        <v>31</v>
      </c>
      <c r="H40" s="2228"/>
      <c r="I40" s="2228"/>
      <c r="J40" s="2229"/>
      <c r="K40" s="2349"/>
      <c r="L40" s="2349"/>
      <c r="M40" s="2349"/>
      <c r="N40" s="2349"/>
      <c r="V40" s="2384"/>
      <c r="W40" s="332">
        <v>31</v>
      </c>
      <c r="X40" s="332">
        <v>31</v>
      </c>
      <c r="Y40" s="207"/>
      <c r="Z40" s="207"/>
      <c r="AA40" s="207"/>
      <c r="AB40" s="207"/>
      <c r="AC40" s="207"/>
      <c r="AD40" s="207"/>
      <c r="AE40" s="207"/>
      <c r="AF40" s="207"/>
      <c r="AG40" s="207"/>
      <c r="AK40" s="802"/>
    </row>
    <row r="41" spans="1:37" outlineLevel="1" x14ac:dyDescent="0.25">
      <c r="B41" s="905"/>
      <c r="C41" s="1425"/>
      <c r="D41" s="2280"/>
      <c r="E41" s="2280"/>
      <c r="F41" s="1707" t="str">
        <f t="shared" si="5"/>
        <v>AC Tune-up /Outdoor Coil (Condenser) Cleaning MF</v>
      </c>
      <c r="G41" s="1059">
        <v>31</v>
      </c>
      <c r="H41" s="2228"/>
      <c r="I41" s="2228"/>
      <c r="J41" s="2229"/>
      <c r="K41" s="2349"/>
      <c r="L41" s="2349"/>
      <c r="M41" s="2349"/>
      <c r="N41" s="2349"/>
      <c r="V41" s="2385"/>
      <c r="W41" s="332">
        <v>31</v>
      </c>
      <c r="X41" s="332">
        <v>31</v>
      </c>
      <c r="Y41" s="207"/>
      <c r="Z41" s="207"/>
      <c r="AA41" s="207"/>
      <c r="AB41" s="207"/>
      <c r="AC41" s="207"/>
      <c r="AD41" s="207"/>
      <c r="AE41" s="207"/>
      <c r="AF41" s="207"/>
      <c r="AG41" s="207"/>
      <c r="AK41" s="802"/>
    </row>
    <row r="42" spans="1:37" s="56" customFormat="1" x14ac:dyDescent="0.25">
      <c r="A42" s="597"/>
      <c r="B42" s="130"/>
      <c r="C42" s="616"/>
      <c r="D42" s="658"/>
      <c r="E42" s="658"/>
      <c r="F42" s="130"/>
      <c r="G42" s="130"/>
      <c r="H42" s="616"/>
      <c r="I42" s="616"/>
      <c r="J42" s="616"/>
      <c r="K42" s="616"/>
      <c r="L42" s="616"/>
      <c r="M42" s="616"/>
      <c r="N42" s="130"/>
      <c r="O42" s="130"/>
      <c r="P42" s="130"/>
      <c r="Q42" s="130"/>
      <c r="R42" s="130"/>
      <c r="S42" s="130"/>
      <c r="T42" s="130"/>
      <c r="U42" s="130"/>
      <c r="X42" s="597"/>
      <c r="AK42" s="802"/>
    </row>
    <row r="43" spans="1:37" s="56" customFormat="1" x14ac:dyDescent="0.25">
      <c r="A43" s="597"/>
      <c r="B43" s="130"/>
      <c r="C43" s="616"/>
      <c r="D43" s="658"/>
      <c r="E43" s="658"/>
      <c r="F43" s="130"/>
      <c r="G43" s="130"/>
      <c r="H43" s="616"/>
      <c r="I43" s="616"/>
      <c r="J43" s="616"/>
      <c r="K43" s="616"/>
      <c r="L43" s="616"/>
      <c r="M43" s="616"/>
      <c r="N43" s="130"/>
      <c r="O43" s="130"/>
      <c r="P43" s="130"/>
      <c r="Q43" s="130"/>
      <c r="R43" s="130"/>
      <c r="S43" s="130"/>
      <c r="T43" s="130"/>
      <c r="U43" s="130"/>
      <c r="AK43" s="802"/>
    </row>
    <row r="44" spans="1:37" x14ac:dyDescent="0.25">
      <c r="B44" s="2022" t="s">
        <v>1244</v>
      </c>
      <c r="C44" s="2023"/>
      <c r="D44" s="2023"/>
      <c r="E44" s="2023"/>
      <c r="F44" s="2023"/>
      <c r="G44" s="2023"/>
      <c r="H44" s="2023"/>
      <c r="I44" s="1992"/>
      <c r="J44" s="1992"/>
      <c r="K44" s="1992"/>
      <c r="L44" s="1992"/>
      <c r="M44" s="1992"/>
      <c r="N44" s="1992"/>
      <c r="O44" s="1992"/>
      <c r="P44" s="1992"/>
      <c r="Q44" s="1992"/>
      <c r="R44" s="1993"/>
      <c r="V44" s="2022" t="str">
        <f>B44</f>
        <v>Air Sealing</v>
      </c>
      <c r="W44" s="2023"/>
      <c r="X44" s="2023"/>
      <c r="Y44" s="2023"/>
      <c r="Z44" s="2023"/>
      <c r="AA44" s="2023"/>
      <c r="AB44" s="2023"/>
      <c r="AC44" s="2024"/>
      <c r="AD44" s="2024"/>
      <c r="AE44" s="2024"/>
      <c r="AF44" s="2024"/>
      <c r="AG44" s="2024"/>
      <c r="AH44" s="2024"/>
      <c r="AI44" s="2025"/>
      <c r="AK44" s="802"/>
    </row>
    <row r="45" spans="1:37" x14ac:dyDescent="0.25">
      <c r="B45" s="1087"/>
      <c r="C45" s="1434"/>
      <c r="D45" s="1435"/>
      <c r="E45" s="1435"/>
      <c r="F45" s="1436"/>
      <c r="G45" s="1436"/>
      <c r="H45" s="1436"/>
      <c r="I45" s="1436"/>
      <c r="J45" s="1436"/>
      <c r="K45" s="1436"/>
      <c r="L45" s="1437"/>
      <c r="AK45" s="802"/>
    </row>
    <row r="46" spans="1:37" s="811" customFormat="1" ht="45" x14ac:dyDescent="0.25">
      <c r="B46" s="1708"/>
      <c r="C46" s="184" t="s">
        <v>16</v>
      </c>
      <c r="D46" s="184" t="s">
        <v>509</v>
      </c>
      <c r="E46" s="184" t="s">
        <v>18</v>
      </c>
      <c r="F46" s="184" t="s">
        <v>19</v>
      </c>
      <c r="G46" s="184" t="s">
        <v>20</v>
      </c>
      <c r="H46" s="184" t="s">
        <v>21</v>
      </c>
      <c r="I46" s="184" t="s">
        <v>724</v>
      </c>
      <c r="J46" s="184" t="s">
        <v>725</v>
      </c>
      <c r="K46" s="184" t="s">
        <v>22</v>
      </c>
      <c r="L46" s="448" t="s">
        <v>23</v>
      </c>
      <c r="M46" s="184" t="s">
        <v>24</v>
      </c>
      <c r="N46" s="184" t="s">
        <v>1245</v>
      </c>
      <c r="O46" s="1548"/>
      <c r="P46" s="1548"/>
      <c r="Q46" s="1548"/>
      <c r="R46" s="1548"/>
      <c r="S46" s="1548"/>
      <c r="T46" s="1548"/>
      <c r="U46" s="1548"/>
      <c r="V46" s="48" t="s">
        <v>26</v>
      </c>
      <c r="W46" s="49">
        <f>W$6</f>
        <v>43252</v>
      </c>
      <c r="X46" s="49">
        <f t="shared" ref="X46:AG46" si="6">X$6</f>
        <v>43465</v>
      </c>
      <c r="Y46" s="49" t="str">
        <f t="shared" si="6"/>
        <v>-</v>
      </c>
      <c r="Z46" s="49" t="str">
        <f t="shared" si="6"/>
        <v>-</v>
      </c>
      <c r="AA46" s="49" t="str">
        <f t="shared" si="6"/>
        <v>-</v>
      </c>
      <c r="AB46" s="49" t="str">
        <f t="shared" si="6"/>
        <v>-</v>
      </c>
      <c r="AC46" s="49" t="str">
        <f t="shared" si="6"/>
        <v>-</v>
      </c>
      <c r="AD46" s="49" t="str">
        <f t="shared" si="6"/>
        <v>-</v>
      </c>
      <c r="AE46" s="49" t="str">
        <f t="shared" si="6"/>
        <v>-</v>
      </c>
      <c r="AF46" s="49" t="str">
        <f t="shared" si="6"/>
        <v>-</v>
      </c>
      <c r="AG46" s="49" t="str">
        <f t="shared" si="6"/>
        <v>-</v>
      </c>
      <c r="AH46" s="249"/>
      <c r="AI46" s="249"/>
      <c r="AK46" s="802"/>
    </row>
    <row r="47" spans="1:37" s="811" customFormat="1" x14ac:dyDescent="0.25">
      <c r="B47" s="1708"/>
      <c r="C47" s="1531"/>
      <c r="D47" s="1066" t="s">
        <v>1246</v>
      </c>
      <c r="E47" s="1066" t="s">
        <v>1247</v>
      </c>
      <c r="F47" s="1077">
        <f>I47+J47</f>
        <v>295.70839999999998</v>
      </c>
      <c r="G47" s="1531" t="s">
        <v>1248</v>
      </c>
      <c r="H47" s="170">
        <f>VLOOKUP(G47,'CP FACTORS'!$A$3:$B$38, 2, FALSE)</f>
        <v>4.6608050000000002E-4</v>
      </c>
      <c r="I47" s="1062">
        <f>F60*F65</f>
        <v>256.94175000000001</v>
      </c>
      <c r="J47" s="1062">
        <f>F70*F65</f>
        <v>38.766649999999998</v>
      </c>
      <c r="K47" s="1605">
        <f>H47*F47</f>
        <v>0.1378239189262</v>
      </c>
      <c r="L47" s="525">
        <f>$F$75</f>
        <v>15</v>
      </c>
      <c r="M47" s="526">
        <f>120*F65/1000</f>
        <v>108.18600000000002</v>
      </c>
      <c r="N47" s="813">
        <f>F65</f>
        <v>901.55000000000007</v>
      </c>
      <c r="O47" s="1548"/>
      <c r="P47" s="1548"/>
      <c r="Q47" s="1548"/>
      <c r="R47" s="1413"/>
      <c r="S47" s="1548"/>
      <c r="T47" s="1548"/>
      <c r="U47" s="1548"/>
      <c r="V47" s="176" t="str">
        <f>$F$46</f>
        <v>kWh Annual Savings</v>
      </c>
      <c r="W47" s="177">
        <v>295.70839999999998</v>
      </c>
      <c r="X47" s="396">
        <v>295.70839999999998</v>
      </c>
      <c r="Y47" s="176"/>
      <c r="Z47" s="176"/>
      <c r="AA47" s="176"/>
      <c r="AB47" s="176"/>
      <c r="AC47" s="176"/>
      <c r="AD47" s="176"/>
      <c r="AE47" s="176"/>
      <c r="AF47" s="176"/>
      <c r="AG47" s="176"/>
      <c r="AH47" s="801"/>
      <c r="AI47" s="801"/>
      <c r="AK47" s="802"/>
    </row>
    <row r="48" spans="1:37" s="811" customFormat="1" x14ac:dyDescent="0.25">
      <c r="B48" s="1708"/>
      <c r="C48" s="1531"/>
      <c r="D48" s="1066" t="s">
        <v>1246</v>
      </c>
      <c r="E48" s="1066" t="s">
        <v>1249</v>
      </c>
      <c r="F48" s="1077">
        <f>I48+J48</f>
        <v>226.28905</v>
      </c>
      <c r="G48" s="1531" t="s">
        <v>1248</v>
      </c>
      <c r="H48" s="170">
        <f>VLOOKUP(G48,'CP FACTORS'!$A$3:$B$38, 2, FALSE)</f>
        <v>4.6608050000000002E-4</v>
      </c>
      <c r="I48" s="1062">
        <f>F61*F66</f>
        <v>187.5224</v>
      </c>
      <c r="J48" s="1062">
        <f>F71*F66</f>
        <v>38.766649999999998</v>
      </c>
      <c r="K48" s="1605">
        <f t="shared" ref="K48:K51" si="7">H48*F48</f>
        <v>0.105468913568525</v>
      </c>
      <c r="L48" s="525">
        <f>$F$75</f>
        <v>15</v>
      </c>
      <c r="M48" s="526">
        <f>120*F66/1000</f>
        <v>108.18600000000002</v>
      </c>
      <c r="N48" s="813">
        <f>F66</f>
        <v>901.55000000000007</v>
      </c>
      <c r="O48" s="1548"/>
      <c r="P48" s="1548"/>
      <c r="Q48" s="1548"/>
      <c r="R48" s="1413"/>
      <c r="S48" s="1548"/>
      <c r="T48" s="1548"/>
      <c r="U48" s="1548"/>
      <c r="V48" s="176" t="str">
        <f>$F$46</f>
        <v>kWh Annual Savings</v>
      </c>
      <c r="W48" s="177">
        <v>226.28905</v>
      </c>
      <c r="X48" s="396">
        <v>226.28905</v>
      </c>
      <c r="Y48" s="176"/>
      <c r="Z48" s="176"/>
      <c r="AA48" s="176"/>
      <c r="AB48" s="176"/>
      <c r="AC48" s="176"/>
      <c r="AD48" s="176"/>
      <c r="AE48" s="176"/>
      <c r="AF48" s="176"/>
      <c r="AG48" s="176"/>
      <c r="AH48" s="801"/>
      <c r="AI48" s="801"/>
      <c r="AK48" s="802"/>
    </row>
    <row r="49" spans="2:37" s="811" customFormat="1" x14ac:dyDescent="0.25">
      <c r="B49" s="1708"/>
      <c r="C49" s="1531"/>
      <c r="D49" s="1066" t="s">
        <v>1250</v>
      </c>
      <c r="E49" s="1709" t="s">
        <v>1251</v>
      </c>
      <c r="F49" s="1077">
        <f>I49+J49</f>
        <v>496.54599999999999</v>
      </c>
      <c r="G49" s="1531" t="s">
        <v>1248</v>
      </c>
      <c r="H49" s="170">
        <f>VLOOKUP(G49,'CP FACTORS'!$A$3:$B$38, 2, FALSE)</f>
        <v>4.6608050000000002E-4</v>
      </c>
      <c r="I49" s="1062">
        <f>F62*F67</f>
        <v>427.19599999999997</v>
      </c>
      <c r="J49" s="1062">
        <f>F72*F67</f>
        <v>69.350000000000009</v>
      </c>
      <c r="K49" s="1605">
        <f t="shared" si="7"/>
        <v>0.23143040795300002</v>
      </c>
      <c r="L49" s="525">
        <f>$F$75</f>
        <v>15</v>
      </c>
      <c r="M49" s="526">
        <f>120*F67/1000</f>
        <v>166.44</v>
      </c>
      <c r="N49" s="813">
        <f>F67</f>
        <v>1387</v>
      </c>
      <c r="O49" s="1548"/>
      <c r="P49" s="1548"/>
      <c r="Q49" s="1548"/>
      <c r="R49" s="1413"/>
      <c r="S49" s="1548"/>
      <c r="T49" s="1548"/>
      <c r="U49" s="1548"/>
      <c r="V49" s="176" t="str">
        <f>$F$46</f>
        <v>kWh Annual Savings</v>
      </c>
      <c r="W49" s="177">
        <v>496.54599999999999</v>
      </c>
      <c r="X49" s="396">
        <v>496.54599999999999</v>
      </c>
      <c r="Y49" s="176"/>
      <c r="Z49" s="176"/>
      <c r="AA49" s="176"/>
      <c r="AB49" s="176"/>
      <c r="AC49" s="176"/>
      <c r="AD49" s="176"/>
      <c r="AE49" s="176"/>
      <c r="AF49" s="176"/>
      <c r="AG49" s="176"/>
      <c r="AK49" s="802"/>
    </row>
    <row r="50" spans="2:37" s="811" customFormat="1" x14ac:dyDescent="0.25">
      <c r="B50" s="1708"/>
      <c r="C50" s="1531"/>
      <c r="D50" s="1066" t="s">
        <v>1250</v>
      </c>
      <c r="E50" s="1709" t="s">
        <v>1252</v>
      </c>
      <c r="F50" s="1077">
        <f>I50+J50</f>
        <v>425.80900000000003</v>
      </c>
      <c r="G50" s="1531" t="s">
        <v>1248</v>
      </c>
      <c r="H50" s="170">
        <f>VLOOKUP(G50,'CP FACTORS'!$A$3:$B$38, 2, FALSE)</f>
        <v>4.6608050000000002E-4</v>
      </c>
      <c r="I50" s="1062">
        <f>F63*F68</f>
        <v>356.459</v>
      </c>
      <c r="J50" s="1062">
        <f>F73*F68</f>
        <v>69.350000000000009</v>
      </c>
      <c r="K50" s="1605">
        <f t="shared" si="7"/>
        <v>0.19846127162450003</v>
      </c>
      <c r="L50" s="525">
        <f>$F$75</f>
        <v>15</v>
      </c>
      <c r="M50" s="526">
        <f>120*F68/1000</f>
        <v>166.44</v>
      </c>
      <c r="N50" s="813">
        <f>F68</f>
        <v>1387</v>
      </c>
      <c r="O50" s="1548"/>
      <c r="P50" s="1548"/>
      <c r="Q50" s="1548"/>
      <c r="R50" s="1413"/>
      <c r="S50" s="1548"/>
      <c r="T50" s="1548"/>
      <c r="U50" s="1548"/>
      <c r="V50" s="176" t="str">
        <f>$F$46</f>
        <v>kWh Annual Savings</v>
      </c>
      <c r="W50" s="177">
        <v>425.80900000000003</v>
      </c>
      <c r="X50" s="396">
        <v>425.80900000000003</v>
      </c>
      <c r="Y50" s="176"/>
      <c r="Z50" s="176"/>
      <c r="AA50" s="176"/>
      <c r="AB50" s="176"/>
      <c r="AC50" s="176"/>
      <c r="AD50" s="176"/>
      <c r="AE50" s="176"/>
      <c r="AF50" s="176"/>
      <c r="AG50" s="176"/>
      <c r="AK50" s="802"/>
    </row>
    <row r="51" spans="2:37" s="811" customFormat="1" x14ac:dyDescent="0.25">
      <c r="B51" s="1708"/>
      <c r="C51" s="1531"/>
      <c r="D51" s="1066" t="s">
        <v>1250</v>
      </c>
      <c r="E51" s="1710" t="s">
        <v>1253</v>
      </c>
      <c r="F51" s="1077">
        <f>I51+J51</f>
        <v>513</v>
      </c>
      <c r="G51" s="1531" t="s">
        <v>1248</v>
      </c>
      <c r="H51" s="170">
        <f>VLOOKUP(G51,'CP FACTORS'!$A$3:$B$38, 2, FALSE)</f>
        <v>4.6608050000000002E-4</v>
      </c>
      <c r="I51" s="1062">
        <f>F64*F69</f>
        <v>446.03999999999996</v>
      </c>
      <c r="J51" s="1062">
        <f>F74*F69</f>
        <v>66.959999999999994</v>
      </c>
      <c r="K51" s="1605">
        <f t="shared" si="7"/>
        <v>0.2390992965</v>
      </c>
      <c r="L51" s="525">
        <f>$F$75</f>
        <v>15</v>
      </c>
      <c r="M51" s="526">
        <f>120*F69/1000</f>
        <v>129.6</v>
      </c>
      <c r="N51" s="813">
        <f>F69</f>
        <v>1080</v>
      </c>
      <c r="O51" s="1548"/>
      <c r="P51" s="1548"/>
      <c r="Q51" s="1548"/>
      <c r="R51" s="1413"/>
      <c r="S51" s="1548"/>
      <c r="T51" s="1548"/>
      <c r="U51" s="1548"/>
      <c r="V51" s="176" t="str">
        <f>$F$46</f>
        <v>kWh Annual Savings</v>
      </c>
      <c r="W51" s="177">
        <v>513</v>
      </c>
      <c r="X51" s="396">
        <v>513</v>
      </c>
      <c r="Y51" s="176"/>
      <c r="Z51" s="176"/>
      <c r="AA51" s="176"/>
      <c r="AB51" s="176"/>
      <c r="AC51" s="176"/>
      <c r="AD51" s="176"/>
      <c r="AE51" s="176"/>
      <c r="AF51" s="176"/>
      <c r="AG51" s="176"/>
      <c r="AK51" s="802"/>
    </row>
    <row r="52" spans="2:37" outlineLevel="1" x14ac:dyDescent="0.25">
      <c r="B52" s="1087"/>
      <c r="C52" s="1434"/>
      <c r="F52" s="1445"/>
      <c r="AK52" s="802"/>
    </row>
    <row r="53" spans="2:37" outlineLevel="1" x14ac:dyDescent="0.25">
      <c r="B53" s="1087"/>
      <c r="C53" s="1434"/>
      <c r="D53" s="1444" t="s">
        <v>463</v>
      </c>
      <c r="F53" s="1445"/>
      <c r="AK53" s="802"/>
    </row>
    <row r="54" spans="2:37" outlineLevel="1" x14ac:dyDescent="0.25">
      <c r="B54" s="1087"/>
      <c r="C54" s="1447"/>
      <c r="D54" s="1711"/>
      <c r="E54" s="1712"/>
      <c r="F54" s="1713"/>
      <c r="G54" s="1713"/>
      <c r="H54" s="1713"/>
      <c r="I54" s="1713"/>
      <c r="J54" s="1714"/>
      <c r="K54" s="1714"/>
      <c r="L54" s="1714"/>
      <c r="AK54" s="802"/>
    </row>
    <row r="55" spans="2:37" outlineLevel="1" x14ac:dyDescent="0.25">
      <c r="B55" s="1087"/>
      <c r="C55" s="1454"/>
      <c r="D55" s="1715"/>
      <c r="E55" s="1716"/>
      <c r="F55" s="1717"/>
      <c r="G55" s="1717"/>
      <c r="H55" s="1717"/>
      <c r="I55" s="1717"/>
      <c r="J55" s="1718"/>
      <c r="K55" s="1718"/>
      <c r="L55" s="1718"/>
      <c r="AK55" s="802"/>
    </row>
    <row r="56" spans="2:37" outlineLevel="1" x14ac:dyDescent="0.25">
      <c r="B56" s="1087"/>
      <c r="C56" s="1454"/>
      <c r="D56" s="1715"/>
      <c r="E56" s="1716"/>
      <c r="F56" s="1717"/>
      <c r="G56" s="1717"/>
      <c r="H56" s="1717"/>
      <c r="I56" s="1717"/>
      <c r="J56" s="1718"/>
      <c r="K56" s="1718"/>
      <c r="L56" s="1718"/>
      <c r="AK56" s="802"/>
    </row>
    <row r="57" spans="2:37" ht="39.75" customHeight="1" outlineLevel="1" x14ac:dyDescent="0.25">
      <c r="B57" s="1087"/>
      <c r="C57" s="1455"/>
      <c r="D57" s="1719"/>
      <c r="E57" s="2381"/>
      <c r="F57" s="2382"/>
      <c r="G57" s="2382"/>
      <c r="H57" s="2382"/>
      <c r="I57" s="2382"/>
      <c r="J57" s="2382"/>
      <c r="K57" s="2382"/>
      <c r="L57" s="2382"/>
      <c r="AK57" s="802"/>
    </row>
    <row r="58" spans="2:37" outlineLevel="1" x14ac:dyDescent="0.25">
      <c r="B58" s="1087"/>
      <c r="C58" s="1434"/>
      <c r="AK58" s="802"/>
    </row>
    <row r="59" spans="2:37" outlineLevel="1" x14ac:dyDescent="0.25">
      <c r="B59" s="1087"/>
      <c r="C59" s="1434"/>
      <c r="D59" s="1098" t="s">
        <v>465</v>
      </c>
      <c r="E59" s="1098" t="s">
        <v>466</v>
      </c>
      <c r="F59" s="184" t="s">
        <v>467</v>
      </c>
      <c r="G59" s="184" t="s">
        <v>515</v>
      </c>
      <c r="H59" s="184" t="s">
        <v>592</v>
      </c>
      <c r="V59" s="48" t="s">
        <v>26</v>
      </c>
      <c r="W59" s="49">
        <f>W$6</f>
        <v>43252</v>
      </c>
      <c r="X59" s="49">
        <f t="shared" ref="X59:AG59" si="8">X$6</f>
        <v>43465</v>
      </c>
      <c r="Y59" s="49" t="str">
        <f t="shared" si="8"/>
        <v>-</v>
      </c>
      <c r="Z59" s="49" t="str">
        <f t="shared" si="8"/>
        <v>-</v>
      </c>
      <c r="AA59" s="49" t="str">
        <f t="shared" si="8"/>
        <v>-</v>
      </c>
      <c r="AB59" s="49" t="str">
        <f t="shared" si="8"/>
        <v>-</v>
      </c>
      <c r="AC59" s="49" t="str">
        <f t="shared" si="8"/>
        <v>-</v>
      </c>
      <c r="AD59" s="49" t="str">
        <f t="shared" si="8"/>
        <v>-</v>
      </c>
      <c r="AE59" s="49" t="str">
        <f t="shared" si="8"/>
        <v>-</v>
      </c>
      <c r="AF59" s="49" t="str">
        <f t="shared" si="8"/>
        <v>-</v>
      </c>
      <c r="AG59" s="49" t="str">
        <f t="shared" si="8"/>
        <v>-</v>
      </c>
      <c r="AK59" s="802"/>
    </row>
    <row r="60" spans="2:37" ht="15" customHeight="1" outlineLevel="1" x14ac:dyDescent="0.25">
      <c r="B60" s="1087"/>
      <c r="C60" s="1434"/>
      <c r="D60" s="2369" t="s">
        <v>1885</v>
      </c>
      <c r="E60" s="1066" t="s">
        <v>1247</v>
      </c>
      <c r="F60" s="1720">
        <v>0.28499999999999998</v>
      </c>
      <c r="G60" s="952" t="s">
        <v>593</v>
      </c>
      <c r="H60" s="1068"/>
      <c r="V60" s="2293" t="str">
        <f>D60</f>
        <v>Defaultheat</v>
      </c>
      <c r="W60" s="815">
        <v>0.28499999999999998</v>
      </c>
      <c r="X60" s="815">
        <v>0.28499999999999998</v>
      </c>
      <c r="Y60" s="207"/>
      <c r="Z60" s="207"/>
      <c r="AA60" s="207"/>
      <c r="AB60" s="207"/>
      <c r="AC60" s="207"/>
      <c r="AD60" s="207"/>
      <c r="AE60" s="207"/>
      <c r="AF60" s="207"/>
      <c r="AG60" s="207"/>
      <c r="AK60" s="802"/>
    </row>
    <row r="61" spans="2:37" ht="15" customHeight="1" outlineLevel="1" x14ac:dyDescent="0.25">
      <c r="B61" s="1087"/>
      <c r="C61" s="1434"/>
      <c r="D61" s="2370"/>
      <c r="E61" s="1066" t="s">
        <v>1249</v>
      </c>
      <c r="F61" s="1720">
        <v>0.20799999999999999</v>
      </c>
      <c r="G61" s="952" t="s">
        <v>593</v>
      </c>
      <c r="H61" s="1068"/>
      <c r="V61" s="2294"/>
      <c r="W61" s="815">
        <v>0.20799999999999999</v>
      </c>
      <c r="X61" s="815">
        <v>0.20799999999999999</v>
      </c>
      <c r="Y61" s="207"/>
      <c r="Z61" s="207"/>
      <c r="AA61" s="207"/>
      <c r="AB61" s="207"/>
      <c r="AC61" s="207"/>
      <c r="AD61" s="207"/>
      <c r="AE61" s="207"/>
      <c r="AF61" s="207"/>
      <c r="AG61" s="207"/>
      <c r="AK61" s="802"/>
    </row>
    <row r="62" spans="2:37" outlineLevel="1" x14ac:dyDescent="0.25">
      <c r="B62" s="1087"/>
      <c r="C62" s="1434"/>
      <c r="D62" s="2370"/>
      <c r="E62" s="1709" t="s">
        <v>1251</v>
      </c>
      <c r="F62" s="1720">
        <v>0.308</v>
      </c>
      <c r="G62" s="952" t="s">
        <v>593</v>
      </c>
      <c r="H62" s="1068"/>
      <c r="V62" s="2294"/>
      <c r="W62" s="815">
        <v>0.308</v>
      </c>
      <c r="X62" s="815">
        <v>0.308</v>
      </c>
      <c r="Y62" s="207"/>
      <c r="Z62" s="207"/>
      <c r="AA62" s="207"/>
      <c r="AB62" s="207"/>
      <c r="AC62" s="207"/>
      <c r="AD62" s="207"/>
      <c r="AE62" s="207"/>
      <c r="AF62" s="207"/>
      <c r="AG62" s="207"/>
      <c r="AK62" s="802"/>
    </row>
    <row r="63" spans="2:37" outlineLevel="1" x14ac:dyDescent="0.25">
      <c r="B63" s="1087"/>
      <c r="C63" s="1434"/>
      <c r="D63" s="2370"/>
      <c r="E63" s="1709" t="s">
        <v>1252</v>
      </c>
      <c r="F63" s="1720">
        <v>0.25700000000000001</v>
      </c>
      <c r="G63" s="952" t="s">
        <v>593</v>
      </c>
      <c r="H63" s="1068"/>
      <c r="V63" s="2294"/>
      <c r="W63" s="815">
        <v>0.25700000000000001</v>
      </c>
      <c r="X63" s="815">
        <v>0.25700000000000001</v>
      </c>
      <c r="Y63" s="816"/>
      <c r="Z63" s="816"/>
      <c r="AA63" s="816"/>
      <c r="AB63" s="816"/>
      <c r="AC63" s="816"/>
      <c r="AD63" s="816"/>
      <c r="AE63" s="816"/>
      <c r="AF63" s="816"/>
      <c r="AG63" s="816"/>
      <c r="AK63" s="802"/>
    </row>
    <row r="64" spans="2:37" outlineLevel="1" x14ac:dyDescent="0.25">
      <c r="B64" s="1087"/>
      <c r="C64" s="1434"/>
      <c r="D64" s="2370"/>
      <c r="E64" s="1709" t="s">
        <v>1254</v>
      </c>
      <c r="F64" s="1720">
        <v>0.41299999999999998</v>
      </c>
      <c r="G64" s="952" t="s">
        <v>593</v>
      </c>
      <c r="H64" s="1068"/>
      <c r="V64" s="2294"/>
      <c r="W64" s="815">
        <v>0.41299999999999998</v>
      </c>
      <c r="X64" s="815">
        <v>0.41299999999999998</v>
      </c>
      <c r="Y64" s="816"/>
      <c r="Z64" s="816"/>
      <c r="AA64" s="816"/>
      <c r="AB64" s="816"/>
      <c r="AC64" s="816"/>
      <c r="AD64" s="816"/>
      <c r="AE64" s="816"/>
      <c r="AF64" s="816"/>
      <c r="AG64" s="816"/>
      <c r="AK64" s="802"/>
    </row>
    <row r="65" spans="2:37" outlineLevel="1" x14ac:dyDescent="0.25">
      <c r="B65" s="1087"/>
      <c r="C65" s="1434"/>
      <c r="D65" s="2290" t="s">
        <v>1255</v>
      </c>
      <c r="E65" s="867" t="s">
        <v>1247</v>
      </c>
      <c r="F65" s="872">
        <f>1387*0.65</f>
        <v>901.55000000000007</v>
      </c>
      <c r="G65" s="910" t="s">
        <v>1256</v>
      </c>
      <c r="H65" s="869" t="s">
        <v>1257</v>
      </c>
      <c r="V65" s="2293" t="str">
        <f>D65</f>
        <v>Sq. Ft.</v>
      </c>
      <c r="W65" s="819">
        <f>1387*0.65</f>
        <v>901.55000000000007</v>
      </c>
      <c r="X65" s="819">
        <v>901.55000000000007</v>
      </c>
      <c r="Y65" s="816"/>
      <c r="Z65" s="816"/>
      <c r="AA65" s="816"/>
      <c r="AB65" s="816"/>
      <c r="AC65" s="816"/>
      <c r="AD65" s="816"/>
      <c r="AE65" s="816"/>
      <c r="AF65" s="816"/>
      <c r="AG65" s="816"/>
      <c r="AK65" s="802"/>
    </row>
    <row r="66" spans="2:37" outlineLevel="1" x14ac:dyDescent="0.25">
      <c r="B66" s="1087"/>
      <c r="C66" s="1434"/>
      <c r="D66" s="2291"/>
      <c r="E66" s="867" t="s">
        <v>1249</v>
      </c>
      <c r="F66" s="872">
        <f>1387*0.65</f>
        <v>901.55000000000007</v>
      </c>
      <c r="G66" s="910" t="s">
        <v>1256</v>
      </c>
      <c r="H66" s="869" t="s">
        <v>1257</v>
      </c>
      <c r="V66" s="2294"/>
      <c r="W66" s="819">
        <f>1387*0.65</f>
        <v>901.55000000000007</v>
      </c>
      <c r="X66" s="819">
        <v>901.55000000000007</v>
      </c>
      <c r="Y66" s="816"/>
      <c r="Z66" s="816"/>
      <c r="AA66" s="816"/>
      <c r="AB66" s="816"/>
      <c r="AC66" s="816"/>
      <c r="AD66" s="816"/>
      <c r="AE66" s="816"/>
      <c r="AF66" s="816"/>
      <c r="AG66" s="816"/>
      <c r="AK66" s="802"/>
    </row>
    <row r="67" spans="2:37" outlineLevel="1" x14ac:dyDescent="0.25">
      <c r="B67" s="1087"/>
      <c r="C67" s="1434"/>
      <c r="D67" s="2291"/>
      <c r="E67" s="270" t="s">
        <v>1251</v>
      </c>
      <c r="F67" s="872">
        <v>1387</v>
      </c>
      <c r="G67" s="910" t="s">
        <v>1256</v>
      </c>
      <c r="H67" s="869"/>
      <c r="V67" s="2294"/>
      <c r="W67" s="819">
        <v>1387</v>
      </c>
      <c r="X67" s="819">
        <v>1387</v>
      </c>
      <c r="Y67" s="816"/>
      <c r="Z67" s="816"/>
      <c r="AA67" s="816"/>
      <c r="AB67" s="816"/>
      <c r="AC67" s="816"/>
      <c r="AD67" s="816"/>
      <c r="AE67" s="816"/>
      <c r="AF67" s="816"/>
      <c r="AG67" s="816"/>
      <c r="AK67" s="802"/>
    </row>
    <row r="68" spans="2:37" outlineLevel="1" x14ac:dyDescent="0.25">
      <c r="B68" s="1087"/>
      <c r="C68" s="1434"/>
      <c r="D68" s="2291"/>
      <c r="E68" s="270" t="s">
        <v>1252</v>
      </c>
      <c r="F68" s="872">
        <v>1387</v>
      </c>
      <c r="G68" s="910" t="s">
        <v>1256</v>
      </c>
      <c r="H68" s="869"/>
      <c r="V68" s="2294"/>
      <c r="W68" s="819">
        <v>1387</v>
      </c>
      <c r="X68" s="819">
        <v>1387</v>
      </c>
      <c r="Y68" s="816"/>
      <c r="Z68" s="816"/>
      <c r="AA68" s="816"/>
      <c r="AB68" s="816"/>
      <c r="AC68" s="816"/>
      <c r="AD68" s="816"/>
      <c r="AE68" s="816"/>
      <c r="AF68" s="816"/>
      <c r="AG68" s="816"/>
      <c r="AK68" s="802"/>
    </row>
    <row r="69" spans="2:37" outlineLevel="1" x14ac:dyDescent="0.25">
      <c r="B69" s="1087"/>
      <c r="C69" s="1434"/>
      <c r="D69" s="2291"/>
      <c r="E69" s="270" t="s">
        <v>1254</v>
      </c>
      <c r="F69" s="872">
        <f>15*72</f>
        <v>1080</v>
      </c>
      <c r="G69" s="910" t="s">
        <v>1258</v>
      </c>
      <c r="H69" s="869"/>
      <c r="V69" s="2294"/>
      <c r="W69" s="819">
        <f>15*72</f>
        <v>1080</v>
      </c>
      <c r="X69" s="819">
        <v>1080</v>
      </c>
      <c r="Y69" s="816"/>
      <c r="Z69" s="816"/>
      <c r="AA69" s="816"/>
      <c r="AB69" s="816"/>
      <c r="AC69" s="816"/>
      <c r="AD69" s="816"/>
      <c r="AE69" s="816"/>
      <c r="AF69" s="816"/>
      <c r="AG69" s="816"/>
      <c r="AK69" s="802"/>
    </row>
    <row r="70" spans="2:37" ht="15" customHeight="1" outlineLevel="1" x14ac:dyDescent="0.25">
      <c r="B70" s="1087"/>
      <c r="C70" s="1434"/>
      <c r="D70" s="2379" t="s">
        <v>1886</v>
      </c>
      <c r="E70" s="867" t="s">
        <v>1247</v>
      </c>
      <c r="F70" s="1721">
        <v>4.2999999999999997E-2</v>
      </c>
      <c r="G70" s="910" t="s">
        <v>593</v>
      </c>
      <c r="H70" s="869"/>
      <c r="V70" s="2293" t="str">
        <f>D70</f>
        <v>Defaultcool</v>
      </c>
      <c r="W70" s="815">
        <v>4.2999999999999997E-2</v>
      </c>
      <c r="X70" s="815">
        <v>4.2999999999999997E-2</v>
      </c>
      <c r="Y70" s="816"/>
      <c r="Z70" s="816"/>
      <c r="AA70" s="816"/>
      <c r="AB70" s="816"/>
      <c r="AC70" s="816"/>
      <c r="AD70" s="816"/>
      <c r="AE70" s="816"/>
      <c r="AF70" s="816"/>
      <c r="AG70" s="816"/>
      <c r="AK70" s="802"/>
    </row>
    <row r="71" spans="2:37" outlineLevel="1" x14ac:dyDescent="0.25">
      <c r="B71" s="1087"/>
      <c r="C71" s="1434"/>
      <c r="D71" s="2379"/>
      <c r="E71" s="867" t="s">
        <v>1249</v>
      </c>
      <c r="F71" s="1721">
        <v>4.2999999999999997E-2</v>
      </c>
      <c r="G71" s="910" t="s">
        <v>593</v>
      </c>
      <c r="H71" s="869"/>
      <c r="V71" s="2294"/>
      <c r="W71" s="815">
        <v>4.2999999999999997E-2</v>
      </c>
      <c r="X71" s="815">
        <v>4.2999999999999997E-2</v>
      </c>
      <c r="Y71" s="816"/>
      <c r="Z71" s="816"/>
      <c r="AA71" s="816"/>
      <c r="AB71" s="816"/>
      <c r="AC71" s="816"/>
      <c r="AD71" s="816"/>
      <c r="AE71" s="816"/>
      <c r="AF71" s="816"/>
      <c r="AG71" s="816"/>
      <c r="AK71" s="802"/>
    </row>
    <row r="72" spans="2:37" outlineLevel="1" x14ac:dyDescent="0.25">
      <c r="B72" s="1087"/>
      <c r="C72" s="1434"/>
      <c r="D72" s="2379"/>
      <c r="E72" s="270" t="s">
        <v>1251</v>
      </c>
      <c r="F72" s="1721">
        <v>0.05</v>
      </c>
      <c r="G72" s="910" t="s">
        <v>593</v>
      </c>
      <c r="H72" s="869"/>
      <c r="V72" s="2294"/>
      <c r="W72" s="815">
        <v>0.05</v>
      </c>
      <c r="X72" s="815">
        <v>0.05</v>
      </c>
      <c r="Y72" s="816"/>
      <c r="Z72" s="816"/>
      <c r="AA72" s="816"/>
      <c r="AB72" s="816"/>
      <c r="AC72" s="816"/>
      <c r="AD72" s="816"/>
      <c r="AE72" s="816"/>
      <c r="AF72" s="816"/>
      <c r="AG72" s="816"/>
      <c r="AK72" s="802"/>
    </row>
    <row r="73" spans="2:37" outlineLevel="1" x14ac:dyDescent="0.25">
      <c r="B73" s="1087"/>
      <c r="C73" s="1434"/>
      <c r="D73" s="2379"/>
      <c r="E73" s="270" t="s">
        <v>1252</v>
      </c>
      <c r="F73" s="1721">
        <v>0.05</v>
      </c>
      <c r="G73" s="910" t="s">
        <v>593</v>
      </c>
      <c r="H73" s="869"/>
      <c r="V73" s="2294"/>
      <c r="W73" s="815">
        <v>0.05</v>
      </c>
      <c r="X73" s="815">
        <v>0.05</v>
      </c>
      <c r="Y73" s="816"/>
      <c r="Z73" s="816"/>
      <c r="AA73" s="816"/>
      <c r="AB73" s="816"/>
      <c r="AC73" s="816"/>
      <c r="AD73" s="816"/>
      <c r="AE73" s="816"/>
      <c r="AF73" s="816"/>
      <c r="AG73" s="816"/>
      <c r="AK73" s="802"/>
    </row>
    <row r="74" spans="2:37" outlineLevel="1" x14ac:dyDescent="0.25">
      <c r="B74" s="1087"/>
      <c r="C74" s="1434"/>
      <c r="D74" s="2379"/>
      <c r="E74" s="270" t="s">
        <v>1253</v>
      </c>
      <c r="F74" s="1721">
        <v>6.2E-2</v>
      </c>
      <c r="G74" s="910" t="s">
        <v>593</v>
      </c>
      <c r="H74" s="869"/>
      <c r="V74" s="2295"/>
      <c r="W74" s="815">
        <v>6.2E-2</v>
      </c>
      <c r="X74" s="815">
        <v>6.2E-2</v>
      </c>
      <c r="Y74" s="816"/>
      <c r="Z74" s="816"/>
      <c r="AA74" s="816"/>
      <c r="AB74" s="816"/>
      <c r="AC74" s="816"/>
      <c r="AD74" s="816"/>
      <c r="AE74" s="816"/>
      <c r="AF74" s="816"/>
      <c r="AG74" s="816"/>
      <c r="AK74" s="802"/>
    </row>
    <row r="75" spans="2:37" outlineLevel="1" x14ac:dyDescent="0.25">
      <c r="B75" s="1087"/>
      <c r="C75" s="1434"/>
      <c r="D75" s="807" t="str">
        <f>L46</f>
        <v>EUL</v>
      </c>
      <c r="E75" s="807" t="s">
        <v>483</v>
      </c>
      <c r="F75" s="1721">
        <v>15</v>
      </c>
      <c r="G75" s="910"/>
      <c r="H75" s="869"/>
      <c r="V75" s="820" t="str">
        <f>D75</f>
        <v>EUL</v>
      </c>
      <c r="W75" s="815">
        <v>15</v>
      </c>
      <c r="X75" s="815">
        <v>15</v>
      </c>
      <c r="Y75" s="816"/>
      <c r="Z75" s="816"/>
      <c r="AA75" s="816"/>
      <c r="AB75" s="816"/>
      <c r="AC75" s="816"/>
      <c r="AD75" s="816"/>
      <c r="AE75" s="816"/>
      <c r="AF75" s="816"/>
      <c r="AG75" s="816"/>
      <c r="AK75" s="802"/>
    </row>
    <row r="76" spans="2:37" ht="15" customHeight="1" outlineLevel="1" x14ac:dyDescent="0.25">
      <c r="B76" s="1087"/>
      <c r="C76" s="1434"/>
      <c r="D76" s="2379" t="str">
        <f>M46</f>
        <v>Inc. Cost</v>
      </c>
      <c r="E76" s="867" t="s">
        <v>1247</v>
      </c>
      <c r="F76" s="1721">
        <v>108.18600000000002</v>
      </c>
      <c r="G76" s="910"/>
      <c r="H76" s="869"/>
      <c r="V76" s="2293" t="str">
        <f>D76</f>
        <v>Inc. Cost</v>
      </c>
      <c r="W76" s="815">
        <v>4.2999999999999997E-2</v>
      </c>
      <c r="X76" s="815">
        <v>4.2999999999999997E-2</v>
      </c>
      <c r="Y76" s="816"/>
      <c r="Z76" s="816"/>
      <c r="AA76" s="816"/>
      <c r="AB76" s="816"/>
      <c r="AC76" s="816"/>
      <c r="AD76" s="816"/>
      <c r="AE76" s="816"/>
      <c r="AF76" s="816"/>
      <c r="AG76" s="816"/>
      <c r="AK76" s="802"/>
    </row>
    <row r="77" spans="2:37" outlineLevel="1" x14ac:dyDescent="0.25">
      <c r="B77" s="1087"/>
      <c r="C77" s="1434"/>
      <c r="D77" s="2379"/>
      <c r="E77" s="867" t="s">
        <v>1249</v>
      </c>
      <c r="F77" s="1721">
        <v>108.18600000000002</v>
      </c>
      <c r="G77" s="910"/>
      <c r="H77" s="869"/>
      <c r="V77" s="2294"/>
      <c r="W77" s="815">
        <v>4.2999999999999997E-2</v>
      </c>
      <c r="X77" s="815">
        <v>4.2999999999999997E-2</v>
      </c>
      <c r="Y77" s="816"/>
      <c r="Z77" s="816"/>
      <c r="AA77" s="816"/>
      <c r="AB77" s="816"/>
      <c r="AC77" s="816"/>
      <c r="AD77" s="816"/>
      <c r="AE77" s="816"/>
      <c r="AF77" s="816"/>
      <c r="AG77" s="816"/>
      <c r="AK77" s="802"/>
    </row>
    <row r="78" spans="2:37" outlineLevel="1" x14ac:dyDescent="0.25">
      <c r="B78" s="1087"/>
      <c r="C78" s="1434"/>
      <c r="D78" s="2379"/>
      <c r="E78" s="270" t="s">
        <v>1251</v>
      </c>
      <c r="F78" s="1721">
        <v>166.44</v>
      </c>
      <c r="G78" s="910"/>
      <c r="H78" s="869"/>
      <c r="V78" s="2294"/>
      <c r="W78" s="815">
        <v>0.05</v>
      </c>
      <c r="X78" s="815">
        <v>0.05</v>
      </c>
      <c r="Y78" s="816"/>
      <c r="Z78" s="816"/>
      <c r="AA78" s="816"/>
      <c r="AB78" s="816"/>
      <c r="AC78" s="816"/>
      <c r="AD78" s="816"/>
      <c r="AE78" s="816"/>
      <c r="AF78" s="816"/>
      <c r="AG78" s="816"/>
      <c r="AK78" s="802"/>
    </row>
    <row r="79" spans="2:37" outlineLevel="1" x14ac:dyDescent="0.25">
      <c r="B79" s="1087"/>
      <c r="C79" s="1434"/>
      <c r="D79" s="2379"/>
      <c r="E79" s="270" t="s">
        <v>1252</v>
      </c>
      <c r="F79" s="1721">
        <v>166.44</v>
      </c>
      <c r="G79" s="910"/>
      <c r="H79" s="869"/>
      <c r="V79" s="2294"/>
      <c r="W79" s="815">
        <v>0.05</v>
      </c>
      <c r="X79" s="815">
        <v>0.05</v>
      </c>
      <c r="Y79" s="816"/>
      <c r="Z79" s="816"/>
      <c r="AA79" s="816"/>
      <c r="AB79" s="816"/>
      <c r="AC79" s="816"/>
      <c r="AD79" s="816"/>
      <c r="AE79" s="816"/>
      <c r="AF79" s="816"/>
      <c r="AG79" s="816"/>
      <c r="AK79" s="802"/>
    </row>
    <row r="80" spans="2:37" outlineLevel="1" x14ac:dyDescent="0.25">
      <c r="B80" s="1087"/>
      <c r="C80" s="1434"/>
      <c r="D80" s="2379"/>
      <c r="E80" s="270" t="s">
        <v>1253</v>
      </c>
      <c r="F80" s="1721">
        <v>129.6</v>
      </c>
      <c r="G80" s="910"/>
      <c r="H80" s="869"/>
      <c r="V80" s="2295"/>
      <c r="W80" s="815">
        <v>6.2E-2</v>
      </c>
      <c r="X80" s="815">
        <v>6.2E-2</v>
      </c>
      <c r="Y80" s="816"/>
      <c r="Z80" s="816"/>
      <c r="AA80" s="816"/>
      <c r="AB80" s="816"/>
      <c r="AC80" s="816"/>
      <c r="AD80" s="816"/>
      <c r="AE80" s="816"/>
      <c r="AF80" s="816"/>
      <c r="AG80" s="816"/>
      <c r="AK80" s="802"/>
    </row>
    <row r="81" spans="2:37" x14ac:dyDescent="0.25">
      <c r="B81" s="1087"/>
      <c r="C81" s="1434"/>
      <c r="E81" s="1458"/>
      <c r="AK81" s="802"/>
    </row>
    <row r="82" spans="2:37" x14ac:dyDescent="0.25">
      <c r="AK82" s="802"/>
    </row>
    <row r="83" spans="2:37" s="811" customFormat="1" x14ac:dyDescent="0.25">
      <c r="B83" s="2022" t="s">
        <v>1259</v>
      </c>
      <c r="C83" s="2023"/>
      <c r="D83" s="2023"/>
      <c r="E83" s="2023"/>
      <c r="F83" s="2023"/>
      <c r="G83" s="2023"/>
      <c r="H83" s="2023"/>
      <c r="I83" s="1992"/>
      <c r="J83" s="1992"/>
      <c r="K83" s="1992"/>
      <c r="L83" s="1992"/>
      <c r="M83" s="1992"/>
      <c r="N83" s="1992"/>
      <c r="O83" s="1992"/>
      <c r="P83" s="1992"/>
      <c r="Q83" s="1992"/>
      <c r="R83" s="1993"/>
      <c r="S83" s="1548"/>
      <c r="T83" s="1548"/>
      <c r="U83" s="1548"/>
      <c r="V83" s="2022" t="str">
        <f>B83</f>
        <v>Ceiling Insulation</v>
      </c>
      <c r="W83" s="2023"/>
      <c r="X83" s="2023"/>
      <c r="Y83" s="2023"/>
      <c r="Z83" s="2023"/>
      <c r="AA83" s="2023"/>
      <c r="AB83" s="2023"/>
      <c r="AC83" s="2024"/>
      <c r="AD83" s="2024"/>
      <c r="AE83" s="2024"/>
      <c r="AF83" s="2024"/>
      <c r="AG83" s="2024"/>
      <c r="AH83" s="2024"/>
      <c r="AI83" s="2025"/>
      <c r="AK83" s="802"/>
    </row>
    <row r="84" spans="2:37" s="811" customFormat="1" x14ac:dyDescent="0.25">
      <c r="B84" s="1708"/>
      <c r="C84" s="1535"/>
      <c r="D84" s="1722"/>
      <c r="E84" s="1722"/>
      <c r="F84" s="1723"/>
      <c r="G84" s="1723"/>
      <c r="H84" s="1723"/>
      <c r="I84" s="1723"/>
      <c r="J84" s="1723"/>
      <c r="K84" s="1723"/>
      <c r="L84" s="1724"/>
      <c r="M84" s="1548"/>
      <c r="N84" s="1548"/>
      <c r="O84" s="1548"/>
      <c r="P84" s="1548"/>
      <c r="Q84" s="1548"/>
      <c r="R84" s="1548"/>
      <c r="S84" s="1548"/>
      <c r="T84" s="1548"/>
      <c r="U84" s="1548"/>
      <c r="V84" s="249"/>
      <c r="W84" s="249"/>
      <c r="X84" s="249"/>
      <c r="Y84" s="249"/>
      <c r="Z84" s="249"/>
      <c r="AA84" s="249"/>
      <c r="AB84" s="249"/>
      <c r="AC84" s="249"/>
      <c r="AD84" s="249"/>
      <c r="AE84" s="249"/>
      <c r="AF84" s="249"/>
      <c r="AG84" s="249"/>
      <c r="AH84" s="249"/>
      <c r="AI84" s="249"/>
      <c r="AK84" s="802"/>
    </row>
    <row r="85" spans="2:37" s="811" customFormat="1" ht="45" x14ac:dyDescent="0.25">
      <c r="B85" s="1708"/>
      <c r="C85" s="184" t="s">
        <v>16</v>
      </c>
      <c r="D85" s="184" t="s">
        <v>509</v>
      </c>
      <c r="E85" s="184" t="s">
        <v>18</v>
      </c>
      <c r="F85" s="184" t="s">
        <v>19</v>
      </c>
      <c r="G85" s="184" t="s">
        <v>20</v>
      </c>
      <c r="H85" s="184" t="s">
        <v>21</v>
      </c>
      <c r="I85" s="184" t="s">
        <v>724</v>
      </c>
      <c r="J85" s="184" t="s">
        <v>725</v>
      </c>
      <c r="K85" s="184" t="s">
        <v>22</v>
      </c>
      <c r="L85" s="448" t="s">
        <v>23</v>
      </c>
      <c r="M85" s="184" t="s">
        <v>24</v>
      </c>
      <c r="N85" s="184" t="s">
        <v>1260</v>
      </c>
      <c r="O85" s="1548"/>
      <c r="P85" s="1548"/>
      <c r="Q85" s="1548"/>
      <c r="R85" s="1548"/>
      <c r="S85" s="1548"/>
      <c r="T85" s="1548"/>
      <c r="U85" s="1548"/>
      <c r="V85" s="48" t="s">
        <v>26</v>
      </c>
      <c r="W85" s="49">
        <f>W$6</f>
        <v>43252</v>
      </c>
      <c r="X85" s="49">
        <f t="shared" ref="X85:AG85" si="9">X$6</f>
        <v>43465</v>
      </c>
      <c r="Y85" s="49" t="str">
        <f t="shared" si="9"/>
        <v>-</v>
      </c>
      <c r="Z85" s="49" t="str">
        <f t="shared" si="9"/>
        <v>-</v>
      </c>
      <c r="AA85" s="49" t="str">
        <f t="shared" si="9"/>
        <v>-</v>
      </c>
      <c r="AB85" s="49" t="str">
        <f t="shared" si="9"/>
        <v>-</v>
      </c>
      <c r="AC85" s="49" t="str">
        <f t="shared" si="9"/>
        <v>-</v>
      </c>
      <c r="AD85" s="49" t="str">
        <f t="shared" si="9"/>
        <v>-</v>
      </c>
      <c r="AE85" s="49" t="str">
        <f t="shared" si="9"/>
        <v>-</v>
      </c>
      <c r="AF85" s="49" t="str">
        <f t="shared" si="9"/>
        <v>-</v>
      </c>
      <c r="AG85" s="49" t="str">
        <f t="shared" si="9"/>
        <v>-</v>
      </c>
      <c r="AH85" s="249"/>
      <c r="AI85" s="249"/>
      <c r="AK85" s="802"/>
    </row>
    <row r="86" spans="2:37" s="811" customFormat="1" x14ac:dyDescent="0.25">
      <c r="B86" s="1708"/>
      <c r="C86" s="1531"/>
      <c r="D86" s="1066" t="s">
        <v>1246</v>
      </c>
      <c r="E86" s="1066" t="s">
        <v>1261</v>
      </c>
      <c r="F86" s="1077">
        <f t="shared" ref="F86:F115" si="10">I86+J86</f>
        <v>924.01016928670083</v>
      </c>
      <c r="G86" s="1531" t="s">
        <v>1248</v>
      </c>
      <c r="H86" s="170">
        <f>VLOOKUP(G86,'CP FACTORS'!$A$3:$B$38, 2, FALSE)</f>
        <v>4.6608050000000002E-4</v>
      </c>
      <c r="I86" s="1062">
        <f t="shared" ref="I86:I115" si="11">F125*(1/(F155+5)-1/(F185+5))*F215*(1-F$245)*F$246*24*F$247/(F248*3412)+(F278*F$308*29.3)</f>
        <v>836.23234778135986</v>
      </c>
      <c r="J86" s="1533">
        <f t="shared" ref="J86:J115" si="12">F311*(1/(F155+5)-1/(F185+5))*F215*(1-F$245)*F$309*24*F$310/(F341*1000)</f>
        <v>87.77782150534091</v>
      </c>
      <c r="K86" s="1725">
        <f>H86*F86</f>
        <v>0.43066312170623017</v>
      </c>
      <c r="L86" s="525">
        <f>$F$371</f>
        <v>25</v>
      </c>
      <c r="M86" s="526">
        <f>F372</f>
        <v>1860.46</v>
      </c>
      <c r="N86" s="813">
        <f>F215</f>
        <v>875.55000000000007</v>
      </c>
      <c r="O86" s="1548"/>
      <c r="P86" s="1548"/>
      <c r="Q86" s="1548"/>
      <c r="R86" s="1548"/>
      <c r="S86" s="1548"/>
      <c r="T86" s="1548"/>
      <c r="U86" s="1548"/>
      <c r="V86" s="176" t="str">
        <f>$F$46</f>
        <v>kWh Annual Savings</v>
      </c>
      <c r="W86" s="821">
        <v>924.01016928670083</v>
      </c>
      <c r="X86" s="722">
        <v>924.01016928670083</v>
      </c>
      <c r="Y86" s="176"/>
      <c r="Z86" s="176"/>
      <c r="AA86" s="176"/>
      <c r="AB86" s="176"/>
      <c r="AC86" s="176"/>
      <c r="AD86" s="176"/>
      <c r="AE86" s="176"/>
      <c r="AF86" s="176"/>
      <c r="AG86" s="176"/>
      <c r="AH86" s="801"/>
      <c r="AI86" s="801"/>
      <c r="AK86" s="802"/>
    </row>
    <row r="87" spans="2:37" s="811" customFormat="1" x14ac:dyDescent="0.25">
      <c r="B87" s="1708"/>
      <c r="C87" s="1531"/>
      <c r="D87" s="1066" t="s">
        <v>1246</v>
      </c>
      <c r="E87" s="1066" t="s">
        <v>1262</v>
      </c>
      <c r="F87" s="1077">
        <f t="shared" si="10"/>
        <v>575.99271940716187</v>
      </c>
      <c r="G87" s="1531" t="s">
        <v>1248</v>
      </c>
      <c r="H87" s="170">
        <f>VLOOKUP(G87,'CP FACTORS'!$A$3:$B$38, 2, FALSE)</f>
        <v>4.6608050000000002E-4</v>
      </c>
      <c r="I87" s="1062">
        <f t="shared" si="11"/>
        <v>479.53357489579827</v>
      </c>
      <c r="J87" s="1533">
        <f t="shared" si="12"/>
        <v>96.459144511363633</v>
      </c>
      <c r="K87" s="1725">
        <f t="shared" ref="K87:K115" si="13">H87*F87</f>
        <v>0.26845897465764973</v>
      </c>
      <c r="L87" s="525">
        <f t="shared" ref="L87:L115" si="14">$F$371</f>
        <v>25</v>
      </c>
      <c r="M87" s="526">
        <f t="shared" ref="M87:M115" si="15">F373</f>
        <v>1860.46</v>
      </c>
      <c r="N87" s="813">
        <f t="shared" ref="N87:N115" si="16">F216</f>
        <v>875.55000000000007</v>
      </c>
      <c r="O87" s="1548"/>
      <c r="P87" s="1548"/>
      <c r="Q87" s="1548"/>
      <c r="R87" s="1548"/>
      <c r="S87" s="1548"/>
      <c r="T87" s="1548"/>
      <c r="U87" s="1548"/>
      <c r="V87" s="176" t="str">
        <f t="shared" ref="V87:V115" si="17">$F$46</f>
        <v>kWh Annual Savings</v>
      </c>
      <c r="W87" s="821">
        <v>575.99271940716187</v>
      </c>
      <c r="X87" s="722">
        <v>575.99271940716187</v>
      </c>
      <c r="Y87" s="176"/>
      <c r="Z87" s="176"/>
      <c r="AA87" s="176"/>
      <c r="AB87" s="176"/>
      <c r="AC87" s="176"/>
      <c r="AD87" s="176"/>
      <c r="AE87" s="176"/>
      <c r="AF87" s="176"/>
      <c r="AG87" s="176"/>
      <c r="AH87" s="801"/>
      <c r="AI87" s="801"/>
      <c r="AK87" s="802"/>
    </row>
    <row r="88" spans="2:37" s="811" customFormat="1" x14ac:dyDescent="0.25">
      <c r="B88" s="1708"/>
      <c r="C88" s="1531"/>
      <c r="D88" s="1066" t="s">
        <v>1246</v>
      </c>
      <c r="E88" s="1066" t="s">
        <v>1263</v>
      </c>
      <c r="F88" s="1077">
        <f t="shared" si="10"/>
        <v>124.7499884556932</v>
      </c>
      <c r="G88" s="1531" t="s">
        <v>1248</v>
      </c>
      <c r="H88" s="170">
        <f>VLOOKUP(G88,'CP FACTORS'!$A$3:$B$38, 2, FALSE)</f>
        <v>4.6608050000000002E-4</v>
      </c>
      <c r="I88" s="1062">
        <f t="shared" si="11"/>
        <v>36.972166950352282</v>
      </c>
      <c r="J88" s="1533">
        <f t="shared" si="12"/>
        <v>87.77782150534091</v>
      </c>
      <c r="K88" s="1725">
        <f t="shared" si="13"/>
        <v>5.814353699442372E-2</v>
      </c>
      <c r="L88" s="525">
        <f t="shared" si="14"/>
        <v>25</v>
      </c>
      <c r="M88" s="526">
        <f t="shared" si="15"/>
        <v>1860.46</v>
      </c>
      <c r="N88" s="813">
        <f t="shared" si="16"/>
        <v>875.55000000000007</v>
      </c>
      <c r="O88" s="1548"/>
      <c r="P88" s="1548"/>
      <c r="Q88" s="1548"/>
      <c r="R88" s="1548"/>
      <c r="S88" s="1548"/>
      <c r="T88" s="1548"/>
      <c r="U88" s="1548"/>
      <c r="V88" s="176" t="str">
        <f t="shared" si="17"/>
        <v>kWh Annual Savings</v>
      </c>
      <c r="W88" s="821">
        <v>124.7499884556932</v>
      </c>
      <c r="X88" s="722">
        <v>124.7499884556932</v>
      </c>
      <c r="Y88" s="176"/>
      <c r="Z88" s="176"/>
      <c r="AA88" s="176"/>
      <c r="AB88" s="176"/>
      <c r="AC88" s="176"/>
      <c r="AD88" s="176"/>
      <c r="AE88" s="176"/>
      <c r="AF88" s="176"/>
      <c r="AG88" s="176"/>
      <c r="AK88" s="802"/>
    </row>
    <row r="89" spans="2:37" s="811" customFormat="1" x14ac:dyDescent="0.25">
      <c r="B89" s="1708"/>
      <c r="C89" s="1531"/>
      <c r="D89" s="1066" t="s">
        <v>1250</v>
      </c>
      <c r="E89" s="1066" t="s">
        <v>1264</v>
      </c>
      <c r="F89" s="1077">
        <f t="shared" si="10"/>
        <v>1421.5541065949242</v>
      </c>
      <c r="G89" s="1531" t="s">
        <v>1248</v>
      </c>
      <c r="H89" s="170">
        <f>VLOOKUP(G89,'CP FACTORS'!$A$3:$B$38, 2, FALSE)</f>
        <v>4.6608050000000002E-4</v>
      </c>
      <c r="I89" s="1062">
        <f t="shared" si="11"/>
        <v>1286.5113042790151</v>
      </c>
      <c r="J89" s="1533">
        <f t="shared" si="12"/>
        <v>135.04280231590909</v>
      </c>
      <c r="K89" s="1725">
        <f t="shared" si="13"/>
        <v>0.66255864877881554</v>
      </c>
      <c r="L89" s="525">
        <f t="shared" si="14"/>
        <v>25</v>
      </c>
      <c r="M89" s="526">
        <f t="shared" si="15"/>
        <v>2862.25</v>
      </c>
      <c r="N89" s="813">
        <f t="shared" si="16"/>
        <v>1347</v>
      </c>
      <c r="O89" s="1548"/>
      <c r="P89" s="1548"/>
      <c r="Q89" s="1548"/>
      <c r="R89" s="1548"/>
      <c r="S89" s="1548"/>
      <c r="T89" s="1548"/>
      <c r="U89" s="1548"/>
      <c r="V89" s="176" t="str">
        <f t="shared" si="17"/>
        <v>kWh Annual Savings</v>
      </c>
      <c r="W89" s="821">
        <v>1421.5541065949242</v>
      </c>
      <c r="X89" s="722">
        <v>1421.5541065949242</v>
      </c>
      <c r="Y89" s="176"/>
      <c r="Z89" s="176"/>
      <c r="AA89" s="176"/>
      <c r="AB89" s="176"/>
      <c r="AC89" s="176"/>
      <c r="AD89" s="176"/>
      <c r="AE89" s="176"/>
      <c r="AF89" s="176"/>
      <c r="AG89" s="176"/>
      <c r="AK89" s="802"/>
    </row>
    <row r="90" spans="2:37" s="811" customFormat="1" x14ac:dyDescent="0.25">
      <c r="B90" s="1708"/>
      <c r="C90" s="1531"/>
      <c r="D90" s="1066" t="s">
        <v>1250</v>
      </c>
      <c r="E90" s="1066" t="s">
        <v>1265</v>
      </c>
      <c r="F90" s="1077">
        <f t="shared" si="10"/>
        <v>886.14264524178759</v>
      </c>
      <c r="G90" s="1531" t="s">
        <v>1248</v>
      </c>
      <c r="H90" s="170">
        <f>VLOOKUP(G90,'CP FACTORS'!$A$3:$B$38, 2, FALSE)</f>
        <v>4.6608050000000002E-4</v>
      </c>
      <c r="I90" s="1062">
        <f t="shared" si="11"/>
        <v>737.7439613781512</v>
      </c>
      <c r="J90" s="1533">
        <f t="shared" si="12"/>
        <v>148.39868386363636</v>
      </c>
      <c r="K90" s="1725">
        <f t="shared" si="13"/>
        <v>0.41301380716561498</v>
      </c>
      <c r="L90" s="525">
        <f t="shared" si="14"/>
        <v>25</v>
      </c>
      <c r="M90" s="526">
        <f t="shared" si="15"/>
        <v>2862.25</v>
      </c>
      <c r="N90" s="813">
        <f t="shared" si="16"/>
        <v>1347</v>
      </c>
      <c r="O90" s="1548"/>
      <c r="P90" s="1548"/>
      <c r="Q90" s="1548"/>
      <c r="R90" s="1548"/>
      <c r="S90" s="1548"/>
      <c r="T90" s="1548"/>
      <c r="U90" s="1548"/>
      <c r="V90" s="176" t="str">
        <f t="shared" si="17"/>
        <v>kWh Annual Savings</v>
      </c>
      <c r="W90" s="821">
        <v>886.14264524178759</v>
      </c>
      <c r="X90" s="722">
        <v>886.14264524178759</v>
      </c>
      <c r="Y90" s="176"/>
      <c r="Z90" s="176"/>
      <c r="AA90" s="176"/>
      <c r="AB90" s="176"/>
      <c r="AC90" s="176"/>
      <c r="AD90" s="176"/>
      <c r="AE90" s="176"/>
      <c r="AF90" s="176"/>
      <c r="AG90" s="176"/>
      <c r="AK90" s="802"/>
    </row>
    <row r="91" spans="2:37" s="811" customFormat="1" x14ac:dyDescent="0.25">
      <c r="B91" s="1708"/>
      <c r="C91" s="1531"/>
      <c r="D91" s="1066" t="s">
        <v>1250</v>
      </c>
      <c r="E91" s="1066" t="s">
        <v>1266</v>
      </c>
      <c r="F91" s="1077">
        <f t="shared" si="10"/>
        <v>191.92305916260491</v>
      </c>
      <c r="G91" s="1531" t="s">
        <v>1248</v>
      </c>
      <c r="H91" s="170">
        <f>VLOOKUP(G91,'CP FACTORS'!$A$3:$B$38, 2, FALSE)</f>
        <v>4.6608050000000002E-4</v>
      </c>
      <c r="I91" s="1062">
        <f t="shared" si="11"/>
        <v>56.880256846695822</v>
      </c>
      <c r="J91" s="1533">
        <f t="shared" si="12"/>
        <v>135.04280231590909</v>
      </c>
      <c r="K91" s="1725">
        <f t="shared" si="13"/>
        <v>8.9451595376036488E-2</v>
      </c>
      <c r="L91" s="525">
        <f t="shared" si="14"/>
        <v>25</v>
      </c>
      <c r="M91" s="526">
        <f t="shared" si="15"/>
        <v>2862.25</v>
      </c>
      <c r="N91" s="813">
        <f t="shared" si="16"/>
        <v>1347</v>
      </c>
      <c r="O91" s="1548"/>
      <c r="P91" s="1548"/>
      <c r="Q91" s="1548"/>
      <c r="R91" s="1548"/>
      <c r="S91" s="1548"/>
      <c r="T91" s="1548"/>
      <c r="U91" s="1548"/>
      <c r="V91" s="176" t="str">
        <f t="shared" si="17"/>
        <v>kWh Annual Savings</v>
      </c>
      <c r="W91" s="821">
        <v>191.92305916260491</v>
      </c>
      <c r="X91" s="722">
        <v>191.92305916260491</v>
      </c>
      <c r="Y91" s="176"/>
      <c r="Z91" s="176"/>
      <c r="AA91" s="176"/>
      <c r="AB91" s="176"/>
      <c r="AC91" s="176"/>
      <c r="AD91" s="176"/>
      <c r="AE91" s="176"/>
      <c r="AF91" s="176"/>
      <c r="AG91" s="176"/>
      <c r="AK91" s="802"/>
    </row>
    <row r="92" spans="2:37" s="811" customFormat="1" x14ac:dyDescent="0.25">
      <c r="B92" s="1708"/>
      <c r="C92" s="1531"/>
      <c r="D92" s="1066" t="s">
        <v>1246</v>
      </c>
      <c r="E92" s="1066" t="s">
        <v>1267</v>
      </c>
      <c r="F92" s="1077">
        <f t="shared" si="10"/>
        <v>1232.157975126657</v>
      </c>
      <c r="G92" s="1531" t="s">
        <v>1248</v>
      </c>
      <c r="H92" s="170">
        <f>VLOOKUP(G92,'CP FACTORS'!$A$3:$B$38, 2, FALSE)</f>
        <v>4.6608050000000002E-4</v>
      </c>
      <c r="I92" s="1062">
        <f t="shared" si="11"/>
        <v>1115.1071607502934</v>
      </c>
      <c r="J92" s="1533">
        <f t="shared" si="12"/>
        <v>117.05081437636363</v>
      </c>
      <c r="K92" s="1725">
        <f t="shared" si="13"/>
        <v>0.57428480512601987</v>
      </c>
      <c r="L92" s="525">
        <f t="shared" si="14"/>
        <v>25</v>
      </c>
      <c r="M92" s="526">
        <f t="shared" si="15"/>
        <v>836.16</v>
      </c>
      <c r="N92" s="813">
        <f t="shared" si="16"/>
        <v>718.9</v>
      </c>
      <c r="O92" s="1548"/>
      <c r="P92" s="1548"/>
      <c r="Q92" s="1548"/>
      <c r="R92" s="1548"/>
      <c r="S92" s="1548"/>
      <c r="T92" s="1548"/>
      <c r="U92" s="1548"/>
      <c r="V92" s="176" t="str">
        <f t="shared" si="17"/>
        <v>kWh Annual Savings</v>
      </c>
      <c r="W92" s="821">
        <v>1232.157975126657</v>
      </c>
      <c r="X92" s="722">
        <v>1232.157975126657</v>
      </c>
      <c r="Y92" s="176"/>
      <c r="Z92" s="176"/>
      <c r="AA92" s="176"/>
      <c r="AB92" s="176"/>
      <c r="AC92" s="176"/>
      <c r="AD92" s="176"/>
      <c r="AE92" s="176"/>
      <c r="AF92" s="176"/>
      <c r="AG92" s="176"/>
      <c r="AK92" s="802"/>
    </row>
    <row r="93" spans="2:37" s="811" customFormat="1" x14ac:dyDescent="0.25">
      <c r="B93" s="1708"/>
      <c r="C93" s="1531"/>
      <c r="D93" s="1066" t="s">
        <v>1246</v>
      </c>
      <c r="E93" s="1066" t="s">
        <v>1268</v>
      </c>
      <c r="F93" s="1077">
        <f t="shared" si="10"/>
        <v>768.08031602108485</v>
      </c>
      <c r="G93" s="1531" t="s">
        <v>1248</v>
      </c>
      <c r="H93" s="170">
        <f>VLOOKUP(G93,'CP FACTORS'!$A$3:$B$38, 2, FALSE)</f>
        <v>4.6608050000000002E-4</v>
      </c>
      <c r="I93" s="1062">
        <f t="shared" si="11"/>
        <v>639.45304747563034</v>
      </c>
      <c r="J93" s="1533">
        <f t="shared" si="12"/>
        <v>128.62726854545457</v>
      </c>
      <c r="K93" s="1725">
        <f t="shared" si="13"/>
        <v>0.35798725773126527</v>
      </c>
      <c r="L93" s="525">
        <f t="shared" si="14"/>
        <v>25</v>
      </c>
      <c r="M93" s="526">
        <f t="shared" si="15"/>
        <v>836.16</v>
      </c>
      <c r="N93" s="813">
        <f t="shared" si="16"/>
        <v>718.9</v>
      </c>
      <c r="O93" s="1548"/>
      <c r="P93" s="1548"/>
      <c r="Q93" s="1548"/>
      <c r="R93" s="1548"/>
      <c r="S93" s="1548"/>
      <c r="T93" s="1548"/>
      <c r="U93" s="1548"/>
      <c r="V93" s="176" t="str">
        <f t="shared" si="17"/>
        <v>kWh Annual Savings</v>
      </c>
      <c r="W93" s="821">
        <v>768.08031602108485</v>
      </c>
      <c r="X93" s="722">
        <v>768.08031602108485</v>
      </c>
      <c r="Y93" s="176"/>
      <c r="Z93" s="176"/>
      <c r="AA93" s="176"/>
      <c r="AB93" s="176"/>
      <c r="AC93" s="176"/>
      <c r="AD93" s="176"/>
      <c r="AE93" s="176"/>
      <c r="AF93" s="176"/>
      <c r="AG93" s="176"/>
      <c r="AK93" s="802"/>
    </row>
    <row r="94" spans="2:37" s="811" customFormat="1" x14ac:dyDescent="0.25">
      <c r="B94" s="1708"/>
      <c r="C94" s="1531"/>
      <c r="D94" s="1066" t="s">
        <v>1246</v>
      </c>
      <c r="E94" s="1726" t="s">
        <v>1269</v>
      </c>
      <c r="F94" s="1077">
        <f t="shared" si="10"/>
        <v>166.35281545797278</v>
      </c>
      <c r="G94" s="1531" t="s">
        <v>1248</v>
      </c>
      <c r="H94" s="170">
        <f>VLOOKUP(G94,'CP FACTORS'!$A$3:$B$38, 2, FALSE)</f>
        <v>4.6608050000000002E-4</v>
      </c>
      <c r="I94" s="1062">
        <f t="shared" si="11"/>
        <v>49.302001081609156</v>
      </c>
      <c r="J94" s="1533">
        <f t="shared" si="12"/>
        <v>117.05081437636363</v>
      </c>
      <c r="K94" s="1725">
        <f t="shared" si="13"/>
        <v>7.7533803405059692E-2</v>
      </c>
      <c r="L94" s="525">
        <f t="shared" si="14"/>
        <v>25</v>
      </c>
      <c r="M94" s="526">
        <f t="shared" si="15"/>
        <v>836.16</v>
      </c>
      <c r="N94" s="813">
        <f t="shared" si="16"/>
        <v>718.9</v>
      </c>
      <c r="O94" s="1548"/>
      <c r="P94" s="1548"/>
      <c r="Q94" s="1548"/>
      <c r="R94" s="1548"/>
      <c r="S94" s="1548"/>
      <c r="T94" s="1548"/>
      <c r="U94" s="1548"/>
      <c r="V94" s="176" t="str">
        <f t="shared" si="17"/>
        <v>kWh Annual Savings</v>
      </c>
      <c r="W94" s="821">
        <v>166.35281545797278</v>
      </c>
      <c r="X94" s="722">
        <v>166.35281545797278</v>
      </c>
      <c r="Y94" s="176"/>
      <c r="Z94" s="176"/>
      <c r="AA94" s="176"/>
      <c r="AB94" s="176"/>
      <c r="AC94" s="176"/>
      <c r="AD94" s="176"/>
      <c r="AE94" s="176"/>
      <c r="AF94" s="176"/>
      <c r="AG94" s="176"/>
      <c r="AK94" s="802"/>
    </row>
    <row r="95" spans="2:37" s="811" customFormat="1" x14ac:dyDescent="0.25">
      <c r="B95" s="1708"/>
      <c r="C95" s="1531"/>
      <c r="D95" s="1066" t="s">
        <v>1250</v>
      </c>
      <c r="E95" s="1066" t="s">
        <v>1270</v>
      </c>
      <c r="F95" s="1077">
        <f t="shared" si="10"/>
        <v>1895.6276540410106</v>
      </c>
      <c r="G95" s="1531" t="s">
        <v>1248</v>
      </c>
      <c r="H95" s="170">
        <f>VLOOKUP(G95,'CP FACTORS'!$A$3:$B$38, 2, FALSE)</f>
        <v>4.6608050000000002E-4</v>
      </c>
      <c r="I95" s="1062">
        <f t="shared" si="11"/>
        <v>1715.5494780773743</v>
      </c>
      <c r="J95" s="1533">
        <f t="shared" si="12"/>
        <v>180.0781759636364</v>
      </c>
      <c r="K95" s="1725">
        <f t="shared" si="13"/>
        <v>0.88351508480926122</v>
      </c>
      <c r="L95" s="525">
        <f t="shared" si="14"/>
        <v>25</v>
      </c>
      <c r="M95" s="526">
        <f t="shared" si="15"/>
        <v>1286.3900000000001</v>
      </c>
      <c r="N95" s="813">
        <f t="shared" si="16"/>
        <v>1106</v>
      </c>
      <c r="O95" s="1548"/>
      <c r="P95" s="1548"/>
      <c r="Q95" s="1548"/>
      <c r="R95" s="1548"/>
      <c r="S95" s="1548"/>
      <c r="T95" s="1548"/>
      <c r="U95" s="1548"/>
      <c r="V95" s="176" t="str">
        <f t="shared" si="17"/>
        <v>kWh Annual Savings</v>
      </c>
      <c r="W95" s="821">
        <v>1895.6276540410106</v>
      </c>
      <c r="X95" s="722">
        <v>1895.6276540410106</v>
      </c>
      <c r="Y95" s="176"/>
      <c r="Z95" s="176"/>
      <c r="AA95" s="176"/>
      <c r="AB95" s="176"/>
      <c r="AC95" s="176"/>
      <c r="AD95" s="176"/>
      <c r="AE95" s="176"/>
      <c r="AF95" s="176"/>
      <c r="AG95" s="176"/>
      <c r="AK95" s="802"/>
    </row>
    <row r="96" spans="2:37" s="811" customFormat="1" x14ac:dyDescent="0.25">
      <c r="B96" s="1708"/>
      <c r="C96" s="1531"/>
      <c r="D96" s="1066" t="s">
        <v>1250</v>
      </c>
      <c r="E96" s="1066" t="s">
        <v>1271</v>
      </c>
      <c r="F96" s="1077">
        <f t="shared" si="10"/>
        <v>1181.6620246478228</v>
      </c>
      <c r="G96" s="1531" t="s">
        <v>1248</v>
      </c>
      <c r="H96" s="170">
        <f>VLOOKUP(G96,'CP FACTORS'!$A$3:$B$38, 2, FALSE)</f>
        <v>4.6608050000000002E-4</v>
      </c>
      <c r="I96" s="1062">
        <f t="shared" si="11"/>
        <v>983.77391919327738</v>
      </c>
      <c r="J96" s="1533">
        <f t="shared" si="12"/>
        <v>197.88810545454552</v>
      </c>
      <c r="K96" s="1725">
        <f t="shared" si="13"/>
        <v>0.55074962727886956</v>
      </c>
      <c r="L96" s="525">
        <f t="shared" si="14"/>
        <v>25</v>
      </c>
      <c r="M96" s="526">
        <f t="shared" si="15"/>
        <v>1286.3900000000001</v>
      </c>
      <c r="N96" s="813">
        <f t="shared" si="16"/>
        <v>1106</v>
      </c>
      <c r="O96" s="1548"/>
      <c r="P96" s="1548"/>
      <c r="Q96" s="1548"/>
      <c r="R96" s="1548"/>
      <c r="S96" s="1548"/>
      <c r="T96" s="1548"/>
      <c r="U96" s="1548"/>
      <c r="V96" s="176" t="str">
        <f t="shared" si="17"/>
        <v>kWh Annual Savings</v>
      </c>
      <c r="W96" s="821">
        <v>1181.6620246478228</v>
      </c>
      <c r="X96" s="722">
        <v>1181.6620246478228</v>
      </c>
      <c r="Y96" s="176"/>
      <c r="Z96" s="176"/>
      <c r="AA96" s="176"/>
      <c r="AB96" s="176"/>
      <c r="AC96" s="176"/>
      <c r="AD96" s="176"/>
      <c r="AE96" s="176"/>
      <c r="AF96" s="176"/>
      <c r="AG96" s="176"/>
      <c r="AK96" s="802"/>
    </row>
    <row r="97" spans="2:37" s="811" customFormat="1" x14ac:dyDescent="0.25">
      <c r="B97" s="1708"/>
      <c r="C97" s="1531"/>
      <c r="D97" s="1066" t="s">
        <v>1250</v>
      </c>
      <c r="E97" s="1727" t="s">
        <v>1272</v>
      </c>
      <c r="F97" s="1077">
        <f t="shared" si="10"/>
        <v>255.92740839688122</v>
      </c>
      <c r="G97" s="1531" t="s">
        <v>1248</v>
      </c>
      <c r="H97" s="170">
        <f>VLOOKUP(G97,'CP FACTORS'!$A$3:$B$38, 2, FALSE)</f>
        <v>4.6608050000000002E-4</v>
      </c>
      <c r="I97" s="1062">
        <f t="shared" si="11"/>
        <v>75.849232433244836</v>
      </c>
      <c r="J97" s="1533">
        <f t="shared" si="12"/>
        <v>180.0781759636364</v>
      </c>
      <c r="K97" s="1725">
        <f t="shared" si="13"/>
        <v>0.1192827744693226</v>
      </c>
      <c r="L97" s="525">
        <f t="shared" si="14"/>
        <v>25</v>
      </c>
      <c r="M97" s="526">
        <f t="shared" si="15"/>
        <v>1286.3900000000001</v>
      </c>
      <c r="N97" s="813">
        <f t="shared" si="16"/>
        <v>1106</v>
      </c>
      <c r="O97" s="1548"/>
      <c r="P97" s="1548"/>
      <c r="Q97" s="1548"/>
      <c r="R97" s="1548"/>
      <c r="S97" s="1548"/>
      <c r="T97" s="1548"/>
      <c r="U97" s="1548"/>
      <c r="V97" s="176" t="str">
        <f t="shared" si="17"/>
        <v>kWh Annual Savings</v>
      </c>
      <c r="W97" s="821">
        <v>255.92740839688122</v>
      </c>
      <c r="X97" s="722">
        <v>255.92740839688122</v>
      </c>
      <c r="Y97" s="176"/>
      <c r="Z97" s="176"/>
      <c r="AA97" s="176"/>
      <c r="AB97" s="176"/>
      <c r="AC97" s="176"/>
      <c r="AD97" s="176"/>
      <c r="AE97" s="176"/>
      <c r="AF97" s="176"/>
      <c r="AG97" s="176"/>
      <c r="AK97" s="802"/>
    </row>
    <row r="98" spans="2:37" s="811" customFormat="1" x14ac:dyDescent="0.25">
      <c r="B98" s="1708"/>
      <c r="C98" s="1531"/>
      <c r="D98" s="1066" t="s">
        <v>1246</v>
      </c>
      <c r="E98" s="1066" t="s">
        <v>1273</v>
      </c>
      <c r="F98" s="1077">
        <f t="shared" si="10"/>
        <v>1323.8534523453845</v>
      </c>
      <c r="G98" s="1531" t="s">
        <v>1248</v>
      </c>
      <c r="H98" s="170">
        <f>VLOOKUP(G98,'CP FACTORS'!$A$3:$B$38, 2, FALSE)</f>
        <v>4.6608050000000002E-4</v>
      </c>
      <c r="I98" s="1062">
        <f t="shared" si="11"/>
        <v>1198.0918796898497</v>
      </c>
      <c r="J98" s="1533">
        <f t="shared" si="12"/>
        <v>125.76157265553488</v>
      </c>
      <c r="K98" s="1725">
        <f t="shared" si="13"/>
        <v>0.61702227899586304</v>
      </c>
      <c r="L98" s="525">
        <f t="shared" si="14"/>
        <v>25</v>
      </c>
      <c r="M98" s="526">
        <f t="shared" si="15"/>
        <v>1208.5</v>
      </c>
      <c r="N98" s="813">
        <f t="shared" si="16"/>
        <v>718.9</v>
      </c>
      <c r="O98" s="1548"/>
      <c r="P98" s="1548"/>
      <c r="Q98" s="1548"/>
      <c r="R98" s="1548"/>
      <c r="S98" s="1548"/>
      <c r="T98" s="1548"/>
      <c r="U98" s="1548"/>
      <c r="V98" s="176" t="str">
        <f t="shared" si="17"/>
        <v>kWh Annual Savings</v>
      </c>
      <c r="W98" s="821">
        <v>1323.8534523453845</v>
      </c>
      <c r="X98" s="722">
        <v>1323.8534523453845</v>
      </c>
      <c r="Y98" s="176"/>
      <c r="Z98" s="176"/>
      <c r="AA98" s="176"/>
      <c r="AB98" s="176"/>
      <c r="AC98" s="176"/>
      <c r="AD98" s="176"/>
      <c r="AE98" s="176"/>
      <c r="AF98" s="176"/>
      <c r="AG98" s="176"/>
      <c r="AK98" s="802"/>
    </row>
    <row r="99" spans="2:37" s="811" customFormat="1" x14ac:dyDescent="0.25">
      <c r="B99" s="1708"/>
      <c r="C99" s="1531"/>
      <c r="D99" s="1066" t="s">
        <v>1246</v>
      </c>
      <c r="E99" s="1066" t="s">
        <v>1274</v>
      </c>
      <c r="F99" s="1077">
        <f t="shared" si="10"/>
        <v>825.239781399398</v>
      </c>
      <c r="G99" s="1531" t="s">
        <v>1248</v>
      </c>
      <c r="H99" s="170">
        <f>VLOOKUP(G99,'CP FACTORS'!$A$3:$B$38, 2, FALSE)</f>
        <v>4.6608050000000002E-4</v>
      </c>
      <c r="I99" s="1062">
        <f t="shared" si="11"/>
        <v>687.04025100870035</v>
      </c>
      <c r="J99" s="1533">
        <f t="shared" si="12"/>
        <v>138.19953039069765</v>
      </c>
      <c r="K99" s="1725">
        <f t="shared" si="13"/>
        <v>0.38462816993452215</v>
      </c>
      <c r="L99" s="525">
        <f t="shared" si="14"/>
        <v>25</v>
      </c>
      <c r="M99" s="526">
        <f t="shared" si="15"/>
        <v>1208.5</v>
      </c>
      <c r="N99" s="813">
        <f t="shared" si="16"/>
        <v>718.9</v>
      </c>
      <c r="O99" s="1548"/>
      <c r="P99" s="1548"/>
      <c r="Q99" s="1548"/>
      <c r="R99" s="1548"/>
      <c r="S99" s="1548"/>
      <c r="T99" s="1548"/>
      <c r="U99" s="1548"/>
      <c r="V99" s="176" t="str">
        <f t="shared" si="17"/>
        <v>kWh Annual Savings</v>
      </c>
      <c r="W99" s="821">
        <v>825.239781399398</v>
      </c>
      <c r="X99" s="722">
        <v>825.239781399398</v>
      </c>
      <c r="Y99" s="176"/>
      <c r="Z99" s="176"/>
      <c r="AA99" s="176"/>
      <c r="AB99" s="176"/>
      <c r="AC99" s="176"/>
      <c r="AD99" s="176"/>
      <c r="AE99" s="176"/>
      <c r="AF99" s="176"/>
      <c r="AG99" s="176"/>
      <c r="AK99" s="802"/>
    </row>
    <row r="100" spans="2:37" s="811" customFormat="1" x14ac:dyDescent="0.25">
      <c r="B100" s="1708"/>
      <c r="C100" s="1531"/>
      <c r="D100" s="1726" t="s">
        <v>1246</v>
      </c>
      <c r="E100" s="1726" t="s">
        <v>1275</v>
      </c>
      <c r="F100" s="1628">
        <f t="shared" si="10"/>
        <v>178.7325598641475</v>
      </c>
      <c r="G100" s="1728" t="s">
        <v>1248</v>
      </c>
      <c r="H100" s="170">
        <f>VLOOKUP(G100,'CP FACTORS'!$A$3:$B$38, 2, FALSE)</f>
        <v>4.6608050000000002E-4</v>
      </c>
      <c r="I100" s="1062">
        <f t="shared" si="11"/>
        <v>52.970987208612613</v>
      </c>
      <c r="J100" s="1533">
        <f t="shared" si="12"/>
        <v>125.76157265553488</v>
      </c>
      <c r="K100" s="1725">
        <f t="shared" si="13"/>
        <v>8.3303760867761797E-2</v>
      </c>
      <c r="L100" s="525">
        <f t="shared" si="14"/>
        <v>25</v>
      </c>
      <c r="M100" s="526">
        <f t="shared" si="15"/>
        <v>1208.5</v>
      </c>
      <c r="N100" s="813">
        <f t="shared" si="16"/>
        <v>718.9</v>
      </c>
      <c r="O100" s="1548"/>
      <c r="P100" s="1548"/>
      <c r="Q100" s="1548"/>
      <c r="R100" s="1548"/>
      <c r="S100" s="1548"/>
      <c r="T100" s="1548"/>
      <c r="U100" s="1548"/>
      <c r="V100" s="176" t="str">
        <f t="shared" si="17"/>
        <v>kWh Annual Savings</v>
      </c>
      <c r="W100" s="821">
        <v>178.7325598641475</v>
      </c>
      <c r="X100" s="722">
        <v>178.7325598641475</v>
      </c>
      <c r="Y100" s="176"/>
      <c r="Z100" s="176"/>
      <c r="AA100" s="176"/>
      <c r="AB100" s="176"/>
      <c r="AC100" s="176"/>
      <c r="AD100" s="176"/>
      <c r="AE100" s="176"/>
      <c r="AF100" s="176"/>
      <c r="AG100" s="176"/>
      <c r="AK100" s="802"/>
    </row>
    <row r="101" spans="2:37" s="811" customFormat="1" x14ac:dyDescent="0.25">
      <c r="B101" s="1708"/>
      <c r="C101" s="1531"/>
      <c r="D101" s="1066" t="s">
        <v>1250</v>
      </c>
      <c r="E101" s="1066" t="s">
        <v>1276</v>
      </c>
      <c r="F101" s="1077">
        <f t="shared" si="10"/>
        <v>2036.6976189928996</v>
      </c>
      <c r="G101" s="1531" t="s">
        <v>1248</v>
      </c>
      <c r="H101" s="170">
        <f>VLOOKUP(G101,'CP FACTORS'!$A$3:$B$38, 2, FALSE)</f>
        <v>4.6608050000000002E-4</v>
      </c>
      <c r="I101" s="1062">
        <f t="shared" si="11"/>
        <v>1843.2182764459228</v>
      </c>
      <c r="J101" s="1533">
        <f t="shared" si="12"/>
        <v>193.47934254697677</v>
      </c>
      <c r="K101" s="1725">
        <f t="shared" si="13"/>
        <v>0.94926504460902017</v>
      </c>
      <c r="L101" s="525">
        <f t="shared" si="14"/>
        <v>25</v>
      </c>
      <c r="M101" s="526">
        <f t="shared" si="15"/>
        <v>1859.23</v>
      </c>
      <c r="N101" s="813">
        <f t="shared" si="16"/>
        <v>1106</v>
      </c>
      <c r="O101" s="1548"/>
      <c r="P101" s="1548"/>
      <c r="Q101" s="1548"/>
      <c r="R101" s="1548"/>
      <c r="S101" s="1548"/>
      <c r="T101" s="1548"/>
      <c r="U101" s="1548"/>
      <c r="V101" s="176" t="str">
        <f t="shared" si="17"/>
        <v>kWh Annual Savings</v>
      </c>
      <c r="W101" s="821">
        <v>2036.6976189928996</v>
      </c>
      <c r="X101" s="722">
        <v>2036.6976189928996</v>
      </c>
      <c r="Y101" s="176"/>
      <c r="Z101" s="176"/>
      <c r="AA101" s="176"/>
      <c r="AB101" s="176"/>
      <c r="AC101" s="176"/>
      <c r="AD101" s="176"/>
      <c r="AE101" s="176"/>
      <c r="AF101" s="176"/>
      <c r="AG101" s="176"/>
      <c r="AK101" s="802"/>
    </row>
    <row r="102" spans="2:37" s="811" customFormat="1" x14ac:dyDescent="0.25">
      <c r="B102" s="1708"/>
      <c r="C102" s="1728"/>
      <c r="D102" s="1726" t="s">
        <v>1250</v>
      </c>
      <c r="E102" s="1726" t="s">
        <v>1277</v>
      </c>
      <c r="F102" s="1628">
        <f t="shared" si="10"/>
        <v>1269.5996636913817</v>
      </c>
      <c r="G102" s="1728" t="s">
        <v>1248</v>
      </c>
      <c r="H102" s="170">
        <f>VLOOKUP(G102,'CP FACTORS'!$A$3:$B$38, 2, FALSE)</f>
        <v>4.6608050000000002E-4</v>
      </c>
      <c r="I102" s="1729">
        <f t="shared" si="11"/>
        <v>1056.9850015518468</v>
      </c>
      <c r="J102" s="1730">
        <f t="shared" si="12"/>
        <v>212.61466213953486</v>
      </c>
      <c r="K102" s="1725">
        <f t="shared" si="13"/>
        <v>0.59173564605311102</v>
      </c>
      <c r="L102" s="525">
        <f t="shared" si="14"/>
        <v>25</v>
      </c>
      <c r="M102" s="526">
        <f t="shared" si="15"/>
        <v>1859.23</v>
      </c>
      <c r="N102" s="813">
        <f t="shared" si="16"/>
        <v>1106</v>
      </c>
      <c r="O102" s="1548"/>
      <c r="P102" s="1548"/>
      <c r="Q102" s="1548"/>
      <c r="R102" s="1548"/>
      <c r="S102" s="1548"/>
      <c r="T102" s="1548"/>
      <c r="U102" s="1548"/>
      <c r="V102" s="176" t="str">
        <f t="shared" si="17"/>
        <v>kWh Annual Savings</v>
      </c>
      <c r="W102" s="821">
        <v>1269.5996636913817</v>
      </c>
      <c r="X102" s="722">
        <v>1269.5996636913817</v>
      </c>
      <c r="Y102" s="176"/>
      <c r="Z102" s="176"/>
      <c r="AA102" s="176"/>
      <c r="AB102" s="176"/>
      <c r="AC102" s="176"/>
      <c r="AD102" s="176"/>
      <c r="AE102" s="176"/>
      <c r="AF102" s="176"/>
      <c r="AG102" s="176"/>
      <c r="AK102" s="802"/>
    </row>
    <row r="103" spans="2:37" s="811" customFormat="1" x14ac:dyDescent="0.25">
      <c r="B103" s="1708"/>
      <c r="C103" s="1531"/>
      <c r="D103" s="1066" t="s">
        <v>1250</v>
      </c>
      <c r="E103" s="1066" t="s">
        <v>1278</v>
      </c>
      <c r="F103" s="1077">
        <f t="shared" si="10"/>
        <v>274.97316902176544</v>
      </c>
      <c r="G103" s="1531" t="s">
        <v>1248</v>
      </c>
      <c r="H103" s="170">
        <f>VLOOKUP(G103,'CP FACTORS'!$A$3:$B$38, 2, FALSE)</f>
        <v>4.6608050000000002E-4</v>
      </c>
      <c r="I103" s="1062">
        <f t="shared" si="11"/>
        <v>81.493826474788648</v>
      </c>
      <c r="J103" s="1533">
        <f t="shared" si="12"/>
        <v>193.47934254697677</v>
      </c>
      <c r="K103" s="1725">
        <f t="shared" si="13"/>
        <v>0.12815963210424897</v>
      </c>
      <c r="L103" s="525">
        <f t="shared" si="14"/>
        <v>25</v>
      </c>
      <c r="M103" s="526">
        <f t="shared" si="15"/>
        <v>1859.23</v>
      </c>
      <c r="N103" s="813">
        <f t="shared" si="16"/>
        <v>1106</v>
      </c>
      <c r="O103" s="1548"/>
      <c r="P103" s="1548"/>
      <c r="Q103" s="1548"/>
      <c r="R103" s="1548"/>
      <c r="S103" s="1548"/>
      <c r="T103" s="1548"/>
      <c r="U103" s="1548"/>
      <c r="V103" s="176" t="str">
        <f t="shared" si="17"/>
        <v>kWh Annual Savings</v>
      </c>
      <c r="W103" s="821">
        <v>274.97316902176544</v>
      </c>
      <c r="X103" s="722">
        <v>274.97316902176544</v>
      </c>
      <c r="Y103" s="176"/>
      <c r="Z103" s="176"/>
      <c r="AA103" s="176"/>
      <c r="AB103" s="176"/>
      <c r="AC103" s="176"/>
      <c r="AD103" s="176"/>
      <c r="AE103" s="176"/>
      <c r="AF103" s="176"/>
      <c r="AG103" s="176"/>
      <c r="AK103" s="802"/>
    </row>
    <row r="104" spans="2:37" s="811" customFormat="1" x14ac:dyDescent="0.25">
      <c r="B104" s="1708"/>
      <c r="C104" s="1531"/>
      <c r="D104" s="1066" t="s">
        <v>1246</v>
      </c>
      <c r="E104" s="1066" t="s">
        <v>1279</v>
      </c>
      <c r="F104" s="1077">
        <f t="shared" si="10"/>
        <v>1405.5728012555933</v>
      </c>
      <c r="G104" s="1531" t="s">
        <v>1248</v>
      </c>
      <c r="H104" s="170">
        <f>VLOOKUP(G104,'CP FACTORS'!$A$3:$B$38, 2, FALSE)</f>
        <v>4.6608050000000002E-4</v>
      </c>
      <c r="I104" s="1062">
        <f t="shared" si="11"/>
        <v>1272.0481685595933</v>
      </c>
      <c r="J104" s="1533">
        <f t="shared" si="12"/>
        <v>133.524632696</v>
      </c>
      <c r="K104" s="1725">
        <f t="shared" si="13"/>
        <v>0.65511007399560761</v>
      </c>
      <c r="L104" s="525">
        <f t="shared" si="14"/>
        <v>25</v>
      </c>
      <c r="M104" s="526">
        <f t="shared" si="15"/>
        <v>1846.68</v>
      </c>
      <c r="N104" s="813">
        <f t="shared" si="16"/>
        <v>718.9</v>
      </c>
      <c r="O104" s="1548"/>
      <c r="P104" s="1548"/>
      <c r="Q104" s="1548"/>
      <c r="R104" s="1548"/>
      <c r="S104" s="1548"/>
      <c r="T104" s="1548"/>
      <c r="U104" s="1548"/>
      <c r="V104" s="176" t="str">
        <f t="shared" si="17"/>
        <v>kWh Annual Savings</v>
      </c>
      <c r="W104" s="821">
        <v>1405.5728012555933</v>
      </c>
      <c r="X104" s="722">
        <v>1405.5728012555933</v>
      </c>
      <c r="Y104" s="176"/>
      <c r="Z104" s="176"/>
      <c r="AA104" s="176"/>
      <c r="AB104" s="176"/>
      <c r="AC104" s="176"/>
      <c r="AD104" s="176"/>
      <c r="AE104" s="176"/>
      <c r="AF104" s="176"/>
      <c r="AG104" s="176"/>
      <c r="AK104" s="802"/>
    </row>
    <row r="105" spans="2:37" s="811" customFormat="1" x14ac:dyDescent="0.25">
      <c r="B105" s="1708"/>
      <c r="C105" s="1531"/>
      <c r="D105" s="1066" t="s">
        <v>1246</v>
      </c>
      <c r="E105" s="1066" t="s">
        <v>1280</v>
      </c>
      <c r="F105" s="1077">
        <f t="shared" si="10"/>
        <v>876.18050864627435</v>
      </c>
      <c r="G105" s="1531" t="s">
        <v>1248</v>
      </c>
      <c r="H105" s="170">
        <f>VLOOKUP(G105,'CP FACTORS'!$A$3:$B$38, 2, FALSE)</f>
        <v>4.6608050000000002E-4</v>
      </c>
      <c r="I105" s="1062">
        <f t="shared" si="11"/>
        <v>729.45014304627432</v>
      </c>
      <c r="J105" s="1533">
        <f t="shared" si="12"/>
        <v>146.73036559999997</v>
      </c>
      <c r="K105" s="1725">
        <f t="shared" si="13"/>
        <v>0.40837064956010988</v>
      </c>
      <c r="L105" s="525">
        <f t="shared" si="14"/>
        <v>25</v>
      </c>
      <c r="M105" s="526">
        <f t="shared" si="15"/>
        <v>1846.68</v>
      </c>
      <c r="N105" s="813">
        <f t="shared" si="16"/>
        <v>718.9</v>
      </c>
      <c r="O105" s="1548"/>
      <c r="P105" s="1548"/>
      <c r="Q105" s="1548"/>
      <c r="R105" s="1548"/>
      <c r="S105" s="1548"/>
      <c r="T105" s="1548"/>
      <c r="U105" s="1548"/>
      <c r="V105" s="176" t="str">
        <f t="shared" si="17"/>
        <v>kWh Annual Savings</v>
      </c>
      <c r="W105" s="821">
        <v>876.18050864627435</v>
      </c>
      <c r="X105" s="722">
        <v>876.18050864627435</v>
      </c>
      <c r="Y105" s="176"/>
      <c r="Z105" s="176"/>
      <c r="AA105" s="176"/>
      <c r="AB105" s="176"/>
      <c r="AC105" s="176"/>
      <c r="AD105" s="176"/>
      <c r="AE105" s="176"/>
      <c r="AF105" s="176"/>
      <c r="AG105" s="176"/>
      <c r="AK105" s="802"/>
    </row>
    <row r="106" spans="2:37" s="811" customFormat="1" x14ac:dyDescent="0.25">
      <c r="B106" s="1708"/>
      <c r="C106" s="1531"/>
      <c r="D106" s="1726" t="s">
        <v>1246</v>
      </c>
      <c r="E106" s="1726" t="s">
        <v>1281</v>
      </c>
      <c r="F106" s="1077">
        <f t="shared" si="10"/>
        <v>189.76543392983561</v>
      </c>
      <c r="G106" s="1531" t="s">
        <v>1248</v>
      </c>
      <c r="H106" s="170">
        <f>VLOOKUP(G106,'CP FACTORS'!$A$3:$B$38, 2, FALSE)</f>
        <v>4.6608050000000002E-4</v>
      </c>
      <c r="I106" s="1062">
        <f t="shared" si="11"/>
        <v>56.240801233835612</v>
      </c>
      <c r="J106" s="1533">
        <f t="shared" si="12"/>
        <v>133.524632696</v>
      </c>
      <c r="K106" s="1725">
        <f t="shared" si="13"/>
        <v>8.8445968328734748E-2</v>
      </c>
      <c r="L106" s="525">
        <f t="shared" si="14"/>
        <v>25</v>
      </c>
      <c r="M106" s="526">
        <f t="shared" si="15"/>
        <v>1846.68</v>
      </c>
      <c r="N106" s="813">
        <f t="shared" si="16"/>
        <v>718.9</v>
      </c>
      <c r="O106" s="1548"/>
      <c r="P106" s="1548"/>
      <c r="Q106" s="1548"/>
      <c r="R106" s="1548"/>
      <c r="S106" s="1548"/>
      <c r="T106" s="1548"/>
      <c r="U106" s="1548"/>
      <c r="V106" s="176" t="str">
        <f t="shared" si="17"/>
        <v>kWh Annual Savings</v>
      </c>
      <c r="W106" s="821">
        <v>189.76543392983561</v>
      </c>
      <c r="X106" s="722">
        <v>189.76543392983561</v>
      </c>
      <c r="Y106" s="176"/>
      <c r="Z106" s="176"/>
      <c r="AA106" s="176"/>
      <c r="AB106" s="176"/>
      <c r="AC106" s="176"/>
      <c r="AD106" s="176"/>
      <c r="AE106" s="176"/>
      <c r="AF106" s="176"/>
      <c r="AG106" s="176"/>
      <c r="AK106" s="802"/>
    </row>
    <row r="107" spans="2:37" s="811" customFormat="1" x14ac:dyDescent="0.25">
      <c r="B107" s="1708"/>
      <c r="C107" s="1531"/>
      <c r="D107" s="1066" t="s">
        <v>1250</v>
      </c>
      <c r="E107" s="1066" t="s">
        <v>1282</v>
      </c>
      <c r="F107" s="1077">
        <f t="shared" si="10"/>
        <v>2162.4196942393751</v>
      </c>
      <c r="G107" s="1531" t="s">
        <v>1248</v>
      </c>
      <c r="H107" s="170">
        <f>VLOOKUP(G107,'CP FACTORS'!$A$3:$B$38, 2, FALSE)</f>
        <v>4.6608050000000002E-4</v>
      </c>
      <c r="I107" s="1062">
        <f t="shared" si="11"/>
        <v>1956.9971823993749</v>
      </c>
      <c r="J107" s="1533">
        <f t="shared" si="12"/>
        <v>205.42251184</v>
      </c>
      <c r="K107" s="1725">
        <f t="shared" si="13"/>
        <v>1.0078616523009352</v>
      </c>
      <c r="L107" s="525">
        <f t="shared" si="14"/>
        <v>25</v>
      </c>
      <c r="M107" s="526">
        <f t="shared" si="15"/>
        <v>2841.04</v>
      </c>
      <c r="N107" s="813">
        <f t="shared" si="16"/>
        <v>1106</v>
      </c>
      <c r="O107" s="1548"/>
      <c r="P107" s="1548"/>
      <c r="Q107" s="1548"/>
      <c r="R107" s="1548"/>
      <c r="S107" s="1548"/>
      <c r="T107" s="1548"/>
      <c r="U107" s="1548"/>
      <c r="V107" s="176" t="str">
        <f t="shared" si="17"/>
        <v>kWh Annual Savings</v>
      </c>
      <c r="W107" s="821">
        <v>2162.4196942393751</v>
      </c>
      <c r="X107" s="722">
        <v>2162.4196942393751</v>
      </c>
      <c r="Y107" s="176"/>
      <c r="Z107" s="176"/>
      <c r="AA107" s="176"/>
      <c r="AB107" s="176"/>
      <c r="AC107" s="176"/>
      <c r="AD107" s="176"/>
      <c r="AE107" s="176"/>
      <c r="AF107" s="176"/>
      <c r="AG107" s="176"/>
      <c r="AK107" s="802"/>
    </row>
    <row r="108" spans="2:37" s="811" customFormat="1" x14ac:dyDescent="0.25">
      <c r="B108" s="1708"/>
      <c r="C108" s="1531"/>
      <c r="D108" s="1726" t="s">
        <v>1250</v>
      </c>
      <c r="E108" s="1726" t="s">
        <v>1283</v>
      </c>
      <c r="F108" s="1077">
        <f t="shared" si="10"/>
        <v>1347.9700133019608</v>
      </c>
      <c r="G108" s="1531" t="s">
        <v>1248</v>
      </c>
      <c r="H108" s="170">
        <f>VLOOKUP(G108,'CP FACTORS'!$A$3:$B$38, 2, FALSE)</f>
        <v>4.6608050000000002E-4</v>
      </c>
      <c r="I108" s="1062">
        <f t="shared" si="11"/>
        <v>1122.2309893019608</v>
      </c>
      <c r="J108" s="1533">
        <f t="shared" si="12"/>
        <v>225.73902400000003</v>
      </c>
      <c r="K108" s="1725">
        <f t="shared" si="13"/>
        <v>0.62826253778478458</v>
      </c>
      <c r="L108" s="525">
        <f t="shared" si="14"/>
        <v>25</v>
      </c>
      <c r="M108" s="526">
        <f t="shared" si="15"/>
        <v>2841.04</v>
      </c>
      <c r="N108" s="813">
        <f t="shared" si="16"/>
        <v>1106</v>
      </c>
      <c r="O108" s="1548"/>
      <c r="P108" s="1548"/>
      <c r="Q108" s="1548"/>
      <c r="R108" s="1548"/>
      <c r="S108" s="1548"/>
      <c r="T108" s="1548"/>
      <c r="U108" s="1548"/>
      <c r="V108" s="176" t="str">
        <f t="shared" si="17"/>
        <v>kWh Annual Savings</v>
      </c>
      <c r="W108" s="821">
        <v>1347.9700133019608</v>
      </c>
      <c r="X108" s="722">
        <v>1347.9700133019608</v>
      </c>
      <c r="Y108" s="176"/>
      <c r="Z108" s="176"/>
      <c r="AA108" s="176"/>
      <c r="AB108" s="176"/>
      <c r="AC108" s="176"/>
      <c r="AD108" s="176"/>
      <c r="AE108" s="176"/>
      <c r="AF108" s="176"/>
      <c r="AG108" s="176"/>
      <c r="AK108" s="802"/>
    </row>
    <row r="109" spans="2:37" s="811" customFormat="1" x14ac:dyDescent="0.25">
      <c r="B109" s="1708"/>
      <c r="C109" s="1531"/>
      <c r="D109" s="1066" t="s">
        <v>1250</v>
      </c>
      <c r="E109" s="1066" t="s">
        <v>1284</v>
      </c>
      <c r="F109" s="1077">
        <f t="shared" si="10"/>
        <v>291.94682143051637</v>
      </c>
      <c r="G109" s="1531" t="s">
        <v>1248</v>
      </c>
      <c r="H109" s="170">
        <f>VLOOKUP(G109,'CP FACTORS'!$A$3:$B$38, 2, FALSE)</f>
        <v>4.6608050000000002E-4</v>
      </c>
      <c r="I109" s="1062">
        <f t="shared" si="11"/>
        <v>86.524309590516339</v>
      </c>
      <c r="J109" s="1533">
        <f t="shared" si="12"/>
        <v>205.42251184</v>
      </c>
      <c r="K109" s="1725">
        <f t="shared" si="13"/>
        <v>0.13607072050574578</v>
      </c>
      <c r="L109" s="525">
        <f t="shared" si="14"/>
        <v>25</v>
      </c>
      <c r="M109" s="526">
        <f t="shared" si="15"/>
        <v>2841.04</v>
      </c>
      <c r="N109" s="813">
        <f t="shared" si="16"/>
        <v>1106</v>
      </c>
      <c r="O109" s="1548"/>
      <c r="P109" s="1548"/>
      <c r="Q109" s="1548"/>
      <c r="R109" s="1548"/>
      <c r="S109" s="1548"/>
      <c r="T109" s="1548"/>
      <c r="U109" s="1548"/>
      <c r="V109" s="176" t="str">
        <f t="shared" si="17"/>
        <v>kWh Annual Savings</v>
      </c>
      <c r="W109" s="821">
        <v>291.94682143051637</v>
      </c>
      <c r="X109" s="722">
        <v>291.94682143051637</v>
      </c>
      <c r="Y109" s="176"/>
      <c r="Z109" s="176"/>
      <c r="AA109" s="176"/>
      <c r="AB109" s="176"/>
      <c r="AC109" s="176"/>
      <c r="AD109" s="176"/>
      <c r="AE109" s="176"/>
      <c r="AF109" s="176"/>
      <c r="AG109" s="176"/>
      <c r="AK109" s="802"/>
    </row>
    <row r="110" spans="2:37" s="811" customFormat="1" x14ac:dyDescent="0.25">
      <c r="B110" s="1708"/>
      <c r="C110" s="1731"/>
      <c r="D110" s="1066" t="s">
        <v>1246</v>
      </c>
      <c r="E110" s="1066" t="s">
        <v>1285</v>
      </c>
      <c r="F110" s="1077">
        <f t="shared" si="10"/>
        <v>1459.6332936115778</v>
      </c>
      <c r="G110" s="1531" t="s">
        <v>1248</v>
      </c>
      <c r="H110" s="170">
        <f>VLOOKUP(G110,'CP FACTORS'!$A$3:$B$38, 2, FALSE)</f>
        <v>4.6608050000000002E-4</v>
      </c>
      <c r="I110" s="1062">
        <f t="shared" si="11"/>
        <v>1320.9730981195778</v>
      </c>
      <c r="J110" s="1533">
        <f t="shared" si="12"/>
        <v>138.66019549199999</v>
      </c>
      <c r="K110" s="1725">
        <f t="shared" si="13"/>
        <v>0.68030661530313097</v>
      </c>
      <c r="L110" s="525">
        <f t="shared" si="14"/>
        <v>25</v>
      </c>
      <c r="M110" s="526">
        <f t="shared" si="15"/>
        <v>2461.73</v>
      </c>
      <c r="N110" s="813">
        <f t="shared" si="16"/>
        <v>718.9</v>
      </c>
      <c r="O110" s="1548"/>
      <c r="P110" s="1548"/>
      <c r="Q110" s="1548"/>
      <c r="R110" s="1548"/>
      <c r="S110" s="1548"/>
      <c r="T110" s="1548"/>
      <c r="U110" s="1548"/>
      <c r="V110" s="176" t="str">
        <f t="shared" si="17"/>
        <v>kWh Annual Savings</v>
      </c>
      <c r="W110" s="821">
        <v>1459.6332936115778</v>
      </c>
      <c r="X110" s="722">
        <v>1459.6332936115778</v>
      </c>
      <c r="Y110" s="176"/>
      <c r="Z110" s="176"/>
      <c r="AA110" s="176"/>
      <c r="AB110" s="176"/>
      <c r="AC110" s="176"/>
      <c r="AD110" s="176"/>
      <c r="AE110" s="176"/>
      <c r="AF110" s="176"/>
      <c r="AG110" s="176"/>
      <c r="AK110" s="802"/>
    </row>
    <row r="111" spans="2:37" s="811" customFormat="1" x14ac:dyDescent="0.25">
      <c r="B111" s="1708"/>
      <c r="C111" s="1531"/>
      <c r="D111" s="1066" t="s">
        <v>1246</v>
      </c>
      <c r="E111" s="1066" t="s">
        <v>1286</v>
      </c>
      <c r="F111" s="1077">
        <f t="shared" si="10"/>
        <v>909.87975897882347</v>
      </c>
      <c r="G111" s="1531" t="s">
        <v>1248</v>
      </c>
      <c r="H111" s="170">
        <f>VLOOKUP(G111,'CP FACTORS'!$A$3:$B$38, 2, FALSE)</f>
        <v>4.6608050000000002E-4</v>
      </c>
      <c r="I111" s="1062">
        <f t="shared" si="11"/>
        <v>757.50591777882346</v>
      </c>
      <c r="J111" s="1533">
        <f t="shared" si="12"/>
        <v>152.37384119999996</v>
      </c>
      <c r="K111" s="1725">
        <f t="shared" si="13"/>
        <v>0.42407721300472956</v>
      </c>
      <c r="L111" s="525">
        <f t="shared" si="14"/>
        <v>25</v>
      </c>
      <c r="M111" s="526">
        <f t="shared" si="15"/>
        <v>2461.73</v>
      </c>
      <c r="N111" s="813">
        <f t="shared" si="16"/>
        <v>718.9</v>
      </c>
      <c r="O111" s="1548"/>
      <c r="P111" s="1548"/>
      <c r="Q111" s="1548"/>
      <c r="R111" s="1548"/>
      <c r="S111" s="1548"/>
      <c r="T111" s="1548"/>
      <c r="U111" s="1548"/>
      <c r="V111" s="176" t="str">
        <f t="shared" si="17"/>
        <v>kWh Annual Savings</v>
      </c>
      <c r="W111" s="821">
        <v>909.87975897882347</v>
      </c>
      <c r="X111" s="722">
        <v>909.87975897882347</v>
      </c>
      <c r="Y111" s="176"/>
      <c r="Z111" s="176"/>
      <c r="AA111" s="176"/>
      <c r="AB111" s="176"/>
      <c r="AC111" s="176"/>
      <c r="AD111" s="176"/>
      <c r="AE111" s="176"/>
      <c r="AF111" s="176"/>
      <c r="AG111" s="176"/>
      <c r="AK111" s="802"/>
    </row>
    <row r="112" spans="2:37" s="811" customFormat="1" x14ac:dyDescent="0.25">
      <c r="B112" s="1708"/>
      <c r="C112" s="1531"/>
      <c r="D112" s="1726" t="s">
        <v>1246</v>
      </c>
      <c r="E112" s="1726" t="s">
        <v>1287</v>
      </c>
      <c r="F112" s="1077">
        <f t="shared" si="10"/>
        <v>197.06410446559852</v>
      </c>
      <c r="G112" s="1531" t="s">
        <v>1248</v>
      </c>
      <c r="H112" s="170">
        <f>VLOOKUP(G112,'CP FACTORS'!$A$3:$B$38, 2, FALSE)</f>
        <v>4.6608050000000002E-4</v>
      </c>
      <c r="I112" s="1062">
        <f t="shared" si="11"/>
        <v>58.403908973598519</v>
      </c>
      <c r="J112" s="1533">
        <f t="shared" si="12"/>
        <v>138.66019549199999</v>
      </c>
      <c r="K112" s="1725">
        <f t="shared" si="13"/>
        <v>9.1847736341378397E-2</v>
      </c>
      <c r="L112" s="525">
        <f t="shared" si="14"/>
        <v>25</v>
      </c>
      <c r="M112" s="526">
        <f t="shared" si="15"/>
        <v>2461.73</v>
      </c>
      <c r="N112" s="813">
        <f t="shared" si="16"/>
        <v>718.9</v>
      </c>
      <c r="O112" s="1548"/>
      <c r="P112" s="1548"/>
      <c r="Q112" s="1548"/>
      <c r="R112" s="1548"/>
      <c r="S112" s="1548"/>
      <c r="T112" s="1548"/>
      <c r="U112" s="1548"/>
      <c r="V112" s="176" t="str">
        <f t="shared" si="17"/>
        <v>kWh Annual Savings</v>
      </c>
      <c r="W112" s="821">
        <v>197.06410446559852</v>
      </c>
      <c r="X112" s="722">
        <v>197.06410446559852</v>
      </c>
      <c r="Y112" s="176"/>
      <c r="Z112" s="176"/>
      <c r="AA112" s="176"/>
      <c r="AB112" s="176"/>
      <c r="AC112" s="176"/>
      <c r="AD112" s="176"/>
      <c r="AE112" s="176"/>
      <c r="AF112" s="176"/>
      <c r="AG112" s="176"/>
      <c r="AK112" s="802"/>
    </row>
    <row r="113" spans="2:37" s="811" customFormat="1" x14ac:dyDescent="0.25">
      <c r="B113" s="1708"/>
      <c r="C113" s="1531"/>
      <c r="D113" s="1066" t="s">
        <v>1250</v>
      </c>
      <c r="E113" s="1066" t="s">
        <v>1288</v>
      </c>
      <c r="F113" s="1077">
        <f t="shared" si="10"/>
        <v>2245.5896824793513</v>
      </c>
      <c r="G113" s="1531" t="s">
        <v>1248</v>
      </c>
      <c r="H113" s="170">
        <f>VLOOKUP(G113,'CP FACTORS'!$A$3:$B$38, 2, FALSE)</f>
        <v>4.6608050000000002E-4</v>
      </c>
      <c r="I113" s="1062">
        <f t="shared" si="11"/>
        <v>2032.266304799351</v>
      </c>
      <c r="J113" s="1533">
        <f t="shared" si="12"/>
        <v>213.32337768000005</v>
      </c>
      <c r="K113" s="1725">
        <f t="shared" si="13"/>
        <v>1.0466255620048173</v>
      </c>
      <c r="L113" s="525">
        <f t="shared" si="14"/>
        <v>25</v>
      </c>
      <c r="M113" s="526">
        <f t="shared" si="15"/>
        <v>3787.28</v>
      </c>
      <c r="N113" s="813">
        <f t="shared" si="16"/>
        <v>1106</v>
      </c>
      <c r="O113" s="1548"/>
      <c r="P113" s="1548"/>
      <c r="Q113" s="1548"/>
      <c r="R113" s="1548"/>
      <c r="S113" s="1548"/>
      <c r="T113" s="1548"/>
      <c r="U113" s="1548"/>
      <c r="V113" s="176" t="str">
        <f t="shared" si="17"/>
        <v>kWh Annual Savings</v>
      </c>
      <c r="W113" s="821">
        <v>2245.5896824793513</v>
      </c>
      <c r="X113" s="722">
        <v>2245.5896824793513</v>
      </c>
      <c r="Y113" s="176"/>
      <c r="Z113" s="176"/>
      <c r="AA113" s="176"/>
      <c r="AB113" s="176"/>
      <c r="AC113" s="176"/>
      <c r="AD113" s="176"/>
      <c r="AE113" s="176"/>
      <c r="AF113" s="176"/>
      <c r="AG113" s="176"/>
      <c r="AK113" s="802"/>
    </row>
    <row r="114" spans="2:37" s="811" customFormat="1" x14ac:dyDescent="0.25">
      <c r="B114" s="1708"/>
      <c r="C114" s="1531"/>
      <c r="D114" s="1726" t="s">
        <v>1250</v>
      </c>
      <c r="E114" s="1726" t="s">
        <v>1289</v>
      </c>
      <c r="F114" s="1077">
        <f t="shared" si="10"/>
        <v>1399.815013813575</v>
      </c>
      <c r="G114" s="1531" t="s">
        <v>1248</v>
      </c>
      <c r="H114" s="170">
        <f>VLOOKUP(G114,'CP FACTORS'!$A$3:$B$38, 2, FALSE)</f>
        <v>4.6608050000000002E-4</v>
      </c>
      <c r="I114" s="1062">
        <f t="shared" si="11"/>
        <v>1165.3937196597287</v>
      </c>
      <c r="J114" s="1533">
        <f t="shared" si="12"/>
        <v>234.42129415384616</v>
      </c>
      <c r="K114" s="1725">
        <f t="shared" si="13"/>
        <v>0.65242648154573801</v>
      </c>
      <c r="L114" s="525">
        <f t="shared" si="14"/>
        <v>25</v>
      </c>
      <c r="M114" s="526">
        <f t="shared" si="15"/>
        <v>3787.28</v>
      </c>
      <c r="N114" s="813">
        <f t="shared" si="16"/>
        <v>1106</v>
      </c>
      <c r="O114" s="1548"/>
      <c r="P114" s="1548"/>
      <c r="Q114" s="1548"/>
      <c r="R114" s="1548"/>
      <c r="S114" s="1548"/>
      <c r="T114" s="1548"/>
      <c r="U114" s="1548"/>
      <c r="V114" s="176" t="str">
        <f t="shared" si="17"/>
        <v>kWh Annual Savings</v>
      </c>
      <c r="W114" s="821">
        <v>1399.815013813575</v>
      </c>
      <c r="X114" s="722">
        <v>1399.815013813575</v>
      </c>
      <c r="Y114" s="176"/>
      <c r="Z114" s="176"/>
      <c r="AA114" s="176"/>
      <c r="AB114" s="176"/>
      <c r="AC114" s="176"/>
      <c r="AD114" s="176"/>
      <c r="AE114" s="176"/>
      <c r="AF114" s="176"/>
      <c r="AG114" s="176"/>
      <c r="AK114" s="802"/>
    </row>
    <row r="115" spans="2:37" s="811" customFormat="1" x14ac:dyDescent="0.25">
      <c r="B115" s="1708"/>
      <c r="C115" s="1531"/>
      <c r="D115" s="1066" t="s">
        <v>1250</v>
      </c>
      <c r="E115" s="1066" t="s">
        <v>1290</v>
      </c>
      <c r="F115" s="1077">
        <f t="shared" si="10"/>
        <v>303.1755453316901</v>
      </c>
      <c r="G115" s="1531" t="s">
        <v>1248</v>
      </c>
      <c r="H115" s="170">
        <f>VLOOKUP(G115,'CP FACTORS'!$A$3:$B$38, 2, FALSE)</f>
        <v>4.6608050000000002E-4</v>
      </c>
      <c r="I115" s="1062">
        <f t="shared" si="11"/>
        <v>89.852167651690053</v>
      </c>
      <c r="J115" s="1533">
        <f t="shared" si="12"/>
        <v>213.32337768000005</v>
      </c>
      <c r="K115" s="1725">
        <f t="shared" si="13"/>
        <v>0.1413042097559668</v>
      </c>
      <c r="L115" s="525">
        <f t="shared" si="14"/>
        <v>25</v>
      </c>
      <c r="M115" s="526">
        <f t="shared" si="15"/>
        <v>3787.28</v>
      </c>
      <c r="N115" s="813">
        <f t="shared" si="16"/>
        <v>1106</v>
      </c>
      <c r="O115" s="1548"/>
      <c r="P115" s="1548"/>
      <c r="Q115" s="1548"/>
      <c r="R115" s="1548"/>
      <c r="S115" s="1548"/>
      <c r="T115" s="1548"/>
      <c r="U115" s="1548"/>
      <c r="V115" s="176" t="str">
        <f t="shared" si="17"/>
        <v>kWh Annual Savings</v>
      </c>
      <c r="W115" s="821">
        <v>303.1755453316901</v>
      </c>
      <c r="X115" s="722">
        <v>303.1755453316901</v>
      </c>
      <c r="Y115" s="176"/>
      <c r="Z115" s="176"/>
      <c r="AA115" s="176"/>
      <c r="AB115" s="176"/>
      <c r="AC115" s="176"/>
      <c r="AD115" s="176"/>
      <c r="AE115" s="176"/>
      <c r="AF115" s="176"/>
      <c r="AG115" s="176"/>
      <c r="AK115" s="802"/>
    </row>
    <row r="116" spans="2:37" s="811" customFormat="1" x14ac:dyDescent="0.25">
      <c r="B116" s="1708"/>
      <c r="C116" s="1531"/>
      <c r="D116" s="1066"/>
      <c r="E116" s="1066"/>
      <c r="F116" s="1532"/>
      <c r="G116" s="1531"/>
      <c r="H116" s="1732"/>
      <c r="I116" s="1533"/>
      <c r="J116" s="1733"/>
      <c r="K116" s="1734"/>
      <c r="L116" s="1062"/>
      <c r="M116" s="609"/>
      <c r="N116" s="1068"/>
      <c r="O116" s="1548"/>
      <c r="P116" s="1548"/>
      <c r="Q116" s="1548"/>
      <c r="R116" s="1548"/>
      <c r="S116" s="1548"/>
      <c r="T116" s="1548"/>
      <c r="U116" s="1548"/>
      <c r="V116" s="176"/>
      <c r="W116" s="821"/>
      <c r="X116" s="722"/>
      <c r="Y116" s="176"/>
      <c r="Z116" s="176"/>
      <c r="AA116" s="176"/>
      <c r="AB116" s="176"/>
      <c r="AC116" s="176"/>
      <c r="AD116" s="176"/>
      <c r="AE116" s="176"/>
      <c r="AF116" s="176"/>
      <c r="AG116" s="176"/>
      <c r="AK116" s="802"/>
    </row>
    <row r="117" spans="2:37" s="811" customFormat="1" outlineLevel="1" x14ac:dyDescent="0.25">
      <c r="B117" s="1708"/>
      <c r="C117" s="1535"/>
      <c r="D117" s="1546"/>
      <c r="E117" s="1546"/>
      <c r="F117" s="1547"/>
      <c r="G117" s="1548"/>
      <c r="H117" s="1548"/>
      <c r="I117" s="1548"/>
      <c r="J117" s="1548"/>
      <c r="K117" s="1548"/>
      <c r="L117" s="1548"/>
      <c r="M117" s="1548"/>
      <c r="N117" s="1548"/>
      <c r="O117" s="1548"/>
      <c r="P117" s="1548"/>
      <c r="Q117" s="1548"/>
      <c r="R117" s="1548"/>
      <c r="S117" s="1548"/>
      <c r="T117" s="1548"/>
      <c r="U117" s="1548"/>
      <c r="AK117" s="802"/>
    </row>
    <row r="118" spans="2:37" s="811" customFormat="1" outlineLevel="1" x14ac:dyDescent="0.25">
      <c r="B118" s="1708"/>
      <c r="C118" s="1535"/>
      <c r="D118" s="1546" t="s">
        <v>463</v>
      </c>
      <c r="E118" s="1546"/>
      <c r="F118" s="1547"/>
      <c r="G118" s="1548"/>
      <c r="H118" s="1548"/>
      <c r="I118" s="1548"/>
      <c r="J118" s="1548"/>
      <c r="K118" s="1548"/>
      <c r="L118" s="1548"/>
      <c r="M118" s="1548"/>
      <c r="N118" s="1548"/>
      <c r="O118" s="1548"/>
      <c r="P118" s="1548"/>
      <c r="Q118" s="1548"/>
      <c r="R118" s="1548"/>
      <c r="S118" s="1548"/>
      <c r="T118" s="1548"/>
      <c r="U118" s="1548"/>
      <c r="AK118" s="802"/>
    </row>
    <row r="119" spans="2:37" s="811" customFormat="1" ht="18" customHeight="1" outlineLevel="1" x14ac:dyDescent="0.25">
      <c r="B119" s="1708"/>
      <c r="C119" s="1735"/>
      <c r="D119" s="2380"/>
      <c r="E119" s="2380"/>
      <c r="F119" s="2380"/>
      <c r="G119" s="2380"/>
      <c r="H119" s="2380"/>
      <c r="I119" s="2380"/>
      <c r="J119" s="2380"/>
      <c r="K119" s="2380"/>
      <c r="L119" s="2380"/>
      <c r="M119" s="1548"/>
      <c r="N119" s="1548"/>
      <c r="O119" s="1548"/>
      <c r="P119" s="1548"/>
      <c r="Q119" s="1548"/>
      <c r="R119" s="1548"/>
      <c r="S119" s="1548"/>
      <c r="T119" s="1548"/>
      <c r="U119" s="1548"/>
      <c r="AK119" s="802"/>
    </row>
    <row r="120" spans="2:37" s="811" customFormat="1" ht="39" customHeight="1" outlineLevel="1" x14ac:dyDescent="0.25">
      <c r="B120" s="1708"/>
      <c r="C120" s="1736"/>
      <c r="D120" s="2380"/>
      <c r="E120" s="2380"/>
      <c r="F120" s="2380"/>
      <c r="G120" s="2380"/>
      <c r="H120" s="2380"/>
      <c r="I120" s="2380"/>
      <c r="J120" s="2380"/>
      <c r="K120" s="2380"/>
      <c r="L120" s="2380"/>
      <c r="M120" s="1548"/>
      <c r="N120" s="1548"/>
      <c r="O120" s="1548"/>
      <c r="P120" s="1548"/>
      <c r="Q120" s="1548"/>
      <c r="R120" s="1548"/>
      <c r="S120" s="1548"/>
      <c r="T120" s="1548"/>
      <c r="U120" s="1548"/>
      <c r="AK120" s="802"/>
    </row>
    <row r="121" spans="2:37" s="811" customFormat="1" outlineLevel="1" x14ac:dyDescent="0.25">
      <c r="B121" s="1708"/>
      <c r="C121" s="1736"/>
      <c r="D121" s="2380"/>
      <c r="E121" s="2380"/>
      <c r="F121" s="2380"/>
      <c r="G121" s="2380"/>
      <c r="H121" s="2380"/>
      <c r="I121" s="2380"/>
      <c r="J121" s="2380"/>
      <c r="K121" s="2380"/>
      <c r="L121" s="2380"/>
      <c r="M121" s="1548"/>
      <c r="N121" s="1548"/>
      <c r="O121" s="1548"/>
      <c r="P121" s="1548"/>
      <c r="Q121" s="1548"/>
      <c r="R121" s="1548"/>
      <c r="S121" s="1548"/>
      <c r="T121" s="1548"/>
      <c r="U121" s="1548"/>
      <c r="AK121" s="802"/>
    </row>
    <row r="122" spans="2:37" s="811" customFormat="1" ht="15" customHeight="1" outlineLevel="1" x14ac:dyDescent="0.25">
      <c r="B122" s="1708"/>
      <c r="C122" s="1737"/>
      <c r="D122" s="2380"/>
      <c r="E122" s="2380"/>
      <c r="F122" s="2380"/>
      <c r="G122" s="2380"/>
      <c r="H122" s="2380"/>
      <c r="I122" s="2380"/>
      <c r="J122" s="2380"/>
      <c r="K122" s="2380"/>
      <c r="L122" s="2380"/>
      <c r="M122" s="1548"/>
      <c r="N122" s="1548"/>
      <c r="O122" s="1548"/>
      <c r="P122" s="1548"/>
      <c r="Q122" s="1548"/>
      <c r="R122" s="1548"/>
      <c r="S122" s="1548"/>
      <c r="T122" s="1548"/>
      <c r="U122" s="1548"/>
      <c r="AK122" s="802"/>
    </row>
    <row r="123" spans="2:37" s="811" customFormat="1" outlineLevel="1" x14ac:dyDescent="0.25">
      <c r="B123" s="1708"/>
      <c r="C123" s="1535"/>
      <c r="D123" s="1546"/>
      <c r="E123" s="1546"/>
      <c r="F123" s="1548"/>
      <c r="G123" s="1548"/>
      <c r="H123" s="1548"/>
      <c r="I123" s="1548"/>
      <c r="J123" s="1548"/>
      <c r="K123" s="1548"/>
      <c r="L123" s="1548"/>
      <c r="M123" s="1548"/>
      <c r="N123" s="1548"/>
      <c r="O123" s="1548"/>
      <c r="P123" s="1548"/>
      <c r="Q123" s="1548"/>
      <c r="R123" s="1548"/>
      <c r="S123" s="1548"/>
      <c r="T123" s="1548"/>
      <c r="U123" s="1548"/>
      <c r="AK123" s="802"/>
    </row>
    <row r="124" spans="2:37" s="811" customFormat="1" outlineLevel="1" x14ac:dyDescent="0.25">
      <c r="B124" s="1708"/>
      <c r="C124" s="1535"/>
      <c r="D124" s="1098" t="s">
        <v>465</v>
      </c>
      <c r="E124" s="1098" t="s">
        <v>466</v>
      </c>
      <c r="F124" s="184" t="s">
        <v>467</v>
      </c>
      <c r="G124" s="184" t="s">
        <v>515</v>
      </c>
      <c r="H124" s="184" t="s">
        <v>592</v>
      </c>
      <c r="I124" s="1548"/>
      <c r="J124" s="1548"/>
      <c r="K124" s="1548"/>
      <c r="L124" s="1548"/>
      <c r="M124" s="1548"/>
      <c r="N124" s="1548"/>
      <c r="O124" s="1548"/>
      <c r="P124" s="1548"/>
      <c r="Q124" s="1548"/>
      <c r="R124" s="1548"/>
      <c r="S124" s="1548"/>
      <c r="T124" s="1548"/>
      <c r="U124" s="1548"/>
      <c r="V124" s="48" t="s">
        <v>26</v>
      </c>
      <c r="W124" s="49">
        <f>W$6</f>
        <v>43252</v>
      </c>
      <c r="X124" s="49">
        <f t="shared" ref="X124:AG124" si="18">X$6</f>
        <v>43465</v>
      </c>
      <c r="Y124" s="49" t="str">
        <f t="shared" si="18"/>
        <v>-</v>
      </c>
      <c r="Z124" s="49" t="str">
        <f t="shared" si="18"/>
        <v>-</v>
      </c>
      <c r="AA124" s="49" t="str">
        <f t="shared" si="18"/>
        <v>-</v>
      </c>
      <c r="AB124" s="49" t="str">
        <f t="shared" si="18"/>
        <v>-</v>
      </c>
      <c r="AC124" s="49" t="str">
        <f t="shared" si="18"/>
        <v>-</v>
      </c>
      <c r="AD124" s="49" t="str">
        <f t="shared" si="18"/>
        <v>-</v>
      </c>
      <c r="AE124" s="49" t="str">
        <f t="shared" si="18"/>
        <v>-</v>
      </c>
      <c r="AF124" s="49" t="str">
        <f t="shared" si="18"/>
        <v>-</v>
      </c>
      <c r="AG124" s="49" t="str">
        <f t="shared" si="18"/>
        <v>-</v>
      </c>
      <c r="AK124" s="802"/>
    </row>
    <row r="125" spans="2:37" s="811" customFormat="1" outlineLevel="1" x14ac:dyDescent="0.25">
      <c r="B125" s="1708"/>
      <c r="C125" s="1535"/>
      <c r="D125" s="2369" t="s">
        <v>146</v>
      </c>
      <c r="E125" s="1066" t="s">
        <v>1261</v>
      </c>
      <c r="F125" s="1142">
        <v>1</v>
      </c>
      <c r="G125" s="952"/>
      <c r="H125" s="1068"/>
      <c r="I125" s="1548"/>
      <c r="J125" s="1548"/>
      <c r="K125" s="1548"/>
      <c r="L125" s="1548"/>
      <c r="M125" s="1548"/>
      <c r="N125" s="1548"/>
      <c r="O125" s="1548"/>
      <c r="P125" s="1548"/>
      <c r="Q125" s="1548"/>
      <c r="R125" s="1548"/>
      <c r="S125" s="1548"/>
      <c r="T125" s="1548"/>
      <c r="U125" s="1548"/>
      <c r="V125" s="2293" t="str">
        <f>D125</f>
        <v>%ElectricHeat</v>
      </c>
      <c r="W125" s="823">
        <v>1</v>
      </c>
      <c r="X125" s="823">
        <v>1</v>
      </c>
      <c r="Y125" s="823"/>
      <c r="Z125" s="823"/>
      <c r="AA125" s="823"/>
      <c r="AB125" s="823"/>
      <c r="AC125" s="823"/>
      <c r="AD125" s="823"/>
      <c r="AE125" s="823"/>
      <c r="AF125" s="823"/>
      <c r="AG125" s="823"/>
      <c r="AK125" s="802"/>
    </row>
    <row r="126" spans="2:37" s="811" customFormat="1" outlineLevel="1" x14ac:dyDescent="0.25">
      <c r="B126" s="1708"/>
      <c r="C126" s="1535"/>
      <c r="D126" s="2370"/>
      <c r="E126" s="1066" t="s">
        <v>1262</v>
      </c>
      <c r="F126" s="1142">
        <v>1</v>
      </c>
      <c r="G126" s="952"/>
      <c r="H126" s="1068"/>
      <c r="I126" s="1548"/>
      <c r="J126" s="1548"/>
      <c r="K126" s="1548"/>
      <c r="L126" s="1548"/>
      <c r="M126" s="1548"/>
      <c r="N126" s="1548"/>
      <c r="O126" s="1548"/>
      <c r="P126" s="1548"/>
      <c r="Q126" s="1548"/>
      <c r="R126" s="1548"/>
      <c r="S126" s="1548"/>
      <c r="T126" s="1548"/>
      <c r="U126" s="1548"/>
      <c r="V126" s="2294"/>
      <c r="W126" s="823">
        <v>1</v>
      </c>
      <c r="X126" s="823">
        <v>1</v>
      </c>
      <c r="Y126" s="823"/>
      <c r="Z126" s="823"/>
      <c r="AA126" s="823"/>
      <c r="AB126" s="823"/>
      <c r="AC126" s="823"/>
      <c r="AD126" s="823"/>
      <c r="AE126" s="823"/>
      <c r="AF126" s="823"/>
      <c r="AG126" s="823"/>
      <c r="AK126" s="802"/>
    </row>
    <row r="127" spans="2:37" s="811" customFormat="1" outlineLevel="1" x14ac:dyDescent="0.25">
      <c r="B127" s="1708"/>
      <c r="C127" s="1535"/>
      <c r="D127" s="2370"/>
      <c r="E127" s="1066" t="s">
        <v>1263</v>
      </c>
      <c r="F127" s="1142">
        <v>0</v>
      </c>
      <c r="G127" s="952"/>
      <c r="H127" s="1068"/>
      <c r="I127" s="1548"/>
      <c r="J127" s="1548"/>
      <c r="K127" s="1548"/>
      <c r="L127" s="1548"/>
      <c r="M127" s="1548"/>
      <c r="N127" s="1548"/>
      <c r="O127" s="1548"/>
      <c r="P127" s="1548"/>
      <c r="Q127" s="1548"/>
      <c r="R127" s="1548"/>
      <c r="S127" s="1548"/>
      <c r="T127" s="1548"/>
      <c r="U127" s="1548"/>
      <c r="V127" s="2294"/>
      <c r="W127" s="823">
        <v>0</v>
      </c>
      <c r="X127" s="823">
        <v>0</v>
      </c>
      <c r="Y127" s="823"/>
      <c r="Z127" s="823"/>
      <c r="AA127" s="823"/>
      <c r="AB127" s="823"/>
      <c r="AC127" s="823"/>
      <c r="AD127" s="823"/>
      <c r="AE127" s="823"/>
      <c r="AF127" s="823"/>
      <c r="AG127" s="823"/>
      <c r="AK127" s="802"/>
    </row>
    <row r="128" spans="2:37" s="811" customFormat="1" outlineLevel="1" x14ac:dyDescent="0.25">
      <c r="B128" s="1708"/>
      <c r="C128" s="1535"/>
      <c r="D128" s="2370"/>
      <c r="E128" s="1066" t="s">
        <v>1264</v>
      </c>
      <c r="F128" s="1142">
        <v>1</v>
      </c>
      <c r="G128" s="952"/>
      <c r="H128" s="1068"/>
      <c r="I128" s="1548"/>
      <c r="J128" s="1548"/>
      <c r="K128" s="1548"/>
      <c r="L128" s="1548"/>
      <c r="M128" s="1548"/>
      <c r="N128" s="1548"/>
      <c r="O128" s="1548"/>
      <c r="P128" s="1548"/>
      <c r="Q128" s="1548"/>
      <c r="R128" s="1548"/>
      <c r="S128" s="1548"/>
      <c r="T128" s="1548"/>
      <c r="U128" s="1548"/>
      <c r="V128" s="2294"/>
      <c r="W128" s="823">
        <v>1</v>
      </c>
      <c r="X128" s="823">
        <v>1</v>
      </c>
      <c r="Y128" s="823"/>
      <c r="Z128" s="823"/>
      <c r="AA128" s="823"/>
      <c r="AB128" s="823"/>
      <c r="AC128" s="823"/>
      <c r="AD128" s="823"/>
      <c r="AE128" s="823"/>
      <c r="AF128" s="823"/>
      <c r="AG128" s="823"/>
      <c r="AK128" s="802"/>
    </row>
    <row r="129" spans="2:37" s="811" customFormat="1" outlineLevel="1" x14ac:dyDescent="0.25">
      <c r="B129" s="1708"/>
      <c r="C129" s="1535"/>
      <c r="D129" s="2370"/>
      <c r="E129" s="1066" t="s">
        <v>1265</v>
      </c>
      <c r="F129" s="1142">
        <v>1</v>
      </c>
      <c r="G129" s="952"/>
      <c r="H129" s="1068"/>
      <c r="I129" s="1548"/>
      <c r="J129" s="1548"/>
      <c r="K129" s="1548"/>
      <c r="L129" s="1548"/>
      <c r="M129" s="1548"/>
      <c r="N129" s="1548"/>
      <c r="O129" s="1548"/>
      <c r="P129" s="1548"/>
      <c r="Q129" s="1548"/>
      <c r="R129" s="1548"/>
      <c r="S129" s="1548"/>
      <c r="T129" s="1548"/>
      <c r="U129" s="1548"/>
      <c r="V129" s="2294"/>
      <c r="W129" s="823">
        <v>1</v>
      </c>
      <c r="X129" s="823">
        <v>1</v>
      </c>
      <c r="Y129" s="823"/>
      <c r="Z129" s="823"/>
      <c r="AA129" s="823"/>
      <c r="AB129" s="823"/>
      <c r="AC129" s="823"/>
      <c r="AD129" s="823"/>
      <c r="AE129" s="823"/>
      <c r="AF129" s="823"/>
      <c r="AG129" s="823"/>
      <c r="AK129" s="802"/>
    </row>
    <row r="130" spans="2:37" s="811" customFormat="1" outlineLevel="1" x14ac:dyDescent="0.25">
      <c r="B130" s="1738"/>
      <c r="C130" s="1535"/>
      <c r="D130" s="2370"/>
      <c r="E130" s="1066" t="s">
        <v>1266</v>
      </c>
      <c r="F130" s="1142">
        <v>0</v>
      </c>
      <c r="G130" s="952"/>
      <c r="H130" s="1068"/>
      <c r="I130" s="1548"/>
      <c r="J130" s="1548"/>
      <c r="K130" s="1548"/>
      <c r="L130" s="1548"/>
      <c r="M130" s="1548"/>
      <c r="N130" s="1548"/>
      <c r="O130" s="1548"/>
      <c r="P130" s="1548"/>
      <c r="Q130" s="1548"/>
      <c r="R130" s="1548"/>
      <c r="S130" s="1548"/>
      <c r="T130" s="1548"/>
      <c r="U130" s="1548"/>
      <c r="V130" s="2294"/>
      <c r="W130" s="823">
        <v>0</v>
      </c>
      <c r="X130" s="823">
        <v>0</v>
      </c>
      <c r="Y130" s="823"/>
      <c r="Z130" s="823"/>
      <c r="AA130" s="823"/>
      <c r="AB130" s="823"/>
      <c r="AC130" s="823"/>
      <c r="AD130" s="823"/>
      <c r="AE130" s="823"/>
      <c r="AF130" s="823"/>
      <c r="AG130" s="823"/>
      <c r="AK130" s="802"/>
    </row>
    <row r="131" spans="2:37" s="811" customFormat="1" outlineLevel="1" x14ac:dyDescent="0.25">
      <c r="B131" s="1738"/>
      <c r="C131" s="1535"/>
      <c r="D131" s="2370"/>
      <c r="E131" s="1066" t="s">
        <v>1267</v>
      </c>
      <c r="F131" s="1142">
        <v>1</v>
      </c>
      <c r="G131" s="952"/>
      <c r="H131" s="1068"/>
      <c r="I131" s="1548"/>
      <c r="J131" s="1548"/>
      <c r="K131" s="1548"/>
      <c r="L131" s="1548"/>
      <c r="M131" s="1548"/>
      <c r="N131" s="1548"/>
      <c r="O131" s="1548"/>
      <c r="P131" s="1548"/>
      <c r="Q131" s="1548"/>
      <c r="R131" s="1548"/>
      <c r="S131" s="1548"/>
      <c r="T131" s="1548"/>
      <c r="U131" s="1548"/>
      <c r="V131" s="2294"/>
      <c r="W131" s="823">
        <v>1</v>
      </c>
      <c r="X131" s="823">
        <v>1</v>
      </c>
      <c r="Y131" s="823"/>
      <c r="Z131" s="823"/>
      <c r="AA131" s="823"/>
      <c r="AB131" s="823"/>
      <c r="AC131" s="823"/>
      <c r="AD131" s="823"/>
      <c r="AE131" s="823"/>
      <c r="AF131" s="823"/>
      <c r="AG131" s="823"/>
      <c r="AK131" s="802"/>
    </row>
    <row r="132" spans="2:37" s="811" customFormat="1" outlineLevel="1" x14ac:dyDescent="0.25">
      <c r="B132" s="1738"/>
      <c r="C132" s="1535"/>
      <c r="D132" s="2370"/>
      <c r="E132" s="1066" t="s">
        <v>1268</v>
      </c>
      <c r="F132" s="1142">
        <v>1</v>
      </c>
      <c r="G132" s="952"/>
      <c r="H132" s="1068"/>
      <c r="I132" s="1548"/>
      <c r="J132" s="1548"/>
      <c r="K132" s="1548"/>
      <c r="L132" s="1548"/>
      <c r="M132" s="1548"/>
      <c r="N132" s="1548"/>
      <c r="O132" s="1548"/>
      <c r="P132" s="1548"/>
      <c r="Q132" s="1548"/>
      <c r="R132" s="1548"/>
      <c r="S132" s="1548"/>
      <c r="T132" s="1548"/>
      <c r="U132" s="1548"/>
      <c r="V132" s="2294"/>
      <c r="W132" s="823">
        <v>1</v>
      </c>
      <c r="X132" s="823">
        <v>1</v>
      </c>
      <c r="Y132" s="823"/>
      <c r="Z132" s="823"/>
      <c r="AA132" s="823"/>
      <c r="AB132" s="823"/>
      <c r="AC132" s="823"/>
      <c r="AD132" s="823"/>
      <c r="AE132" s="823"/>
      <c r="AF132" s="823"/>
      <c r="AG132" s="823"/>
      <c r="AK132" s="802"/>
    </row>
    <row r="133" spans="2:37" s="811" customFormat="1" outlineLevel="1" x14ac:dyDescent="0.25">
      <c r="B133" s="1738"/>
      <c r="C133" s="1535"/>
      <c r="D133" s="2370"/>
      <c r="E133" s="1726" t="s">
        <v>1269</v>
      </c>
      <c r="F133" s="1142">
        <v>0</v>
      </c>
      <c r="G133" s="952"/>
      <c r="H133" s="1068"/>
      <c r="I133" s="1548"/>
      <c r="J133" s="1548"/>
      <c r="K133" s="1548"/>
      <c r="L133" s="1548"/>
      <c r="M133" s="1548"/>
      <c r="N133" s="1548"/>
      <c r="O133" s="1548"/>
      <c r="P133" s="1548"/>
      <c r="Q133" s="1548"/>
      <c r="R133" s="1548"/>
      <c r="S133" s="1548"/>
      <c r="T133" s="1548"/>
      <c r="U133" s="1548"/>
      <c r="V133" s="2294"/>
      <c r="W133" s="823">
        <v>0</v>
      </c>
      <c r="X133" s="823">
        <v>0</v>
      </c>
      <c r="Y133" s="823"/>
      <c r="Z133" s="823"/>
      <c r="AA133" s="823"/>
      <c r="AB133" s="823"/>
      <c r="AC133" s="823"/>
      <c r="AD133" s="823"/>
      <c r="AE133" s="823"/>
      <c r="AF133" s="823"/>
      <c r="AG133" s="823"/>
      <c r="AK133" s="802"/>
    </row>
    <row r="134" spans="2:37" s="811" customFormat="1" outlineLevel="1" x14ac:dyDescent="0.25">
      <c r="B134" s="1738"/>
      <c r="C134" s="1535"/>
      <c r="D134" s="2370"/>
      <c r="E134" s="1066" t="s">
        <v>1270</v>
      </c>
      <c r="F134" s="1142">
        <v>1</v>
      </c>
      <c r="G134" s="952"/>
      <c r="H134" s="1068"/>
      <c r="I134" s="1548"/>
      <c r="J134" s="1548"/>
      <c r="K134" s="1548"/>
      <c r="L134" s="1548"/>
      <c r="M134" s="1548"/>
      <c r="N134" s="1548"/>
      <c r="O134" s="1548"/>
      <c r="P134" s="1548"/>
      <c r="Q134" s="1548"/>
      <c r="R134" s="1548"/>
      <c r="S134" s="1548"/>
      <c r="T134" s="1548"/>
      <c r="U134" s="1548"/>
      <c r="V134" s="2294"/>
      <c r="W134" s="823">
        <v>1</v>
      </c>
      <c r="X134" s="823">
        <v>1</v>
      </c>
      <c r="Y134" s="823"/>
      <c r="Z134" s="823"/>
      <c r="AA134" s="823"/>
      <c r="AB134" s="823"/>
      <c r="AC134" s="823"/>
      <c r="AD134" s="823"/>
      <c r="AE134" s="823"/>
      <c r="AF134" s="823"/>
      <c r="AG134" s="823"/>
      <c r="AK134" s="802"/>
    </row>
    <row r="135" spans="2:37" s="811" customFormat="1" outlineLevel="1" x14ac:dyDescent="0.25">
      <c r="B135" s="1738"/>
      <c r="C135" s="1535"/>
      <c r="D135" s="2370"/>
      <c r="E135" s="1066" t="s">
        <v>1271</v>
      </c>
      <c r="F135" s="1142">
        <v>1</v>
      </c>
      <c r="G135" s="952"/>
      <c r="H135" s="1068"/>
      <c r="I135" s="1548"/>
      <c r="J135" s="1548"/>
      <c r="K135" s="1548"/>
      <c r="L135" s="1548"/>
      <c r="M135" s="1548"/>
      <c r="N135" s="1548"/>
      <c r="O135" s="1548"/>
      <c r="P135" s="1548"/>
      <c r="Q135" s="1548"/>
      <c r="R135" s="1548"/>
      <c r="S135" s="1548"/>
      <c r="T135" s="1548"/>
      <c r="U135" s="1548"/>
      <c r="V135" s="2294"/>
      <c r="W135" s="823">
        <v>1</v>
      </c>
      <c r="X135" s="823">
        <v>1</v>
      </c>
      <c r="Y135" s="823"/>
      <c r="Z135" s="823"/>
      <c r="AA135" s="823"/>
      <c r="AB135" s="823"/>
      <c r="AC135" s="823"/>
      <c r="AD135" s="823"/>
      <c r="AE135" s="823"/>
      <c r="AF135" s="823"/>
      <c r="AG135" s="823"/>
      <c r="AK135" s="802"/>
    </row>
    <row r="136" spans="2:37" s="811" customFormat="1" outlineLevel="1" x14ac:dyDescent="0.25">
      <c r="B136" s="1738"/>
      <c r="C136" s="1535"/>
      <c r="D136" s="2370"/>
      <c r="E136" s="1739" t="s">
        <v>1272</v>
      </c>
      <c r="F136" s="1142">
        <v>0</v>
      </c>
      <c r="G136" s="952"/>
      <c r="H136" s="1068"/>
      <c r="I136" s="1548"/>
      <c r="J136" s="1548"/>
      <c r="K136" s="1548"/>
      <c r="L136" s="1548"/>
      <c r="M136" s="1548"/>
      <c r="N136" s="1548"/>
      <c r="O136" s="1548"/>
      <c r="P136" s="1548"/>
      <c r="Q136" s="1548"/>
      <c r="R136" s="1548"/>
      <c r="S136" s="1548"/>
      <c r="T136" s="1548"/>
      <c r="U136" s="1548"/>
      <c r="V136" s="2294"/>
      <c r="W136" s="823">
        <v>0</v>
      </c>
      <c r="X136" s="823">
        <v>0</v>
      </c>
      <c r="Y136" s="823"/>
      <c r="Z136" s="823"/>
      <c r="AA136" s="823"/>
      <c r="AB136" s="823"/>
      <c r="AC136" s="823"/>
      <c r="AD136" s="823"/>
      <c r="AE136" s="823"/>
      <c r="AF136" s="823"/>
      <c r="AG136" s="823"/>
      <c r="AK136" s="802"/>
    </row>
    <row r="137" spans="2:37" s="811" customFormat="1" outlineLevel="1" x14ac:dyDescent="0.25">
      <c r="B137" s="1738"/>
      <c r="C137" s="1535"/>
      <c r="D137" s="2370"/>
      <c r="E137" s="1066" t="s">
        <v>1273</v>
      </c>
      <c r="F137" s="1142">
        <v>1</v>
      </c>
      <c r="G137" s="952"/>
      <c r="H137" s="1068"/>
      <c r="I137" s="1548"/>
      <c r="J137" s="1548"/>
      <c r="K137" s="1548"/>
      <c r="L137" s="1548"/>
      <c r="M137" s="1548"/>
      <c r="N137" s="1548"/>
      <c r="O137" s="1548"/>
      <c r="P137" s="1548"/>
      <c r="Q137" s="1548"/>
      <c r="R137" s="1548"/>
      <c r="S137" s="1548"/>
      <c r="T137" s="1548"/>
      <c r="U137" s="1548"/>
      <c r="V137" s="2294"/>
      <c r="W137" s="823">
        <v>1</v>
      </c>
      <c r="X137" s="823">
        <v>1</v>
      </c>
      <c r="Y137" s="823"/>
      <c r="Z137" s="823"/>
      <c r="AA137" s="823"/>
      <c r="AB137" s="823"/>
      <c r="AC137" s="823"/>
      <c r="AD137" s="823"/>
      <c r="AE137" s="823"/>
      <c r="AF137" s="823"/>
      <c r="AG137" s="823"/>
      <c r="AK137" s="802"/>
    </row>
    <row r="138" spans="2:37" s="811" customFormat="1" outlineLevel="1" x14ac:dyDescent="0.25">
      <c r="B138" s="1708"/>
      <c r="C138" s="1535"/>
      <c r="D138" s="2370"/>
      <c r="E138" s="1066" t="s">
        <v>1274</v>
      </c>
      <c r="F138" s="1142">
        <v>1</v>
      </c>
      <c r="G138" s="952"/>
      <c r="H138" s="1068"/>
      <c r="I138" s="1548"/>
      <c r="J138" s="1548"/>
      <c r="K138" s="1548"/>
      <c r="L138" s="1548"/>
      <c r="M138" s="1548"/>
      <c r="N138" s="1548"/>
      <c r="O138" s="1548"/>
      <c r="P138" s="1548"/>
      <c r="Q138" s="1548"/>
      <c r="R138" s="1548"/>
      <c r="S138" s="1548"/>
      <c r="T138" s="1548"/>
      <c r="U138" s="1548"/>
      <c r="V138" s="2294"/>
      <c r="W138" s="823">
        <v>1</v>
      </c>
      <c r="X138" s="823">
        <v>1</v>
      </c>
      <c r="Y138" s="823"/>
      <c r="Z138" s="823"/>
      <c r="AA138" s="823"/>
      <c r="AB138" s="823"/>
      <c r="AC138" s="823"/>
      <c r="AD138" s="823"/>
      <c r="AE138" s="823"/>
      <c r="AF138" s="823"/>
      <c r="AG138" s="823"/>
      <c r="AK138" s="802"/>
    </row>
    <row r="139" spans="2:37" s="811" customFormat="1" outlineLevel="1" x14ac:dyDescent="0.25">
      <c r="B139" s="1708"/>
      <c r="C139" s="1535"/>
      <c r="D139" s="2370"/>
      <c r="E139" s="1726" t="s">
        <v>1275</v>
      </c>
      <c r="F139" s="1142">
        <v>0</v>
      </c>
      <c r="G139" s="952"/>
      <c r="H139" s="1068"/>
      <c r="I139" s="1548"/>
      <c r="J139" s="1548"/>
      <c r="K139" s="1548"/>
      <c r="L139" s="1548"/>
      <c r="M139" s="1548"/>
      <c r="N139" s="1548"/>
      <c r="O139" s="1548"/>
      <c r="P139" s="1548"/>
      <c r="Q139" s="1548"/>
      <c r="R139" s="1548"/>
      <c r="S139" s="1548"/>
      <c r="T139" s="1548"/>
      <c r="U139" s="1548"/>
      <c r="V139" s="2294"/>
      <c r="W139" s="823">
        <v>0</v>
      </c>
      <c r="X139" s="823">
        <v>0</v>
      </c>
      <c r="Y139" s="823"/>
      <c r="Z139" s="823"/>
      <c r="AA139" s="823"/>
      <c r="AB139" s="823"/>
      <c r="AC139" s="823"/>
      <c r="AD139" s="823"/>
      <c r="AE139" s="823"/>
      <c r="AF139" s="823"/>
      <c r="AG139" s="823"/>
      <c r="AK139" s="802"/>
    </row>
    <row r="140" spans="2:37" s="811" customFormat="1" outlineLevel="1" x14ac:dyDescent="0.25">
      <c r="B140" s="1708"/>
      <c r="C140" s="1535"/>
      <c r="D140" s="2370"/>
      <c r="E140" s="1066" t="s">
        <v>1276</v>
      </c>
      <c r="F140" s="1142">
        <v>1</v>
      </c>
      <c r="G140" s="952"/>
      <c r="H140" s="1068"/>
      <c r="I140" s="1548"/>
      <c r="J140" s="1548"/>
      <c r="K140" s="1548"/>
      <c r="L140" s="1548"/>
      <c r="M140" s="1548"/>
      <c r="N140" s="1548"/>
      <c r="O140" s="1548"/>
      <c r="P140" s="1548"/>
      <c r="Q140" s="1548"/>
      <c r="R140" s="1548"/>
      <c r="S140" s="1548"/>
      <c r="T140" s="1548"/>
      <c r="U140" s="1548"/>
      <c r="V140" s="2294"/>
      <c r="W140" s="823">
        <v>1</v>
      </c>
      <c r="X140" s="823">
        <v>1</v>
      </c>
      <c r="Y140" s="823"/>
      <c r="Z140" s="823"/>
      <c r="AA140" s="823"/>
      <c r="AB140" s="823"/>
      <c r="AC140" s="823"/>
      <c r="AD140" s="823"/>
      <c r="AE140" s="823"/>
      <c r="AF140" s="823"/>
      <c r="AG140" s="823"/>
      <c r="AK140" s="802"/>
    </row>
    <row r="141" spans="2:37" s="811" customFormat="1" outlineLevel="1" x14ac:dyDescent="0.25">
      <c r="B141" s="1738"/>
      <c r="C141" s="1535"/>
      <c r="D141" s="2370"/>
      <c r="E141" s="1066" t="s">
        <v>1277</v>
      </c>
      <c r="F141" s="1142">
        <v>1</v>
      </c>
      <c r="G141" s="952"/>
      <c r="H141" s="1068"/>
      <c r="I141" s="1548"/>
      <c r="J141" s="1548"/>
      <c r="K141" s="1548"/>
      <c r="L141" s="1548"/>
      <c r="M141" s="1548"/>
      <c r="N141" s="1548"/>
      <c r="O141" s="1548"/>
      <c r="P141" s="1548"/>
      <c r="Q141" s="1548"/>
      <c r="R141" s="1548"/>
      <c r="S141" s="1548"/>
      <c r="T141" s="1548"/>
      <c r="U141" s="1548"/>
      <c r="V141" s="2294"/>
      <c r="W141" s="823">
        <v>1</v>
      </c>
      <c r="X141" s="823">
        <v>1</v>
      </c>
      <c r="Y141" s="823"/>
      <c r="Z141" s="823"/>
      <c r="AA141" s="823"/>
      <c r="AB141" s="823"/>
      <c r="AC141" s="823"/>
      <c r="AD141" s="823"/>
      <c r="AE141" s="823"/>
      <c r="AF141" s="823"/>
      <c r="AG141" s="823"/>
      <c r="AK141" s="802"/>
    </row>
    <row r="142" spans="2:37" s="811" customFormat="1" outlineLevel="1" x14ac:dyDescent="0.25">
      <c r="B142" s="1738"/>
      <c r="C142" s="1535"/>
      <c r="D142" s="2370"/>
      <c r="E142" s="1739" t="s">
        <v>1278</v>
      </c>
      <c r="F142" s="1142">
        <v>0</v>
      </c>
      <c r="G142" s="952"/>
      <c r="H142" s="1068"/>
      <c r="I142" s="1548"/>
      <c r="J142" s="1548"/>
      <c r="K142" s="1548"/>
      <c r="L142" s="1548"/>
      <c r="M142" s="1548"/>
      <c r="N142" s="1548"/>
      <c r="O142" s="1548"/>
      <c r="P142" s="1548"/>
      <c r="Q142" s="1548"/>
      <c r="R142" s="1548"/>
      <c r="S142" s="1548"/>
      <c r="T142" s="1548"/>
      <c r="U142" s="1548"/>
      <c r="V142" s="2294"/>
      <c r="W142" s="823">
        <v>0</v>
      </c>
      <c r="X142" s="823">
        <v>0</v>
      </c>
      <c r="Y142" s="823"/>
      <c r="Z142" s="823"/>
      <c r="AA142" s="823"/>
      <c r="AB142" s="823"/>
      <c r="AC142" s="823"/>
      <c r="AD142" s="823"/>
      <c r="AE142" s="823"/>
      <c r="AF142" s="823"/>
      <c r="AG142" s="823"/>
      <c r="AK142" s="802"/>
    </row>
    <row r="143" spans="2:37" s="811" customFormat="1" outlineLevel="1" x14ac:dyDescent="0.25">
      <c r="B143" s="1738"/>
      <c r="C143" s="1535"/>
      <c r="D143" s="2370"/>
      <c r="E143" s="1066" t="s">
        <v>1279</v>
      </c>
      <c r="F143" s="1142">
        <v>1</v>
      </c>
      <c r="G143" s="952"/>
      <c r="H143" s="1068"/>
      <c r="I143" s="1548"/>
      <c r="J143" s="1548"/>
      <c r="K143" s="1548"/>
      <c r="L143" s="1548"/>
      <c r="M143" s="1548"/>
      <c r="N143" s="1548"/>
      <c r="O143" s="1548"/>
      <c r="P143" s="1548"/>
      <c r="Q143" s="1548"/>
      <c r="R143" s="1548"/>
      <c r="S143" s="1548"/>
      <c r="T143" s="1548"/>
      <c r="U143" s="1548"/>
      <c r="V143" s="2294"/>
      <c r="W143" s="823">
        <v>1</v>
      </c>
      <c r="X143" s="823">
        <v>1</v>
      </c>
      <c r="Y143" s="823"/>
      <c r="Z143" s="823"/>
      <c r="AA143" s="823"/>
      <c r="AB143" s="823"/>
      <c r="AC143" s="823"/>
      <c r="AD143" s="823"/>
      <c r="AE143" s="823"/>
      <c r="AF143" s="823"/>
      <c r="AG143" s="823"/>
      <c r="AK143" s="802"/>
    </row>
    <row r="144" spans="2:37" s="811" customFormat="1" outlineLevel="1" x14ac:dyDescent="0.25">
      <c r="B144" s="1738"/>
      <c r="C144" s="1535"/>
      <c r="D144" s="2370"/>
      <c r="E144" s="1066" t="s">
        <v>1280</v>
      </c>
      <c r="F144" s="1142">
        <v>1</v>
      </c>
      <c r="G144" s="952"/>
      <c r="H144" s="1068"/>
      <c r="I144" s="1548"/>
      <c r="J144" s="1548"/>
      <c r="K144" s="1548"/>
      <c r="L144" s="1548"/>
      <c r="M144" s="1548"/>
      <c r="N144" s="1548"/>
      <c r="O144" s="1548"/>
      <c r="P144" s="1548"/>
      <c r="Q144" s="1548"/>
      <c r="R144" s="1548"/>
      <c r="S144" s="1548"/>
      <c r="T144" s="1548"/>
      <c r="U144" s="1548"/>
      <c r="V144" s="2294"/>
      <c r="W144" s="823">
        <v>1</v>
      </c>
      <c r="X144" s="823">
        <v>1</v>
      </c>
      <c r="Y144" s="823"/>
      <c r="Z144" s="823"/>
      <c r="AA144" s="823"/>
      <c r="AB144" s="823"/>
      <c r="AC144" s="823"/>
      <c r="AD144" s="823"/>
      <c r="AE144" s="823"/>
      <c r="AF144" s="823"/>
      <c r="AG144" s="823"/>
      <c r="AK144" s="802"/>
    </row>
    <row r="145" spans="2:37" s="811" customFormat="1" outlineLevel="1" x14ac:dyDescent="0.25">
      <c r="B145" s="1738"/>
      <c r="C145" s="1535"/>
      <c r="D145" s="2370"/>
      <c r="E145" s="1726" t="s">
        <v>1281</v>
      </c>
      <c r="F145" s="1142">
        <v>0</v>
      </c>
      <c r="G145" s="952"/>
      <c r="H145" s="1068"/>
      <c r="I145" s="1548"/>
      <c r="J145" s="1548"/>
      <c r="K145" s="1548"/>
      <c r="L145" s="1548"/>
      <c r="M145" s="1548"/>
      <c r="N145" s="1548"/>
      <c r="O145" s="1548"/>
      <c r="P145" s="1548"/>
      <c r="Q145" s="1548"/>
      <c r="R145" s="1548"/>
      <c r="S145" s="1548"/>
      <c r="T145" s="1548"/>
      <c r="U145" s="1548"/>
      <c r="V145" s="2294"/>
      <c r="W145" s="823">
        <v>0</v>
      </c>
      <c r="X145" s="823">
        <v>0</v>
      </c>
      <c r="Y145" s="823"/>
      <c r="Z145" s="823"/>
      <c r="AA145" s="823"/>
      <c r="AB145" s="823"/>
      <c r="AC145" s="823"/>
      <c r="AD145" s="823"/>
      <c r="AE145" s="823"/>
      <c r="AF145" s="823"/>
      <c r="AG145" s="823"/>
      <c r="AK145" s="802"/>
    </row>
    <row r="146" spans="2:37" s="811" customFormat="1" outlineLevel="1" x14ac:dyDescent="0.25">
      <c r="B146" s="1738"/>
      <c r="C146" s="1535"/>
      <c r="D146" s="2370"/>
      <c r="E146" s="1066" t="s">
        <v>1282</v>
      </c>
      <c r="F146" s="1142">
        <v>1</v>
      </c>
      <c r="G146" s="952"/>
      <c r="H146" s="1068"/>
      <c r="I146" s="1548"/>
      <c r="J146" s="1548"/>
      <c r="K146" s="1548"/>
      <c r="L146" s="1548"/>
      <c r="M146" s="1548"/>
      <c r="N146" s="1548"/>
      <c r="O146" s="1548"/>
      <c r="P146" s="1548"/>
      <c r="Q146" s="1548"/>
      <c r="R146" s="1548"/>
      <c r="S146" s="1548"/>
      <c r="T146" s="1548"/>
      <c r="U146" s="1548"/>
      <c r="V146" s="2294"/>
      <c r="W146" s="823">
        <v>1</v>
      </c>
      <c r="X146" s="823">
        <v>1</v>
      </c>
      <c r="Y146" s="823"/>
      <c r="Z146" s="823"/>
      <c r="AA146" s="823"/>
      <c r="AB146" s="823"/>
      <c r="AC146" s="823"/>
      <c r="AD146" s="823"/>
      <c r="AE146" s="823"/>
      <c r="AF146" s="823"/>
      <c r="AG146" s="823"/>
      <c r="AK146" s="802"/>
    </row>
    <row r="147" spans="2:37" s="811" customFormat="1" outlineLevel="1" x14ac:dyDescent="0.25">
      <c r="B147" s="1738"/>
      <c r="C147" s="1535"/>
      <c r="D147" s="2370"/>
      <c r="E147" s="1726" t="s">
        <v>1283</v>
      </c>
      <c r="F147" s="1142">
        <v>1</v>
      </c>
      <c r="G147" s="952"/>
      <c r="H147" s="1068"/>
      <c r="I147" s="1548"/>
      <c r="J147" s="1548"/>
      <c r="K147" s="1548"/>
      <c r="L147" s="1548"/>
      <c r="M147" s="1548"/>
      <c r="N147" s="1548"/>
      <c r="O147" s="1548"/>
      <c r="P147" s="1548"/>
      <c r="Q147" s="1548"/>
      <c r="R147" s="1548"/>
      <c r="S147" s="1548"/>
      <c r="T147" s="1548"/>
      <c r="U147" s="1548"/>
      <c r="V147" s="2294"/>
      <c r="W147" s="823">
        <v>1</v>
      </c>
      <c r="X147" s="823">
        <v>1</v>
      </c>
      <c r="Y147" s="823"/>
      <c r="Z147" s="823"/>
      <c r="AA147" s="823"/>
      <c r="AB147" s="823"/>
      <c r="AC147" s="823"/>
      <c r="AD147" s="823"/>
      <c r="AE147" s="823"/>
      <c r="AF147" s="823"/>
      <c r="AG147" s="823"/>
      <c r="AK147" s="802"/>
    </row>
    <row r="148" spans="2:37" s="811" customFormat="1" outlineLevel="1" x14ac:dyDescent="0.25">
      <c r="B148" s="1738"/>
      <c r="C148" s="1535"/>
      <c r="D148" s="2370"/>
      <c r="E148" s="1066" t="s">
        <v>1284</v>
      </c>
      <c r="F148" s="1142">
        <v>0</v>
      </c>
      <c r="G148" s="952"/>
      <c r="H148" s="1068"/>
      <c r="I148" s="1548"/>
      <c r="J148" s="1548"/>
      <c r="K148" s="1548"/>
      <c r="L148" s="1548"/>
      <c r="M148" s="1548"/>
      <c r="N148" s="1548"/>
      <c r="O148" s="1548"/>
      <c r="P148" s="1548"/>
      <c r="Q148" s="1548"/>
      <c r="R148" s="1548"/>
      <c r="S148" s="1548"/>
      <c r="T148" s="1548"/>
      <c r="U148" s="1548"/>
      <c r="V148" s="2294"/>
      <c r="W148" s="823">
        <v>0</v>
      </c>
      <c r="X148" s="823">
        <v>0</v>
      </c>
      <c r="Y148" s="823"/>
      <c r="Z148" s="823"/>
      <c r="AA148" s="823"/>
      <c r="AB148" s="823"/>
      <c r="AC148" s="823"/>
      <c r="AD148" s="823"/>
      <c r="AE148" s="823"/>
      <c r="AF148" s="823"/>
      <c r="AG148" s="823"/>
      <c r="AK148" s="802"/>
    </row>
    <row r="149" spans="2:37" s="811" customFormat="1" outlineLevel="1" x14ac:dyDescent="0.25">
      <c r="B149" s="1738"/>
      <c r="C149" s="1535"/>
      <c r="D149" s="2370"/>
      <c r="E149" s="1066" t="s">
        <v>1285</v>
      </c>
      <c r="F149" s="1142">
        <v>1</v>
      </c>
      <c r="G149" s="952"/>
      <c r="H149" s="1068"/>
      <c r="I149" s="1548"/>
      <c r="J149" s="1548"/>
      <c r="K149" s="1548"/>
      <c r="L149" s="1548"/>
      <c r="M149" s="1548"/>
      <c r="N149" s="1548"/>
      <c r="O149" s="1548"/>
      <c r="P149" s="1548"/>
      <c r="Q149" s="1548"/>
      <c r="R149" s="1548"/>
      <c r="S149" s="1548"/>
      <c r="T149" s="1548"/>
      <c r="U149" s="1548"/>
      <c r="V149" s="2294"/>
      <c r="W149" s="823">
        <v>1</v>
      </c>
      <c r="X149" s="823">
        <v>1</v>
      </c>
      <c r="Y149" s="823"/>
      <c r="Z149" s="823"/>
      <c r="AA149" s="823"/>
      <c r="AB149" s="823"/>
      <c r="AC149" s="823"/>
      <c r="AD149" s="823"/>
      <c r="AE149" s="823"/>
      <c r="AF149" s="823"/>
      <c r="AG149" s="823"/>
      <c r="AK149" s="802"/>
    </row>
    <row r="150" spans="2:37" s="811" customFormat="1" outlineLevel="1" x14ac:dyDescent="0.25">
      <c r="B150" s="1738"/>
      <c r="C150" s="1535"/>
      <c r="D150" s="2370"/>
      <c r="E150" s="1066" t="s">
        <v>1286</v>
      </c>
      <c r="F150" s="1142">
        <v>1</v>
      </c>
      <c r="G150" s="952"/>
      <c r="H150" s="1068"/>
      <c r="I150" s="1548"/>
      <c r="J150" s="1548"/>
      <c r="K150" s="1548"/>
      <c r="L150" s="1548"/>
      <c r="M150" s="1548"/>
      <c r="N150" s="1548"/>
      <c r="O150" s="1548"/>
      <c r="P150" s="1548"/>
      <c r="Q150" s="1548"/>
      <c r="R150" s="1548"/>
      <c r="S150" s="1548"/>
      <c r="T150" s="1548"/>
      <c r="U150" s="1548"/>
      <c r="V150" s="2294"/>
      <c r="W150" s="823">
        <v>1</v>
      </c>
      <c r="X150" s="823">
        <v>1</v>
      </c>
      <c r="Y150" s="823"/>
      <c r="Z150" s="823"/>
      <c r="AA150" s="823"/>
      <c r="AB150" s="823"/>
      <c r="AC150" s="823"/>
      <c r="AD150" s="823"/>
      <c r="AE150" s="823"/>
      <c r="AF150" s="823"/>
      <c r="AG150" s="823"/>
      <c r="AK150" s="802"/>
    </row>
    <row r="151" spans="2:37" s="811" customFormat="1" outlineLevel="1" x14ac:dyDescent="0.25">
      <c r="B151" s="1738"/>
      <c r="C151" s="1535"/>
      <c r="D151" s="2370"/>
      <c r="E151" s="1726" t="s">
        <v>1287</v>
      </c>
      <c r="F151" s="1142">
        <v>0</v>
      </c>
      <c r="G151" s="952"/>
      <c r="H151" s="1068"/>
      <c r="I151" s="1548"/>
      <c r="J151" s="1548"/>
      <c r="K151" s="1548"/>
      <c r="L151" s="1548"/>
      <c r="M151" s="1548"/>
      <c r="N151" s="1548"/>
      <c r="O151" s="1548"/>
      <c r="P151" s="1548"/>
      <c r="Q151" s="1548"/>
      <c r="R151" s="1548"/>
      <c r="S151" s="1548"/>
      <c r="T151" s="1548"/>
      <c r="U151" s="1548"/>
      <c r="V151" s="2294"/>
      <c r="W151" s="823">
        <v>0</v>
      </c>
      <c r="X151" s="823">
        <v>0</v>
      </c>
      <c r="Y151" s="823"/>
      <c r="Z151" s="823"/>
      <c r="AA151" s="823"/>
      <c r="AB151" s="823"/>
      <c r="AC151" s="823"/>
      <c r="AD151" s="823"/>
      <c r="AE151" s="823"/>
      <c r="AF151" s="823"/>
      <c r="AG151" s="823"/>
      <c r="AK151" s="802"/>
    </row>
    <row r="152" spans="2:37" s="811" customFormat="1" outlineLevel="1" x14ac:dyDescent="0.25">
      <c r="B152" s="1738"/>
      <c r="C152" s="1535"/>
      <c r="D152" s="2370"/>
      <c r="E152" s="1066" t="s">
        <v>1288</v>
      </c>
      <c r="F152" s="1142">
        <v>1</v>
      </c>
      <c r="G152" s="952"/>
      <c r="H152" s="1068"/>
      <c r="I152" s="1548"/>
      <c r="J152" s="1548"/>
      <c r="K152" s="1548"/>
      <c r="L152" s="1548"/>
      <c r="M152" s="1548"/>
      <c r="N152" s="1548"/>
      <c r="O152" s="1548"/>
      <c r="P152" s="1548"/>
      <c r="Q152" s="1548"/>
      <c r="R152" s="1548"/>
      <c r="S152" s="1548"/>
      <c r="T152" s="1548"/>
      <c r="U152" s="1548"/>
      <c r="V152" s="2294"/>
      <c r="W152" s="823">
        <v>1</v>
      </c>
      <c r="X152" s="823">
        <v>1</v>
      </c>
      <c r="Y152" s="823"/>
      <c r="Z152" s="823"/>
      <c r="AA152" s="823"/>
      <c r="AB152" s="823"/>
      <c r="AC152" s="823"/>
      <c r="AD152" s="823"/>
      <c r="AE152" s="823"/>
      <c r="AF152" s="823"/>
      <c r="AG152" s="823"/>
      <c r="AK152" s="802"/>
    </row>
    <row r="153" spans="2:37" s="811" customFormat="1" outlineLevel="1" x14ac:dyDescent="0.25">
      <c r="B153" s="1738"/>
      <c r="C153" s="1535"/>
      <c r="D153" s="2370"/>
      <c r="E153" s="1726" t="s">
        <v>1289</v>
      </c>
      <c r="F153" s="1142">
        <v>1</v>
      </c>
      <c r="G153" s="952"/>
      <c r="H153" s="1068"/>
      <c r="I153" s="1548"/>
      <c r="J153" s="1548"/>
      <c r="K153" s="1548"/>
      <c r="L153" s="1548"/>
      <c r="M153" s="1548"/>
      <c r="N153" s="1548"/>
      <c r="O153" s="1548"/>
      <c r="P153" s="1548"/>
      <c r="Q153" s="1548"/>
      <c r="R153" s="1548"/>
      <c r="S153" s="1548"/>
      <c r="T153" s="1548"/>
      <c r="U153" s="1548"/>
      <c r="V153" s="2294"/>
      <c r="W153" s="823">
        <v>1</v>
      </c>
      <c r="X153" s="823">
        <v>1</v>
      </c>
      <c r="Y153" s="823"/>
      <c r="Z153" s="823"/>
      <c r="AA153" s="823"/>
      <c r="AB153" s="823"/>
      <c r="AC153" s="823"/>
      <c r="AD153" s="823"/>
      <c r="AE153" s="823"/>
      <c r="AF153" s="823"/>
      <c r="AG153" s="823"/>
      <c r="AK153" s="802"/>
    </row>
    <row r="154" spans="2:37" s="811" customFormat="1" outlineLevel="1" x14ac:dyDescent="0.25">
      <c r="B154" s="1738"/>
      <c r="C154" s="1535"/>
      <c r="D154" s="2370"/>
      <c r="E154" s="1066" t="s">
        <v>1290</v>
      </c>
      <c r="F154" s="1142">
        <v>0</v>
      </c>
      <c r="G154" s="952"/>
      <c r="H154" s="1068"/>
      <c r="I154" s="1548"/>
      <c r="J154" s="1548"/>
      <c r="K154" s="1548"/>
      <c r="L154" s="1548"/>
      <c r="M154" s="1548"/>
      <c r="N154" s="1548"/>
      <c r="O154" s="1548"/>
      <c r="P154" s="1548"/>
      <c r="Q154" s="1548"/>
      <c r="R154" s="1548"/>
      <c r="S154" s="1548"/>
      <c r="T154" s="1548"/>
      <c r="U154" s="1548"/>
      <c r="V154" s="2295"/>
      <c r="W154" s="823">
        <v>0</v>
      </c>
      <c r="X154" s="823">
        <v>0</v>
      </c>
      <c r="Y154" s="823"/>
      <c r="Z154" s="823"/>
      <c r="AA154" s="823"/>
      <c r="AB154" s="823"/>
      <c r="AC154" s="823"/>
      <c r="AD154" s="823"/>
      <c r="AE154" s="823"/>
      <c r="AF154" s="823"/>
      <c r="AG154" s="823"/>
      <c r="AK154" s="802"/>
    </row>
    <row r="155" spans="2:37" s="811" customFormat="1" ht="17.25" customHeight="1" outlineLevel="1" x14ac:dyDescent="0.25">
      <c r="B155" s="1708"/>
      <c r="C155" s="1535"/>
      <c r="D155" s="2369" t="s">
        <v>1887</v>
      </c>
      <c r="E155" s="1066" t="s">
        <v>1261</v>
      </c>
      <c r="F155" s="1067">
        <v>11</v>
      </c>
      <c r="G155" s="952"/>
      <c r="H155" s="1068" t="s">
        <v>1291</v>
      </c>
      <c r="I155" s="1548"/>
      <c r="J155" s="1548"/>
      <c r="K155" s="1548"/>
      <c r="L155" s="1548"/>
      <c r="M155" s="1548"/>
      <c r="N155" s="1548"/>
      <c r="O155" s="1548"/>
      <c r="P155" s="1548"/>
      <c r="Q155" s="1548"/>
      <c r="R155" s="1548"/>
      <c r="S155" s="1548"/>
      <c r="T155" s="1548"/>
      <c r="U155" s="1548"/>
      <c r="V155" s="2293" t="str">
        <f>D155</f>
        <v>Rold</v>
      </c>
      <c r="W155" s="819">
        <v>11</v>
      </c>
      <c r="X155" s="819">
        <v>11</v>
      </c>
      <c r="Y155" s="819"/>
      <c r="Z155" s="819"/>
      <c r="AA155" s="819"/>
      <c r="AB155" s="819"/>
      <c r="AC155" s="819"/>
      <c r="AD155" s="819"/>
      <c r="AE155" s="819"/>
      <c r="AF155" s="819"/>
      <c r="AG155" s="819"/>
      <c r="AK155" s="802"/>
    </row>
    <row r="156" spans="2:37" s="811" customFormat="1" outlineLevel="1" x14ac:dyDescent="0.25">
      <c r="B156" s="1708"/>
      <c r="C156" s="1535"/>
      <c r="D156" s="2370"/>
      <c r="E156" s="1066" t="s">
        <v>1262</v>
      </c>
      <c r="F156" s="1067">
        <v>11</v>
      </c>
      <c r="G156" s="952"/>
      <c r="H156" s="1068" t="s">
        <v>1291</v>
      </c>
      <c r="I156" s="1548"/>
      <c r="J156" s="1548"/>
      <c r="K156" s="1548"/>
      <c r="L156" s="1548"/>
      <c r="M156" s="1548"/>
      <c r="N156" s="1548"/>
      <c r="O156" s="1548"/>
      <c r="P156" s="1548"/>
      <c r="Q156" s="1548"/>
      <c r="R156" s="1548"/>
      <c r="S156" s="1548"/>
      <c r="T156" s="1548"/>
      <c r="U156" s="1548"/>
      <c r="V156" s="2294"/>
      <c r="W156" s="819">
        <v>11</v>
      </c>
      <c r="X156" s="819">
        <v>11</v>
      </c>
      <c r="Y156" s="819"/>
      <c r="Z156" s="819"/>
      <c r="AA156" s="819"/>
      <c r="AB156" s="819"/>
      <c r="AC156" s="819"/>
      <c r="AD156" s="819"/>
      <c r="AE156" s="819"/>
      <c r="AF156" s="819"/>
      <c r="AG156" s="819"/>
      <c r="AK156" s="802"/>
    </row>
    <row r="157" spans="2:37" s="811" customFormat="1" outlineLevel="1" x14ac:dyDescent="0.25">
      <c r="B157" s="1708"/>
      <c r="C157" s="1535"/>
      <c r="D157" s="2370"/>
      <c r="E157" s="1066" t="s">
        <v>1263</v>
      </c>
      <c r="F157" s="1067">
        <v>11</v>
      </c>
      <c r="G157" s="952"/>
      <c r="H157" s="1068" t="s">
        <v>1291</v>
      </c>
      <c r="I157" s="1548"/>
      <c r="J157" s="1548"/>
      <c r="K157" s="1548"/>
      <c r="L157" s="1548"/>
      <c r="M157" s="1548"/>
      <c r="N157" s="1548"/>
      <c r="O157" s="1548"/>
      <c r="P157" s="1548"/>
      <c r="Q157" s="1548"/>
      <c r="R157" s="1548"/>
      <c r="S157" s="1548"/>
      <c r="T157" s="1548"/>
      <c r="U157" s="1548"/>
      <c r="V157" s="2294"/>
      <c r="W157" s="819">
        <v>11</v>
      </c>
      <c r="X157" s="819">
        <v>11</v>
      </c>
      <c r="Y157" s="819"/>
      <c r="Z157" s="819"/>
      <c r="AA157" s="819"/>
      <c r="AB157" s="819"/>
      <c r="AC157" s="819"/>
      <c r="AD157" s="819"/>
      <c r="AE157" s="819"/>
      <c r="AF157" s="819"/>
      <c r="AG157" s="819"/>
      <c r="AK157" s="802"/>
    </row>
    <row r="158" spans="2:37" s="811" customFormat="1" outlineLevel="1" x14ac:dyDescent="0.25">
      <c r="B158" s="1708"/>
      <c r="C158" s="1535"/>
      <c r="D158" s="2370"/>
      <c r="E158" s="1066" t="s">
        <v>1264</v>
      </c>
      <c r="F158" s="1067">
        <v>11</v>
      </c>
      <c r="G158" s="952"/>
      <c r="H158" s="1068" t="s">
        <v>1291</v>
      </c>
      <c r="I158" s="1548"/>
      <c r="J158" s="1548"/>
      <c r="K158" s="1548"/>
      <c r="L158" s="1548"/>
      <c r="M158" s="1548"/>
      <c r="N158" s="1548"/>
      <c r="O158" s="1548"/>
      <c r="P158" s="1548"/>
      <c r="Q158" s="1548"/>
      <c r="R158" s="1548"/>
      <c r="S158" s="1548"/>
      <c r="T158" s="1548"/>
      <c r="U158" s="1548"/>
      <c r="V158" s="2294"/>
      <c r="W158" s="819">
        <v>11</v>
      </c>
      <c r="X158" s="819">
        <v>11</v>
      </c>
      <c r="Y158" s="819"/>
      <c r="Z158" s="819"/>
      <c r="AA158" s="819"/>
      <c r="AB158" s="819"/>
      <c r="AC158" s="819"/>
      <c r="AD158" s="819"/>
      <c r="AE158" s="819"/>
      <c r="AF158" s="819"/>
      <c r="AG158" s="819"/>
      <c r="AK158" s="802"/>
    </row>
    <row r="159" spans="2:37" s="811" customFormat="1" outlineLevel="1" x14ac:dyDescent="0.25">
      <c r="B159" s="1708"/>
      <c r="C159" s="1535"/>
      <c r="D159" s="2370"/>
      <c r="E159" s="1066" t="s">
        <v>1265</v>
      </c>
      <c r="F159" s="1067">
        <v>11</v>
      </c>
      <c r="G159" s="952"/>
      <c r="H159" s="1068" t="s">
        <v>1291</v>
      </c>
      <c r="I159" s="1548"/>
      <c r="J159" s="1548"/>
      <c r="K159" s="1548"/>
      <c r="L159" s="1548"/>
      <c r="M159" s="1548"/>
      <c r="N159" s="1548"/>
      <c r="O159" s="1548"/>
      <c r="P159" s="1548"/>
      <c r="Q159" s="1548"/>
      <c r="R159" s="1548"/>
      <c r="S159" s="1548"/>
      <c r="T159" s="1548"/>
      <c r="U159" s="1548"/>
      <c r="V159" s="2294"/>
      <c r="W159" s="819">
        <v>11</v>
      </c>
      <c r="X159" s="819">
        <v>11</v>
      </c>
      <c r="Y159" s="819"/>
      <c r="Z159" s="819"/>
      <c r="AA159" s="819"/>
      <c r="AB159" s="819"/>
      <c r="AC159" s="819"/>
      <c r="AD159" s="819"/>
      <c r="AE159" s="819"/>
      <c r="AF159" s="819"/>
      <c r="AG159" s="819"/>
      <c r="AK159" s="802"/>
    </row>
    <row r="160" spans="2:37" s="811" customFormat="1" outlineLevel="1" x14ac:dyDescent="0.25">
      <c r="B160" s="1738"/>
      <c r="C160" s="1535"/>
      <c r="D160" s="2370"/>
      <c r="E160" s="1066" t="s">
        <v>1266</v>
      </c>
      <c r="F160" s="1067">
        <v>11</v>
      </c>
      <c r="G160" s="952"/>
      <c r="H160" s="1068" t="s">
        <v>1291</v>
      </c>
      <c r="I160" s="1548"/>
      <c r="J160" s="1548"/>
      <c r="K160" s="1548"/>
      <c r="L160" s="1548"/>
      <c r="M160" s="1548"/>
      <c r="N160" s="1548"/>
      <c r="O160" s="1548"/>
      <c r="P160" s="1548"/>
      <c r="Q160" s="1548"/>
      <c r="R160" s="1548"/>
      <c r="S160" s="1548"/>
      <c r="T160" s="1548"/>
      <c r="U160" s="1548"/>
      <c r="V160" s="2294"/>
      <c r="W160" s="819">
        <v>11</v>
      </c>
      <c r="X160" s="819">
        <v>11</v>
      </c>
      <c r="Y160" s="819"/>
      <c r="Z160" s="819"/>
      <c r="AA160" s="819"/>
      <c r="AB160" s="819"/>
      <c r="AC160" s="819"/>
      <c r="AD160" s="819"/>
      <c r="AE160" s="819"/>
      <c r="AF160" s="819"/>
      <c r="AG160" s="819"/>
      <c r="AK160" s="802"/>
    </row>
    <row r="161" spans="2:37" s="811" customFormat="1" outlineLevel="1" x14ac:dyDescent="0.25">
      <c r="B161" s="1738"/>
      <c r="C161" s="1535"/>
      <c r="D161" s="2370"/>
      <c r="E161" s="1066" t="s">
        <v>1267</v>
      </c>
      <c r="F161" s="1067">
        <v>5</v>
      </c>
      <c r="G161" s="952"/>
      <c r="H161" s="1068" t="s">
        <v>1291</v>
      </c>
      <c r="I161" s="1548"/>
      <c r="J161" s="1548"/>
      <c r="K161" s="1548"/>
      <c r="L161" s="1548"/>
      <c r="M161" s="1548"/>
      <c r="N161" s="1548"/>
      <c r="O161" s="1548"/>
      <c r="P161" s="1548"/>
      <c r="Q161" s="1548"/>
      <c r="R161" s="1548"/>
      <c r="S161" s="1548"/>
      <c r="T161" s="1548"/>
      <c r="U161" s="1548"/>
      <c r="V161" s="2294"/>
      <c r="W161" s="819">
        <v>5</v>
      </c>
      <c r="X161" s="819">
        <v>5</v>
      </c>
      <c r="Y161" s="819"/>
      <c r="Z161" s="819"/>
      <c r="AA161" s="819"/>
      <c r="AB161" s="819"/>
      <c r="AC161" s="819"/>
      <c r="AD161" s="819"/>
      <c r="AE161" s="819"/>
      <c r="AF161" s="819"/>
      <c r="AG161" s="819"/>
      <c r="AK161" s="802"/>
    </row>
    <row r="162" spans="2:37" s="811" customFormat="1" outlineLevel="1" x14ac:dyDescent="0.25">
      <c r="B162" s="1738"/>
      <c r="C162" s="1535"/>
      <c r="D162" s="2370"/>
      <c r="E162" s="1066" t="s">
        <v>1268</v>
      </c>
      <c r="F162" s="1067">
        <v>5</v>
      </c>
      <c r="G162" s="952"/>
      <c r="H162" s="1068" t="s">
        <v>1291</v>
      </c>
      <c r="I162" s="1548"/>
      <c r="J162" s="1548"/>
      <c r="K162" s="1548"/>
      <c r="L162" s="1548"/>
      <c r="M162" s="1548"/>
      <c r="N162" s="1548"/>
      <c r="O162" s="1548"/>
      <c r="P162" s="1548"/>
      <c r="Q162" s="1548"/>
      <c r="R162" s="1548"/>
      <c r="S162" s="1548"/>
      <c r="T162" s="1548"/>
      <c r="U162" s="1548"/>
      <c r="V162" s="2294"/>
      <c r="W162" s="819">
        <v>5</v>
      </c>
      <c r="X162" s="819">
        <v>5</v>
      </c>
      <c r="Y162" s="819"/>
      <c r="Z162" s="819"/>
      <c r="AA162" s="819"/>
      <c r="AB162" s="819"/>
      <c r="AC162" s="819"/>
      <c r="AD162" s="819"/>
      <c r="AE162" s="819"/>
      <c r="AF162" s="819"/>
      <c r="AG162" s="819"/>
      <c r="AK162" s="802"/>
    </row>
    <row r="163" spans="2:37" s="811" customFormat="1" outlineLevel="1" x14ac:dyDescent="0.25">
      <c r="B163" s="1738"/>
      <c r="C163" s="1535"/>
      <c r="D163" s="2370"/>
      <c r="E163" s="1726" t="s">
        <v>1269</v>
      </c>
      <c r="F163" s="1067">
        <v>5</v>
      </c>
      <c r="G163" s="952"/>
      <c r="H163" s="1068" t="s">
        <v>1291</v>
      </c>
      <c r="I163" s="1548"/>
      <c r="J163" s="1548"/>
      <c r="K163" s="1548"/>
      <c r="L163" s="1548"/>
      <c r="M163" s="1548"/>
      <c r="N163" s="1548"/>
      <c r="O163" s="1548"/>
      <c r="P163" s="1548"/>
      <c r="Q163" s="1548"/>
      <c r="R163" s="1548"/>
      <c r="S163" s="1548"/>
      <c r="T163" s="1548"/>
      <c r="U163" s="1548"/>
      <c r="V163" s="2294"/>
      <c r="W163" s="819">
        <v>5</v>
      </c>
      <c r="X163" s="819">
        <v>5</v>
      </c>
      <c r="Y163" s="819"/>
      <c r="Z163" s="819"/>
      <c r="AA163" s="819"/>
      <c r="AB163" s="819"/>
      <c r="AC163" s="819"/>
      <c r="AD163" s="819"/>
      <c r="AE163" s="819"/>
      <c r="AF163" s="819"/>
      <c r="AG163" s="819"/>
      <c r="AK163" s="802"/>
    </row>
    <row r="164" spans="2:37" s="811" customFormat="1" outlineLevel="1" x14ac:dyDescent="0.25">
      <c r="B164" s="1738"/>
      <c r="C164" s="1535"/>
      <c r="D164" s="2370"/>
      <c r="E164" s="1066" t="s">
        <v>1270</v>
      </c>
      <c r="F164" s="1067">
        <v>5</v>
      </c>
      <c r="G164" s="952"/>
      <c r="H164" s="1068" t="s">
        <v>1291</v>
      </c>
      <c r="I164" s="1548"/>
      <c r="J164" s="1548"/>
      <c r="K164" s="1548"/>
      <c r="L164" s="1548"/>
      <c r="M164" s="1548"/>
      <c r="N164" s="1548"/>
      <c r="O164" s="1548"/>
      <c r="P164" s="1548"/>
      <c r="Q164" s="1548"/>
      <c r="R164" s="1548"/>
      <c r="S164" s="1548"/>
      <c r="T164" s="1548"/>
      <c r="U164" s="1548"/>
      <c r="V164" s="2294"/>
      <c r="W164" s="819">
        <v>5</v>
      </c>
      <c r="X164" s="819">
        <v>5</v>
      </c>
      <c r="Y164" s="819"/>
      <c r="Z164" s="819"/>
      <c r="AA164" s="819"/>
      <c r="AB164" s="819"/>
      <c r="AC164" s="819"/>
      <c r="AD164" s="819"/>
      <c r="AE164" s="819"/>
      <c r="AF164" s="819"/>
      <c r="AG164" s="819"/>
      <c r="AK164" s="802"/>
    </row>
    <row r="165" spans="2:37" s="811" customFormat="1" outlineLevel="1" x14ac:dyDescent="0.25">
      <c r="B165" s="1738"/>
      <c r="C165" s="1535"/>
      <c r="D165" s="2370"/>
      <c r="E165" s="1066" t="s">
        <v>1271</v>
      </c>
      <c r="F165" s="1067">
        <v>5</v>
      </c>
      <c r="G165" s="952"/>
      <c r="H165" s="1068" t="s">
        <v>1291</v>
      </c>
      <c r="I165" s="1548"/>
      <c r="J165" s="1548"/>
      <c r="K165" s="1548"/>
      <c r="L165" s="1548"/>
      <c r="M165" s="1548"/>
      <c r="N165" s="1548"/>
      <c r="O165" s="1548"/>
      <c r="P165" s="1548"/>
      <c r="Q165" s="1548"/>
      <c r="R165" s="1548"/>
      <c r="S165" s="1548"/>
      <c r="T165" s="1548"/>
      <c r="U165" s="1548"/>
      <c r="V165" s="2294"/>
      <c r="W165" s="819">
        <v>5</v>
      </c>
      <c r="X165" s="819">
        <v>5</v>
      </c>
      <c r="Y165" s="819"/>
      <c r="Z165" s="819"/>
      <c r="AA165" s="819"/>
      <c r="AB165" s="819"/>
      <c r="AC165" s="819"/>
      <c r="AD165" s="819"/>
      <c r="AE165" s="819"/>
      <c r="AF165" s="819"/>
      <c r="AG165" s="819"/>
      <c r="AK165" s="802"/>
    </row>
    <row r="166" spans="2:37" s="811" customFormat="1" outlineLevel="1" x14ac:dyDescent="0.25">
      <c r="B166" s="1738"/>
      <c r="C166" s="1535"/>
      <c r="D166" s="2370"/>
      <c r="E166" s="1739" t="s">
        <v>1272</v>
      </c>
      <c r="F166" s="1067">
        <v>5</v>
      </c>
      <c r="G166" s="952"/>
      <c r="H166" s="1068" t="s">
        <v>1291</v>
      </c>
      <c r="I166" s="1548"/>
      <c r="J166" s="1548"/>
      <c r="K166" s="1548"/>
      <c r="L166" s="1548"/>
      <c r="M166" s="1548"/>
      <c r="N166" s="1548"/>
      <c r="O166" s="1548"/>
      <c r="P166" s="1548"/>
      <c r="Q166" s="1548"/>
      <c r="R166" s="1548"/>
      <c r="S166" s="1548"/>
      <c r="T166" s="1548"/>
      <c r="U166" s="1548"/>
      <c r="V166" s="2294"/>
      <c r="W166" s="819">
        <v>5</v>
      </c>
      <c r="X166" s="819">
        <v>5</v>
      </c>
      <c r="Y166" s="819"/>
      <c r="Z166" s="819"/>
      <c r="AA166" s="819"/>
      <c r="AB166" s="819"/>
      <c r="AC166" s="819"/>
      <c r="AD166" s="819"/>
      <c r="AE166" s="819"/>
      <c r="AF166" s="819"/>
      <c r="AG166" s="819"/>
      <c r="AK166" s="802"/>
    </row>
    <row r="167" spans="2:37" s="811" customFormat="1" outlineLevel="1" x14ac:dyDescent="0.25">
      <c r="B167" s="1738"/>
      <c r="C167" s="1535"/>
      <c r="D167" s="2370"/>
      <c r="E167" s="1066" t="s">
        <v>1273</v>
      </c>
      <c r="F167" s="1067">
        <v>5</v>
      </c>
      <c r="G167" s="952"/>
      <c r="H167" s="1068" t="s">
        <v>1291</v>
      </c>
      <c r="I167" s="1548"/>
      <c r="J167" s="1548"/>
      <c r="K167" s="1548"/>
      <c r="L167" s="1548"/>
      <c r="M167" s="1548"/>
      <c r="N167" s="1548"/>
      <c r="O167" s="1548"/>
      <c r="P167" s="1548"/>
      <c r="Q167" s="1548"/>
      <c r="R167" s="1548"/>
      <c r="S167" s="1548"/>
      <c r="T167" s="1548"/>
      <c r="U167" s="1548"/>
      <c r="V167" s="2294"/>
      <c r="W167" s="819">
        <v>5</v>
      </c>
      <c r="X167" s="819">
        <v>5</v>
      </c>
      <c r="Y167" s="819"/>
      <c r="Z167" s="819"/>
      <c r="AA167" s="819"/>
      <c r="AB167" s="819"/>
      <c r="AC167" s="819"/>
      <c r="AD167" s="819"/>
      <c r="AE167" s="819"/>
      <c r="AF167" s="819"/>
      <c r="AG167" s="819"/>
      <c r="AK167" s="802"/>
    </row>
    <row r="168" spans="2:37" s="811" customFormat="1" outlineLevel="1" x14ac:dyDescent="0.25">
      <c r="B168" s="1708"/>
      <c r="C168" s="1535"/>
      <c r="D168" s="2370"/>
      <c r="E168" s="1066" t="s">
        <v>1274</v>
      </c>
      <c r="F168" s="1067">
        <v>5</v>
      </c>
      <c r="G168" s="952"/>
      <c r="H168" s="1068" t="s">
        <v>1291</v>
      </c>
      <c r="I168" s="1548"/>
      <c r="J168" s="1548"/>
      <c r="K168" s="1548"/>
      <c r="L168" s="1548"/>
      <c r="M168" s="1548"/>
      <c r="N168" s="1548"/>
      <c r="O168" s="1548"/>
      <c r="P168" s="1548"/>
      <c r="Q168" s="1548"/>
      <c r="R168" s="1548"/>
      <c r="S168" s="1548"/>
      <c r="T168" s="1548"/>
      <c r="U168" s="1548"/>
      <c r="V168" s="2294"/>
      <c r="W168" s="819">
        <v>5</v>
      </c>
      <c r="X168" s="819">
        <v>5</v>
      </c>
      <c r="Y168" s="819"/>
      <c r="Z168" s="819"/>
      <c r="AA168" s="819"/>
      <c r="AB168" s="819"/>
      <c r="AC168" s="819"/>
      <c r="AD168" s="819"/>
      <c r="AE168" s="819"/>
      <c r="AF168" s="819"/>
      <c r="AG168" s="819"/>
      <c r="AK168" s="802"/>
    </row>
    <row r="169" spans="2:37" s="811" customFormat="1" outlineLevel="1" x14ac:dyDescent="0.25">
      <c r="B169" s="1708"/>
      <c r="C169" s="1535"/>
      <c r="D169" s="2370"/>
      <c r="E169" s="1726" t="s">
        <v>1275</v>
      </c>
      <c r="F169" s="1067">
        <v>5</v>
      </c>
      <c r="G169" s="952"/>
      <c r="H169" s="1068" t="s">
        <v>1291</v>
      </c>
      <c r="I169" s="1548"/>
      <c r="J169" s="1548"/>
      <c r="K169" s="1548"/>
      <c r="L169" s="1548"/>
      <c r="M169" s="1548"/>
      <c r="N169" s="1548"/>
      <c r="O169" s="1548"/>
      <c r="P169" s="1548"/>
      <c r="Q169" s="1548"/>
      <c r="R169" s="1548"/>
      <c r="S169" s="1548"/>
      <c r="T169" s="1548"/>
      <c r="U169" s="1548"/>
      <c r="V169" s="2294"/>
      <c r="W169" s="819">
        <v>5</v>
      </c>
      <c r="X169" s="819">
        <v>5</v>
      </c>
      <c r="Y169" s="819"/>
      <c r="Z169" s="819"/>
      <c r="AA169" s="819"/>
      <c r="AB169" s="819"/>
      <c r="AC169" s="819"/>
      <c r="AD169" s="819"/>
      <c r="AE169" s="819"/>
      <c r="AF169" s="819"/>
      <c r="AG169" s="819"/>
      <c r="AK169" s="802"/>
    </row>
    <row r="170" spans="2:37" s="811" customFormat="1" outlineLevel="1" x14ac:dyDescent="0.25">
      <c r="B170" s="1708"/>
      <c r="C170" s="1535"/>
      <c r="D170" s="2370"/>
      <c r="E170" s="1066" t="s">
        <v>1276</v>
      </c>
      <c r="F170" s="1067">
        <v>5</v>
      </c>
      <c r="G170" s="952"/>
      <c r="H170" s="1068" t="s">
        <v>1291</v>
      </c>
      <c r="I170" s="1548"/>
      <c r="J170" s="1548"/>
      <c r="K170" s="1548"/>
      <c r="L170" s="1548"/>
      <c r="M170" s="1548"/>
      <c r="N170" s="1548"/>
      <c r="O170" s="1548"/>
      <c r="P170" s="1548"/>
      <c r="Q170" s="1548"/>
      <c r="R170" s="1548"/>
      <c r="S170" s="1548"/>
      <c r="T170" s="1548"/>
      <c r="U170" s="1548"/>
      <c r="V170" s="2294"/>
      <c r="W170" s="819">
        <v>5</v>
      </c>
      <c r="X170" s="819">
        <v>5</v>
      </c>
      <c r="Y170" s="819"/>
      <c r="Z170" s="819"/>
      <c r="AA170" s="819"/>
      <c r="AB170" s="819"/>
      <c r="AC170" s="819"/>
      <c r="AD170" s="819"/>
      <c r="AE170" s="819"/>
      <c r="AF170" s="819"/>
      <c r="AG170" s="819"/>
      <c r="AK170" s="802"/>
    </row>
    <row r="171" spans="2:37" s="811" customFormat="1" outlineLevel="1" x14ac:dyDescent="0.25">
      <c r="B171" s="1738"/>
      <c r="C171" s="1535"/>
      <c r="D171" s="2370"/>
      <c r="E171" s="1066" t="s">
        <v>1277</v>
      </c>
      <c r="F171" s="1067">
        <v>5</v>
      </c>
      <c r="G171" s="952"/>
      <c r="H171" s="1068" t="s">
        <v>1291</v>
      </c>
      <c r="I171" s="1548"/>
      <c r="J171" s="1548"/>
      <c r="K171" s="1548"/>
      <c r="L171" s="1548"/>
      <c r="M171" s="1548"/>
      <c r="N171" s="1548"/>
      <c r="O171" s="1548"/>
      <c r="P171" s="1548"/>
      <c r="Q171" s="1548"/>
      <c r="R171" s="1548"/>
      <c r="S171" s="1548"/>
      <c r="T171" s="1548"/>
      <c r="U171" s="1548"/>
      <c r="V171" s="2294"/>
      <c r="W171" s="819">
        <v>5</v>
      </c>
      <c r="X171" s="819">
        <v>5</v>
      </c>
      <c r="Y171" s="819"/>
      <c r="Z171" s="819"/>
      <c r="AA171" s="819"/>
      <c r="AB171" s="819"/>
      <c r="AC171" s="819"/>
      <c r="AD171" s="819"/>
      <c r="AE171" s="819"/>
      <c r="AF171" s="819"/>
      <c r="AG171" s="819"/>
      <c r="AK171" s="802"/>
    </row>
    <row r="172" spans="2:37" s="811" customFormat="1" outlineLevel="1" x14ac:dyDescent="0.25">
      <c r="B172" s="1738"/>
      <c r="C172" s="1535"/>
      <c r="D172" s="2370"/>
      <c r="E172" s="1739" t="s">
        <v>1278</v>
      </c>
      <c r="F172" s="1067">
        <v>5</v>
      </c>
      <c r="G172" s="952"/>
      <c r="H172" s="1068" t="s">
        <v>1291</v>
      </c>
      <c r="I172" s="1548"/>
      <c r="J172" s="1548"/>
      <c r="K172" s="1548"/>
      <c r="L172" s="1548"/>
      <c r="M172" s="1548"/>
      <c r="N172" s="1548"/>
      <c r="O172" s="1548"/>
      <c r="P172" s="1548"/>
      <c r="Q172" s="1548"/>
      <c r="R172" s="1548"/>
      <c r="S172" s="1548"/>
      <c r="T172" s="1548"/>
      <c r="U172" s="1548"/>
      <c r="V172" s="2294"/>
      <c r="W172" s="819">
        <v>5</v>
      </c>
      <c r="X172" s="819">
        <v>5</v>
      </c>
      <c r="Y172" s="819"/>
      <c r="Z172" s="819"/>
      <c r="AA172" s="819"/>
      <c r="AB172" s="819"/>
      <c r="AC172" s="819"/>
      <c r="AD172" s="819"/>
      <c r="AE172" s="819"/>
      <c r="AF172" s="819"/>
      <c r="AG172" s="819"/>
      <c r="AK172" s="802"/>
    </row>
    <row r="173" spans="2:37" s="811" customFormat="1" outlineLevel="1" x14ac:dyDescent="0.25">
      <c r="B173" s="1738"/>
      <c r="C173" s="1535"/>
      <c r="D173" s="2370"/>
      <c r="E173" s="1066" t="s">
        <v>1279</v>
      </c>
      <c r="F173" s="1067">
        <v>5</v>
      </c>
      <c r="G173" s="952"/>
      <c r="H173" s="1068" t="s">
        <v>1291</v>
      </c>
      <c r="I173" s="1548"/>
      <c r="J173" s="1548"/>
      <c r="K173" s="1548"/>
      <c r="L173" s="1548"/>
      <c r="M173" s="1548"/>
      <c r="N173" s="1548"/>
      <c r="O173" s="1548"/>
      <c r="P173" s="1548"/>
      <c r="Q173" s="1548"/>
      <c r="R173" s="1548"/>
      <c r="S173" s="1548"/>
      <c r="T173" s="1548"/>
      <c r="U173" s="1548"/>
      <c r="V173" s="2294"/>
      <c r="W173" s="819">
        <v>5</v>
      </c>
      <c r="X173" s="819">
        <v>5</v>
      </c>
      <c r="Y173" s="819"/>
      <c r="Z173" s="819"/>
      <c r="AA173" s="819"/>
      <c r="AB173" s="819"/>
      <c r="AC173" s="819"/>
      <c r="AD173" s="819"/>
      <c r="AE173" s="819"/>
      <c r="AF173" s="819"/>
      <c r="AG173" s="819"/>
      <c r="AK173" s="802"/>
    </row>
    <row r="174" spans="2:37" s="811" customFormat="1" outlineLevel="1" x14ac:dyDescent="0.25">
      <c r="B174" s="1738"/>
      <c r="C174" s="1535"/>
      <c r="D174" s="2370"/>
      <c r="E174" s="1066" t="s">
        <v>1280</v>
      </c>
      <c r="F174" s="1067">
        <v>5</v>
      </c>
      <c r="G174" s="952"/>
      <c r="H174" s="1068" t="s">
        <v>1291</v>
      </c>
      <c r="I174" s="1548"/>
      <c r="J174" s="1548"/>
      <c r="K174" s="1548"/>
      <c r="L174" s="1548"/>
      <c r="M174" s="1548"/>
      <c r="N174" s="1548"/>
      <c r="O174" s="1548"/>
      <c r="P174" s="1548"/>
      <c r="Q174" s="1548"/>
      <c r="R174" s="1548"/>
      <c r="S174" s="1548"/>
      <c r="T174" s="1548"/>
      <c r="U174" s="1548"/>
      <c r="V174" s="2294"/>
      <c r="W174" s="819">
        <v>5</v>
      </c>
      <c r="X174" s="819">
        <v>5</v>
      </c>
      <c r="Y174" s="819"/>
      <c r="Z174" s="819"/>
      <c r="AA174" s="819"/>
      <c r="AB174" s="819"/>
      <c r="AC174" s="819"/>
      <c r="AD174" s="819"/>
      <c r="AE174" s="819"/>
      <c r="AF174" s="819"/>
      <c r="AG174" s="819"/>
      <c r="AK174" s="802"/>
    </row>
    <row r="175" spans="2:37" s="811" customFormat="1" outlineLevel="1" x14ac:dyDescent="0.25">
      <c r="B175" s="1738"/>
      <c r="C175" s="1535"/>
      <c r="D175" s="2370"/>
      <c r="E175" s="1726" t="s">
        <v>1281</v>
      </c>
      <c r="F175" s="1067">
        <v>5</v>
      </c>
      <c r="G175" s="952"/>
      <c r="H175" s="1068" t="s">
        <v>1291</v>
      </c>
      <c r="I175" s="1548"/>
      <c r="J175" s="1548"/>
      <c r="K175" s="1548"/>
      <c r="L175" s="1548"/>
      <c r="M175" s="1548"/>
      <c r="N175" s="1548"/>
      <c r="O175" s="1548"/>
      <c r="P175" s="1548"/>
      <c r="Q175" s="1548"/>
      <c r="R175" s="1548"/>
      <c r="S175" s="1548"/>
      <c r="T175" s="1548"/>
      <c r="U175" s="1548"/>
      <c r="V175" s="2294"/>
      <c r="W175" s="819">
        <v>5</v>
      </c>
      <c r="X175" s="819">
        <v>5</v>
      </c>
      <c r="Y175" s="819"/>
      <c r="Z175" s="819"/>
      <c r="AA175" s="819"/>
      <c r="AB175" s="819"/>
      <c r="AC175" s="819"/>
      <c r="AD175" s="819"/>
      <c r="AE175" s="819"/>
      <c r="AF175" s="819"/>
      <c r="AG175" s="819"/>
      <c r="AK175" s="802"/>
    </row>
    <row r="176" spans="2:37" s="811" customFormat="1" outlineLevel="1" x14ac:dyDescent="0.25">
      <c r="B176" s="1738"/>
      <c r="C176" s="1535"/>
      <c r="D176" s="2370"/>
      <c r="E176" s="1066" t="s">
        <v>1282</v>
      </c>
      <c r="F176" s="1067">
        <v>5</v>
      </c>
      <c r="G176" s="952"/>
      <c r="H176" s="1068" t="s">
        <v>1291</v>
      </c>
      <c r="I176" s="1548"/>
      <c r="J176" s="1548"/>
      <c r="K176" s="1548"/>
      <c r="L176" s="1548"/>
      <c r="M176" s="1548"/>
      <c r="N176" s="1548"/>
      <c r="O176" s="1548"/>
      <c r="P176" s="1548"/>
      <c r="Q176" s="1548"/>
      <c r="R176" s="1548"/>
      <c r="S176" s="1548"/>
      <c r="T176" s="1548"/>
      <c r="U176" s="1548"/>
      <c r="V176" s="2294"/>
      <c r="W176" s="819">
        <v>5</v>
      </c>
      <c r="X176" s="819">
        <v>5</v>
      </c>
      <c r="Y176" s="819"/>
      <c r="Z176" s="819"/>
      <c r="AA176" s="819"/>
      <c r="AB176" s="819"/>
      <c r="AC176" s="819"/>
      <c r="AD176" s="819"/>
      <c r="AE176" s="819"/>
      <c r="AF176" s="819"/>
      <c r="AG176" s="819"/>
      <c r="AK176" s="802"/>
    </row>
    <row r="177" spans="2:37" s="811" customFormat="1" outlineLevel="1" x14ac:dyDescent="0.25">
      <c r="B177" s="1738"/>
      <c r="C177" s="1535"/>
      <c r="D177" s="2370"/>
      <c r="E177" s="1726" t="s">
        <v>1283</v>
      </c>
      <c r="F177" s="1067">
        <v>5</v>
      </c>
      <c r="G177" s="952"/>
      <c r="H177" s="1068" t="s">
        <v>1291</v>
      </c>
      <c r="I177" s="1548"/>
      <c r="J177" s="1548"/>
      <c r="K177" s="1548"/>
      <c r="L177" s="1548"/>
      <c r="M177" s="1548"/>
      <c r="N177" s="1548"/>
      <c r="O177" s="1548"/>
      <c r="P177" s="1548"/>
      <c r="Q177" s="1548"/>
      <c r="R177" s="1548"/>
      <c r="S177" s="1548"/>
      <c r="T177" s="1548"/>
      <c r="U177" s="1548"/>
      <c r="V177" s="2294"/>
      <c r="W177" s="819">
        <v>5</v>
      </c>
      <c r="X177" s="819">
        <v>5</v>
      </c>
      <c r="Y177" s="819"/>
      <c r="Z177" s="819"/>
      <c r="AA177" s="819"/>
      <c r="AB177" s="819"/>
      <c r="AC177" s="819"/>
      <c r="AD177" s="819"/>
      <c r="AE177" s="819"/>
      <c r="AF177" s="819"/>
      <c r="AG177" s="819"/>
      <c r="AK177" s="802"/>
    </row>
    <row r="178" spans="2:37" s="811" customFormat="1" outlineLevel="1" x14ac:dyDescent="0.25">
      <c r="B178" s="1738"/>
      <c r="C178" s="1535"/>
      <c r="D178" s="2370"/>
      <c r="E178" s="1066" t="s">
        <v>1284</v>
      </c>
      <c r="F178" s="1067">
        <v>5</v>
      </c>
      <c r="G178" s="952"/>
      <c r="H178" s="1068" t="s">
        <v>1291</v>
      </c>
      <c r="I178" s="1548"/>
      <c r="J178" s="1548"/>
      <c r="K178" s="1548"/>
      <c r="L178" s="1548"/>
      <c r="M178" s="1548"/>
      <c r="N178" s="1548"/>
      <c r="O178" s="1548"/>
      <c r="P178" s="1548"/>
      <c r="Q178" s="1548"/>
      <c r="R178" s="1548"/>
      <c r="S178" s="1548"/>
      <c r="T178" s="1548"/>
      <c r="U178" s="1548"/>
      <c r="V178" s="2294"/>
      <c r="W178" s="819">
        <v>5</v>
      </c>
      <c r="X178" s="819">
        <v>5</v>
      </c>
      <c r="Y178" s="819"/>
      <c r="Z178" s="819"/>
      <c r="AA178" s="819"/>
      <c r="AB178" s="819"/>
      <c r="AC178" s="819"/>
      <c r="AD178" s="819"/>
      <c r="AE178" s="819"/>
      <c r="AF178" s="819"/>
      <c r="AG178" s="819"/>
      <c r="AK178" s="802"/>
    </row>
    <row r="179" spans="2:37" s="811" customFormat="1" outlineLevel="1" x14ac:dyDescent="0.25">
      <c r="B179" s="1738"/>
      <c r="C179" s="1535"/>
      <c r="D179" s="2370"/>
      <c r="E179" s="1066" t="s">
        <v>1285</v>
      </c>
      <c r="F179" s="1067">
        <v>5</v>
      </c>
      <c r="G179" s="952"/>
      <c r="H179" s="1068" t="s">
        <v>1291</v>
      </c>
      <c r="I179" s="1548"/>
      <c r="J179" s="1548"/>
      <c r="K179" s="1548"/>
      <c r="L179" s="1548"/>
      <c r="M179" s="1548"/>
      <c r="N179" s="1548"/>
      <c r="O179" s="1548"/>
      <c r="P179" s="1548"/>
      <c r="Q179" s="1548"/>
      <c r="R179" s="1548"/>
      <c r="S179" s="1548"/>
      <c r="T179" s="1548"/>
      <c r="U179" s="1548"/>
      <c r="V179" s="2294"/>
      <c r="W179" s="819">
        <v>5</v>
      </c>
      <c r="X179" s="819">
        <v>5</v>
      </c>
      <c r="Y179" s="819"/>
      <c r="Z179" s="819"/>
      <c r="AA179" s="819"/>
      <c r="AB179" s="819"/>
      <c r="AC179" s="819"/>
      <c r="AD179" s="819"/>
      <c r="AE179" s="819"/>
      <c r="AF179" s="819"/>
      <c r="AG179" s="819"/>
      <c r="AK179" s="802"/>
    </row>
    <row r="180" spans="2:37" s="811" customFormat="1" outlineLevel="1" x14ac:dyDescent="0.25">
      <c r="B180" s="1738"/>
      <c r="C180" s="1535"/>
      <c r="D180" s="2370"/>
      <c r="E180" s="1066" t="s">
        <v>1286</v>
      </c>
      <c r="F180" s="1067">
        <v>5</v>
      </c>
      <c r="G180" s="952"/>
      <c r="H180" s="1068" t="s">
        <v>1291</v>
      </c>
      <c r="I180" s="1548"/>
      <c r="J180" s="1548"/>
      <c r="K180" s="1548"/>
      <c r="L180" s="1548"/>
      <c r="M180" s="1548"/>
      <c r="N180" s="1548"/>
      <c r="O180" s="1548"/>
      <c r="P180" s="1548"/>
      <c r="Q180" s="1548"/>
      <c r="R180" s="1548"/>
      <c r="S180" s="1548"/>
      <c r="T180" s="1548"/>
      <c r="U180" s="1548"/>
      <c r="V180" s="2294"/>
      <c r="W180" s="819">
        <v>5</v>
      </c>
      <c r="X180" s="819">
        <v>5</v>
      </c>
      <c r="Y180" s="819"/>
      <c r="Z180" s="819"/>
      <c r="AA180" s="819"/>
      <c r="AB180" s="819"/>
      <c r="AC180" s="819"/>
      <c r="AD180" s="819"/>
      <c r="AE180" s="819"/>
      <c r="AF180" s="819"/>
      <c r="AG180" s="819"/>
      <c r="AK180" s="802"/>
    </row>
    <row r="181" spans="2:37" s="811" customFormat="1" outlineLevel="1" x14ac:dyDescent="0.25">
      <c r="B181" s="1738"/>
      <c r="C181" s="1535"/>
      <c r="D181" s="2370"/>
      <c r="E181" s="1726" t="s">
        <v>1287</v>
      </c>
      <c r="F181" s="1067">
        <v>5</v>
      </c>
      <c r="G181" s="952"/>
      <c r="H181" s="1068" t="s">
        <v>1291</v>
      </c>
      <c r="I181" s="1548"/>
      <c r="J181" s="1548"/>
      <c r="K181" s="1548"/>
      <c r="L181" s="1548"/>
      <c r="M181" s="1548"/>
      <c r="N181" s="1548"/>
      <c r="O181" s="1548"/>
      <c r="P181" s="1548"/>
      <c r="Q181" s="1548"/>
      <c r="R181" s="1548"/>
      <c r="S181" s="1548"/>
      <c r="T181" s="1548"/>
      <c r="U181" s="1548"/>
      <c r="V181" s="2294"/>
      <c r="W181" s="819">
        <v>5</v>
      </c>
      <c r="X181" s="819">
        <v>5</v>
      </c>
      <c r="Y181" s="819"/>
      <c r="Z181" s="819"/>
      <c r="AA181" s="819"/>
      <c r="AB181" s="819"/>
      <c r="AC181" s="819"/>
      <c r="AD181" s="819"/>
      <c r="AE181" s="819"/>
      <c r="AF181" s="819"/>
      <c r="AG181" s="819"/>
      <c r="AK181" s="802"/>
    </row>
    <row r="182" spans="2:37" s="811" customFormat="1" outlineLevel="1" x14ac:dyDescent="0.25">
      <c r="B182" s="1738"/>
      <c r="C182" s="1535"/>
      <c r="D182" s="2370"/>
      <c r="E182" s="1066" t="s">
        <v>1288</v>
      </c>
      <c r="F182" s="1067">
        <v>5</v>
      </c>
      <c r="G182" s="952"/>
      <c r="H182" s="1068" t="s">
        <v>1291</v>
      </c>
      <c r="I182" s="1548"/>
      <c r="J182" s="1548"/>
      <c r="K182" s="1548"/>
      <c r="L182" s="1548"/>
      <c r="M182" s="1548"/>
      <c r="N182" s="1548"/>
      <c r="O182" s="1548"/>
      <c r="P182" s="1548"/>
      <c r="Q182" s="1548"/>
      <c r="R182" s="1548"/>
      <c r="S182" s="1548"/>
      <c r="T182" s="1548"/>
      <c r="U182" s="1548"/>
      <c r="V182" s="2294"/>
      <c r="W182" s="819">
        <v>5</v>
      </c>
      <c r="X182" s="819">
        <v>5</v>
      </c>
      <c r="Y182" s="819"/>
      <c r="Z182" s="819"/>
      <c r="AA182" s="819"/>
      <c r="AB182" s="819"/>
      <c r="AC182" s="819"/>
      <c r="AD182" s="819"/>
      <c r="AE182" s="819"/>
      <c r="AF182" s="819"/>
      <c r="AG182" s="819"/>
      <c r="AK182" s="802"/>
    </row>
    <row r="183" spans="2:37" s="811" customFormat="1" outlineLevel="1" x14ac:dyDescent="0.25">
      <c r="B183" s="1738"/>
      <c r="C183" s="1535"/>
      <c r="D183" s="2370"/>
      <c r="E183" s="1726" t="s">
        <v>1289</v>
      </c>
      <c r="F183" s="1067">
        <v>5</v>
      </c>
      <c r="G183" s="952"/>
      <c r="H183" s="1068" t="s">
        <v>1291</v>
      </c>
      <c r="I183" s="1548"/>
      <c r="J183" s="1548"/>
      <c r="K183" s="1548"/>
      <c r="L183" s="1548"/>
      <c r="M183" s="1548"/>
      <c r="N183" s="1548"/>
      <c r="O183" s="1548"/>
      <c r="P183" s="1548"/>
      <c r="Q183" s="1548"/>
      <c r="R183" s="1548"/>
      <c r="S183" s="1548"/>
      <c r="T183" s="1548"/>
      <c r="U183" s="1548"/>
      <c r="V183" s="2294"/>
      <c r="W183" s="819">
        <v>5</v>
      </c>
      <c r="X183" s="819">
        <v>5</v>
      </c>
      <c r="Y183" s="819"/>
      <c r="Z183" s="819"/>
      <c r="AA183" s="819"/>
      <c r="AB183" s="819"/>
      <c r="AC183" s="819"/>
      <c r="AD183" s="819"/>
      <c r="AE183" s="819"/>
      <c r="AF183" s="819"/>
      <c r="AG183" s="819"/>
      <c r="AK183" s="802"/>
    </row>
    <row r="184" spans="2:37" s="811" customFormat="1" outlineLevel="1" x14ac:dyDescent="0.25">
      <c r="B184" s="1738"/>
      <c r="C184" s="1535"/>
      <c r="D184" s="2370"/>
      <c r="E184" s="1066" t="s">
        <v>1290</v>
      </c>
      <c r="F184" s="1067">
        <v>5</v>
      </c>
      <c r="G184" s="952"/>
      <c r="H184" s="1068" t="s">
        <v>1291</v>
      </c>
      <c r="I184" s="1548"/>
      <c r="J184" s="1548"/>
      <c r="K184" s="1548"/>
      <c r="L184" s="1548"/>
      <c r="M184" s="1548"/>
      <c r="N184" s="1548"/>
      <c r="O184" s="1548"/>
      <c r="P184" s="1548"/>
      <c r="Q184" s="1548"/>
      <c r="R184" s="1548"/>
      <c r="S184" s="1548"/>
      <c r="T184" s="1548"/>
      <c r="U184" s="1548"/>
      <c r="V184" s="2295"/>
      <c r="W184" s="819">
        <v>5</v>
      </c>
      <c r="X184" s="819">
        <v>5</v>
      </c>
      <c r="Y184" s="819"/>
      <c r="Z184" s="819"/>
      <c r="AA184" s="819"/>
      <c r="AB184" s="819"/>
      <c r="AC184" s="819"/>
      <c r="AD184" s="819"/>
      <c r="AE184" s="819"/>
      <c r="AF184" s="819"/>
      <c r="AG184" s="819"/>
      <c r="AK184" s="802"/>
    </row>
    <row r="185" spans="2:37" s="811" customFormat="1" ht="17.25" customHeight="1" outlineLevel="1" x14ac:dyDescent="0.25">
      <c r="B185" s="1708"/>
      <c r="C185" s="1535"/>
      <c r="D185" s="2369" t="s">
        <v>1888</v>
      </c>
      <c r="E185" s="1066" t="s">
        <v>1261</v>
      </c>
      <c r="F185" s="1067">
        <v>49</v>
      </c>
      <c r="G185" s="952"/>
      <c r="H185" s="1068" t="s">
        <v>1291</v>
      </c>
      <c r="I185" s="1548"/>
      <c r="J185" s="1548"/>
      <c r="K185" s="1548"/>
      <c r="L185" s="1548"/>
      <c r="M185" s="1548"/>
      <c r="N185" s="1548"/>
      <c r="O185" s="1548"/>
      <c r="P185" s="1548"/>
      <c r="Q185" s="1548"/>
      <c r="R185" s="1548"/>
      <c r="S185" s="1548"/>
      <c r="T185" s="1548"/>
      <c r="U185" s="1548"/>
      <c r="V185" s="2293" t="str">
        <f>D185</f>
        <v>RAttic</v>
      </c>
      <c r="W185" s="819">
        <v>49</v>
      </c>
      <c r="X185" s="819">
        <v>49</v>
      </c>
      <c r="Y185" s="819"/>
      <c r="Z185" s="819"/>
      <c r="AA185" s="819"/>
      <c r="AB185" s="819"/>
      <c r="AC185" s="819"/>
      <c r="AD185" s="819"/>
      <c r="AE185" s="819"/>
      <c r="AF185" s="819"/>
      <c r="AG185" s="819"/>
      <c r="AK185" s="802"/>
    </row>
    <row r="186" spans="2:37" s="811" customFormat="1" outlineLevel="1" x14ac:dyDescent="0.25">
      <c r="B186" s="1708"/>
      <c r="C186" s="1535"/>
      <c r="D186" s="2370"/>
      <c r="E186" s="1066" t="s">
        <v>1262</v>
      </c>
      <c r="F186" s="1067">
        <v>49</v>
      </c>
      <c r="G186" s="952"/>
      <c r="H186" s="1068" t="s">
        <v>1291</v>
      </c>
      <c r="I186" s="1548"/>
      <c r="J186" s="1548"/>
      <c r="K186" s="1548"/>
      <c r="L186" s="1548"/>
      <c r="M186" s="1548"/>
      <c r="N186" s="1548"/>
      <c r="O186" s="1548"/>
      <c r="P186" s="1548"/>
      <c r="Q186" s="1548"/>
      <c r="R186" s="1548"/>
      <c r="S186" s="1548"/>
      <c r="T186" s="1548"/>
      <c r="U186" s="1548"/>
      <c r="V186" s="2294"/>
      <c r="W186" s="819">
        <v>49</v>
      </c>
      <c r="X186" s="819">
        <v>49</v>
      </c>
      <c r="Y186" s="819"/>
      <c r="Z186" s="819"/>
      <c r="AA186" s="819"/>
      <c r="AB186" s="819"/>
      <c r="AC186" s="819"/>
      <c r="AD186" s="819"/>
      <c r="AE186" s="819"/>
      <c r="AF186" s="819"/>
      <c r="AG186" s="819"/>
      <c r="AK186" s="802"/>
    </row>
    <row r="187" spans="2:37" s="811" customFormat="1" outlineLevel="1" x14ac:dyDescent="0.25">
      <c r="B187" s="1708"/>
      <c r="C187" s="1535"/>
      <c r="D187" s="2370"/>
      <c r="E187" s="1066" t="s">
        <v>1263</v>
      </c>
      <c r="F187" s="1067">
        <v>49</v>
      </c>
      <c r="G187" s="952"/>
      <c r="H187" s="1068" t="s">
        <v>1291</v>
      </c>
      <c r="I187" s="1548"/>
      <c r="J187" s="1548"/>
      <c r="K187" s="1548"/>
      <c r="L187" s="1548"/>
      <c r="M187" s="1548"/>
      <c r="N187" s="1548"/>
      <c r="O187" s="1548"/>
      <c r="P187" s="1548"/>
      <c r="Q187" s="1548"/>
      <c r="R187" s="1548"/>
      <c r="S187" s="1548"/>
      <c r="T187" s="1548"/>
      <c r="U187" s="1548"/>
      <c r="V187" s="2294"/>
      <c r="W187" s="819">
        <v>49</v>
      </c>
      <c r="X187" s="819">
        <v>49</v>
      </c>
      <c r="Y187" s="819"/>
      <c r="Z187" s="819"/>
      <c r="AA187" s="819"/>
      <c r="AB187" s="819"/>
      <c r="AC187" s="819"/>
      <c r="AD187" s="819"/>
      <c r="AE187" s="819"/>
      <c r="AF187" s="819"/>
      <c r="AG187" s="819"/>
      <c r="AK187" s="802"/>
    </row>
    <row r="188" spans="2:37" s="811" customFormat="1" outlineLevel="1" x14ac:dyDescent="0.25">
      <c r="B188" s="1708"/>
      <c r="C188" s="1535"/>
      <c r="D188" s="2370"/>
      <c r="E188" s="1066" t="s">
        <v>1264</v>
      </c>
      <c r="F188" s="1067">
        <v>49</v>
      </c>
      <c r="G188" s="952"/>
      <c r="H188" s="1068" t="s">
        <v>1291</v>
      </c>
      <c r="I188" s="1548"/>
      <c r="J188" s="1548"/>
      <c r="K188" s="1548"/>
      <c r="L188" s="1548"/>
      <c r="M188" s="1548"/>
      <c r="N188" s="1548"/>
      <c r="O188" s="1548"/>
      <c r="P188" s="1548"/>
      <c r="Q188" s="1548"/>
      <c r="R188" s="1548"/>
      <c r="S188" s="1548"/>
      <c r="T188" s="1548"/>
      <c r="U188" s="1548"/>
      <c r="V188" s="2294"/>
      <c r="W188" s="819">
        <v>49</v>
      </c>
      <c r="X188" s="819">
        <v>49</v>
      </c>
      <c r="Y188" s="819"/>
      <c r="Z188" s="819"/>
      <c r="AA188" s="819"/>
      <c r="AB188" s="819"/>
      <c r="AC188" s="819"/>
      <c r="AD188" s="819"/>
      <c r="AE188" s="819"/>
      <c r="AF188" s="819"/>
      <c r="AG188" s="819"/>
      <c r="AK188" s="802"/>
    </row>
    <row r="189" spans="2:37" s="811" customFormat="1" outlineLevel="1" x14ac:dyDescent="0.25">
      <c r="B189" s="1708"/>
      <c r="C189" s="1535"/>
      <c r="D189" s="2370"/>
      <c r="E189" s="1066" t="s">
        <v>1265</v>
      </c>
      <c r="F189" s="1067">
        <v>49</v>
      </c>
      <c r="G189" s="952"/>
      <c r="H189" s="1068" t="s">
        <v>1291</v>
      </c>
      <c r="I189" s="1548"/>
      <c r="J189" s="1548"/>
      <c r="K189" s="1548"/>
      <c r="L189" s="1548"/>
      <c r="M189" s="1548"/>
      <c r="N189" s="1548"/>
      <c r="O189" s="1548"/>
      <c r="P189" s="1548"/>
      <c r="Q189" s="1548"/>
      <c r="R189" s="1548"/>
      <c r="S189" s="1548"/>
      <c r="T189" s="1548"/>
      <c r="U189" s="1548"/>
      <c r="V189" s="2294"/>
      <c r="W189" s="819">
        <v>49</v>
      </c>
      <c r="X189" s="819">
        <v>49</v>
      </c>
      <c r="Y189" s="819"/>
      <c r="Z189" s="819"/>
      <c r="AA189" s="819"/>
      <c r="AB189" s="819"/>
      <c r="AC189" s="819"/>
      <c r="AD189" s="819"/>
      <c r="AE189" s="819"/>
      <c r="AF189" s="819"/>
      <c r="AG189" s="819"/>
      <c r="AK189" s="802"/>
    </row>
    <row r="190" spans="2:37" s="811" customFormat="1" outlineLevel="1" x14ac:dyDescent="0.25">
      <c r="B190" s="1738"/>
      <c r="C190" s="1535"/>
      <c r="D190" s="2370"/>
      <c r="E190" s="1066" t="s">
        <v>1266</v>
      </c>
      <c r="F190" s="1067">
        <v>49</v>
      </c>
      <c r="G190" s="952"/>
      <c r="H190" s="1068" t="s">
        <v>1291</v>
      </c>
      <c r="I190" s="1548"/>
      <c r="J190" s="1548"/>
      <c r="K190" s="1548"/>
      <c r="L190" s="1548"/>
      <c r="M190" s="1548"/>
      <c r="N190" s="1548"/>
      <c r="O190" s="1548"/>
      <c r="P190" s="1548"/>
      <c r="Q190" s="1548"/>
      <c r="R190" s="1548"/>
      <c r="S190" s="1548"/>
      <c r="T190" s="1548"/>
      <c r="U190" s="1548"/>
      <c r="V190" s="2294"/>
      <c r="W190" s="819">
        <v>49</v>
      </c>
      <c r="X190" s="819">
        <v>49</v>
      </c>
      <c r="Y190" s="819"/>
      <c r="Z190" s="819"/>
      <c r="AA190" s="819"/>
      <c r="AB190" s="819"/>
      <c r="AC190" s="819"/>
      <c r="AD190" s="819"/>
      <c r="AE190" s="819"/>
      <c r="AF190" s="819"/>
      <c r="AG190" s="819"/>
      <c r="AK190" s="802"/>
    </row>
    <row r="191" spans="2:37" s="811" customFormat="1" outlineLevel="1" x14ac:dyDescent="0.25">
      <c r="B191" s="1738"/>
      <c r="C191" s="1535"/>
      <c r="D191" s="2370"/>
      <c r="E191" s="1066" t="s">
        <v>1267</v>
      </c>
      <c r="F191" s="1067">
        <v>30</v>
      </c>
      <c r="G191" s="952"/>
      <c r="H191" s="1068" t="s">
        <v>1291</v>
      </c>
      <c r="I191" s="1548"/>
      <c r="J191" s="1548"/>
      <c r="K191" s="1548"/>
      <c r="L191" s="1548"/>
      <c r="M191" s="1548"/>
      <c r="N191" s="1548"/>
      <c r="O191" s="1548"/>
      <c r="P191" s="1548"/>
      <c r="Q191" s="1548"/>
      <c r="R191" s="1548"/>
      <c r="S191" s="1548"/>
      <c r="T191" s="1548"/>
      <c r="U191" s="1548"/>
      <c r="V191" s="2294"/>
      <c r="W191" s="819">
        <v>30</v>
      </c>
      <c r="X191" s="819">
        <v>30</v>
      </c>
      <c r="Y191" s="819"/>
      <c r="Z191" s="819"/>
      <c r="AA191" s="819"/>
      <c r="AB191" s="819"/>
      <c r="AC191" s="819"/>
      <c r="AD191" s="819"/>
      <c r="AE191" s="819"/>
      <c r="AF191" s="819"/>
      <c r="AG191" s="819"/>
      <c r="AK191" s="802"/>
    </row>
    <row r="192" spans="2:37" s="811" customFormat="1" outlineLevel="1" x14ac:dyDescent="0.25">
      <c r="B192" s="1738"/>
      <c r="C192" s="1535"/>
      <c r="D192" s="2370"/>
      <c r="E192" s="1066" t="s">
        <v>1268</v>
      </c>
      <c r="F192" s="1067">
        <v>30</v>
      </c>
      <c r="G192" s="952"/>
      <c r="H192" s="1068" t="s">
        <v>1291</v>
      </c>
      <c r="I192" s="1548"/>
      <c r="J192" s="1548"/>
      <c r="K192" s="1548"/>
      <c r="L192" s="1548"/>
      <c r="M192" s="1548"/>
      <c r="N192" s="1548"/>
      <c r="O192" s="1548"/>
      <c r="P192" s="1548"/>
      <c r="Q192" s="1548"/>
      <c r="R192" s="1548"/>
      <c r="S192" s="1548"/>
      <c r="T192" s="1548"/>
      <c r="U192" s="1548"/>
      <c r="V192" s="2294"/>
      <c r="W192" s="819">
        <v>30</v>
      </c>
      <c r="X192" s="819">
        <v>30</v>
      </c>
      <c r="Y192" s="819"/>
      <c r="Z192" s="819"/>
      <c r="AA192" s="819"/>
      <c r="AB192" s="819"/>
      <c r="AC192" s="819"/>
      <c r="AD192" s="819"/>
      <c r="AE192" s="819"/>
      <c r="AF192" s="819"/>
      <c r="AG192" s="819"/>
      <c r="AK192" s="802"/>
    </row>
    <row r="193" spans="2:37" s="811" customFormat="1" outlineLevel="1" x14ac:dyDescent="0.25">
      <c r="B193" s="1738"/>
      <c r="C193" s="1535"/>
      <c r="D193" s="2370"/>
      <c r="E193" s="1726" t="s">
        <v>1269</v>
      </c>
      <c r="F193" s="1067">
        <v>30</v>
      </c>
      <c r="G193" s="952"/>
      <c r="H193" s="1068" t="s">
        <v>1291</v>
      </c>
      <c r="I193" s="1548"/>
      <c r="J193" s="1548"/>
      <c r="K193" s="1548"/>
      <c r="L193" s="1548"/>
      <c r="M193" s="1548"/>
      <c r="N193" s="1548"/>
      <c r="O193" s="1548"/>
      <c r="P193" s="1548"/>
      <c r="Q193" s="1548"/>
      <c r="R193" s="1548"/>
      <c r="S193" s="1548"/>
      <c r="T193" s="1548"/>
      <c r="U193" s="1548"/>
      <c r="V193" s="2294"/>
      <c r="W193" s="819">
        <v>30</v>
      </c>
      <c r="X193" s="819">
        <v>30</v>
      </c>
      <c r="Y193" s="819"/>
      <c r="Z193" s="819"/>
      <c r="AA193" s="819"/>
      <c r="AB193" s="819"/>
      <c r="AC193" s="819"/>
      <c r="AD193" s="819"/>
      <c r="AE193" s="819"/>
      <c r="AF193" s="819"/>
      <c r="AG193" s="819"/>
      <c r="AK193" s="802"/>
    </row>
    <row r="194" spans="2:37" s="811" customFormat="1" outlineLevel="1" x14ac:dyDescent="0.25">
      <c r="B194" s="1738"/>
      <c r="C194" s="1535"/>
      <c r="D194" s="2370"/>
      <c r="E194" s="1066" t="s">
        <v>1270</v>
      </c>
      <c r="F194" s="1067">
        <v>30</v>
      </c>
      <c r="G194" s="952"/>
      <c r="H194" s="1068" t="s">
        <v>1291</v>
      </c>
      <c r="I194" s="1548"/>
      <c r="J194" s="1548"/>
      <c r="K194" s="1548"/>
      <c r="L194" s="1548"/>
      <c r="M194" s="1548"/>
      <c r="N194" s="1548"/>
      <c r="O194" s="1548"/>
      <c r="P194" s="1548"/>
      <c r="Q194" s="1548"/>
      <c r="R194" s="1548"/>
      <c r="S194" s="1548"/>
      <c r="T194" s="1548"/>
      <c r="U194" s="1548"/>
      <c r="V194" s="2294"/>
      <c r="W194" s="819">
        <v>30</v>
      </c>
      <c r="X194" s="819">
        <v>30</v>
      </c>
      <c r="Y194" s="819"/>
      <c r="Z194" s="819"/>
      <c r="AA194" s="819"/>
      <c r="AB194" s="819"/>
      <c r="AC194" s="819"/>
      <c r="AD194" s="819"/>
      <c r="AE194" s="819"/>
      <c r="AF194" s="819"/>
      <c r="AG194" s="819"/>
      <c r="AK194" s="802"/>
    </row>
    <row r="195" spans="2:37" s="811" customFormat="1" outlineLevel="1" x14ac:dyDescent="0.25">
      <c r="B195" s="1738"/>
      <c r="C195" s="1535"/>
      <c r="D195" s="2370"/>
      <c r="E195" s="1066" t="s">
        <v>1271</v>
      </c>
      <c r="F195" s="1067">
        <v>30</v>
      </c>
      <c r="G195" s="952"/>
      <c r="H195" s="1068" t="s">
        <v>1291</v>
      </c>
      <c r="I195" s="1548"/>
      <c r="J195" s="1548"/>
      <c r="K195" s="1548"/>
      <c r="L195" s="1548"/>
      <c r="M195" s="1548"/>
      <c r="N195" s="1548"/>
      <c r="O195" s="1548"/>
      <c r="P195" s="1548"/>
      <c r="Q195" s="1548"/>
      <c r="R195" s="1548"/>
      <c r="S195" s="1548"/>
      <c r="T195" s="1548"/>
      <c r="U195" s="1548"/>
      <c r="V195" s="2294"/>
      <c r="W195" s="819">
        <v>30</v>
      </c>
      <c r="X195" s="819">
        <v>30</v>
      </c>
      <c r="Y195" s="819"/>
      <c r="Z195" s="819"/>
      <c r="AA195" s="819"/>
      <c r="AB195" s="819"/>
      <c r="AC195" s="819"/>
      <c r="AD195" s="819"/>
      <c r="AE195" s="819"/>
      <c r="AF195" s="819"/>
      <c r="AG195" s="819"/>
      <c r="AK195" s="802"/>
    </row>
    <row r="196" spans="2:37" s="811" customFormat="1" outlineLevel="1" x14ac:dyDescent="0.25">
      <c r="B196" s="1738"/>
      <c r="C196" s="1535"/>
      <c r="D196" s="2370"/>
      <c r="E196" s="1739" t="s">
        <v>1272</v>
      </c>
      <c r="F196" s="1067">
        <v>30</v>
      </c>
      <c r="G196" s="952"/>
      <c r="H196" s="1068" t="s">
        <v>1291</v>
      </c>
      <c r="I196" s="1548"/>
      <c r="J196" s="1548"/>
      <c r="K196" s="1548"/>
      <c r="L196" s="1548"/>
      <c r="M196" s="1548"/>
      <c r="N196" s="1548"/>
      <c r="O196" s="1548"/>
      <c r="P196" s="1548"/>
      <c r="Q196" s="1548"/>
      <c r="R196" s="1548"/>
      <c r="S196" s="1548"/>
      <c r="T196" s="1548"/>
      <c r="U196" s="1548"/>
      <c r="V196" s="2294"/>
      <c r="W196" s="819">
        <v>30</v>
      </c>
      <c r="X196" s="819">
        <v>30</v>
      </c>
      <c r="Y196" s="819"/>
      <c r="Z196" s="819"/>
      <c r="AA196" s="819"/>
      <c r="AB196" s="819"/>
      <c r="AC196" s="819"/>
      <c r="AD196" s="819"/>
      <c r="AE196" s="819"/>
      <c r="AF196" s="819"/>
      <c r="AG196" s="819"/>
      <c r="AK196" s="802"/>
    </row>
    <row r="197" spans="2:37" s="811" customFormat="1" outlineLevel="1" x14ac:dyDescent="0.25">
      <c r="B197" s="1738"/>
      <c r="C197" s="1535"/>
      <c r="D197" s="2370"/>
      <c r="E197" s="1066" t="s">
        <v>1273</v>
      </c>
      <c r="F197" s="1067">
        <v>38</v>
      </c>
      <c r="G197" s="952"/>
      <c r="H197" s="1068" t="s">
        <v>1291</v>
      </c>
      <c r="I197" s="1548"/>
      <c r="J197" s="1548"/>
      <c r="K197" s="1548"/>
      <c r="L197" s="1548"/>
      <c r="M197" s="1548"/>
      <c r="N197" s="1548"/>
      <c r="O197" s="1548"/>
      <c r="P197" s="1548"/>
      <c r="Q197" s="1548"/>
      <c r="R197" s="1548"/>
      <c r="S197" s="1548"/>
      <c r="T197" s="1548"/>
      <c r="U197" s="1548"/>
      <c r="V197" s="2294"/>
      <c r="W197" s="819">
        <v>38</v>
      </c>
      <c r="X197" s="819">
        <v>38</v>
      </c>
      <c r="Y197" s="819"/>
      <c r="Z197" s="819"/>
      <c r="AA197" s="819"/>
      <c r="AB197" s="819"/>
      <c r="AC197" s="819"/>
      <c r="AD197" s="819"/>
      <c r="AE197" s="819"/>
      <c r="AF197" s="819"/>
      <c r="AG197" s="819"/>
      <c r="AK197" s="802"/>
    </row>
    <row r="198" spans="2:37" s="811" customFormat="1" outlineLevel="1" x14ac:dyDescent="0.25">
      <c r="B198" s="1708"/>
      <c r="C198" s="1535"/>
      <c r="D198" s="2370"/>
      <c r="E198" s="1066" t="s">
        <v>1274</v>
      </c>
      <c r="F198" s="1067">
        <v>38</v>
      </c>
      <c r="G198" s="952"/>
      <c r="H198" s="1068" t="s">
        <v>1291</v>
      </c>
      <c r="I198" s="1548"/>
      <c r="J198" s="1548"/>
      <c r="K198" s="1548"/>
      <c r="L198" s="1548"/>
      <c r="M198" s="1548"/>
      <c r="N198" s="1548"/>
      <c r="O198" s="1548"/>
      <c r="P198" s="1548"/>
      <c r="Q198" s="1548"/>
      <c r="R198" s="1548"/>
      <c r="S198" s="1548"/>
      <c r="T198" s="1548"/>
      <c r="U198" s="1548"/>
      <c r="V198" s="2294"/>
      <c r="W198" s="819">
        <v>38</v>
      </c>
      <c r="X198" s="819">
        <v>38</v>
      </c>
      <c r="Y198" s="819"/>
      <c r="Z198" s="819"/>
      <c r="AA198" s="819"/>
      <c r="AB198" s="819"/>
      <c r="AC198" s="819"/>
      <c r="AD198" s="819"/>
      <c r="AE198" s="819"/>
      <c r="AF198" s="819"/>
      <c r="AG198" s="819"/>
      <c r="AK198" s="802"/>
    </row>
    <row r="199" spans="2:37" s="811" customFormat="1" outlineLevel="1" x14ac:dyDescent="0.25">
      <c r="B199" s="1708"/>
      <c r="C199" s="1535"/>
      <c r="D199" s="2370"/>
      <c r="E199" s="1726" t="s">
        <v>1275</v>
      </c>
      <c r="F199" s="1067">
        <v>38</v>
      </c>
      <c r="G199" s="952"/>
      <c r="H199" s="1068" t="s">
        <v>1291</v>
      </c>
      <c r="I199" s="1548"/>
      <c r="J199" s="1548"/>
      <c r="K199" s="1548"/>
      <c r="L199" s="1548"/>
      <c r="M199" s="1548"/>
      <c r="N199" s="1548"/>
      <c r="O199" s="1548"/>
      <c r="P199" s="1548"/>
      <c r="Q199" s="1548"/>
      <c r="R199" s="1548"/>
      <c r="S199" s="1548"/>
      <c r="T199" s="1548"/>
      <c r="U199" s="1548"/>
      <c r="V199" s="2294"/>
      <c r="W199" s="819">
        <v>38</v>
      </c>
      <c r="X199" s="819">
        <v>38</v>
      </c>
      <c r="Y199" s="819"/>
      <c r="Z199" s="819"/>
      <c r="AA199" s="819"/>
      <c r="AB199" s="819"/>
      <c r="AC199" s="819"/>
      <c r="AD199" s="819"/>
      <c r="AE199" s="819"/>
      <c r="AF199" s="819"/>
      <c r="AG199" s="819"/>
      <c r="AK199" s="802"/>
    </row>
    <row r="200" spans="2:37" s="811" customFormat="1" outlineLevel="1" x14ac:dyDescent="0.25">
      <c r="B200" s="1708"/>
      <c r="C200" s="1535"/>
      <c r="D200" s="2370"/>
      <c r="E200" s="1066" t="s">
        <v>1276</v>
      </c>
      <c r="F200" s="1067">
        <v>38</v>
      </c>
      <c r="G200" s="952"/>
      <c r="H200" s="1068" t="s">
        <v>1291</v>
      </c>
      <c r="I200" s="1548"/>
      <c r="J200" s="1548"/>
      <c r="K200" s="1548"/>
      <c r="L200" s="1548"/>
      <c r="M200" s="1548"/>
      <c r="N200" s="1548"/>
      <c r="O200" s="1548"/>
      <c r="P200" s="1548"/>
      <c r="Q200" s="1548"/>
      <c r="R200" s="1548"/>
      <c r="S200" s="1548"/>
      <c r="T200" s="1548"/>
      <c r="U200" s="1548"/>
      <c r="V200" s="2294"/>
      <c r="W200" s="819">
        <v>38</v>
      </c>
      <c r="X200" s="819">
        <v>38</v>
      </c>
      <c r="Y200" s="819"/>
      <c r="Z200" s="819"/>
      <c r="AA200" s="819"/>
      <c r="AB200" s="819"/>
      <c r="AC200" s="819"/>
      <c r="AD200" s="819"/>
      <c r="AE200" s="819"/>
      <c r="AF200" s="819"/>
      <c r="AG200" s="819"/>
      <c r="AK200" s="802"/>
    </row>
    <row r="201" spans="2:37" s="811" customFormat="1" outlineLevel="1" x14ac:dyDescent="0.25">
      <c r="B201" s="1738"/>
      <c r="C201" s="1535"/>
      <c r="D201" s="2370"/>
      <c r="E201" s="1066" t="s">
        <v>1277</v>
      </c>
      <c r="F201" s="1067">
        <v>38</v>
      </c>
      <c r="G201" s="952"/>
      <c r="H201" s="1068" t="s">
        <v>1291</v>
      </c>
      <c r="I201" s="1548"/>
      <c r="J201" s="1548"/>
      <c r="K201" s="1548"/>
      <c r="L201" s="1548"/>
      <c r="M201" s="1548"/>
      <c r="N201" s="1548"/>
      <c r="O201" s="1548"/>
      <c r="P201" s="1548"/>
      <c r="Q201" s="1548"/>
      <c r="R201" s="1548"/>
      <c r="S201" s="1548"/>
      <c r="T201" s="1548"/>
      <c r="U201" s="1548"/>
      <c r="V201" s="2294"/>
      <c r="W201" s="819">
        <v>38</v>
      </c>
      <c r="X201" s="819">
        <v>38</v>
      </c>
      <c r="Y201" s="819"/>
      <c r="Z201" s="819"/>
      <c r="AA201" s="819"/>
      <c r="AB201" s="819"/>
      <c r="AC201" s="819"/>
      <c r="AD201" s="819"/>
      <c r="AE201" s="819"/>
      <c r="AF201" s="819"/>
      <c r="AG201" s="819"/>
      <c r="AK201" s="802"/>
    </row>
    <row r="202" spans="2:37" s="811" customFormat="1" outlineLevel="1" x14ac:dyDescent="0.25">
      <c r="B202" s="1738"/>
      <c r="C202" s="1535"/>
      <c r="D202" s="2370"/>
      <c r="E202" s="1739" t="s">
        <v>1278</v>
      </c>
      <c r="F202" s="1067">
        <v>38</v>
      </c>
      <c r="G202" s="952"/>
      <c r="H202" s="1068" t="s">
        <v>1291</v>
      </c>
      <c r="I202" s="1548"/>
      <c r="J202" s="1548"/>
      <c r="K202" s="1548"/>
      <c r="L202" s="1548"/>
      <c r="M202" s="1548"/>
      <c r="N202" s="1548"/>
      <c r="O202" s="1548"/>
      <c r="P202" s="1548"/>
      <c r="Q202" s="1548"/>
      <c r="R202" s="1548"/>
      <c r="S202" s="1548"/>
      <c r="T202" s="1548"/>
      <c r="U202" s="1548"/>
      <c r="V202" s="2294"/>
      <c r="W202" s="819">
        <v>38</v>
      </c>
      <c r="X202" s="819">
        <v>38</v>
      </c>
      <c r="Y202" s="819"/>
      <c r="Z202" s="819"/>
      <c r="AA202" s="819"/>
      <c r="AB202" s="819"/>
      <c r="AC202" s="819"/>
      <c r="AD202" s="819"/>
      <c r="AE202" s="819"/>
      <c r="AF202" s="819"/>
      <c r="AG202" s="819"/>
      <c r="AK202" s="802"/>
    </row>
    <row r="203" spans="2:37" s="811" customFormat="1" outlineLevel="1" x14ac:dyDescent="0.25">
      <c r="B203" s="1738"/>
      <c r="C203" s="1535"/>
      <c r="D203" s="2370"/>
      <c r="E203" s="1066" t="s">
        <v>1279</v>
      </c>
      <c r="F203" s="1067">
        <v>49</v>
      </c>
      <c r="G203" s="952"/>
      <c r="H203" s="1068" t="s">
        <v>1291</v>
      </c>
      <c r="I203" s="1548"/>
      <c r="J203" s="1548"/>
      <c r="K203" s="1548"/>
      <c r="L203" s="1548"/>
      <c r="M203" s="1548"/>
      <c r="N203" s="1548"/>
      <c r="O203" s="1548"/>
      <c r="P203" s="1548"/>
      <c r="Q203" s="1548"/>
      <c r="R203" s="1548"/>
      <c r="S203" s="1548"/>
      <c r="T203" s="1548"/>
      <c r="U203" s="1548"/>
      <c r="V203" s="2294"/>
      <c r="W203" s="819">
        <v>49</v>
      </c>
      <c r="X203" s="819">
        <v>49</v>
      </c>
      <c r="Y203" s="819"/>
      <c r="Z203" s="819"/>
      <c r="AA203" s="819"/>
      <c r="AB203" s="819"/>
      <c r="AC203" s="819"/>
      <c r="AD203" s="819"/>
      <c r="AE203" s="819"/>
      <c r="AF203" s="819"/>
      <c r="AG203" s="819"/>
      <c r="AK203" s="802"/>
    </row>
    <row r="204" spans="2:37" s="811" customFormat="1" outlineLevel="1" x14ac:dyDescent="0.25">
      <c r="B204" s="1738"/>
      <c r="C204" s="1535"/>
      <c r="D204" s="2370"/>
      <c r="E204" s="1066" t="s">
        <v>1280</v>
      </c>
      <c r="F204" s="1067">
        <v>49</v>
      </c>
      <c r="G204" s="952"/>
      <c r="H204" s="1068" t="s">
        <v>1291</v>
      </c>
      <c r="I204" s="1548"/>
      <c r="J204" s="1548"/>
      <c r="K204" s="1548"/>
      <c r="L204" s="1548"/>
      <c r="M204" s="1548"/>
      <c r="N204" s="1548"/>
      <c r="O204" s="1548"/>
      <c r="P204" s="1548"/>
      <c r="Q204" s="1548"/>
      <c r="R204" s="1548"/>
      <c r="S204" s="1548"/>
      <c r="T204" s="1548"/>
      <c r="U204" s="1548"/>
      <c r="V204" s="2294"/>
      <c r="W204" s="819">
        <v>49</v>
      </c>
      <c r="X204" s="819">
        <v>49</v>
      </c>
      <c r="Y204" s="819"/>
      <c r="Z204" s="819"/>
      <c r="AA204" s="819"/>
      <c r="AB204" s="819"/>
      <c r="AC204" s="819"/>
      <c r="AD204" s="819"/>
      <c r="AE204" s="819"/>
      <c r="AF204" s="819"/>
      <c r="AG204" s="819"/>
      <c r="AK204" s="802"/>
    </row>
    <row r="205" spans="2:37" s="811" customFormat="1" outlineLevel="1" x14ac:dyDescent="0.25">
      <c r="B205" s="1738"/>
      <c r="C205" s="1535"/>
      <c r="D205" s="2370"/>
      <c r="E205" s="1726" t="s">
        <v>1281</v>
      </c>
      <c r="F205" s="1067">
        <v>49</v>
      </c>
      <c r="G205" s="952"/>
      <c r="H205" s="1068" t="s">
        <v>1291</v>
      </c>
      <c r="I205" s="1548"/>
      <c r="J205" s="1548"/>
      <c r="K205" s="1548"/>
      <c r="L205" s="1548"/>
      <c r="M205" s="1548"/>
      <c r="N205" s="1548"/>
      <c r="O205" s="1548"/>
      <c r="P205" s="1548"/>
      <c r="Q205" s="1548"/>
      <c r="R205" s="1548"/>
      <c r="S205" s="1548"/>
      <c r="T205" s="1548"/>
      <c r="U205" s="1548"/>
      <c r="V205" s="2294"/>
      <c r="W205" s="819">
        <v>49</v>
      </c>
      <c r="X205" s="819">
        <v>49</v>
      </c>
      <c r="Y205" s="819"/>
      <c r="Z205" s="819"/>
      <c r="AA205" s="819"/>
      <c r="AB205" s="819"/>
      <c r="AC205" s="819"/>
      <c r="AD205" s="819"/>
      <c r="AE205" s="819"/>
      <c r="AF205" s="819"/>
      <c r="AG205" s="819"/>
      <c r="AK205" s="802"/>
    </row>
    <row r="206" spans="2:37" s="811" customFormat="1" outlineLevel="1" x14ac:dyDescent="0.25">
      <c r="B206" s="1738"/>
      <c r="C206" s="1535"/>
      <c r="D206" s="2370"/>
      <c r="E206" s="1066" t="s">
        <v>1282</v>
      </c>
      <c r="F206" s="1067">
        <v>49</v>
      </c>
      <c r="G206" s="952"/>
      <c r="H206" s="1068" t="s">
        <v>1291</v>
      </c>
      <c r="I206" s="1548"/>
      <c r="J206" s="1548"/>
      <c r="K206" s="1548"/>
      <c r="L206" s="1548"/>
      <c r="M206" s="1548"/>
      <c r="N206" s="1548"/>
      <c r="O206" s="1548"/>
      <c r="P206" s="1548"/>
      <c r="Q206" s="1548"/>
      <c r="R206" s="1548"/>
      <c r="S206" s="1548"/>
      <c r="T206" s="1548"/>
      <c r="U206" s="1548"/>
      <c r="V206" s="2294"/>
      <c r="W206" s="819">
        <v>49</v>
      </c>
      <c r="X206" s="819">
        <v>49</v>
      </c>
      <c r="Y206" s="819"/>
      <c r="Z206" s="819"/>
      <c r="AA206" s="819"/>
      <c r="AB206" s="819"/>
      <c r="AC206" s="819"/>
      <c r="AD206" s="819"/>
      <c r="AE206" s="819"/>
      <c r="AF206" s="819"/>
      <c r="AG206" s="819"/>
      <c r="AK206" s="802"/>
    </row>
    <row r="207" spans="2:37" s="811" customFormat="1" outlineLevel="1" x14ac:dyDescent="0.25">
      <c r="B207" s="1738"/>
      <c r="C207" s="1535"/>
      <c r="D207" s="2370"/>
      <c r="E207" s="1726" t="s">
        <v>1283</v>
      </c>
      <c r="F207" s="1067">
        <v>49</v>
      </c>
      <c r="G207" s="952"/>
      <c r="H207" s="1068" t="s">
        <v>1291</v>
      </c>
      <c r="I207" s="1548"/>
      <c r="J207" s="1548"/>
      <c r="K207" s="1548"/>
      <c r="L207" s="1548"/>
      <c r="M207" s="1548"/>
      <c r="N207" s="1548"/>
      <c r="O207" s="1548"/>
      <c r="P207" s="1548"/>
      <c r="Q207" s="1548"/>
      <c r="R207" s="1548"/>
      <c r="S207" s="1548"/>
      <c r="T207" s="1548"/>
      <c r="U207" s="1548"/>
      <c r="V207" s="2294"/>
      <c r="W207" s="819">
        <v>49</v>
      </c>
      <c r="X207" s="819">
        <v>49</v>
      </c>
      <c r="Y207" s="819"/>
      <c r="Z207" s="819"/>
      <c r="AA207" s="819"/>
      <c r="AB207" s="819"/>
      <c r="AC207" s="819"/>
      <c r="AD207" s="819"/>
      <c r="AE207" s="819"/>
      <c r="AF207" s="819"/>
      <c r="AG207" s="819"/>
      <c r="AK207" s="802"/>
    </row>
    <row r="208" spans="2:37" s="811" customFormat="1" outlineLevel="1" x14ac:dyDescent="0.25">
      <c r="B208" s="1738"/>
      <c r="C208" s="1535"/>
      <c r="D208" s="2370"/>
      <c r="E208" s="1066" t="s">
        <v>1284</v>
      </c>
      <c r="F208" s="1067">
        <v>49</v>
      </c>
      <c r="G208" s="952"/>
      <c r="H208" s="1068" t="s">
        <v>1291</v>
      </c>
      <c r="I208" s="1548"/>
      <c r="J208" s="1548"/>
      <c r="K208" s="1548"/>
      <c r="L208" s="1548"/>
      <c r="M208" s="1548"/>
      <c r="N208" s="1548"/>
      <c r="O208" s="1548"/>
      <c r="P208" s="1548"/>
      <c r="Q208" s="1548"/>
      <c r="R208" s="1548"/>
      <c r="S208" s="1548"/>
      <c r="T208" s="1548"/>
      <c r="U208" s="1548"/>
      <c r="V208" s="2294"/>
      <c r="W208" s="819">
        <v>49</v>
      </c>
      <c r="X208" s="819">
        <v>49</v>
      </c>
      <c r="Y208" s="819"/>
      <c r="Z208" s="819"/>
      <c r="AA208" s="819"/>
      <c r="AB208" s="819"/>
      <c r="AC208" s="819"/>
      <c r="AD208" s="819"/>
      <c r="AE208" s="819"/>
      <c r="AF208" s="819"/>
      <c r="AG208" s="819"/>
      <c r="AK208" s="802"/>
    </row>
    <row r="209" spans="2:37" s="811" customFormat="1" outlineLevel="1" x14ac:dyDescent="0.25">
      <c r="B209" s="1738"/>
      <c r="C209" s="1535"/>
      <c r="D209" s="2370"/>
      <c r="E209" s="1066" t="s">
        <v>1285</v>
      </c>
      <c r="F209" s="1067">
        <v>60</v>
      </c>
      <c r="G209" s="952"/>
      <c r="H209" s="1068" t="s">
        <v>1291</v>
      </c>
      <c r="I209" s="1548"/>
      <c r="J209" s="1548"/>
      <c r="K209" s="1548"/>
      <c r="L209" s="1548"/>
      <c r="M209" s="1548"/>
      <c r="N209" s="1548"/>
      <c r="O209" s="1548"/>
      <c r="P209" s="1548"/>
      <c r="Q209" s="1548"/>
      <c r="R209" s="1548"/>
      <c r="S209" s="1548"/>
      <c r="T209" s="1548"/>
      <c r="U209" s="1548"/>
      <c r="V209" s="2294"/>
      <c r="W209" s="819">
        <v>60</v>
      </c>
      <c r="X209" s="819">
        <v>60</v>
      </c>
      <c r="Y209" s="819"/>
      <c r="Z209" s="819"/>
      <c r="AA209" s="819"/>
      <c r="AB209" s="819"/>
      <c r="AC209" s="819"/>
      <c r="AD209" s="819"/>
      <c r="AE209" s="819"/>
      <c r="AF209" s="819"/>
      <c r="AG209" s="819"/>
      <c r="AK209" s="802"/>
    </row>
    <row r="210" spans="2:37" s="811" customFormat="1" outlineLevel="1" x14ac:dyDescent="0.25">
      <c r="B210" s="1738"/>
      <c r="C210" s="1535"/>
      <c r="D210" s="2370"/>
      <c r="E210" s="1066" t="s">
        <v>1286</v>
      </c>
      <c r="F210" s="1067">
        <v>60</v>
      </c>
      <c r="G210" s="952"/>
      <c r="H210" s="1068" t="s">
        <v>1291</v>
      </c>
      <c r="I210" s="1548"/>
      <c r="J210" s="1548"/>
      <c r="K210" s="1548"/>
      <c r="L210" s="1548"/>
      <c r="M210" s="1548"/>
      <c r="N210" s="1548"/>
      <c r="O210" s="1548"/>
      <c r="P210" s="1548"/>
      <c r="Q210" s="1548"/>
      <c r="R210" s="1548"/>
      <c r="S210" s="1548"/>
      <c r="T210" s="1548"/>
      <c r="U210" s="1548"/>
      <c r="V210" s="2294"/>
      <c r="W210" s="819">
        <v>60</v>
      </c>
      <c r="X210" s="819">
        <v>60</v>
      </c>
      <c r="Y210" s="819"/>
      <c r="Z210" s="819"/>
      <c r="AA210" s="819"/>
      <c r="AB210" s="819"/>
      <c r="AC210" s="819"/>
      <c r="AD210" s="819"/>
      <c r="AE210" s="819"/>
      <c r="AF210" s="819"/>
      <c r="AG210" s="819"/>
      <c r="AK210" s="802"/>
    </row>
    <row r="211" spans="2:37" s="811" customFormat="1" outlineLevel="1" x14ac:dyDescent="0.25">
      <c r="B211" s="1738"/>
      <c r="C211" s="1535"/>
      <c r="D211" s="2370"/>
      <c r="E211" s="1726" t="s">
        <v>1287</v>
      </c>
      <c r="F211" s="1067">
        <v>60</v>
      </c>
      <c r="G211" s="952"/>
      <c r="H211" s="1068" t="s">
        <v>1291</v>
      </c>
      <c r="I211" s="1548"/>
      <c r="J211" s="1548"/>
      <c r="K211" s="1548"/>
      <c r="L211" s="1548"/>
      <c r="M211" s="1548"/>
      <c r="N211" s="1548"/>
      <c r="O211" s="1548"/>
      <c r="P211" s="1548"/>
      <c r="Q211" s="1548"/>
      <c r="R211" s="1548"/>
      <c r="S211" s="1548"/>
      <c r="T211" s="1548"/>
      <c r="U211" s="1548"/>
      <c r="V211" s="2294"/>
      <c r="W211" s="819">
        <v>60</v>
      </c>
      <c r="X211" s="819">
        <v>60</v>
      </c>
      <c r="Y211" s="819"/>
      <c r="Z211" s="819"/>
      <c r="AA211" s="819"/>
      <c r="AB211" s="819"/>
      <c r="AC211" s="819"/>
      <c r="AD211" s="819"/>
      <c r="AE211" s="819"/>
      <c r="AF211" s="819"/>
      <c r="AG211" s="819"/>
      <c r="AK211" s="802"/>
    </row>
    <row r="212" spans="2:37" s="811" customFormat="1" outlineLevel="1" x14ac:dyDescent="0.25">
      <c r="B212" s="1738"/>
      <c r="C212" s="1535"/>
      <c r="D212" s="2370"/>
      <c r="E212" s="1066" t="s">
        <v>1288</v>
      </c>
      <c r="F212" s="1067">
        <v>60</v>
      </c>
      <c r="G212" s="952"/>
      <c r="H212" s="1068" t="s">
        <v>1291</v>
      </c>
      <c r="I212" s="1548"/>
      <c r="J212" s="1548"/>
      <c r="K212" s="1548"/>
      <c r="L212" s="1548"/>
      <c r="M212" s="1548"/>
      <c r="N212" s="1548"/>
      <c r="O212" s="1548"/>
      <c r="P212" s="1548"/>
      <c r="Q212" s="1548"/>
      <c r="R212" s="1548"/>
      <c r="S212" s="1548"/>
      <c r="T212" s="1548"/>
      <c r="U212" s="1548"/>
      <c r="V212" s="2294"/>
      <c r="W212" s="819">
        <v>60</v>
      </c>
      <c r="X212" s="819">
        <v>60</v>
      </c>
      <c r="Y212" s="819"/>
      <c r="Z212" s="819"/>
      <c r="AA212" s="819"/>
      <c r="AB212" s="819"/>
      <c r="AC212" s="819"/>
      <c r="AD212" s="819"/>
      <c r="AE212" s="819"/>
      <c r="AF212" s="819"/>
      <c r="AG212" s="819"/>
      <c r="AK212" s="802"/>
    </row>
    <row r="213" spans="2:37" s="811" customFormat="1" outlineLevel="1" x14ac:dyDescent="0.25">
      <c r="B213" s="1738"/>
      <c r="C213" s="1535"/>
      <c r="D213" s="2370"/>
      <c r="E213" s="1726" t="s">
        <v>1289</v>
      </c>
      <c r="F213" s="1067">
        <v>60</v>
      </c>
      <c r="G213" s="952"/>
      <c r="H213" s="1068" t="s">
        <v>1291</v>
      </c>
      <c r="I213" s="1548"/>
      <c r="J213" s="1548"/>
      <c r="K213" s="1548"/>
      <c r="L213" s="1548"/>
      <c r="M213" s="1548"/>
      <c r="N213" s="1548"/>
      <c r="O213" s="1548"/>
      <c r="P213" s="1548"/>
      <c r="Q213" s="1548"/>
      <c r="R213" s="1548"/>
      <c r="S213" s="1548"/>
      <c r="T213" s="1548"/>
      <c r="U213" s="1548"/>
      <c r="V213" s="2294"/>
      <c r="W213" s="819">
        <v>60</v>
      </c>
      <c r="X213" s="819">
        <v>60</v>
      </c>
      <c r="Y213" s="819"/>
      <c r="Z213" s="819"/>
      <c r="AA213" s="819"/>
      <c r="AB213" s="819"/>
      <c r="AC213" s="819"/>
      <c r="AD213" s="819"/>
      <c r="AE213" s="819"/>
      <c r="AF213" s="819"/>
      <c r="AG213" s="819"/>
      <c r="AK213" s="802"/>
    </row>
    <row r="214" spans="2:37" s="811" customFormat="1" outlineLevel="1" x14ac:dyDescent="0.25">
      <c r="B214" s="1738"/>
      <c r="C214" s="1535"/>
      <c r="D214" s="2370"/>
      <c r="E214" s="1066" t="s">
        <v>1290</v>
      </c>
      <c r="F214" s="1067">
        <v>60</v>
      </c>
      <c r="G214" s="952"/>
      <c r="H214" s="1068" t="s">
        <v>1291</v>
      </c>
      <c r="I214" s="1548"/>
      <c r="J214" s="1548"/>
      <c r="K214" s="1548"/>
      <c r="L214" s="1548"/>
      <c r="M214" s="1548"/>
      <c r="N214" s="1548"/>
      <c r="O214" s="1548"/>
      <c r="P214" s="1548"/>
      <c r="Q214" s="1548"/>
      <c r="R214" s="1548"/>
      <c r="S214" s="1548"/>
      <c r="T214" s="1548"/>
      <c r="U214" s="1548"/>
      <c r="V214" s="2295"/>
      <c r="W214" s="819">
        <v>60</v>
      </c>
      <c r="X214" s="819">
        <v>60</v>
      </c>
      <c r="Y214" s="819"/>
      <c r="Z214" s="819"/>
      <c r="AA214" s="819"/>
      <c r="AB214" s="819"/>
      <c r="AC214" s="819"/>
      <c r="AD214" s="819"/>
      <c r="AE214" s="819"/>
      <c r="AF214" s="819"/>
      <c r="AG214" s="819"/>
      <c r="AK214" s="802"/>
    </row>
    <row r="215" spans="2:37" s="811" customFormat="1" ht="17.25" customHeight="1" outlineLevel="1" x14ac:dyDescent="0.25">
      <c r="B215" s="1708"/>
      <c r="C215" s="1535"/>
      <c r="D215" s="2369" t="s">
        <v>1889</v>
      </c>
      <c r="E215" s="1066" t="s">
        <v>1261</v>
      </c>
      <c r="F215" s="1067">
        <f>0.65*1347</f>
        <v>875.55000000000007</v>
      </c>
      <c r="G215" s="952"/>
      <c r="H215" s="1068" t="s">
        <v>1292</v>
      </c>
      <c r="I215" s="1548"/>
      <c r="J215" s="1548"/>
      <c r="K215" s="1548"/>
      <c r="L215" s="1548"/>
      <c r="M215" s="1548"/>
      <c r="N215" s="1548"/>
      <c r="O215" s="1548"/>
      <c r="P215" s="1548"/>
      <c r="Q215" s="1548"/>
      <c r="R215" s="1548"/>
      <c r="S215" s="1548"/>
      <c r="T215" s="1548"/>
      <c r="U215" s="1548"/>
      <c r="V215" s="2293" t="str">
        <f>D215</f>
        <v>AAttic</v>
      </c>
      <c r="W215" s="819">
        <f>0.65*1347</f>
        <v>875.55000000000007</v>
      </c>
      <c r="X215" s="819">
        <v>875.55000000000007</v>
      </c>
      <c r="Y215" s="819"/>
      <c r="Z215" s="819"/>
      <c r="AA215" s="819"/>
      <c r="AB215" s="819"/>
      <c r="AC215" s="819"/>
      <c r="AD215" s="819"/>
      <c r="AE215" s="819"/>
      <c r="AF215" s="819"/>
      <c r="AG215" s="819"/>
      <c r="AK215" s="802"/>
    </row>
    <row r="216" spans="2:37" s="811" customFormat="1" outlineLevel="1" x14ac:dyDescent="0.25">
      <c r="B216" s="1708"/>
      <c r="C216" s="1535"/>
      <c r="D216" s="2370"/>
      <c r="E216" s="1066" t="s">
        <v>1262</v>
      </c>
      <c r="F216" s="1067">
        <f>0.65*1347</f>
        <v>875.55000000000007</v>
      </c>
      <c r="G216" s="952"/>
      <c r="H216" s="1068" t="s">
        <v>1292</v>
      </c>
      <c r="I216" s="1548"/>
      <c r="J216" s="1548"/>
      <c r="K216" s="1548"/>
      <c r="L216" s="1548"/>
      <c r="M216" s="1548"/>
      <c r="N216" s="1548"/>
      <c r="O216" s="1548"/>
      <c r="P216" s="1548"/>
      <c r="Q216" s="1548"/>
      <c r="R216" s="1548"/>
      <c r="S216" s="1548"/>
      <c r="T216" s="1548"/>
      <c r="U216" s="1548"/>
      <c r="V216" s="2294"/>
      <c r="W216" s="819">
        <f>0.65*1347</f>
        <v>875.55000000000007</v>
      </c>
      <c r="X216" s="819">
        <v>875.55000000000007</v>
      </c>
      <c r="Y216" s="819"/>
      <c r="Z216" s="819"/>
      <c r="AA216" s="819"/>
      <c r="AB216" s="819"/>
      <c r="AC216" s="819"/>
      <c r="AD216" s="819"/>
      <c r="AE216" s="819"/>
      <c r="AF216" s="819"/>
      <c r="AG216" s="819"/>
      <c r="AK216" s="802"/>
    </row>
    <row r="217" spans="2:37" s="811" customFormat="1" outlineLevel="1" x14ac:dyDescent="0.25">
      <c r="B217" s="1708"/>
      <c r="C217" s="1535"/>
      <c r="D217" s="2370"/>
      <c r="E217" s="1066" t="s">
        <v>1263</v>
      </c>
      <c r="F217" s="1067">
        <f>0.65*1347</f>
        <v>875.55000000000007</v>
      </c>
      <c r="G217" s="952"/>
      <c r="H217" s="1068" t="s">
        <v>1292</v>
      </c>
      <c r="I217" s="1548"/>
      <c r="J217" s="1548"/>
      <c r="K217" s="1548"/>
      <c r="L217" s="1548"/>
      <c r="M217" s="1548"/>
      <c r="N217" s="1548"/>
      <c r="O217" s="1548"/>
      <c r="P217" s="1548"/>
      <c r="Q217" s="1548"/>
      <c r="R217" s="1548"/>
      <c r="S217" s="1548"/>
      <c r="T217" s="1548"/>
      <c r="U217" s="1548"/>
      <c r="V217" s="2294"/>
      <c r="W217" s="819">
        <f>0.65*1347</f>
        <v>875.55000000000007</v>
      </c>
      <c r="X217" s="819">
        <v>875.55000000000007</v>
      </c>
      <c r="Y217" s="819"/>
      <c r="Z217" s="819"/>
      <c r="AA217" s="819"/>
      <c r="AB217" s="819"/>
      <c r="AC217" s="819"/>
      <c r="AD217" s="819"/>
      <c r="AE217" s="819"/>
      <c r="AF217" s="819"/>
      <c r="AG217" s="819"/>
      <c r="AK217" s="802"/>
    </row>
    <row r="218" spans="2:37" s="811" customFormat="1" outlineLevel="1" x14ac:dyDescent="0.25">
      <c r="B218" s="1708"/>
      <c r="C218" s="1535"/>
      <c r="D218" s="2370"/>
      <c r="E218" s="1066" t="s">
        <v>1264</v>
      </c>
      <c r="F218" s="1067">
        <v>1347</v>
      </c>
      <c r="G218" s="952"/>
      <c r="H218" s="1068" t="s">
        <v>1292</v>
      </c>
      <c r="I218" s="1548"/>
      <c r="J218" s="1548"/>
      <c r="K218" s="1548"/>
      <c r="L218" s="1548"/>
      <c r="M218" s="1548"/>
      <c r="N218" s="1548"/>
      <c r="O218" s="1548"/>
      <c r="P218" s="1548"/>
      <c r="Q218" s="1548"/>
      <c r="R218" s="1548"/>
      <c r="S218" s="1548"/>
      <c r="T218" s="1548"/>
      <c r="U218" s="1548"/>
      <c r="V218" s="2294"/>
      <c r="W218" s="819">
        <v>1347</v>
      </c>
      <c r="X218" s="819">
        <v>1347</v>
      </c>
      <c r="Y218" s="819"/>
      <c r="Z218" s="819"/>
      <c r="AA218" s="819"/>
      <c r="AB218" s="819"/>
      <c r="AC218" s="819"/>
      <c r="AD218" s="819"/>
      <c r="AE218" s="819"/>
      <c r="AF218" s="819"/>
      <c r="AG218" s="819"/>
      <c r="AK218" s="802"/>
    </row>
    <row r="219" spans="2:37" s="811" customFormat="1" outlineLevel="1" x14ac:dyDescent="0.25">
      <c r="B219" s="1708"/>
      <c r="C219" s="1535"/>
      <c r="D219" s="2370"/>
      <c r="E219" s="1066" t="s">
        <v>1265</v>
      </c>
      <c r="F219" s="1067">
        <v>1347</v>
      </c>
      <c r="G219" s="952"/>
      <c r="H219" s="1068" t="s">
        <v>1292</v>
      </c>
      <c r="I219" s="1548"/>
      <c r="J219" s="1548"/>
      <c r="K219" s="1548"/>
      <c r="L219" s="1548"/>
      <c r="M219" s="1548"/>
      <c r="N219" s="1548"/>
      <c r="O219" s="1548"/>
      <c r="P219" s="1548"/>
      <c r="Q219" s="1548"/>
      <c r="R219" s="1548"/>
      <c r="S219" s="1548"/>
      <c r="T219" s="1548"/>
      <c r="U219" s="1548"/>
      <c r="V219" s="2294"/>
      <c r="W219" s="819">
        <v>1347</v>
      </c>
      <c r="X219" s="819">
        <v>1347</v>
      </c>
      <c r="Y219" s="819"/>
      <c r="Z219" s="819"/>
      <c r="AA219" s="819"/>
      <c r="AB219" s="819"/>
      <c r="AC219" s="819"/>
      <c r="AD219" s="819"/>
      <c r="AE219" s="819"/>
      <c r="AF219" s="819"/>
      <c r="AG219" s="819"/>
      <c r="AK219" s="802"/>
    </row>
    <row r="220" spans="2:37" s="811" customFormat="1" outlineLevel="1" x14ac:dyDescent="0.25">
      <c r="B220" s="1738"/>
      <c r="C220" s="1535"/>
      <c r="D220" s="2370"/>
      <c r="E220" s="1066" t="s">
        <v>1266</v>
      </c>
      <c r="F220" s="1067">
        <v>1347</v>
      </c>
      <c r="G220" s="952"/>
      <c r="H220" s="1068" t="s">
        <v>1292</v>
      </c>
      <c r="I220" s="1548"/>
      <c r="J220" s="1548"/>
      <c r="K220" s="1548"/>
      <c r="L220" s="1548"/>
      <c r="M220" s="1548"/>
      <c r="N220" s="1548"/>
      <c r="O220" s="1548"/>
      <c r="P220" s="1548"/>
      <c r="Q220" s="1548"/>
      <c r="R220" s="1548"/>
      <c r="S220" s="1548"/>
      <c r="T220" s="1548"/>
      <c r="U220" s="1548"/>
      <c r="V220" s="2294"/>
      <c r="W220" s="819">
        <v>1347</v>
      </c>
      <c r="X220" s="819">
        <v>1347</v>
      </c>
      <c r="Y220" s="819"/>
      <c r="Z220" s="819"/>
      <c r="AA220" s="819"/>
      <c r="AB220" s="819"/>
      <c r="AC220" s="819"/>
      <c r="AD220" s="819"/>
      <c r="AE220" s="819"/>
      <c r="AF220" s="819"/>
      <c r="AG220" s="819"/>
      <c r="AK220" s="802"/>
    </row>
    <row r="221" spans="2:37" s="811" customFormat="1" outlineLevel="1" x14ac:dyDescent="0.25">
      <c r="B221" s="1738"/>
      <c r="C221" s="1535"/>
      <c r="D221" s="2370"/>
      <c r="E221" s="1066" t="s">
        <v>1267</v>
      </c>
      <c r="F221" s="1067">
        <f>0.65*1106</f>
        <v>718.9</v>
      </c>
      <c r="G221" s="952"/>
      <c r="H221" s="1068" t="s">
        <v>1292</v>
      </c>
      <c r="I221" s="1548"/>
      <c r="J221" s="1548"/>
      <c r="K221" s="1548"/>
      <c r="L221" s="1548"/>
      <c r="M221" s="1548"/>
      <c r="N221" s="1548"/>
      <c r="O221" s="1548"/>
      <c r="P221" s="1548"/>
      <c r="Q221" s="1548"/>
      <c r="R221" s="1548"/>
      <c r="S221" s="1548"/>
      <c r="T221" s="1548"/>
      <c r="U221" s="1548"/>
      <c r="V221" s="2294"/>
      <c r="W221" s="819">
        <f>0.65*1106</f>
        <v>718.9</v>
      </c>
      <c r="X221" s="819">
        <v>718.9</v>
      </c>
      <c r="Y221" s="819"/>
      <c r="Z221" s="819"/>
      <c r="AA221" s="819"/>
      <c r="AB221" s="819"/>
      <c r="AC221" s="819"/>
      <c r="AD221" s="819"/>
      <c r="AE221" s="819"/>
      <c r="AF221" s="819"/>
      <c r="AG221" s="819"/>
      <c r="AK221" s="802"/>
    </row>
    <row r="222" spans="2:37" s="811" customFormat="1" outlineLevel="1" x14ac:dyDescent="0.25">
      <c r="B222" s="1738"/>
      <c r="C222" s="1535"/>
      <c r="D222" s="2370"/>
      <c r="E222" s="1066" t="s">
        <v>1268</v>
      </c>
      <c r="F222" s="1067">
        <f>0.65*1106</f>
        <v>718.9</v>
      </c>
      <c r="G222" s="952"/>
      <c r="H222" s="1068" t="s">
        <v>1292</v>
      </c>
      <c r="I222" s="1548"/>
      <c r="J222" s="1548"/>
      <c r="K222" s="1548"/>
      <c r="L222" s="1548"/>
      <c r="M222" s="1548"/>
      <c r="N222" s="1548"/>
      <c r="O222" s="1548"/>
      <c r="P222" s="1548"/>
      <c r="Q222" s="1548"/>
      <c r="R222" s="1548"/>
      <c r="S222" s="1548"/>
      <c r="T222" s="1548"/>
      <c r="U222" s="1548"/>
      <c r="V222" s="2294"/>
      <c r="W222" s="819">
        <f>0.65*1106</f>
        <v>718.9</v>
      </c>
      <c r="X222" s="819">
        <v>718.9</v>
      </c>
      <c r="Y222" s="819"/>
      <c r="Z222" s="819"/>
      <c r="AA222" s="819"/>
      <c r="AB222" s="819"/>
      <c r="AC222" s="819"/>
      <c r="AD222" s="819"/>
      <c r="AE222" s="819"/>
      <c r="AF222" s="819"/>
      <c r="AG222" s="819"/>
      <c r="AK222" s="802"/>
    </row>
    <row r="223" spans="2:37" s="811" customFormat="1" outlineLevel="1" x14ac:dyDescent="0.25">
      <c r="B223" s="1738"/>
      <c r="C223" s="1535"/>
      <c r="D223" s="2370"/>
      <c r="E223" s="1726" t="s">
        <v>1269</v>
      </c>
      <c r="F223" s="1067">
        <f>0.65*1106</f>
        <v>718.9</v>
      </c>
      <c r="G223" s="952"/>
      <c r="H223" s="1068" t="s">
        <v>1292</v>
      </c>
      <c r="I223" s="1548"/>
      <c r="J223" s="1548"/>
      <c r="K223" s="1548"/>
      <c r="L223" s="1548"/>
      <c r="M223" s="1548"/>
      <c r="N223" s="1548"/>
      <c r="O223" s="1548"/>
      <c r="P223" s="1548"/>
      <c r="Q223" s="1548"/>
      <c r="R223" s="1548"/>
      <c r="S223" s="1548"/>
      <c r="T223" s="1548"/>
      <c r="U223" s="1548"/>
      <c r="V223" s="2294"/>
      <c r="W223" s="819">
        <f>0.65*1106</f>
        <v>718.9</v>
      </c>
      <c r="X223" s="819">
        <v>718.9</v>
      </c>
      <c r="Y223" s="819"/>
      <c r="Z223" s="819"/>
      <c r="AA223" s="819"/>
      <c r="AB223" s="819"/>
      <c r="AC223" s="819"/>
      <c r="AD223" s="819"/>
      <c r="AE223" s="819"/>
      <c r="AF223" s="819"/>
      <c r="AG223" s="819"/>
      <c r="AK223" s="802"/>
    </row>
    <row r="224" spans="2:37" s="811" customFormat="1" outlineLevel="1" x14ac:dyDescent="0.25">
      <c r="B224" s="1738"/>
      <c r="C224" s="1535"/>
      <c r="D224" s="2370"/>
      <c r="E224" s="1066" t="s">
        <v>1270</v>
      </c>
      <c r="F224" s="1067">
        <v>1106</v>
      </c>
      <c r="G224" s="952"/>
      <c r="H224" s="1068" t="s">
        <v>1292</v>
      </c>
      <c r="I224" s="1548"/>
      <c r="J224" s="1548"/>
      <c r="K224" s="1548"/>
      <c r="L224" s="1548"/>
      <c r="M224" s="1548"/>
      <c r="N224" s="1548"/>
      <c r="O224" s="1548"/>
      <c r="P224" s="1548"/>
      <c r="Q224" s="1548"/>
      <c r="R224" s="1548"/>
      <c r="S224" s="1548"/>
      <c r="T224" s="1548"/>
      <c r="U224" s="1548"/>
      <c r="V224" s="2294"/>
      <c r="W224" s="819">
        <v>1106</v>
      </c>
      <c r="X224" s="819">
        <v>1106</v>
      </c>
      <c r="Y224" s="819"/>
      <c r="Z224" s="819"/>
      <c r="AA224" s="819"/>
      <c r="AB224" s="819"/>
      <c r="AC224" s="819"/>
      <c r="AD224" s="819"/>
      <c r="AE224" s="819"/>
      <c r="AF224" s="819"/>
      <c r="AG224" s="819"/>
      <c r="AK224" s="802"/>
    </row>
    <row r="225" spans="2:37" s="811" customFormat="1" outlineLevel="1" x14ac:dyDescent="0.25">
      <c r="B225" s="1738"/>
      <c r="C225" s="1535"/>
      <c r="D225" s="2370"/>
      <c r="E225" s="1066" t="s">
        <v>1271</v>
      </c>
      <c r="F225" s="1067">
        <v>1106</v>
      </c>
      <c r="G225" s="952"/>
      <c r="H225" s="1068" t="s">
        <v>1292</v>
      </c>
      <c r="I225" s="1548"/>
      <c r="J225" s="1548"/>
      <c r="K225" s="1548"/>
      <c r="L225" s="1548"/>
      <c r="M225" s="1548"/>
      <c r="N225" s="1548"/>
      <c r="O225" s="1548"/>
      <c r="P225" s="1548"/>
      <c r="Q225" s="1548"/>
      <c r="R225" s="1548"/>
      <c r="S225" s="1548"/>
      <c r="T225" s="1548"/>
      <c r="U225" s="1548"/>
      <c r="V225" s="2294"/>
      <c r="W225" s="819">
        <v>1106</v>
      </c>
      <c r="X225" s="819">
        <v>1106</v>
      </c>
      <c r="Y225" s="819"/>
      <c r="Z225" s="819"/>
      <c r="AA225" s="819"/>
      <c r="AB225" s="819"/>
      <c r="AC225" s="819"/>
      <c r="AD225" s="819"/>
      <c r="AE225" s="819"/>
      <c r="AF225" s="819"/>
      <c r="AG225" s="819"/>
      <c r="AK225" s="802"/>
    </row>
    <row r="226" spans="2:37" s="811" customFormat="1" outlineLevel="1" x14ac:dyDescent="0.25">
      <c r="B226" s="1738"/>
      <c r="C226" s="1535"/>
      <c r="D226" s="2370"/>
      <c r="E226" s="1739" t="s">
        <v>1272</v>
      </c>
      <c r="F226" s="1067">
        <v>1106</v>
      </c>
      <c r="G226" s="952"/>
      <c r="H226" s="1068" t="s">
        <v>1292</v>
      </c>
      <c r="I226" s="1548"/>
      <c r="J226" s="1548"/>
      <c r="K226" s="1548"/>
      <c r="L226" s="1548"/>
      <c r="M226" s="1548"/>
      <c r="N226" s="1548"/>
      <c r="O226" s="1548"/>
      <c r="P226" s="1548"/>
      <c r="Q226" s="1548"/>
      <c r="R226" s="1548"/>
      <c r="S226" s="1548"/>
      <c r="T226" s="1548"/>
      <c r="U226" s="1548"/>
      <c r="V226" s="2294"/>
      <c r="W226" s="819">
        <v>1106</v>
      </c>
      <c r="X226" s="819">
        <v>1106</v>
      </c>
      <c r="Y226" s="819"/>
      <c r="Z226" s="819"/>
      <c r="AA226" s="819"/>
      <c r="AB226" s="819"/>
      <c r="AC226" s="819"/>
      <c r="AD226" s="819"/>
      <c r="AE226" s="819"/>
      <c r="AF226" s="819"/>
      <c r="AG226" s="819"/>
      <c r="AK226" s="802"/>
    </row>
    <row r="227" spans="2:37" s="811" customFormat="1" outlineLevel="1" x14ac:dyDescent="0.25">
      <c r="B227" s="1738"/>
      <c r="C227" s="1535"/>
      <c r="D227" s="2370"/>
      <c r="E227" s="1066" t="s">
        <v>1273</v>
      </c>
      <c r="F227" s="1067">
        <f>0.65*1106</f>
        <v>718.9</v>
      </c>
      <c r="G227" s="952"/>
      <c r="H227" s="1068" t="s">
        <v>1293</v>
      </c>
      <c r="I227" s="1548"/>
      <c r="J227" s="1548"/>
      <c r="K227" s="1548"/>
      <c r="L227" s="1548"/>
      <c r="M227" s="1548"/>
      <c r="N227" s="1548"/>
      <c r="O227" s="1548"/>
      <c r="P227" s="1548"/>
      <c r="Q227" s="1548"/>
      <c r="R227" s="1548"/>
      <c r="S227" s="1548"/>
      <c r="T227" s="1548"/>
      <c r="U227" s="1548"/>
      <c r="V227" s="2294"/>
      <c r="W227" s="819">
        <f>0.65*1106</f>
        <v>718.9</v>
      </c>
      <c r="X227" s="819">
        <v>718.9</v>
      </c>
      <c r="Y227" s="819"/>
      <c r="Z227" s="819"/>
      <c r="AA227" s="819"/>
      <c r="AB227" s="819"/>
      <c r="AC227" s="819"/>
      <c r="AD227" s="819"/>
      <c r="AE227" s="819"/>
      <c r="AF227" s="819"/>
      <c r="AG227" s="819"/>
      <c r="AK227" s="802"/>
    </row>
    <row r="228" spans="2:37" s="811" customFormat="1" outlineLevel="1" x14ac:dyDescent="0.25">
      <c r="B228" s="1708"/>
      <c r="C228" s="1535"/>
      <c r="D228" s="2370"/>
      <c r="E228" s="1066" t="s">
        <v>1274</v>
      </c>
      <c r="F228" s="1067">
        <f>0.65*1106</f>
        <v>718.9</v>
      </c>
      <c r="G228" s="952"/>
      <c r="H228" s="1068" t="s">
        <v>1293</v>
      </c>
      <c r="I228" s="1548"/>
      <c r="J228" s="1548"/>
      <c r="K228" s="1548"/>
      <c r="L228" s="1548"/>
      <c r="M228" s="1548"/>
      <c r="N228" s="1548"/>
      <c r="O228" s="1548"/>
      <c r="P228" s="1548"/>
      <c r="Q228" s="1548"/>
      <c r="R228" s="1548"/>
      <c r="S228" s="1548"/>
      <c r="T228" s="1548"/>
      <c r="U228" s="1548"/>
      <c r="V228" s="2294"/>
      <c r="W228" s="819">
        <f>0.65*1106</f>
        <v>718.9</v>
      </c>
      <c r="X228" s="819">
        <v>718.9</v>
      </c>
      <c r="Y228" s="819"/>
      <c r="Z228" s="819"/>
      <c r="AA228" s="819"/>
      <c r="AB228" s="819"/>
      <c r="AC228" s="819"/>
      <c r="AD228" s="819"/>
      <c r="AE228" s="819"/>
      <c r="AF228" s="819"/>
      <c r="AG228" s="819"/>
      <c r="AK228" s="802"/>
    </row>
    <row r="229" spans="2:37" s="811" customFormat="1" outlineLevel="1" x14ac:dyDescent="0.25">
      <c r="B229" s="1708"/>
      <c r="C229" s="1535"/>
      <c r="D229" s="2370"/>
      <c r="E229" s="1726" t="s">
        <v>1275</v>
      </c>
      <c r="F229" s="1067">
        <f>0.65*1106</f>
        <v>718.9</v>
      </c>
      <c r="G229" s="952"/>
      <c r="H229" s="1068" t="s">
        <v>1293</v>
      </c>
      <c r="I229" s="1548"/>
      <c r="J229" s="1548"/>
      <c r="K229" s="1548"/>
      <c r="L229" s="1548"/>
      <c r="M229" s="1548"/>
      <c r="N229" s="1548"/>
      <c r="O229" s="1548"/>
      <c r="P229" s="1548"/>
      <c r="Q229" s="1548"/>
      <c r="R229" s="1548"/>
      <c r="S229" s="1548"/>
      <c r="T229" s="1548"/>
      <c r="U229" s="1548"/>
      <c r="V229" s="2294"/>
      <c r="W229" s="819">
        <f>0.65*1106</f>
        <v>718.9</v>
      </c>
      <c r="X229" s="819">
        <v>718.9</v>
      </c>
      <c r="Y229" s="819"/>
      <c r="Z229" s="819"/>
      <c r="AA229" s="819"/>
      <c r="AB229" s="819"/>
      <c r="AC229" s="819"/>
      <c r="AD229" s="819"/>
      <c r="AE229" s="819"/>
      <c r="AF229" s="819"/>
      <c r="AG229" s="819"/>
      <c r="AK229" s="802"/>
    </row>
    <row r="230" spans="2:37" s="811" customFormat="1" outlineLevel="1" x14ac:dyDescent="0.25">
      <c r="B230" s="1708"/>
      <c r="C230" s="1535"/>
      <c r="D230" s="2370"/>
      <c r="E230" s="1066" t="s">
        <v>1276</v>
      </c>
      <c r="F230" s="1067">
        <v>1106</v>
      </c>
      <c r="G230" s="952"/>
      <c r="H230" s="1068" t="s">
        <v>1293</v>
      </c>
      <c r="I230" s="1548"/>
      <c r="J230" s="1548"/>
      <c r="K230" s="1548"/>
      <c r="L230" s="1548"/>
      <c r="M230" s="1548"/>
      <c r="N230" s="1548"/>
      <c r="O230" s="1548"/>
      <c r="P230" s="1548"/>
      <c r="Q230" s="1548"/>
      <c r="R230" s="1548"/>
      <c r="S230" s="1548"/>
      <c r="T230" s="1548"/>
      <c r="U230" s="1548"/>
      <c r="V230" s="2294"/>
      <c r="W230" s="819">
        <v>1106</v>
      </c>
      <c r="X230" s="819">
        <v>1106</v>
      </c>
      <c r="Y230" s="819"/>
      <c r="Z230" s="819"/>
      <c r="AA230" s="819"/>
      <c r="AB230" s="819"/>
      <c r="AC230" s="819"/>
      <c r="AD230" s="819"/>
      <c r="AE230" s="819"/>
      <c r="AF230" s="819"/>
      <c r="AG230" s="819"/>
      <c r="AK230" s="802"/>
    </row>
    <row r="231" spans="2:37" s="811" customFormat="1" outlineLevel="1" x14ac:dyDescent="0.25">
      <c r="B231" s="1738"/>
      <c r="C231" s="1535"/>
      <c r="D231" s="2370"/>
      <c r="E231" s="1066" t="s">
        <v>1277</v>
      </c>
      <c r="F231" s="1067">
        <v>1106</v>
      </c>
      <c r="G231" s="952"/>
      <c r="H231" s="1068" t="s">
        <v>1293</v>
      </c>
      <c r="I231" s="1548"/>
      <c r="J231" s="1548"/>
      <c r="K231" s="1548"/>
      <c r="L231" s="1548"/>
      <c r="M231" s="1548"/>
      <c r="N231" s="1548"/>
      <c r="O231" s="1548"/>
      <c r="P231" s="1548"/>
      <c r="Q231" s="1548"/>
      <c r="R231" s="1548"/>
      <c r="S231" s="1548"/>
      <c r="T231" s="1548"/>
      <c r="U231" s="1548"/>
      <c r="V231" s="2294"/>
      <c r="W231" s="819">
        <v>1106</v>
      </c>
      <c r="X231" s="819">
        <v>1106</v>
      </c>
      <c r="Y231" s="819"/>
      <c r="Z231" s="819"/>
      <c r="AA231" s="819"/>
      <c r="AB231" s="819"/>
      <c r="AC231" s="819"/>
      <c r="AD231" s="819"/>
      <c r="AE231" s="819"/>
      <c r="AF231" s="819"/>
      <c r="AG231" s="819"/>
      <c r="AK231" s="802"/>
    </row>
    <row r="232" spans="2:37" s="811" customFormat="1" outlineLevel="1" x14ac:dyDescent="0.25">
      <c r="B232" s="1545"/>
      <c r="C232" s="1535"/>
      <c r="D232" s="2370"/>
      <c r="E232" s="1739" t="s">
        <v>1278</v>
      </c>
      <c r="F232" s="1067">
        <v>1106</v>
      </c>
      <c r="G232" s="952"/>
      <c r="H232" s="1068" t="s">
        <v>1293</v>
      </c>
      <c r="I232" s="1548"/>
      <c r="J232" s="1548"/>
      <c r="K232" s="1548"/>
      <c r="L232" s="1548"/>
      <c r="M232" s="1548"/>
      <c r="N232" s="1548"/>
      <c r="O232" s="1548"/>
      <c r="P232" s="1548"/>
      <c r="Q232" s="1548"/>
      <c r="R232" s="1548"/>
      <c r="S232" s="1548"/>
      <c r="T232" s="1548"/>
      <c r="U232" s="1548"/>
      <c r="V232" s="2294"/>
      <c r="W232" s="819">
        <v>1106</v>
      </c>
      <c r="X232" s="819">
        <v>1106</v>
      </c>
      <c r="Y232" s="819"/>
      <c r="Z232" s="819"/>
      <c r="AA232" s="819"/>
      <c r="AB232" s="819"/>
      <c r="AC232" s="819"/>
      <c r="AD232" s="819"/>
      <c r="AE232" s="819"/>
      <c r="AF232" s="819"/>
      <c r="AG232" s="819"/>
      <c r="AK232" s="802"/>
    </row>
    <row r="233" spans="2:37" s="811" customFormat="1" outlineLevel="1" x14ac:dyDescent="0.25">
      <c r="B233" s="1545"/>
      <c r="C233" s="1535"/>
      <c r="D233" s="2370"/>
      <c r="E233" s="1066" t="s">
        <v>1279</v>
      </c>
      <c r="F233" s="1067">
        <f>0.65*1106</f>
        <v>718.9</v>
      </c>
      <c r="G233" s="952"/>
      <c r="H233" s="1068" t="s">
        <v>1293</v>
      </c>
      <c r="I233" s="1548"/>
      <c r="J233" s="1548"/>
      <c r="K233" s="1548"/>
      <c r="L233" s="1548"/>
      <c r="M233" s="1548"/>
      <c r="N233" s="1548"/>
      <c r="O233" s="1548"/>
      <c r="P233" s="1548"/>
      <c r="Q233" s="1548"/>
      <c r="R233" s="1548"/>
      <c r="S233" s="1548"/>
      <c r="T233" s="1548"/>
      <c r="U233" s="1548"/>
      <c r="V233" s="2294"/>
      <c r="W233" s="819">
        <f>0.65*1106</f>
        <v>718.9</v>
      </c>
      <c r="X233" s="819">
        <v>718.9</v>
      </c>
      <c r="Y233" s="819"/>
      <c r="Z233" s="819"/>
      <c r="AA233" s="819"/>
      <c r="AB233" s="819"/>
      <c r="AC233" s="819"/>
      <c r="AD233" s="819"/>
      <c r="AE233" s="819"/>
      <c r="AF233" s="819"/>
      <c r="AG233" s="819"/>
      <c r="AK233" s="802"/>
    </row>
    <row r="234" spans="2:37" s="811" customFormat="1" outlineLevel="1" x14ac:dyDescent="0.25">
      <c r="B234" s="1545"/>
      <c r="C234" s="1535"/>
      <c r="D234" s="2370"/>
      <c r="E234" s="1066" t="s">
        <v>1280</v>
      </c>
      <c r="F234" s="1067">
        <f>0.65*1106</f>
        <v>718.9</v>
      </c>
      <c r="G234" s="952"/>
      <c r="H234" s="1068" t="s">
        <v>1293</v>
      </c>
      <c r="I234" s="1548"/>
      <c r="J234" s="1548"/>
      <c r="K234" s="1548"/>
      <c r="L234" s="1548"/>
      <c r="M234" s="1548"/>
      <c r="N234" s="1548"/>
      <c r="O234" s="1548"/>
      <c r="P234" s="1548"/>
      <c r="Q234" s="1548"/>
      <c r="R234" s="1548"/>
      <c r="S234" s="1548"/>
      <c r="T234" s="1548"/>
      <c r="U234" s="1548"/>
      <c r="V234" s="2294"/>
      <c r="W234" s="819">
        <f>0.65*1106</f>
        <v>718.9</v>
      </c>
      <c r="X234" s="819">
        <v>718.9</v>
      </c>
      <c r="Y234" s="819"/>
      <c r="Z234" s="819"/>
      <c r="AA234" s="819"/>
      <c r="AB234" s="819"/>
      <c r="AC234" s="819"/>
      <c r="AD234" s="819"/>
      <c r="AE234" s="819"/>
      <c r="AF234" s="819"/>
      <c r="AG234" s="819"/>
      <c r="AK234" s="802"/>
    </row>
    <row r="235" spans="2:37" s="811" customFormat="1" outlineLevel="1" x14ac:dyDescent="0.25">
      <c r="B235" s="1545"/>
      <c r="C235" s="1535"/>
      <c r="D235" s="2370"/>
      <c r="E235" s="1726" t="s">
        <v>1281</v>
      </c>
      <c r="F235" s="1067">
        <f>0.65*1106</f>
        <v>718.9</v>
      </c>
      <c r="G235" s="952"/>
      <c r="H235" s="1068" t="s">
        <v>1293</v>
      </c>
      <c r="I235" s="1548"/>
      <c r="J235" s="1548"/>
      <c r="K235" s="1548"/>
      <c r="L235" s="1548"/>
      <c r="M235" s="1548"/>
      <c r="N235" s="1548"/>
      <c r="O235" s="1548"/>
      <c r="P235" s="1548"/>
      <c r="Q235" s="1548"/>
      <c r="R235" s="1548"/>
      <c r="S235" s="1548"/>
      <c r="T235" s="1548"/>
      <c r="U235" s="1548"/>
      <c r="V235" s="2294"/>
      <c r="W235" s="819">
        <f>0.65*1106</f>
        <v>718.9</v>
      </c>
      <c r="X235" s="819">
        <v>718.9</v>
      </c>
      <c r="Y235" s="819"/>
      <c r="Z235" s="819"/>
      <c r="AA235" s="819"/>
      <c r="AB235" s="819"/>
      <c r="AC235" s="819"/>
      <c r="AD235" s="819"/>
      <c r="AE235" s="819"/>
      <c r="AF235" s="819"/>
      <c r="AG235" s="819"/>
      <c r="AK235" s="802"/>
    </row>
    <row r="236" spans="2:37" s="811" customFormat="1" outlineLevel="1" x14ac:dyDescent="0.25">
      <c r="B236" s="1545"/>
      <c r="C236" s="1535"/>
      <c r="D236" s="2370"/>
      <c r="E236" s="1066" t="s">
        <v>1282</v>
      </c>
      <c r="F236" s="1067">
        <v>1106</v>
      </c>
      <c r="G236" s="952"/>
      <c r="H236" s="1068" t="s">
        <v>1293</v>
      </c>
      <c r="I236" s="1548"/>
      <c r="J236" s="1548"/>
      <c r="K236" s="1548"/>
      <c r="L236" s="1548"/>
      <c r="M236" s="1548"/>
      <c r="N236" s="1548"/>
      <c r="O236" s="1548"/>
      <c r="P236" s="1548"/>
      <c r="Q236" s="1548"/>
      <c r="R236" s="1548"/>
      <c r="S236" s="1548"/>
      <c r="T236" s="1548"/>
      <c r="U236" s="1548"/>
      <c r="V236" s="2294"/>
      <c r="W236" s="819">
        <v>1106</v>
      </c>
      <c r="X236" s="819">
        <v>1106</v>
      </c>
      <c r="Y236" s="819"/>
      <c r="Z236" s="819"/>
      <c r="AA236" s="819"/>
      <c r="AB236" s="819"/>
      <c r="AC236" s="819"/>
      <c r="AD236" s="819"/>
      <c r="AE236" s="819"/>
      <c r="AF236" s="819"/>
      <c r="AG236" s="819"/>
      <c r="AK236" s="802"/>
    </row>
    <row r="237" spans="2:37" s="811" customFormat="1" outlineLevel="1" x14ac:dyDescent="0.25">
      <c r="B237" s="1545"/>
      <c r="C237" s="1535"/>
      <c r="D237" s="2370"/>
      <c r="E237" s="1726" t="s">
        <v>1283</v>
      </c>
      <c r="F237" s="1067">
        <v>1106</v>
      </c>
      <c r="G237" s="952"/>
      <c r="H237" s="1068" t="s">
        <v>1293</v>
      </c>
      <c r="I237" s="1548"/>
      <c r="J237" s="1548"/>
      <c r="K237" s="1548"/>
      <c r="L237" s="1548"/>
      <c r="M237" s="1548"/>
      <c r="N237" s="1548"/>
      <c r="O237" s="1548"/>
      <c r="P237" s="1548"/>
      <c r="Q237" s="1548"/>
      <c r="R237" s="1548"/>
      <c r="S237" s="1548"/>
      <c r="T237" s="1548"/>
      <c r="U237" s="1548"/>
      <c r="V237" s="2294"/>
      <c r="W237" s="819">
        <v>1106</v>
      </c>
      <c r="X237" s="819">
        <v>1106</v>
      </c>
      <c r="Y237" s="819"/>
      <c r="Z237" s="819"/>
      <c r="AA237" s="819"/>
      <c r="AB237" s="819"/>
      <c r="AC237" s="819"/>
      <c r="AD237" s="819"/>
      <c r="AE237" s="819"/>
      <c r="AF237" s="819"/>
      <c r="AG237" s="819"/>
      <c r="AK237" s="802"/>
    </row>
    <row r="238" spans="2:37" s="811" customFormat="1" outlineLevel="1" x14ac:dyDescent="0.25">
      <c r="B238" s="1545"/>
      <c r="C238" s="1535"/>
      <c r="D238" s="2370"/>
      <c r="E238" s="1066" t="s">
        <v>1284</v>
      </c>
      <c r="F238" s="1067">
        <v>1106</v>
      </c>
      <c r="G238" s="952"/>
      <c r="H238" s="1068" t="s">
        <v>1293</v>
      </c>
      <c r="I238" s="1548"/>
      <c r="J238" s="1548"/>
      <c r="K238" s="1548"/>
      <c r="L238" s="1548"/>
      <c r="M238" s="1548"/>
      <c r="N238" s="1548"/>
      <c r="O238" s="1548"/>
      <c r="P238" s="1548"/>
      <c r="Q238" s="1548"/>
      <c r="R238" s="1548"/>
      <c r="S238" s="1548"/>
      <c r="T238" s="1548"/>
      <c r="U238" s="1548"/>
      <c r="V238" s="2294"/>
      <c r="W238" s="819">
        <v>1106</v>
      </c>
      <c r="X238" s="819">
        <v>1106</v>
      </c>
      <c r="Y238" s="819"/>
      <c r="Z238" s="819"/>
      <c r="AA238" s="819"/>
      <c r="AB238" s="819"/>
      <c r="AC238" s="819"/>
      <c r="AD238" s="819"/>
      <c r="AE238" s="819"/>
      <c r="AF238" s="819"/>
      <c r="AG238" s="819"/>
      <c r="AK238" s="802"/>
    </row>
    <row r="239" spans="2:37" s="811" customFormat="1" outlineLevel="1" x14ac:dyDescent="0.25">
      <c r="B239" s="1545"/>
      <c r="C239" s="1535"/>
      <c r="D239" s="2370"/>
      <c r="E239" s="1066" t="s">
        <v>1285</v>
      </c>
      <c r="F239" s="1067">
        <f>0.65*1106</f>
        <v>718.9</v>
      </c>
      <c r="G239" s="952"/>
      <c r="H239" s="1068" t="s">
        <v>1293</v>
      </c>
      <c r="I239" s="1548"/>
      <c r="J239" s="1548"/>
      <c r="K239" s="1548"/>
      <c r="L239" s="1548"/>
      <c r="M239" s="1548"/>
      <c r="N239" s="1548"/>
      <c r="O239" s="1548"/>
      <c r="P239" s="1548"/>
      <c r="Q239" s="1548"/>
      <c r="R239" s="1548"/>
      <c r="S239" s="1548"/>
      <c r="T239" s="1548"/>
      <c r="U239" s="1548"/>
      <c r="V239" s="2294"/>
      <c r="W239" s="819">
        <f>0.65*1106</f>
        <v>718.9</v>
      </c>
      <c r="X239" s="819">
        <v>718.9</v>
      </c>
      <c r="Y239" s="819"/>
      <c r="Z239" s="819"/>
      <c r="AA239" s="819"/>
      <c r="AB239" s="819"/>
      <c r="AC239" s="819"/>
      <c r="AD239" s="819"/>
      <c r="AE239" s="819"/>
      <c r="AF239" s="819"/>
      <c r="AG239" s="819"/>
      <c r="AK239" s="802"/>
    </row>
    <row r="240" spans="2:37" s="811" customFormat="1" outlineLevel="1" x14ac:dyDescent="0.25">
      <c r="B240" s="1545"/>
      <c r="C240" s="1535"/>
      <c r="D240" s="2370"/>
      <c r="E240" s="1066" t="s">
        <v>1286</v>
      </c>
      <c r="F240" s="1067">
        <f>0.65*1106</f>
        <v>718.9</v>
      </c>
      <c r="G240" s="952"/>
      <c r="H240" s="1068" t="s">
        <v>1293</v>
      </c>
      <c r="I240" s="1548"/>
      <c r="J240" s="1548"/>
      <c r="K240" s="1548"/>
      <c r="L240" s="1548"/>
      <c r="M240" s="1548"/>
      <c r="N240" s="1548"/>
      <c r="O240" s="1548"/>
      <c r="P240" s="1548"/>
      <c r="Q240" s="1548"/>
      <c r="R240" s="1548"/>
      <c r="S240" s="1548"/>
      <c r="T240" s="1548"/>
      <c r="U240" s="1548"/>
      <c r="V240" s="2294"/>
      <c r="W240" s="819">
        <f>0.65*1106</f>
        <v>718.9</v>
      </c>
      <c r="X240" s="819">
        <v>718.9</v>
      </c>
      <c r="Y240" s="819"/>
      <c r="Z240" s="819"/>
      <c r="AA240" s="819"/>
      <c r="AB240" s="819"/>
      <c r="AC240" s="819"/>
      <c r="AD240" s="819"/>
      <c r="AE240" s="819"/>
      <c r="AF240" s="819"/>
      <c r="AG240" s="819"/>
      <c r="AK240" s="802"/>
    </row>
    <row r="241" spans="2:37" s="811" customFormat="1" outlineLevel="1" x14ac:dyDescent="0.25">
      <c r="B241" s="1545"/>
      <c r="C241" s="1535"/>
      <c r="D241" s="2370"/>
      <c r="E241" s="1726" t="s">
        <v>1287</v>
      </c>
      <c r="F241" s="1067">
        <f>0.65*1106</f>
        <v>718.9</v>
      </c>
      <c r="G241" s="952"/>
      <c r="H241" s="1068" t="s">
        <v>1293</v>
      </c>
      <c r="I241" s="1548"/>
      <c r="J241" s="1548"/>
      <c r="K241" s="1548"/>
      <c r="L241" s="1548"/>
      <c r="M241" s="1548"/>
      <c r="N241" s="1548"/>
      <c r="O241" s="1548"/>
      <c r="P241" s="1548"/>
      <c r="Q241" s="1548"/>
      <c r="R241" s="1548"/>
      <c r="S241" s="1548"/>
      <c r="T241" s="1548"/>
      <c r="U241" s="1548"/>
      <c r="V241" s="2294"/>
      <c r="W241" s="819">
        <f>0.65*1106</f>
        <v>718.9</v>
      </c>
      <c r="X241" s="819">
        <v>718.9</v>
      </c>
      <c r="Y241" s="819"/>
      <c r="Z241" s="819"/>
      <c r="AA241" s="819"/>
      <c r="AB241" s="819"/>
      <c r="AC241" s="819"/>
      <c r="AD241" s="819"/>
      <c r="AE241" s="819"/>
      <c r="AF241" s="819"/>
      <c r="AG241" s="819"/>
      <c r="AK241" s="802"/>
    </row>
    <row r="242" spans="2:37" s="811" customFormat="1" outlineLevel="1" x14ac:dyDescent="0.25">
      <c r="B242" s="1545"/>
      <c r="C242" s="1535"/>
      <c r="D242" s="2370"/>
      <c r="E242" s="1066" t="s">
        <v>1288</v>
      </c>
      <c r="F242" s="1067">
        <v>1106</v>
      </c>
      <c r="G242" s="952"/>
      <c r="H242" s="1068" t="s">
        <v>1293</v>
      </c>
      <c r="I242" s="1548"/>
      <c r="J242" s="1548"/>
      <c r="K242" s="1548"/>
      <c r="L242" s="1548"/>
      <c r="M242" s="1548"/>
      <c r="N242" s="1548"/>
      <c r="O242" s="1548"/>
      <c r="P242" s="1548"/>
      <c r="Q242" s="1548"/>
      <c r="R242" s="1548"/>
      <c r="S242" s="1548"/>
      <c r="T242" s="1548"/>
      <c r="U242" s="1548"/>
      <c r="V242" s="2294"/>
      <c r="W242" s="819">
        <v>1106</v>
      </c>
      <c r="X242" s="819">
        <v>1106</v>
      </c>
      <c r="Y242" s="819"/>
      <c r="Z242" s="819"/>
      <c r="AA242" s="819"/>
      <c r="AB242" s="819"/>
      <c r="AC242" s="819"/>
      <c r="AD242" s="819"/>
      <c r="AE242" s="819"/>
      <c r="AF242" s="819"/>
      <c r="AG242" s="819"/>
      <c r="AK242" s="802"/>
    </row>
    <row r="243" spans="2:37" s="811" customFormat="1" outlineLevel="1" x14ac:dyDescent="0.25">
      <c r="B243" s="1545"/>
      <c r="C243" s="1535"/>
      <c r="D243" s="2370"/>
      <c r="E243" s="1726" t="s">
        <v>1289</v>
      </c>
      <c r="F243" s="1067">
        <v>1106</v>
      </c>
      <c r="G243" s="952"/>
      <c r="H243" s="1068" t="s">
        <v>1293</v>
      </c>
      <c r="I243" s="1548"/>
      <c r="J243" s="1548"/>
      <c r="K243" s="1548"/>
      <c r="L243" s="1548"/>
      <c r="M243" s="1548"/>
      <c r="N243" s="1548"/>
      <c r="O243" s="1548"/>
      <c r="P243" s="1548"/>
      <c r="Q243" s="1548"/>
      <c r="R243" s="1548"/>
      <c r="S243" s="1548"/>
      <c r="T243" s="1548"/>
      <c r="U243" s="1548"/>
      <c r="V243" s="2294"/>
      <c r="W243" s="819">
        <v>1106</v>
      </c>
      <c r="X243" s="819">
        <v>1106</v>
      </c>
      <c r="Y243" s="819"/>
      <c r="Z243" s="819"/>
      <c r="AA243" s="819"/>
      <c r="AB243" s="819"/>
      <c r="AC243" s="819"/>
      <c r="AD243" s="819"/>
      <c r="AE243" s="819"/>
      <c r="AF243" s="819"/>
      <c r="AG243" s="819"/>
      <c r="AK243" s="802"/>
    </row>
    <row r="244" spans="2:37" s="811" customFormat="1" outlineLevel="1" x14ac:dyDescent="0.25">
      <c r="B244" s="1545"/>
      <c r="C244" s="1535"/>
      <c r="D244" s="2370"/>
      <c r="E244" s="1066" t="s">
        <v>1290</v>
      </c>
      <c r="F244" s="1067">
        <v>1106</v>
      </c>
      <c r="G244" s="952"/>
      <c r="H244" s="1068" t="s">
        <v>1293</v>
      </c>
      <c r="I244" s="1548"/>
      <c r="J244" s="1548"/>
      <c r="K244" s="1548"/>
      <c r="L244" s="1548"/>
      <c r="M244" s="1548"/>
      <c r="N244" s="1548"/>
      <c r="O244" s="1548"/>
      <c r="P244" s="1548"/>
      <c r="Q244" s="1548"/>
      <c r="R244" s="1548"/>
      <c r="S244" s="1548"/>
      <c r="T244" s="1548"/>
      <c r="U244" s="1548"/>
      <c r="V244" s="2295"/>
      <c r="W244" s="819">
        <v>1106</v>
      </c>
      <c r="X244" s="819">
        <v>1106</v>
      </c>
      <c r="Y244" s="819"/>
      <c r="Z244" s="819"/>
      <c r="AA244" s="819"/>
      <c r="AB244" s="819"/>
      <c r="AC244" s="819"/>
      <c r="AD244" s="819"/>
      <c r="AE244" s="819"/>
      <c r="AF244" s="819"/>
      <c r="AG244" s="819"/>
      <c r="AK244" s="802"/>
    </row>
    <row r="245" spans="2:37" s="811" customFormat="1" ht="18" outlineLevel="1" x14ac:dyDescent="0.25">
      <c r="B245" s="1545"/>
      <c r="C245" s="1535"/>
      <c r="D245" s="1740" t="s">
        <v>1890</v>
      </c>
      <c r="E245" s="1066" t="s">
        <v>483</v>
      </c>
      <c r="F245" s="1142">
        <v>7.0000000000000007E-2</v>
      </c>
      <c r="G245" s="952" t="s">
        <v>1294</v>
      </c>
      <c r="H245" s="1068"/>
      <c r="I245" s="1545"/>
      <c r="J245" s="1545"/>
      <c r="K245" s="1545"/>
      <c r="L245" s="1545"/>
      <c r="M245" s="1545"/>
      <c r="N245" s="1545"/>
      <c r="O245" s="1545"/>
      <c r="P245" s="1545"/>
      <c r="Q245" s="1545"/>
      <c r="R245" s="1545"/>
      <c r="S245" s="1548"/>
      <c r="T245" s="1548"/>
      <c r="U245" s="1548"/>
      <c r="V245" s="824" t="str">
        <f>D245</f>
        <v>Framing FactorAttic</v>
      </c>
      <c r="W245" s="823">
        <v>7.0000000000000007E-2</v>
      </c>
      <c r="X245" s="823">
        <v>7.0000000000000007E-2</v>
      </c>
      <c r="Y245" s="823"/>
      <c r="Z245" s="823"/>
      <c r="AA245" s="823"/>
      <c r="AB245" s="823"/>
      <c r="AC245" s="823"/>
      <c r="AD245" s="823"/>
      <c r="AE245" s="823"/>
      <c r="AF245" s="823"/>
      <c r="AG245" s="823"/>
      <c r="AK245" s="802"/>
    </row>
    <row r="246" spans="2:37" s="811" customFormat="1" outlineLevel="1" x14ac:dyDescent="0.25">
      <c r="B246" s="1545"/>
      <c r="C246" s="1535"/>
      <c r="D246" s="1740" t="s">
        <v>1295</v>
      </c>
      <c r="E246" s="1066" t="s">
        <v>483</v>
      </c>
      <c r="F246" s="1067">
        <v>4486</v>
      </c>
      <c r="G246" s="952" t="s">
        <v>610</v>
      </c>
      <c r="H246" s="1068" t="s">
        <v>1296</v>
      </c>
      <c r="I246" s="1545"/>
      <c r="J246" s="1545"/>
      <c r="K246" s="1545"/>
      <c r="L246" s="1545"/>
      <c r="M246" s="1545"/>
      <c r="N246" s="1545"/>
      <c r="O246" s="1545"/>
      <c r="P246" s="1545"/>
      <c r="Q246" s="1545"/>
      <c r="R246" s="1545"/>
      <c r="S246" s="1548"/>
      <c r="T246" s="1548"/>
      <c r="U246" s="1548"/>
      <c r="V246" s="824" t="str">
        <f>D246</f>
        <v>HDD</v>
      </c>
      <c r="W246" s="819">
        <v>4486</v>
      </c>
      <c r="X246" s="819">
        <v>4486</v>
      </c>
      <c r="Y246" s="819"/>
      <c r="Z246" s="819"/>
      <c r="AA246" s="819"/>
      <c r="AB246" s="819"/>
      <c r="AC246" s="819"/>
      <c r="AD246" s="819"/>
      <c r="AE246" s="819"/>
      <c r="AF246" s="819"/>
      <c r="AG246" s="819"/>
      <c r="AK246" s="802"/>
    </row>
    <row r="247" spans="2:37" s="811" customFormat="1" ht="18" outlineLevel="1" x14ac:dyDescent="0.25">
      <c r="B247" s="1545"/>
      <c r="C247" s="1535"/>
      <c r="D247" s="1740" t="s">
        <v>1891</v>
      </c>
      <c r="E247" s="1066" t="s">
        <v>483</v>
      </c>
      <c r="F247" s="1142">
        <v>0.74</v>
      </c>
      <c r="G247" s="952" t="s">
        <v>593</v>
      </c>
      <c r="H247" s="1068"/>
      <c r="I247" s="1545"/>
      <c r="J247" s="1545"/>
      <c r="K247" s="1545"/>
      <c r="L247" s="1545"/>
      <c r="M247" s="1545"/>
      <c r="N247" s="1545"/>
      <c r="O247" s="1545"/>
      <c r="P247" s="1545"/>
      <c r="Q247" s="1545"/>
      <c r="R247" s="1545"/>
      <c r="S247" s="1548"/>
      <c r="T247" s="1548"/>
      <c r="U247" s="1548"/>
      <c r="V247" s="824" t="str">
        <f>D247</f>
        <v>AdjAttic</v>
      </c>
      <c r="W247" s="823">
        <v>0.74</v>
      </c>
      <c r="X247" s="823">
        <v>0.74</v>
      </c>
      <c r="Y247" s="823"/>
      <c r="Z247" s="823"/>
      <c r="AA247" s="823"/>
      <c r="AB247" s="823"/>
      <c r="AC247" s="823"/>
      <c r="AD247" s="823"/>
      <c r="AE247" s="823"/>
      <c r="AF247" s="823"/>
      <c r="AG247" s="823"/>
      <c r="AK247" s="802"/>
    </row>
    <row r="248" spans="2:37" s="811" customFormat="1" outlineLevel="1" x14ac:dyDescent="0.25">
      <c r="B248" s="1545"/>
      <c r="C248" s="1535"/>
      <c r="D248" s="2369" t="s">
        <v>1297</v>
      </c>
      <c r="E248" s="1066" t="s">
        <v>1261</v>
      </c>
      <c r="F248" s="1741">
        <v>1</v>
      </c>
      <c r="G248" s="952" t="s">
        <v>593</v>
      </c>
      <c r="H248" s="1068"/>
      <c r="I248" s="1545"/>
      <c r="J248" s="1545"/>
      <c r="K248" s="1545"/>
      <c r="L248" s="1545"/>
      <c r="M248" s="1545"/>
      <c r="N248" s="1545"/>
      <c r="O248" s="1545"/>
      <c r="P248" s="1545"/>
      <c r="Q248" s="1545"/>
      <c r="R248" s="1545"/>
      <c r="S248" s="1548"/>
      <c r="T248" s="1548"/>
      <c r="U248" s="1548"/>
      <c r="V248" s="2293" t="str">
        <f>D248</f>
        <v>ƞheat</v>
      </c>
      <c r="W248" s="825">
        <v>1</v>
      </c>
      <c r="X248" s="825">
        <v>1</v>
      </c>
      <c r="Y248" s="825"/>
      <c r="Z248" s="825"/>
      <c r="AA248" s="825"/>
      <c r="AB248" s="825"/>
      <c r="AC248" s="825"/>
      <c r="AD248" s="825"/>
      <c r="AE248" s="825"/>
      <c r="AF248" s="825"/>
      <c r="AG248" s="825"/>
      <c r="AK248" s="802"/>
    </row>
    <row r="249" spans="2:37" s="811" customFormat="1" outlineLevel="1" x14ac:dyDescent="0.25">
      <c r="B249" s="1545"/>
      <c r="C249" s="1535"/>
      <c r="D249" s="2370"/>
      <c r="E249" s="1066" t="s">
        <v>1262</v>
      </c>
      <c r="F249" s="1741">
        <f>7/3.412*0.85</f>
        <v>1.7438452520515826</v>
      </c>
      <c r="G249" s="952" t="s">
        <v>593</v>
      </c>
      <c r="H249" s="1068" t="s">
        <v>1298</v>
      </c>
      <c r="I249" s="1545"/>
      <c r="J249" s="1545"/>
      <c r="K249" s="1545"/>
      <c r="L249" s="1545"/>
      <c r="M249" s="1545"/>
      <c r="N249" s="1545"/>
      <c r="O249" s="1545"/>
      <c r="P249" s="1545"/>
      <c r="Q249" s="1545"/>
      <c r="R249" s="1545"/>
      <c r="S249" s="1548"/>
      <c r="T249" s="1548"/>
      <c r="U249" s="1548"/>
      <c r="V249" s="2294"/>
      <c r="W249" s="825">
        <f>7/3.412*0.85</f>
        <v>1.7438452520515826</v>
      </c>
      <c r="X249" s="825">
        <v>1.7438452520515826</v>
      </c>
      <c r="Y249" s="825"/>
      <c r="Z249" s="825"/>
      <c r="AA249" s="825"/>
      <c r="AB249" s="825"/>
      <c r="AC249" s="825"/>
      <c r="AD249" s="825"/>
      <c r="AE249" s="825"/>
      <c r="AF249" s="825"/>
      <c r="AG249" s="825"/>
      <c r="AK249" s="802"/>
    </row>
    <row r="250" spans="2:37" s="811" customFormat="1" outlineLevel="1" x14ac:dyDescent="0.25">
      <c r="B250" s="1545"/>
      <c r="C250" s="1535"/>
      <c r="D250" s="2370"/>
      <c r="E250" s="1066" t="s">
        <v>1263</v>
      </c>
      <c r="F250" s="1742">
        <v>0.71</v>
      </c>
      <c r="G250" s="952" t="s">
        <v>593</v>
      </c>
      <c r="H250" s="1068"/>
      <c r="I250" s="1545"/>
      <c r="J250" s="1545"/>
      <c r="K250" s="1545"/>
      <c r="L250" s="1545"/>
      <c r="M250" s="1545"/>
      <c r="N250" s="1545"/>
      <c r="O250" s="1545"/>
      <c r="P250" s="1545"/>
      <c r="Q250" s="1545"/>
      <c r="R250" s="1545"/>
      <c r="S250" s="1548"/>
      <c r="T250" s="1548"/>
      <c r="U250" s="1548"/>
      <c r="V250" s="2294"/>
      <c r="W250" s="826">
        <v>0.71</v>
      </c>
      <c r="X250" s="826">
        <v>0.71</v>
      </c>
      <c r="Y250" s="826"/>
      <c r="Z250" s="826"/>
      <c r="AA250" s="826"/>
      <c r="AB250" s="826"/>
      <c r="AC250" s="826"/>
      <c r="AD250" s="826"/>
      <c r="AE250" s="826"/>
      <c r="AF250" s="826"/>
      <c r="AG250" s="826"/>
      <c r="AK250" s="802"/>
    </row>
    <row r="251" spans="2:37" s="811" customFormat="1" outlineLevel="1" x14ac:dyDescent="0.25">
      <c r="B251" s="1545"/>
      <c r="C251" s="1535"/>
      <c r="D251" s="2370"/>
      <c r="E251" s="1066" t="s">
        <v>1264</v>
      </c>
      <c r="F251" s="1741">
        <v>1</v>
      </c>
      <c r="G251" s="952" t="s">
        <v>593</v>
      </c>
      <c r="H251" s="1068"/>
      <c r="I251" s="1545"/>
      <c r="J251" s="1545"/>
      <c r="K251" s="1545"/>
      <c r="L251" s="1545"/>
      <c r="M251" s="1545"/>
      <c r="N251" s="1545"/>
      <c r="O251" s="1545"/>
      <c r="P251" s="1545"/>
      <c r="Q251" s="1545"/>
      <c r="R251" s="1545"/>
      <c r="S251" s="1548"/>
      <c r="T251" s="1548"/>
      <c r="U251" s="1548"/>
      <c r="V251" s="2294"/>
      <c r="W251" s="825">
        <v>1</v>
      </c>
      <c r="X251" s="825">
        <v>1</v>
      </c>
      <c r="Y251" s="825"/>
      <c r="Z251" s="825"/>
      <c r="AA251" s="825"/>
      <c r="AB251" s="825"/>
      <c r="AC251" s="825"/>
      <c r="AD251" s="825"/>
      <c r="AE251" s="825"/>
      <c r="AF251" s="825"/>
      <c r="AG251" s="825"/>
      <c r="AK251" s="802"/>
    </row>
    <row r="252" spans="2:37" s="811" customFormat="1" outlineLevel="1" x14ac:dyDescent="0.25">
      <c r="B252" s="1545"/>
      <c r="C252" s="1535"/>
      <c r="D252" s="2370"/>
      <c r="E252" s="1066" t="s">
        <v>1265</v>
      </c>
      <c r="F252" s="1741">
        <f>7/3.412*0.85</f>
        <v>1.7438452520515826</v>
      </c>
      <c r="G252" s="952" t="s">
        <v>593</v>
      </c>
      <c r="H252" s="1068" t="s">
        <v>1298</v>
      </c>
      <c r="I252" s="1545"/>
      <c r="J252" s="1545"/>
      <c r="K252" s="1545"/>
      <c r="L252" s="1545"/>
      <c r="M252" s="1545"/>
      <c r="N252" s="1545"/>
      <c r="O252" s="1545"/>
      <c r="P252" s="1545"/>
      <c r="Q252" s="1545"/>
      <c r="R252" s="1545"/>
      <c r="S252" s="1548"/>
      <c r="T252" s="1548"/>
      <c r="U252" s="1548"/>
      <c r="V252" s="2294"/>
      <c r="W252" s="825">
        <f>7/3.412*0.85</f>
        <v>1.7438452520515826</v>
      </c>
      <c r="X252" s="825">
        <v>1.7438452520515826</v>
      </c>
      <c r="Y252" s="825"/>
      <c r="Z252" s="825"/>
      <c r="AA252" s="825"/>
      <c r="AB252" s="825"/>
      <c r="AC252" s="825"/>
      <c r="AD252" s="825"/>
      <c r="AE252" s="825"/>
      <c r="AF252" s="825"/>
      <c r="AG252" s="825"/>
      <c r="AK252" s="802"/>
    </row>
    <row r="253" spans="2:37" s="811" customFormat="1" outlineLevel="1" x14ac:dyDescent="0.25">
      <c r="B253" s="1545"/>
      <c r="C253" s="1535"/>
      <c r="D253" s="2370"/>
      <c r="E253" s="1066" t="s">
        <v>1266</v>
      </c>
      <c r="F253" s="1742">
        <v>0.71</v>
      </c>
      <c r="G253" s="952" t="s">
        <v>593</v>
      </c>
      <c r="H253" s="1068"/>
      <c r="I253" s="1545"/>
      <c r="J253" s="1545"/>
      <c r="K253" s="1545"/>
      <c r="L253" s="1545"/>
      <c r="M253" s="1545"/>
      <c r="N253" s="1545"/>
      <c r="O253" s="1545"/>
      <c r="P253" s="1545"/>
      <c r="Q253" s="1545"/>
      <c r="R253" s="1545"/>
      <c r="S253" s="1548"/>
      <c r="T253" s="1548"/>
      <c r="U253" s="1548"/>
      <c r="V253" s="2294"/>
      <c r="W253" s="826">
        <v>0.71</v>
      </c>
      <c r="X253" s="826">
        <v>0.71</v>
      </c>
      <c r="Y253" s="826"/>
      <c r="Z253" s="826"/>
      <c r="AA253" s="826"/>
      <c r="AB253" s="826"/>
      <c r="AC253" s="826"/>
      <c r="AD253" s="826"/>
      <c r="AE253" s="826"/>
      <c r="AF253" s="826"/>
      <c r="AG253" s="826"/>
      <c r="AK253" s="802"/>
    </row>
    <row r="254" spans="2:37" s="811" customFormat="1" outlineLevel="1" x14ac:dyDescent="0.25">
      <c r="B254" s="1545"/>
      <c r="C254" s="1535"/>
      <c r="D254" s="2370"/>
      <c r="E254" s="1066" t="s">
        <v>1267</v>
      </c>
      <c r="F254" s="1741">
        <v>1</v>
      </c>
      <c r="G254" s="952" t="s">
        <v>593</v>
      </c>
      <c r="H254" s="1068"/>
      <c r="I254" s="1545"/>
      <c r="J254" s="1545"/>
      <c r="K254" s="1545"/>
      <c r="L254" s="1545"/>
      <c r="M254" s="1545"/>
      <c r="N254" s="1545"/>
      <c r="O254" s="1545"/>
      <c r="P254" s="1545"/>
      <c r="Q254" s="1545"/>
      <c r="R254" s="1545"/>
      <c r="S254" s="1548"/>
      <c r="T254" s="1548"/>
      <c r="U254" s="1548"/>
      <c r="V254" s="2294"/>
      <c r="W254" s="825">
        <v>1</v>
      </c>
      <c r="X254" s="825">
        <v>1</v>
      </c>
      <c r="Y254" s="825"/>
      <c r="Z254" s="825"/>
      <c r="AA254" s="825"/>
      <c r="AB254" s="825"/>
      <c r="AC254" s="825"/>
      <c r="AD254" s="825"/>
      <c r="AE254" s="825"/>
      <c r="AF254" s="825"/>
      <c r="AG254" s="825"/>
      <c r="AK254" s="802"/>
    </row>
    <row r="255" spans="2:37" s="811" customFormat="1" outlineLevel="1" x14ac:dyDescent="0.25">
      <c r="B255" s="1545"/>
      <c r="C255" s="1535"/>
      <c r="D255" s="2370"/>
      <c r="E255" s="1066" t="s">
        <v>1268</v>
      </c>
      <c r="F255" s="1741">
        <f>7/3.412*0.85</f>
        <v>1.7438452520515826</v>
      </c>
      <c r="G255" s="952" t="s">
        <v>593</v>
      </c>
      <c r="H255" s="1068"/>
      <c r="I255" s="1545"/>
      <c r="J255" s="1545"/>
      <c r="K255" s="1545"/>
      <c r="L255" s="1545"/>
      <c r="M255" s="1545"/>
      <c r="N255" s="1545"/>
      <c r="O255" s="1545"/>
      <c r="P255" s="1545"/>
      <c r="Q255" s="1545"/>
      <c r="R255" s="1545"/>
      <c r="S255" s="1548"/>
      <c r="T255" s="1548"/>
      <c r="U255" s="1548"/>
      <c r="V255" s="2294"/>
      <c r="W255" s="825">
        <f>7/3.412*0.85</f>
        <v>1.7438452520515826</v>
      </c>
      <c r="X255" s="825">
        <v>1.7438452520515826</v>
      </c>
      <c r="Y255" s="825"/>
      <c r="Z255" s="825"/>
      <c r="AA255" s="825"/>
      <c r="AB255" s="825"/>
      <c r="AC255" s="825"/>
      <c r="AD255" s="825"/>
      <c r="AE255" s="825"/>
      <c r="AF255" s="825"/>
      <c r="AG255" s="825"/>
      <c r="AK255" s="802"/>
    </row>
    <row r="256" spans="2:37" s="811" customFormat="1" outlineLevel="1" x14ac:dyDescent="0.25">
      <c r="B256" s="1545"/>
      <c r="C256" s="1535"/>
      <c r="D256" s="2370"/>
      <c r="E256" s="1726" t="s">
        <v>1269</v>
      </c>
      <c r="F256" s="1742">
        <v>0.71</v>
      </c>
      <c r="G256" s="952" t="s">
        <v>593</v>
      </c>
      <c r="H256" s="1068"/>
      <c r="I256" s="1545"/>
      <c r="J256" s="1545"/>
      <c r="K256" s="1545"/>
      <c r="L256" s="1545"/>
      <c r="M256" s="1545"/>
      <c r="N256" s="1545"/>
      <c r="O256" s="1545"/>
      <c r="P256" s="1545"/>
      <c r="Q256" s="1545"/>
      <c r="R256" s="1545"/>
      <c r="S256" s="1548"/>
      <c r="T256" s="1548"/>
      <c r="U256" s="1548"/>
      <c r="V256" s="2294"/>
      <c r="W256" s="826">
        <v>0.71</v>
      </c>
      <c r="X256" s="826">
        <v>0.71</v>
      </c>
      <c r="Y256" s="826"/>
      <c r="Z256" s="826"/>
      <c r="AA256" s="826"/>
      <c r="AB256" s="826"/>
      <c r="AC256" s="826"/>
      <c r="AD256" s="826"/>
      <c r="AE256" s="826"/>
      <c r="AF256" s="826"/>
      <c r="AG256" s="826"/>
      <c r="AK256" s="802"/>
    </row>
    <row r="257" spans="2:37" s="811" customFormat="1" outlineLevel="1" x14ac:dyDescent="0.25">
      <c r="B257" s="1545"/>
      <c r="C257" s="1535"/>
      <c r="D257" s="2370"/>
      <c r="E257" s="1066" t="s">
        <v>1270</v>
      </c>
      <c r="F257" s="1741">
        <v>1</v>
      </c>
      <c r="G257" s="952" t="s">
        <v>593</v>
      </c>
      <c r="H257" s="1068"/>
      <c r="I257" s="1545"/>
      <c r="J257" s="1545"/>
      <c r="K257" s="1545"/>
      <c r="L257" s="1545"/>
      <c r="M257" s="1545"/>
      <c r="N257" s="1545"/>
      <c r="O257" s="1545"/>
      <c r="P257" s="1545"/>
      <c r="Q257" s="1545"/>
      <c r="R257" s="1545"/>
      <c r="S257" s="1548"/>
      <c r="T257" s="1548"/>
      <c r="U257" s="1548"/>
      <c r="V257" s="2294"/>
      <c r="W257" s="825">
        <v>1</v>
      </c>
      <c r="X257" s="825">
        <v>1</v>
      </c>
      <c r="Y257" s="825"/>
      <c r="Z257" s="825"/>
      <c r="AA257" s="825"/>
      <c r="AB257" s="825"/>
      <c r="AC257" s="825"/>
      <c r="AD257" s="825"/>
      <c r="AE257" s="825"/>
      <c r="AF257" s="825"/>
      <c r="AG257" s="825"/>
      <c r="AK257" s="802"/>
    </row>
    <row r="258" spans="2:37" s="811" customFormat="1" outlineLevel="1" x14ac:dyDescent="0.25">
      <c r="B258" s="1545"/>
      <c r="C258" s="1535"/>
      <c r="D258" s="2370"/>
      <c r="E258" s="1066" t="s">
        <v>1271</v>
      </c>
      <c r="F258" s="1741">
        <f>7/3.412*0.85</f>
        <v>1.7438452520515826</v>
      </c>
      <c r="G258" s="952" t="s">
        <v>593</v>
      </c>
      <c r="H258" s="1068"/>
      <c r="I258" s="1545"/>
      <c r="J258" s="1545"/>
      <c r="K258" s="1545"/>
      <c r="L258" s="1545"/>
      <c r="M258" s="1545"/>
      <c r="N258" s="1545"/>
      <c r="O258" s="1545"/>
      <c r="P258" s="1545"/>
      <c r="Q258" s="1545"/>
      <c r="R258" s="1545"/>
      <c r="S258" s="1548"/>
      <c r="T258" s="1548"/>
      <c r="U258" s="1548"/>
      <c r="V258" s="2294"/>
      <c r="W258" s="825">
        <f>7/3.412*0.85</f>
        <v>1.7438452520515826</v>
      </c>
      <c r="X258" s="825">
        <v>1.7438452520515826</v>
      </c>
      <c r="Y258" s="825"/>
      <c r="Z258" s="825"/>
      <c r="AA258" s="825"/>
      <c r="AB258" s="825"/>
      <c r="AC258" s="825"/>
      <c r="AD258" s="825"/>
      <c r="AE258" s="825"/>
      <c r="AF258" s="825"/>
      <c r="AG258" s="825"/>
      <c r="AK258" s="802"/>
    </row>
    <row r="259" spans="2:37" s="811" customFormat="1" outlineLevel="1" x14ac:dyDescent="0.25">
      <c r="B259" s="1545"/>
      <c r="C259" s="1535"/>
      <c r="D259" s="2370"/>
      <c r="E259" s="1739" t="s">
        <v>1272</v>
      </c>
      <c r="F259" s="1742">
        <v>0.71</v>
      </c>
      <c r="G259" s="952" t="s">
        <v>593</v>
      </c>
      <c r="H259" s="1068"/>
      <c r="I259" s="1545"/>
      <c r="J259" s="1545"/>
      <c r="K259" s="1545"/>
      <c r="L259" s="1545"/>
      <c r="M259" s="1545"/>
      <c r="N259" s="1545"/>
      <c r="O259" s="1545"/>
      <c r="P259" s="1545"/>
      <c r="Q259" s="1545"/>
      <c r="R259" s="1545"/>
      <c r="S259" s="1548"/>
      <c r="T259" s="1548"/>
      <c r="U259" s="1548"/>
      <c r="V259" s="2294"/>
      <c r="W259" s="826">
        <v>0.71</v>
      </c>
      <c r="X259" s="826">
        <v>0.71</v>
      </c>
      <c r="Y259" s="826"/>
      <c r="Z259" s="826"/>
      <c r="AA259" s="826"/>
      <c r="AB259" s="826"/>
      <c r="AC259" s="826"/>
      <c r="AD259" s="826"/>
      <c r="AE259" s="826"/>
      <c r="AF259" s="826"/>
      <c r="AG259" s="826"/>
      <c r="AK259" s="802"/>
    </row>
    <row r="260" spans="2:37" s="811" customFormat="1" outlineLevel="1" x14ac:dyDescent="0.25">
      <c r="B260" s="1545"/>
      <c r="C260" s="1535"/>
      <c r="D260" s="2370"/>
      <c r="E260" s="1066" t="s">
        <v>1273</v>
      </c>
      <c r="F260" s="1741">
        <v>1</v>
      </c>
      <c r="G260" s="952" t="s">
        <v>593</v>
      </c>
      <c r="H260" s="1068"/>
      <c r="I260" s="1545"/>
      <c r="J260" s="1545"/>
      <c r="K260" s="1545"/>
      <c r="L260" s="1545"/>
      <c r="M260" s="1545"/>
      <c r="N260" s="1545"/>
      <c r="O260" s="1545"/>
      <c r="P260" s="1545"/>
      <c r="Q260" s="1545"/>
      <c r="R260" s="1545"/>
      <c r="S260" s="1548"/>
      <c r="T260" s="1548"/>
      <c r="U260" s="1548"/>
      <c r="V260" s="2294"/>
      <c r="W260" s="825">
        <v>1</v>
      </c>
      <c r="X260" s="825">
        <v>1</v>
      </c>
      <c r="Y260" s="825"/>
      <c r="Z260" s="825"/>
      <c r="AA260" s="825"/>
      <c r="AB260" s="825"/>
      <c r="AC260" s="825"/>
      <c r="AD260" s="825"/>
      <c r="AE260" s="825"/>
      <c r="AF260" s="825"/>
      <c r="AG260" s="825"/>
      <c r="AK260" s="802"/>
    </row>
    <row r="261" spans="2:37" s="811" customFormat="1" outlineLevel="1" x14ac:dyDescent="0.25">
      <c r="B261" s="1545"/>
      <c r="C261" s="1535"/>
      <c r="D261" s="2370"/>
      <c r="E261" s="1066" t="s">
        <v>1274</v>
      </c>
      <c r="F261" s="1741">
        <f>7/3.412*0.85</f>
        <v>1.7438452520515826</v>
      </c>
      <c r="G261" s="952" t="s">
        <v>593</v>
      </c>
      <c r="H261" s="1068" t="s">
        <v>1298</v>
      </c>
      <c r="I261" s="1545"/>
      <c r="J261" s="1545"/>
      <c r="K261" s="1545"/>
      <c r="L261" s="1545"/>
      <c r="M261" s="1545"/>
      <c r="N261" s="1545"/>
      <c r="O261" s="1545"/>
      <c r="P261" s="1545"/>
      <c r="Q261" s="1545"/>
      <c r="R261" s="1545"/>
      <c r="S261" s="1548"/>
      <c r="T261" s="1548"/>
      <c r="U261" s="1548"/>
      <c r="V261" s="2294"/>
      <c r="W261" s="825">
        <f>7/3.412*0.85</f>
        <v>1.7438452520515826</v>
      </c>
      <c r="X261" s="825">
        <v>1.7438452520515826</v>
      </c>
      <c r="Y261" s="825"/>
      <c r="Z261" s="825"/>
      <c r="AA261" s="825"/>
      <c r="AB261" s="825"/>
      <c r="AC261" s="825"/>
      <c r="AD261" s="825"/>
      <c r="AE261" s="825"/>
      <c r="AF261" s="825"/>
      <c r="AG261" s="825"/>
      <c r="AK261" s="802"/>
    </row>
    <row r="262" spans="2:37" s="811" customFormat="1" outlineLevel="1" x14ac:dyDescent="0.25">
      <c r="B262" s="1545"/>
      <c r="C262" s="1535"/>
      <c r="D262" s="2370"/>
      <c r="E262" s="1726" t="s">
        <v>1275</v>
      </c>
      <c r="F262" s="1742">
        <v>0.71</v>
      </c>
      <c r="G262" s="952" t="s">
        <v>593</v>
      </c>
      <c r="H262" s="1068"/>
      <c r="I262" s="1545"/>
      <c r="J262" s="1545"/>
      <c r="K262" s="1545"/>
      <c r="L262" s="1545"/>
      <c r="M262" s="1545"/>
      <c r="N262" s="1545"/>
      <c r="O262" s="1545"/>
      <c r="P262" s="1545"/>
      <c r="Q262" s="1545"/>
      <c r="R262" s="1545"/>
      <c r="S262" s="1548"/>
      <c r="T262" s="1548"/>
      <c r="U262" s="1548"/>
      <c r="V262" s="2294"/>
      <c r="W262" s="826">
        <v>0.71</v>
      </c>
      <c r="X262" s="826">
        <v>0.71</v>
      </c>
      <c r="Y262" s="826"/>
      <c r="Z262" s="826"/>
      <c r="AA262" s="826"/>
      <c r="AB262" s="826"/>
      <c r="AC262" s="826"/>
      <c r="AD262" s="826"/>
      <c r="AE262" s="826"/>
      <c r="AF262" s="826"/>
      <c r="AG262" s="826"/>
      <c r="AK262" s="802"/>
    </row>
    <row r="263" spans="2:37" s="811" customFormat="1" outlineLevel="1" x14ac:dyDescent="0.25">
      <c r="B263" s="1545"/>
      <c r="C263" s="1535"/>
      <c r="D263" s="2370"/>
      <c r="E263" s="1066" t="s">
        <v>1276</v>
      </c>
      <c r="F263" s="1741">
        <v>1</v>
      </c>
      <c r="G263" s="952" t="s">
        <v>593</v>
      </c>
      <c r="H263" s="1068"/>
      <c r="I263" s="1545"/>
      <c r="J263" s="1545"/>
      <c r="K263" s="1545"/>
      <c r="L263" s="1545"/>
      <c r="M263" s="1545"/>
      <c r="N263" s="1545"/>
      <c r="O263" s="1545"/>
      <c r="P263" s="1545"/>
      <c r="Q263" s="1545"/>
      <c r="R263" s="1545"/>
      <c r="S263" s="1548"/>
      <c r="T263" s="1548"/>
      <c r="U263" s="1548"/>
      <c r="V263" s="2294"/>
      <c r="W263" s="825">
        <v>1</v>
      </c>
      <c r="X263" s="825">
        <v>1</v>
      </c>
      <c r="Y263" s="825"/>
      <c r="Z263" s="825"/>
      <c r="AA263" s="825"/>
      <c r="AB263" s="825"/>
      <c r="AC263" s="825"/>
      <c r="AD263" s="825"/>
      <c r="AE263" s="825"/>
      <c r="AF263" s="825"/>
      <c r="AG263" s="825"/>
      <c r="AK263" s="802"/>
    </row>
    <row r="264" spans="2:37" s="811" customFormat="1" outlineLevel="1" x14ac:dyDescent="0.25">
      <c r="B264" s="1545"/>
      <c r="C264" s="1535"/>
      <c r="D264" s="2370"/>
      <c r="E264" s="1066" t="s">
        <v>1277</v>
      </c>
      <c r="F264" s="1741">
        <f>7/3.412*0.85</f>
        <v>1.7438452520515826</v>
      </c>
      <c r="G264" s="952" t="s">
        <v>593</v>
      </c>
      <c r="H264" s="1068" t="s">
        <v>1298</v>
      </c>
      <c r="I264" s="1545"/>
      <c r="J264" s="1545"/>
      <c r="K264" s="1545"/>
      <c r="L264" s="1545"/>
      <c r="M264" s="1545"/>
      <c r="N264" s="1545"/>
      <c r="O264" s="1545"/>
      <c r="P264" s="1545"/>
      <c r="Q264" s="1545"/>
      <c r="R264" s="1545"/>
      <c r="S264" s="1548"/>
      <c r="T264" s="1548"/>
      <c r="U264" s="1548"/>
      <c r="V264" s="2294"/>
      <c r="W264" s="825">
        <f>7/3.412*0.85</f>
        <v>1.7438452520515826</v>
      </c>
      <c r="X264" s="825">
        <v>1.7438452520515826</v>
      </c>
      <c r="Y264" s="825"/>
      <c r="Z264" s="825"/>
      <c r="AA264" s="825"/>
      <c r="AB264" s="825"/>
      <c r="AC264" s="825"/>
      <c r="AD264" s="825"/>
      <c r="AE264" s="825"/>
      <c r="AF264" s="825"/>
      <c r="AG264" s="825"/>
      <c r="AK264" s="802"/>
    </row>
    <row r="265" spans="2:37" s="811" customFormat="1" outlineLevel="1" x14ac:dyDescent="0.25">
      <c r="B265" s="1545"/>
      <c r="C265" s="1535"/>
      <c r="D265" s="2370"/>
      <c r="E265" s="1739" t="s">
        <v>1278</v>
      </c>
      <c r="F265" s="1742">
        <v>0.71</v>
      </c>
      <c r="G265" s="952" t="s">
        <v>593</v>
      </c>
      <c r="H265" s="1068"/>
      <c r="I265" s="1545"/>
      <c r="J265" s="1545"/>
      <c r="K265" s="1545"/>
      <c r="L265" s="1545"/>
      <c r="M265" s="1545"/>
      <c r="N265" s="1545"/>
      <c r="O265" s="1545"/>
      <c r="P265" s="1545"/>
      <c r="Q265" s="1545"/>
      <c r="R265" s="1545"/>
      <c r="S265" s="1548"/>
      <c r="T265" s="1548"/>
      <c r="U265" s="1548"/>
      <c r="V265" s="2294"/>
      <c r="W265" s="826">
        <v>0.71</v>
      </c>
      <c r="X265" s="826">
        <v>0.71</v>
      </c>
      <c r="Y265" s="826"/>
      <c r="Z265" s="826"/>
      <c r="AA265" s="826"/>
      <c r="AB265" s="826"/>
      <c r="AC265" s="826"/>
      <c r="AD265" s="826"/>
      <c r="AE265" s="826"/>
      <c r="AF265" s="826"/>
      <c r="AG265" s="826"/>
      <c r="AK265" s="802"/>
    </row>
    <row r="266" spans="2:37" s="811" customFormat="1" outlineLevel="1" x14ac:dyDescent="0.25">
      <c r="B266" s="1545"/>
      <c r="C266" s="1535"/>
      <c r="D266" s="2370"/>
      <c r="E266" s="1066" t="s">
        <v>1279</v>
      </c>
      <c r="F266" s="1741">
        <v>1</v>
      </c>
      <c r="G266" s="952" t="s">
        <v>593</v>
      </c>
      <c r="H266" s="1068"/>
      <c r="I266" s="1545"/>
      <c r="J266" s="1545"/>
      <c r="K266" s="1545"/>
      <c r="L266" s="1545"/>
      <c r="M266" s="1545"/>
      <c r="N266" s="1545"/>
      <c r="O266" s="1545"/>
      <c r="P266" s="1545"/>
      <c r="Q266" s="1545"/>
      <c r="R266" s="1545"/>
      <c r="S266" s="1548"/>
      <c r="T266" s="1548"/>
      <c r="U266" s="1548"/>
      <c r="V266" s="2294"/>
      <c r="W266" s="825">
        <v>1</v>
      </c>
      <c r="X266" s="825">
        <v>1</v>
      </c>
      <c r="Y266" s="825"/>
      <c r="Z266" s="825"/>
      <c r="AA266" s="825"/>
      <c r="AB266" s="825"/>
      <c r="AC266" s="825"/>
      <c r="AD266" s="825"/>
      <c r="AE266" s="825"/>
      <c r="AF266" s="825"/>
      <c r="AG266" s="825"/>
      <c r="AK266" s="802"/>
    </row>
    <row r="267" spans="2:37" s="811" customFormat="1" outlineLevel="1" x14ac:dyDescent="0.25">
      <c r="B267" s="1545"/>
      <c r="C267" s="1535"/>
      <c r="D267" s="2370"/>
      <c r="E267" s="1066" t="s">
        <v>1280</v>
      </c>
      <c r="F267" s="1741">
        <f>7/3.412*0.85</f>
        <v>1.7438452520515826</v>
      </c>
      <c r="G267" s="952" t="s">
        <v>593</v>
      </c>
      <c r="H267" s="1068"/>
      <c r="I267" s="1545"/>
      <c r="J267" s="1545"/>
      <c r="K267" s="1545"/>
      <c r="L267" s="1545"/>
      <c r="M267" s="1545"/>
      <c r="N267" s="1545"/>
      <c r="O267" s="1545"/>
      <c r="P267" s="1545"/>
      <c r="Q267" s="1545"/>
      <c r="R267" s="1545"/>
      <c r="S267" s="1548"/>
      <c r="T267" s="1548"/>
      <c r="U267" s="1548"/>
      <c r="V267" s="2294"/>
      <c r="W267" s="825">
        <f>7/3.412*0.85</f>
        <v>1.7438452520515826</v>
      </c>
      <c r="X267" s="825">
        <v>1.7438452520515826</v>
      </c>
      <c r="Y267" s="825"/>
      <c r="Z267" s="825"/>
      <c r="AA267" s="825"/>
      <c r="AB267" s="825"/>
      <c r="AC267" s="825"/>
      <c r="AD267" s="825"/>
      <c r="AE267" s="825"/>
      <c r="AF267" s="825"/>
      <c r="AG267" s="825"/>
      <c r="AK267" s="802"/>
    </row>
    <row r="268" spans="2:37" s="811" customFormat="1" outlineLevel="1" x14ac:dyDescent="0.25">
      <c r="B268" s="1545"/>
      <c r="C268" s="1535"/>
      <c r="D268" s="2370"/>
      <c r="E268" s="1726" t="s">
        <v>1281</v>
      </c>
      <c r="F268" s="1742">
        <v>0.71</v>
      </c>
      <c r="G268" s="952" t="s">
        <v>593</v>
      </c>
      <c r="H268" s="1068"/>
      <c r="I268" s="1545"/>
      <c r="J268" s="1545"/>
      <c r="K268" s="1545"/>
      <c r="L268" s="1545"/>
      <c r="M268" s="1545"/>
      <c r="N268" s="1545"/>
      <c r="O268" s="1545"/>
      <c r="P268" s="1545"/>
      <c r="Q268" s="1545"/>
      <c r="R268" s="1545"/>
      <c r="S268" s="1548"/>
      <c r="T268" s="1548"/>
      <c r="U268" s="1548"/>
      <c r="V268" s="2294"/>
      <c r="W268" s="826">
        <v>0.71</v>
      </c>
      <c r="X268" s="826">
        <v>0.71</v>
      </c>
      <c r="Y268" s="826"/>
      <c r="Z268" s="826"/>
      <c r="AA268" s="826"/>
      <c r="AB268" s="826"/>
      <c r="AC268" s="826"/>
      <c r="AD268" s="826"/>
      <c r="AE268" s="826"/>
      <c r="AF268" s="826"/>
      <c r="AG268" s="826"/>
      <c r="AK268" s="802"/>
    </row>
    <row r="269" spans="2:37" s="811" customFormat="1" outlineLevel="1" x14ac:dyDescent="0.25">
      <c r="B269" s="1545"/>
      <c r="C269" s="1535"/>
      <c r="D269" s="2370"/>
      <c r="E269" s="1066" t="s">
        <v>1282</v>
      </c>
      <c r="F269" s="1741">
        <v>1</v>
      </c>
      <c r="G269" s="952" t="s">
        <v>593</v>
      </c>
      <c r="H269" s="1068"/>
      <c r="I269" s="1545"/>
      <c r="J269" s="1545"/>
      <c r="K269" s="1545"/>
      <c r="L269" s="1545"/>
      <c r="M269" s="1545"/>
      <c r="N269" s="1545"/>
      <c r="O269" s="1545"/>
      <c r="P269" s="1545"/>
      <c r="Q269" s="1545"/>
      <c r="R269" s="1545"/>
      <c r="S269" s="1548"/>
      <c r="T269" s="1548"/>
      <c r="U269" s="1548"/>
      <c r="V269" s="2294"/>
      <c r="W269" s="825">
        <v>1</v>
      </c>
      <c r="X269" s="825">
        <v>1</v>
      </c>
      <c r="Y269" s="825"/>
      <c r="Z269" s="825"/>
      <c r="AA269" s="825"/>
      <c r="AB269" s="825"/>
      <c r="AC269" s="825"/>
      <c r="AD269" s="825"/>
      <c r="AE269" s="825"/>
      <c r="AF269" s="825"/>
      <c r="AG269" s="825"/>
      <c r="AK269" s="802"/>
    </row>
    <row r="270" spans="2:37" s="811" customFormat="1" outlineLevel="1" x14ac:dyDescent="0.25">
      <c r="B270" s="1545"/>
      <c r="C270" s="1535"/>
      <c r="D270" s="2370"/>
      <c r="E270" s="1726" t="s">
        <v>1283</v>
      </c>
      <c r="F270" s="1741">
        <f>7/3.412*0.85</f>
        <v>1.7438452520515826</v>
      </c>
      <c r="G270" s="952" t="s">
        <v>593</v>
      </c>
      <c r="H270" s="1068"/>
      <c r="I270" s="1545"/>
      <c r="J270" s="1545"/>
      <c r="K270" s="1545"/>
      <c r="L270" s="1545"/>
      <c r="M270" s="1545"/>
      <c r="N270" s="1545"/>
      <c r="O270" s="1545"/>
      <c r="P270" s="1545"/>
      <c r="Q270" s="1545"/>
      <c r="R270" s="1545"/>
      <c r="S270" s="1548"/>
      <c r="T270" s="1548"/>
      <c r="U270" s="1548"/>
      <c r="V270" s="2294"/>
      <c r="W270" s="825">
        <f>7/3.412*0.85</f>
        <v>1.7438452520515826</v>
      </c>
      <c r="X270" s="825">
        <v>1.7438452520515826</v>
      </c>
      <c r="Y270" s="825"/>
      <c r="Z270" s="825"/>
      <c r="AA270" s="825"/>
      <c r="AB270" s="825"/>
      <c r="AC270" s="825"/>
      <c r="AD270" s="825"/>
      <c r="AE270" s="825"/>
      <c r="AF270" s="825"/>
      <c r="AG270" s="825"/>
      <c r="AK270" s="802"/>
    </row>
    <row r="271" spans="2:37" s="811" customFormat="1" outlineLevel="1" x14ac:dyDescent="0.25">
      <c r="B271" s="1545"/>
      <c r="C271" s="1535"/>
      <c r="D271" s="2370"/>
      <c r="E271" s="1066" t="s">
        <v>1284</v>
      </c>
      <c r="F271" s="1742">
        <v>0.71</v>
      </c>
      <c r="G271" s="952" t="s">
        <v>593</v>
      </c>
      <c r="H271" s="1068"/>
      <c r="I271" s="1545"/>
      <c r="J271" s="1545"/>
      <c r="K271" s="1545"/>
      <c r="L271" s="1545"/>
      <c r="M271" s="1545"/>
      <c r="N271" s="1545"/>
      <c r="O271" s="1545"/>
      <c r="P271" s="1545"/>
      <c r="Q271" s="1545"/>
      <c r="R271" s="1545"/>
      <c r="S271" s="1548"/>
      <c r="T271" s="1548"/>
      <c r="U271" s="1548"/>
      <c r="V271" s="2294"/>
      <c r="W271" s="826">
        <v>0.71</v>
      </c>
      <c r="X271" s="826">
        <v>0.71</v>
      </c>
      <c r="Y271" s="826"/>
      <c r="Z271" s="826"/>
      <c r="AA271" s="826"/>
      <c r="AB271" s="826"/>
      <c r="AC271" s="826"/>
      <c r="AD271" s="826"/>
      <c r="AE271" s="826"/>
      <c r="AF271" s="826"/>
      <c r="AG271" s="826"/>
      <c r="AK271" s="802"/>
    </row>
    <row r="272" spans="2:37" s="811" customFormat="1" outlineLevel="1" x14ac:dyDescent="0.25">
      <c r="B272" s="1545"/>
      <c r="C272" s="1535"/>
      <c r="D272" s="2370"/>
      <c r="E272" s="1066" t="s">
        <v>1285</v>
      </c>
      <c r="F272" s="1741">
        <v>1</v>
      </c>
      <c r="G272" s="952" t="s">
        <v>593</v>
      </c>
      <c r="H272" s="1068"/>
      <c r="I272" s="1545"/>
      <c r="J272" s="1545"/>
      <c r="K272" s="1545"/>
      <c r="L272" s="1545"/>
      <c r="M272" s="1545"/>
      <c r="N272" s="1545"/>
      <c r="O272" s="1545"/>
      <c r="P272" s="1545"/>
      <c r="Q272" s="1545"/>
      <c r="R272" s="1545"/>
      <c r="S272" s="1548"/>
      <c r="T272" s="1548"/>
      <c r="U272" s="1548"/>
      <c r="V272" s="2294"/>
      <c r="W272" s="825">
        <v>1</v>
      </c>
      <c r="X272" s="825">
        <v>1</v>
      </c>
      <c r="Y272" s="825"/>
      <c r="Z272" s="825"/>
      <c r="AA272" s="825"/>
      <c r="AB272" s="825"/>
      <c r="AC272" s="825"/>
      <c r="AD272" s="825"/>
      <c r="AE272" s="825"/>
      <c r="AF272" s="825"/>
      <c r="AG272" s="825"/>
      <c r="AK272" s="802"/>
    </row>
    <row r="273" spans="2:37" s="811" customFormat="1" outlineLevel="1" x14ac:dyDescent="0.25">
      <c r="B273" s="1545"/>
      <c r="C273" s="1535"/>
      <c r="D273" s="2370"/>
      <c r="E273" s="1066" t="s">
        <v>1286</v>
      </c>
      <c r="F273" s="1741">
        <f>7/3.412*0.85</f>
        <v>1.7438452520515826</v>
      </c>
      <c r="G273" s="952" t="s">
        <v>593</v>
      </c>
      <c r="H273" s="1068"/>
      <c r="I273" s="1545"/>
      <c r="J273" s="1545"/>
      <c r="K273" s="1545"/>
      <c r="L273" s="1545"/>
      <c r="M273" s="1545"/>
      <c r="N273" s="1545"/>
      <c r="O273" s="1545"/>
      <c r="P273" s="1545"/>
      <c r="Q273" s="1545"/>
      <c r="R273" s="1545"/>
      <c r="S273" s="1548"/>
      <c r="T273" s="1548"/>
      <c r="U273" s="1548"/>
      <c r="V273" s="2294"/>
      <c r="W273" s="825">
        <f>7/3.412*0.85</f>
        <v>1.7438452520515826</v>
      </c>
      <c r="X273" s="825">
        <v>1.7438452520515826</v>
      </c>
      <c r="Y273" s="825"/>
      <c r="Z273" s="825"/>
      <c r="AA273" s="825"/>
      <c r="AB273" s="825"/>
      <c r="AC273" s="825"/>
      <c r="AD273" s="825"/>
      <c r="AE273" s="825"/>
      <c r="AF273" s="825"/>
      <c r="AG273" s="825"/>
      <c r="AK273" s="802"/>
    </row>
    <row r="274" spans="2:37" s="811" customFormat="1" outlineLevel="1" x14ac:dyDescent="0.25">
      <c r="B274" s="1545"/>
      <c r="C274" s="1535"/>
      <c r="D274" s="2370"/>
      <c r="E274" s="1726" t="s">
        <v>1287</v>
      </c>
      <c r="F274" s="1742">
        <v>0.71</v>
      </c>
      <c r="G274" s="952" t="s">
        <v>593</v>
      </c>
      <c r="H274" s="1068"/>
      <c r="I274" s="1545"/>
      <c r="J274" s="1545"/>
      <c r="K274" s="1545"/>
      <c r="L274" s="1545"/>
      <c r="M274" s="1545"/>
      <c r="N274" s="1545"/>
      <c r="O274" s="1545"/>
      <c r="P274" s="1545"/>
      <c r="Q274" s="1545"/>
      <c r="R274" s="1545"/>
      <c r="S274" s="1548"/>
      <c r="T274" s="1548"/>
      <c r="U274" s="1548"/>
      <c r="V274" s="2294"/>
      <c r="W274" s="826">
        <v>0.71</v>
      </c>
      <c r="X274" s="826">
        <v>0.71</v>
      </c>
      <c r="Y274" s="826"/>
      <c r="Z274" s="826"/>
      <c r="AA274" s="826"/>
      <c r="AB274" s="826"/>
      <c r="AC274" s="826"/>
      <c r="AD274" s="826"/>
      <c r="AE274" s="826"/>
      <c r="AF274" s="826"/>
      <c r="AG274" s="826"/>
      <c r="AK274" s="802"/>
    </row>
    <row r="275" spans="2:37" s="811" customFormat="1" outlineLevel="1" x14ac:dyDescent="0.25">
      <c r="B275" s="1545"/>
      <c r="C275" s="1535"/>
      <c r="D275" s="2370"/>
      <c r="E275" s="1066" t="s">
        <v>1288</v>
      </c>
      <c r="F275" s="1741">
        <v>1</v>
      </c>
      <c r="G275" s="952" t="s">
        <v>593</v>
      </c>
      <c r="H275" s="1068"/>
      <c r="I275" s="1545"/>
      <c r="J275" s="1545"/>
      <c r="K275" s="1545"/>
      <c r="L275" s="1545"/>
      <c r="M275" s="1545"/>
      <c r="N275" s="1545"/>
      <c r="O275" s="1545"/>
      <c r="P275" s="1545"/>
      <c r="Q275" s="1545"/>
      <c r="R275" s="1545"/>
      <c r="S275" s="1548"/>
      <c r="T275" s="1548"/>
      <c r="U275" s="1548"/>
      <c r="V275" s="2294"/>
      <c r="W275" s="825">
        <v>1</v>
      </c>
      <c r="X275" s="825">
        <v>1</v>
      </c>
      <c r="Y275" s="825"/>
      <c r="Z275" s="825"/>
      <c r="AA275" s="825"/>
      <c r="AB275" s="825"/>
      <c r="AC275" s="825"/>
      <c r="AD275" s="825"/>
      <c r="AE275" s="825"/>
      <c r="AF275" s="825"/>
      <c r="AG275" s="825"/>
      <c r="AK275" s="802"/>
    </row>
    <row r="276" spans="2:37" s="811" customFormat="1" outlineLevel="1" x14ac:dyDescent="0.25">
      <c r="B276" s="1545"/>
      <c r="C276" s="1535"/>
      <c r="D276" s="2370"/>
      <c r="E276" s="1726" t="s">
        <v>1289</v>
      </c>
      <c r="F276" s="1741">
        <f>7/3.412*0.85</f>
        <v>1.7438452520515826</v>
      </c>
      <c r="G276" s="952" t="s">
        <v>593</v>
      </c>
      <c r="H276" s="1068"/>
      <c r="I276" s="1545"/>
      <c r="J276" s="1545"/>
      <c r="K276" s="1545"/>
      <c r="L276" s="1545"/>
      <c r="M276" s="1545"/>
      <c r="N276" s="1545"/>
      <c r="O276" s="1545"/>
      <c r="P276" s="1545"/>
      <c r="Q276" s="1545"/>
      <c r="R276" s="1545"/>
      <c r="S276" s="1548"/>
      <c r="T276" s="1548"/>
      <c r="U276" s="1548"/>
      <c r="V276" s="2294"/>
      <c r="W276" s="825">
        <f>7/3.412*0.85</f>
        <v>1.7438452520515826</v>
      </c>
      <c r="X276" s="825">
        <v>1.7438452520515826</v>
      </c>
      <c r="Y276" s="825"/>
      <c r="Z276" s="825"/>
      <c r="AA276" s="825"/>
      <c r="AB276" s="825"/>
      <c r="AC276" s="825"/>
      <c r="AD276" s="825"/>
      <c r="AE276" s="825"/>
      <c r="AF276" s="825"/>
      <c r="AG276" s="825"/>
      <c r="AK276" s="802"/>
    </row>
    <row r="277" spans="2:37" s="811" customFormat="1" outlineLevel="1" x14ac:dyDescent="0.25">
      <c r="B277" s="1545"/>
      <c r="C277" s="1535"/>
      <c r="D277" s="2370"/>
      <c r="E277" s="1066" t="s">
        <v>1290</v>
      </c>
      <c r="F277" s="1742">
        <v>0.71</v>
      </c>
      <c r="G277" s="952" t="s">
        <v>593</v>
      </c>
      <c r="H277" s="1068"/>
      <c r="I277" s="1545"/>
      <c r="J277" s="1545"/>
      <c r="K277" s="1545"/>
      <c r="L277" s="1545"/>
      <c r="M277" s="1545"/>
      <c r="N277" s="1545"/>
      <c r="O277" s="1545"/>
      <c r="P277" s="1545"/>
      <c r="Q277" s="1545"/>
      <c r="R277" s="1545"/>
      <c r="S277" s="1548"/>
      <c r="T277" s="1548"/>
      <c r="U277" s="1548"/>
      <c r="V277" s="2295"/>
      <c r="W277" s="826">
        <v>0.71</v>
      </c>
      <c r="X277" s="826">
        <v>0.71</v>
      </c>
      <c r="Y277" s="826"/>
      <c r="Z277" s="826"/>
      <c r="AA277" s="826"/>
      <c r="AB277" s="826"/>
      <c r="AC277" s="826"/>
      <c r="AD277" s="826"/>
      <c r="AE277" s="826"/>
      <c r="AF277" s="826"/>
      <c r="AG277" s="826"/>
      <c r="AK277" s="802"/>
    </row>
    <row r="278" spans="2:37" s="811" customFormat="1" outlineLevel="1" x14ac:dyDescent="0.25">
      <c r="B278" s="1545"/>
      <c r="C278" s="1535"/>
      <c r="D278" s="2377" t="s">
        <v>604</v>
      </c>
      <c r="E278" s="1066" t="s">
        <v>1261</v>
      </c>
      <c r="F278" s="1741">
        <f t="shared" ref="F278:F307" si="19">(1-F125)*(1/(F155+5)-1/(F185+5))*F215*(1-F$245)*F$246*24*F$247/(100000*F248)</f>
        <v>0</v>
      </c>
      <c r="G278" s="952" t="s">
        <v>605</v>
      </c>
      <c r="H278" s="1068"/>
      <c r="I278" s="1545"/>
      <c r="J278" s="1545"/>
      <c r="K278" s="1545"/>
      <c r="L278" s="1545"/>
      <c r="M278" s="1545"/>
      <c r="N278" s="1545"/>
      <c r="O278" s="1545"/>
      <c r="P278" s="1545"/>
      <c r="Q278" s="1545"/>
      <c r="R278" s="1545"/>
      <c r="S278" s="1548"/>
      <c r="T278" s="1548"/>
      <c r="U278" s="1548"/>
      <c r="V278" s="2293" t="str">
        <f>D278</f>
        <v>∆Therms</v>
      </c>
      <c r="W278" s="825">
        <f t="shared" ref="W278:W307" si="20">(1-W125)*(1/(W155+5)-1/(W185+5))*W215*(1-W$245)*W$246*24*W$247/(100000*W248)</f>
        <v>0</v>
      </c>
      <c r="X278" s="825">
        <v>0</v>
      </c>
      <c r="Y278" s="825"/>
      <c r="Z278" s="825"/>
      <c r="AA278" s="825"/>
      <c r="AB278" s="825"/>
      <c r="AC278" s="825"/>
      <c r="AD278" s="825"/>
      <c r="AE278" s="825"/>
      <c r="AF278" s="825"/>
      <c r="AG278" s="825"/>
      <c r="AK278" s="802"/>
    </row>
    <row r="279" spans="2:37" s="811" customFormat="1" outlineLevel="1" x14ac:dyDescent="0.25">
      <c r="B279" s="1545"/>
      <c r="C279" s="1535"/>
      <c r="D279" s="2378"/>
      <c r="E279" s="1066" t="s">
        <v>1262</v>
      </c>
      <c r="F279" s="1741">
        <f t="shared" si="19"/>
        <v>0</v>
      </c>
      <c r="G279" s="952" t="s">
        <v>605</v>
      </c>
      <c r="H279" s="1068"/>
      <c r="I279" s="1545"/>
      <c r="J279" s="1545"/>
      <c r="K279" s="1545"/>
      <c r="L279" s="1545"/>
      <c r="M279" s="1545"/>
      <c r="N279" s="1545"/>
      <c r="O279" s="1545"/>
      <c r="P279" s="1545"/>
      <c r="Q279" s="1545"/>
      <c r="R279" s="1545"/>
      <c r="S279" s="1548"/>
      <c r="T279" s="1548"/>
      <c r="U279" s="1548"/>
      <c r="V279" s="2294"/>
      <c r="W279" s="825">
        <f t="shared" si="20"/>
        <v>0</v>
      </c>
      <c r="X279" s="825">
        <v>0</v>
      </c>
      <c r="Y279" s="825"/>
      <c r="Z279" s="825"/>
      <c r="AA279" s="825"/>
      <c r="AB279" s="825"/>
      <c r="AC279" s="825"/>
      <c r="AD279" s="825"/>
      <c r="AE279" s="825"/>
      <c r="AF279" s="825"/>
      <c r="AG279" s="825"/>
      <c r="AK279" s="802"/>
    </row>
    <row r="280" spans="2:37" s="811" customFormat="1" outlineLevel="1" x14ac:dyDescent="0.25">
      <c r="B280" s="1545"/>
      <c r="C280" s="1535"/>
      <c r="D280" s="2378"/>
      <c r="E280" s="1066" t="s">
        <v>1263</v>
      </c>
      <c r="F280" s="1741">
        <f t="shared" si="19"/>
        <v>40.186264375070415</v>
      </c>
      <c r="G280" s="952" t="s">
        <v>605</v>
      </c>
      <c r="H280" s="1068"/>
      <c r="I280" s="1545"/>
      <c r="J280" s="1545"/>
      <c r="K280" s="1545"/>
      <c r="L280" s="1545"/>
      <c r="M280" s="1545"/>
      <c r="N280" s="1545"/>
      <c r="O280" s="1545"/>
      <c r="P280" s="1545"/>
      <c r="Q280" s="1545"/>
      <c r="R280" s="1545"/>
      <c r="S280" s="1548"/>
      <c r="T280" s="1548"/>
      <c r="U280" s="1548"/>
      <c r="V280" s="2294"/>
      <c r="W280" s="825">
        <f t="shared" si="20"/>
        <v>40.186264375070415</v>
      </c>
      <c r="X280" s="825">
        <v>40.186264375070415</v>
      </c>
      <c r="Y280" s="825"/>
      <c r="Z280" s="825"/>
      <c r="AA280" s="825"/>
      <c r="AB280" s="825"/>
      <c r="AC280" s="825"/>
      <c r="AD280" s="825"/>
      <c r="AE280" s="825"/>
      <c r="AF280" s="825"/>
      <c r="AG280" s="825"/>
      <c r="AK280" s="802"/>
    </row>
    <row r="281" spans="2:37" s="811" customFormat="1" outlineLevel="1" x14ac:dyDescent="0.25">
      <c r="B281" s="1545"/>
      <c r="C281" s="1535"/>
      <c r="D281" s="2378"/>
      <c r="E281" s="1066" t="s">
        <v>1264</v>
      </c>
      <c r="F281" s="1741">
        <f t="shared" si="19"/>
        <v>0</v>
      </c>
      <c r="G281" s="952" t="s">
        <v>605</v>
      </c>
      <c r="H281" s="1068"/>
      <c r="I281" s="1545"/>
      <c r="J281" s="1545"/>
      <c r="K281" s="1545"/>
      <c r="L281" s="1545"/>
      <c r="M281" s="1545"/>
      <c r="N281" s="1545"/>
      <c r="O281" s="1545"/>
      <c r="P281" s="1545"/>
      <c r="Q281" s="1545"/>
      <c r="R281" s="1545"/>
      <c r="S281" s="1548"/>
      <c r="T281" s="1548"/>
      <c r="U281" s="1548"/>
      <c r="V281" s="2294"/>
      <c r="W281" s="825">
        <f t="shared" si="20"/>
        <v>0</v>
      </c>
      <c r="X281" s="825">
        <v>0</v>
      </c>
      <c r="Y281" s="825"/>
      <c r="Z281" s="825"/>
      <c r="AA281" s="825"/>
      <c r="AB281" s="825"/>
      <c r="AC281" s="825"/>
      <c r="AD281" s="825"/>
      <c r="AE281" s="825"/>
      <c r="AF281" s="825"/>
      <c r="AG281" s="825"/>
      <c r="AK281" s="802"/>
    </row>
    <row r="282" spans="2:37" s="811" customFormat="1" outlineLevel="1" x14ac:dyDescent="0.25">
      <c r="B282" s="1545"/>
      <c r="C282" s="1535"/>
      <c r="D282" s="2378"/>
      <c r="E282" s="1066" t="s">
        <v>1265</v>
      </c>
      <c r="F282" s="1741">
        <f t="shared" si="19"/>
        <v>0</v>
      </c>
      <c r="G282" s="952" t="s">
        <v>605</v>
      </c>
      <c r="H282" s="1068"/>
      <c r="I282" s="1545"/>
      <c r="J282" s="1545"/>
      <c r="K282" s="1545"/>
      <c r="L282" s="1545"/>
      <c r="M282" s="1545"/>
      <c r="N282" s="1545"/>
      <c r="O282" s="1545"/>
      <c r="P282" s="1545"/>
      <c r="Q282" s="1545"/>
      <c r="R282" s="1545"/>
      <c r="S282" s="1548"/>
      <c r="T282" s="1548"/>
      <c r="U282" s="1548"/>
      <c r="V282" s="2294"/>
      <c r="W282" s="825">
        <f t="shared" si="20"/>
        <v>0</v>
      </c>
      <c r="X282" s="825">
        <v>0</v>
      </c>
      <c r="Y282" s="825"/>
      <c r="Z282" s="825"/>
      <c r="AA282" s="825"/>
      <c r="AB282" s="825"/>
      <c r="AC282" s="825"/>
      <c r="AD282" s="825"/>
      <c r="AE282" s="825"/>
      <c r="AF282" s="825"/>
      <c r="AG282" s="825"/>
      <c r="AK282" s="802"/>
    </row>
    <row r="283" spans="2:37" s="811" customFormat="1" outlineLevel="1" x14ac:dyDescent="0.25">
      <c r="B283" s="1545"/>
      <c r="C283" s="1535"/>
      <c r="D283" s="2378"/>
      <c r="E283" s="1066" t="s">
        <v>1266</v>
      </c>
      <c r="F283" s="1741">
        <f t="shared" si="19"/>
        <v>61.825022115492956</v>
      </c>
      <c r="G283" s="952" t="s">
        <v>605</v>
      </c>
      <c r="H283" s="1068"/>
      <c r="I283" s="1545"/>
      <c r="J283" s="1545"/>
      <c r="K283" s="1545"/>
      <c r="L283" s="1545"/>
      <c r="M283" s="1545"/>
      <c r="N283" s="1545"/>
      <c r="O283" s="1545"/>
      <c r="P283" s="1545"/>
      <c r="Q283" s="1545"/>
      <c r="R283" s="1545"/>
      <c r="S283" s="1548"/>
      <c r="T283" s="1548"/>
      <c r="U283" s="1548"/>
      <c r="V283" s="2294"/>
      <c r="W283" s="825">
        <f t="shared" si="20"/>
        <v>61.825022115492956</v>
      </c>
      <c r="X283" s="825">
        <v>61.825022115492956</v>
      </c>
      <c r="Y283" s="825"/>
      <c r="Z283" s="825"/>
      <c r="AA283" s="825"/>
      <c r="AB283" s="825"/>
      <c r="AC283" s="825"/>
      <c r="AD283" s="825"/>
      <c r="AE283" s="825"/>
      <c r="AF283" s="825"/>
      <c r="AG283" s="825"/>
      <c r="AK283" s="802"/>
    </row>
    <row r="284" spans="2:37" s="811" customFormat="1" outlineLevel="1" x14ac:dyDescent="0.25">
      <c r="B284" s="1545"/>
      <c r="C284" s="1535"/>
      <c r="D284" s="2378"/>
      <c r="E284" s="1066" t="s">
        <v>1267</v>
      </c>
      <c r="F284" s="1741">
        <f t="shared" si="19"/>
        <v>0</v>
      </c>
      <c r="G284" s="952" t="s">
        <v>605</v>
      </c>
      <c r="H284" s="1068"/>
      <c r="I284" s="1545"/>
      <c r="J284" s="1545"/>
      <c r="K284" s="1545"/>
      <c r="L284" s="1545"/>
      <c r="M284" s="1545"/>
      <c r="N284" s="1545"/>
      <c r="O284" s="1545"/>
      <c r="P284" s="1545"/>
      <c r="Q284" s="1545"/>
      <c r="R284" s="1545"/>
      <c r="S284" s="1548"/>
      <c r="T284" s="1548"/>
      <c r="U284" s="1548"/>
      <c r="V284" s="2294"/>
      <c r="W284" s="825">
        <f t="shared" si="20"/>
        <v>0</v>
      </c>
      <c r="X284" s="825">
        <v>0</v>
      </c>
      <c r="Y284" s="825"/>
      <c r="Z284" s="825"/>
      <c r="AA284" s="825"/>
      <c r="AB284" s="825"/>
      <c r="AC284" s="825"/>
      <c r="AD284" s="825"/>
      <c r="AE284" s="825"/>
      <c r="AF284" s="825"/>
      <c r="AG284" s="825"/>
      <c r="AK284" s="802"/>
    </row>
    <row r="285" spans="2:37" s="811" customFormat="1" outlineLevel="1" x14ac:dyDescent="0.25">
      <c r="B285" s="1545"/>
      <c r="C285" s="1535"/>
      <c r="D285" s="2378"/>
      <c r="E285" s="1066" t="s">
        <v>1268</v>
      </c>
      <c r="F285" s="1741">
        <f t="shared" si="19"/>
        <v>0</v>
      </c>
      <c r="G285" s="952" t="s">
        <v>605</v>
      </c>
      <c r="H285" s="1068"/>
      <c r="I285" s="1545"/>
      <c r="J285" s="1545"/>
      <c r="K285" s="1545"/>
      <c r="L285" s="1545"/>
      <c r="M285" s="1545"/>
      <c r="N285" s="1545"/>
      <c r="O285" s="1545"/>
      <c r="P285" s="1545"/>
      <c r="Q285" s="1545"/>
      <c r="R285" s="1545"/>
      <c r="S285" s="1548"/>
      <c r="T285" s="1548"/>
      <c r="U285" s="1548"/>
      <c r="V285" s="2294"/>
      <c r="W285" s="825">
        <f t="shared" si="20"/>
        <v>0</v>
      </c>
      <c r="X285" s="825">
        <v>0</v>
      </c>
      <c r="Y285" s="825"/>
      <c r="Z285" s="825"/>
      <c r="AA285" s="825"/>
      <c r="AB285" s="825"/>
      <c r="AC285" s="825"/>
      <c r="AD285" s="825"/>
      <c r="AE285" s="825"/>
      <c r="AF285" s="825"/>
      <c r="AG285" s="825"/>
      <c r="AK285" s="802"/>
    </row>
    <row r="286" spans="2:37" s="811" customFormat="1" outlineLevel="1" x14ac:dyDescent="0.25">
      <c r="B286" s="1545"/>
      <c r="C286" s="1535"/>
      <c r="D286" s="2378"/>
      <c r="E286" s="1726" t="s">
        <v>1269</v>
      </c>
      <c r="F286" s="1741">
        <f t="shared" si="19"/>
        <v>53.587966654647893</v>
      </c>
      <c r="G286" s="952" t="s">
        <v>605</v>
      </c>
      <c r="H286" s="1068"/>
      <c r="I286" s="1545"/>
      <c r="J286" s="1545"/>
      <c r="K286" s="1545"/>
      <c r="L286" s="1545"/>
      <c r="M286" s="1545"/>
      <c r="N286" s="1545"/>
      <c r="O286" s="1545"/>
      <c r="P286" s="1545"/>
      <c r="Q286" s="1545"/>
      <c r="R286" s="1545"/>
      <c r="S286" s="1548"/>
      <c r="T286" s="1548"/>
      <c r="U286" s="1548"/>
      <c r="V286" s="2294"/>
      <c r="W286" s="825">
        <f t="shared" si="20"/>
        <v>53.587966654647893</v>
      </c>
      <c r="X286" s="825">
        <v>53.587966654647893</v>
      </c>
      <c r="Y286" s="825"/>
      <c r="Z286" s="825"/>
      <c r="AA286" s="825"/>
      <c r="AB286" s="825"/>
      <c r="AC286" s="825"/>
      <c r="AD286" s="825"/>
      <c r="AE286" s="825"/>
      <c r="AF286" s="825"/>
      <c r="AG286" s="825"/>
      <c r="AK286" s="802"/>
    </row>
    <row r="287" spans="2:37" s="811" customFormat="1" outlineLevel="1" x14ac:dyDescent="0.25">
      <c r="B287" s="1545"/>
      <c r="C287" s="1535"/>
      <c r="D287" s="2378"/>
      <c r="E287" s="1066" t="s">
        <v>1270</v>
      </c>
      <c r="F287" s="1741">
        <f t="shared" si="19"/>
        <v>0</v>
      </c>
      <c r="G287" s="952" t="s">
        <v>605</v>
      </c>
      <c r="H287" s="1068"/>
      <c r="I287" s="1545"/>
      <c r="J287" s="1545"/>
      <c r="K287" s="1545"/>
      <c r="L287" s="1545"/>
      <c r="M287" s="1545"/>
      <c r="N287" s="1545"/>
      <c r="O287" s="1545"/>
      <c r="P287" s="1545"/>
      <c r="Q287" s="1545"/>
      <c r="R287" s="1545"/>
      <c r="S287" s="1548"/>
      <c r="T287" s="1548"/>
      <c r="U287" s="1548"/>
      <c r="V287" s="2294"/>
      <c r="W287" s="825">
        <f t="shared" si="20"/>
        <v>0</v>
      </c>
      <c r="X287" s="825">
        <v>0</v>
      </c>
      <c r="Y287" s="825"/>
      <c r="Z287" s="825"/>
      <c r="AA287" s="825"/>
      <c r="AB287" s="825"/>
      <c r="AC287" s="825"/>
      <c r="AD287" s="825"/>
      <c r="AE287" s="825"/>
      <c r="AF287" s="825"/>
      <c r="AG287" s="825"/>
      <c r="AK287" s="802"/>
    </row>
    <row r="288" spans="2:37" s="811" customFormat="1" outlineLevel="1" x14ac:dyDescent="0.25">
      <c r="B288" s="1545"/>
      <c r="C288" s="1535"/>
      <c r="D288" s="2378"/>
      <c r="E288" s="1066" t="s">
        <v>1271</v>
      </c>
      <c r="F288" s="1741">
        <f t="shared" si="19"/>
        <v>0</v>
      </c>
      <c r="G288" s="952" t="s">
        <v>605</v>
      </c>
      <c r="H288" s="1068"/>
      <c r="I288" s="1545"/>
      <c r="J288" s="1545"/>
      <c r="K288" s="1545"/>
      <c r="L288" s="1545"/>
      <c r="M288" s="1545"/>
      <c r="N288" s="1545"/>
      <c r="O288" s="1545"/>
      <c r="P288" s="1545"/>
      <c r="Q288" s="1545"/>
      <c r="R288" s="1545"/>
      <c r="S288" s="1548"/>
      <c r="T288" s="1548"/>
      <c r="U288" s="1548"/>
      <c r="V288" s="2294"/>
      <c r="W288" s="825">
        <f t="shared" si="20"/>
        <v>0</v>
      </c>
      <c r="X288" s="825">
        <v>0</v>
      </c>
      <c r="Y288" s="825"/>
      <c r="Z288" s="825"/>
      <c r="AA288" s="825"/>
      <c r="AB288" s="825"/>
      <c r="AC288" s="825"/>
      <c r="AD288" s="825"/>
      <c r="AE288" s="825"/>
      <c r="AF288" s="825"/>
      <c r="AG288" s="825"/>
      <c r="AK288" s="802"/>
    </row>
    <row r="289" spans="2:37" s="811" customFormat="1" outlineLevel="1" x14ac:dyDescent="0.25">
      <c r="B289" s="1545"/>
      <c r="C289" s="1535"/>
      <c r="D289" s="2378"/>
      <c r="E289" s="1739" t="s">
        <v>1272</v>
      </c>
      <c r="F289" s="1741">
        <f t="shared" si="19"/>
        <v>82.443025622535217</v>
      </c>
      <c r="G289" s="952" t="s">
        <v>605</v>
      </c>
      <c r="H289" s="1068"/>
      <c r="I289" s="1545"/>
      <c r="J289" s="1545"/>
      <c r="K289" s="1545"/>
      <c r="L289" s="1545"/>
      <c r="M289" s="1545"/>
      <c r="N289" s="1545"/>
      <c r="O289" s="1545"/>
      <c r="P289" s="1545"/>
      <c r="Q289" s="1545"/>
      <c r="R289" s="1545"/>
      <c r="S289" s="1548"/>
      <c r="T289" s="1548"/>
      <c r="U289" s="1548"/>
      <c r="V289" s="2294"/>
      <c r="W289" s="825">
        <f t="shared" si="20"/>
        <v>82.443025622535217</v>
      </c>
      <c r="X289" s="825">
        <v>82.443025622535217</v>
      </c>
      <c r="Y289" s="825"/>
      <c r="Z289" s="825"/>
      <c r="AA289" s="825"/>
      <c r="AB289" s="825"/>
      <c r="AC289" s="825"/>
      <c r="AD289" s="825"/>
      <c r="AE289" s="825"/>
      <c r="AF289" s="825"/>
      <c r="AG289" s="825"/>
      <c r="AK289" s="802"/>
    </row>
    <row r="290" spans="2:37" s="811" customFormat="1" outlineLevel="1" x14ac:dyDescent="0.25">
      <c r="B290" s="1545"/>
      <c r="C290" s="1535"/>
      <c r="D290" s="2378"/>
      <c r="E290" s="1066" t="s">
        <v>1273</v>
      </c>
      <c r="F290" s="1741">
        <f t="shared" si="19"/>
        <v>0</v>
      </c>
      <c r="G290" s="952" t="s">
        <v>605</v>
      </c>
      <c r="H290" s="1068"/>
      <c r="I290" s="1545"/>
      <c r="J290" s="1545"/>
      <c r="K290" s="1545"/>
      <c r="L290" s="1545"/>
      <c r="M290" s="1545"/>
      <c r="N290" s="1545"/>
      <c r="O290" s="1545"/>
      <c r="P290" s="1545"/>
      <c r="Q290" s="1545"/>
      <c r="R290" s="1545"/>
      <c r="S290" s="1548"/>
      <c r="T290" s="1548"/>
      <c r="U290" s="1548"/>
      <c r="V290" s="2294"/>
      <c r="W290" s="825">
        <f t="shared" si="20"/>
        <v>0</v>
      </c>
      <c r="X290" s="825">
        <v>0</v>
      </c>
      <c r="Y290" s="825"/>
      <c r="Z290" s="825"/>
      <c r="AA290" s="825"/>
      <c r="AB290" s="825"/>
      <c r="AC290" s="825"/>
      <c r="AD290" s="825"/>
      <c r="AE290" s="825"/>
      <c r="AF290" s="825"/>
      <c r="AG290" s="825"/>
      <c r="AK290" s="802"/>
    </row>
    <row r="291" spans="2:37" s="811" customFormat="1" outlineLevel="1" x14ac:dyDescent="0.25">
      <c r="B291" s="1545"/>
      <c r="C291" s="1535"/>
      <c r="D291" s="2378"/>
      <c r="E291" s="1066" t="s">
        <v>1274</v>
      </c>
      <c r="F291" s="1741">
        <f t="shared" si="19"/>
        <v>0</v>
      </c>
      <c r="G291" s="952" t="s">
        <v>605</v>
      </c>
      <c r="H291" s="1068"/>
      <c r="I291" s="1545"/>
      <c r="J291" s="1545"/>
      <c r="K291" s="1545"/>
      <c r="L291" s="1545"/>
      <c r="M291" s="1545"/>
      <c r="N291" s="1545"/>
      <c r="O291" s="1545"/>
      <c r="P291" s="1545"/>
      <c r="Q291" s="1545"/>
      <c r="R291" s="1545"/>
      <c r="S291" s="1548"/>
      <c r="T291" s="1548"/>
      <c r="U291" s="1548"/>
      <c r="V291" s="2294"/>
      <c r="W291" s="825">
        <f t="shared" si="20"/>
        <v>0</v>
      </c>
      <c r="X291" s="825">
        <v>0</v>
      </c>
      <c r="Y291" s="825"/>
      <c r="Z291" s="825"/>
      <c r="AA291" s="825"/>
      <c r="AB291" s="825"/>
      <c r="AC291" s="825"/>
      <c r="AD291" s="825"/>
      <c r="AE291" s="825"/>
      <c r="AF291" s="825"/>
      <c r="AG291" s="825"/>
      <c r="AK291" s="802"/>
    </row>
    <row r="292" spans="2:37" s="811" customFormat="1" outlineLevel="1" x14ac:dyDescent="0.25">
      <c r="B292" s="1545"/>
      <c r="C292" s="1535"/>
      <c r="D292" s="2378"/>
      <c r="E292" s="1726" t="s">
        <v>1275</v>
      </c>
      <c r="F292" s="1741">
        <f t="shared" si="19"/>
        <v>57.57590835917982</v>
      </c>
      <c r="G292" s="952" t="s">
        <v>605</v>
      </c>
      <c r="H292" s="1068"/>
      <c r="I292" s="1545"/>
      <c r="J292" s="1545"/>
      <c r="K292" s="1545"/>
      <c r="L292" s="1545"/>
      <c r="M292" s="1545"/>
      <c r="N292" s="1545"/>
      <c r="O292" s="1545"/>
      <c r="P292" s="1545"/>
      <c r="Q292" s="1545"/>
      <c r="R292" s="1545"/>
      <c r="S292" s="1548"/>
      <c r="T292" s="1548"/>
      <c r="U292" s="1548"/>
      <c r="V292" s="2294"/>
      <c r="W292" s="825">
        <f t="shared" si="20"/>
        <v>57.57590835917982</v>
      </c>
      <c r="X292" s="825">
        <v>57.57590835917982</v>
      </c>
      <c r="Y292" s="825"/>
      <c r="Z292" s="825"/>
      <c r="AA292" s="825"/>
      <c r="AB292" s="825"/>
      <c r="AC292" s="825"/>
      <c r="AD292" s="825"/>
      <c r="AE292" s="825"/>
      <c r="AF292" s="825"/>
      <c r="AG292" s="825"/>
      <c r="AK292" s="802"/>
    </row>
    <row r="293" spans="2:37" s="811" customFormat="1" outlineLevel="1" x14ac:dyDescent="0.25">
      <c r="B293" s="1545"/>
      <c r="C293" s="1535"/>
      <c r="D293" s="2378"/>
      <c r="E293" s="1066" t="s">
        <v>1276</v>
      </c>
      <c r="F293" s="1741">
        <f t="shared" si="19"/>
        <v>0</v>
      </c>
      <c r="G293" s="952" t="s">
        <v>605</v>
      </c>
      <c r="H293" s="1068"/>
      <c r="I293" s="1545"/>
      <c r="J293" s="1545"/>
      <c r="K293" s="1545"/>
      <c r="L293" s="1545"/>
      <c r="M293" s="1545"/>
      <c r="N293" s="1545"/>
      <c r="O293" s="1545"/>
      <c r="P293" s="1545"/>
      <c r="Q293" s="1545"/>
      <c r="R293" s="1545"/>
      <c r="S293" s="1548"/>
      <c r="T293" s="1548"/>
      <c r="U293" s="1548"/>
      <c r="V293" s="2294"/>
      <c r="W293" s="825">
        <f t="shared" si="20"/>
        <v>0</v>
      </c>
      <c r="X293" s="825">
        <v>0</v>
      </c>
      <c r="Y293" s="825"/>
      <c r="Z293" s="825"/>
      <c r="AA293" s="825"/>
      <c r="AB293" s="825"/>
      <c r="AC293" s="825"/>
      <c r="AD293" s="825"/>
      <c r="AE293" s="825"/>
      <c r="AF293" s="825"/>
      <c r="AG293" s="825"/>
      <c r="AK293" s="802"/>
    </row>
    <row r="294" spans="2:37" s="811" customFormat="1" outlineLevel="1" x14ac:dyDescent="0.25">
      <c r="B294" s="1545"/>
      <c r="C294" s="1535"/>
      <c r="D294" s="2378"/>
      <c r="E294" s="1066" t="s">
        <v>1277</v>
      </c>
      <c r="F294" s="1741">
        <f t="shared" si="19"/>
        <v>0</v>
      </c>
      <c r="G294" s="952" t="s">
        <v>605</v>
      </c>
      <c r="H294" s="1068"/>
      <c r="I294" s="1545"/>
      <c r="J294" s="1545"/>
      <c r="K294" s="1545"/>
      <c r="L294" s="1545"/>
      <c r="M294" s="1545"/>
      <c r="N294" s="1545"/>
      <c r="O294" s="1545"/>
      <c r="P294" s="1545"/>
      <c r="Q294" s="1545"/>
      <c r="R294" s="1545"/>
      <c r="S294" s="1548"/>
      <c r="T294" s="1548"/>
      <c r="U294" s="1548"/>
      <c r="V294" s="2294"/>
      <c r="W294" s="825">
        <f t="shared" si="20"/>
        <v>0</v>
      </c>
      <c r="X294" s="825">
        <v>0</v>
      </c>
      <c r="Y294" s="825"/>
      <c r="Z294" s="825"/>
      <c r="AA294" s="825"/>
      <c r="AB294" s="825"/>
      <c r="AC294" s="825"/>
      <c r="AD294" s="825"/>
      <c r="AE294" s="825"/>
      <c r="AF294" s="825"/>
      <c r="AG294" s="825"/>
      <c r="AK294" s="802"/>
    </row>
    <row r="295" spans="2:37" s="811" customFormat="1" outlineLevel="1" x14ac:dyDescent="0.25">
      <c r="B295" s="1545"/>
      <c r="C295" s="1535"/>
      <c r="D295" s="2378"/>
      <c r="E295" s="1739" t="s">
        <v>1278</v>
      </c>
      <c r="F295" s="1741">
        <f t="shared" si="19"/>
        <v>88.578320552584344</v>
      </c>
      <c r="G295" s="952" t="s">
        <v>605</v>
      </c>
      <c r="H295" s="1068"/>
      <c r="I295" s="1545"/>
      <c r="J295" s="1545"/>
      <c r="K295" s="1545"/>
      <c r="L295" s="1545"/>
      <c r="M295" s="1545"/>
      <c r="N295" s="1545"/>
      <c r="O295" s="1545"/>
      <c r="P295" s="1545"/>
      <c r="Q295" s="1545"/>
      <c r="R295" s="1545"/>
      <c r="S295" s="1548"/>
      <c r="T295" s="1548"/>
      <c r="U295" s="1548"/>
      <c r="V295" s="2294"/>
      <c r="W295" s="825">
        <f t="shared" si="20"/>
        <v>88.578320552584344</v>
      </c>
      <c r="X295" s="825">
        <v>88.578320552584344</v>
      </c>
      <c r="Y295" s="825"/>
      <c r="Z295" s="825"/>
      <c r="AA295" s="825"/>
      <c r="AB295" s="825"/>
      <c r="AC295" s="825"/>
      <c r="AD295" s="825"/>
      <c r="AE295" s="825"/>
      <c r="AF295" s="825"/>
      <c r="AG295" s="825"/>
      <c r="AK295" s="802"/>
    </row>
    <row r="296" spans="2:37" s="811" customFormat="1" outlineLevel="1" x14ac:dyDescent="0.25">
      <c r="B296" s="1545"/>
      <c r="C296" s="1535"/>
      <c r="D296" s="2378"/>
      <c r="E296" s="1066" t="s">
        <v>1279</v>
      </c>
      <c r="F296" s="1741">
        <f t="shared" si="19"/>
        <v>0</v>
      </c>
      <c r="G296" s="952" t="s">
        <v>605</v>
      </c>
      <c r="H296" s="1068"/>
      <c r="I296" s="1545"/>
      <c r="J296" s="1545"/>
      <c r="K296" s="1545"/>
      <c r="L296" s="1545"/>
      <c r="M296" s="1545"/>
      <c r="N296" s="1545"/>
      <c r="O296" s="1545"/>
      <c r="P296" s="1545"/>
      <c r="Q296" s="1545"/>
      <c r="R296" s="1545"/>
      <c r="S296" s="1548"/>
      <c r="T296" s="1548"/>
      <c r="U296" s="1548"/>
      <c r="V296" s="2294"/>
      <c r="W296" s="825">
        <f t="shared" si="20"/>
        <v>0</v>
      </c>
      <c r="X296" s="825">
        <v>0</v>
      </c>
      <c r="Y296" s="825"/>
      <c r="Z296" s="825"/>
      <c r="AA296" s="825"/>
      <c r="AB296" s="825"/>
      <c r="AC296" s="825"/>
      <c r="AD296" s="825"/>
      <c r="AE296" s="825"/>
      <c r="AF296" s="825"/>
      <c r="AG296" s="825"/>
      <c r="AK296" s="802"/>
    </row>
    <row r="297" spans="2:37" s="811" customFormat="1" outlineLevel="1" x14ac:dyDescent="0.25">
      <c r="B297" s="1545"/>
      <c r="C297" s="1535"/>
      <c r="D297" s="2378"/>
      <c r="E297" s="1066" t="s">
        <v>1280</v>
      </c>
      <c r="F297" s="1741">
        <f t="shared" si="19"/>
        <v>0</v>
      </c>
      <c r="G297" s="952" t="s">
        <v>605</v>
      </c>
      <c r="H297" s="1068"/>
      <c r="I297" s="1545"/>
      <c r="J297" s="1545"/>
      <c r="K297" s="1545"/>
      <c r="L297" s="1545"/>
      <c r="M297" s="1545"/>
      <c r="N297" s="1545"/>
      <c r="O297" s="1545"/>
      <c r="P297" s="1545"/>
      <c r="Q297" s="1545"/>
      <c r="R297" s="1545"/>
      <c r="S297" s="1548"/>
      <c r="T297" s="1548"/>
      <c r="U297" s="1548"/>
      <c r="V297" s="2294"/>
      <c r="W297" s="825">
        <f t="shared" si="20"/>
        <v>0</v>
      </c>
      <c r="X297" s="825">
        <v>0</v>
      </c>
      <c r="Y297" s="825"/>
      <c r="Z297" s="825"/>
      <c r="AA297" s="825"/>
      <c r="AB297" s="825"/>
      <c r="AC297" s="825"/>
      <c r="AD297" s="825"/>
      <c r="AE297" s="825"/>
      <c r="AF297" s="825"/>
      <c r="AG297" s="825"/>
      <c r="AK297" s="802"/>
    </row>
    <row r="298" spans="2:37" s="811" customFormat="1" outlineLevel="1" x14ac:dyDescent="0.25">
      <c r="B298" s="1545"/>
      <c r="C298" s="1535"/>
      <c r="D298" s="2378"/>
      <c r="E298" s="1726" t="s">
        <v>1281</v>
      </c>
      <c r="F298" s="1741">
        <f t="shared" si="19"/>
        <v>61.129976776413137</v>
      </c>
      <c r="G298" s="952" t="s">
        <v>605</v>
      </c>
      <c r="H298" s="1068"/>
      <c r="I298" s="1545"/>
      <c r="J298" s="1545"/>
      <c r="K298" s="1545"/>
      <c r="L298" s="1545"/>
      <c r="M298" s="1545"/>
      <c r="N298" s="1545"/>
      <c r="O298" s="1545"/>
      <c r="P298" s="1545"/>
      <c r="Q298" s="1545"/>
      <c r="R298" s="1545"/>
      <c r="S298" s="1548"/>
      <c r="T298" s="1548"/>
      <c r="U298" s="1548"/>
      <c r="V298" s="2294"/>
      <c r="W298" s="825">
        <f t="shared" si="20"/>
        <v>61.129976776413137</v>
      </c>
      <c r="X298" s="825">
        <v>61.129976776413137</v>
      </c>
      <c r="Y298" s="825"/>
      <c r="Z298" s="825"/>
      <c r="AA298" s="825"/>
      <c r="AB298" s="825"/>
      <c r="AC298" s="825"/>
      <c r="AD298" s="825"/>
      <c r="AE298" s="825"/>
      <c r="AF298" s="825"/>
      <c r="AG298" s="825"/>
      <c r="AK298" s="802"/>
    </row>
    <row r="299" spans="2:37" s="811" customFormat="1" outlineLevel="1" x14ac:dyDescent="0.25">
      <c r="B299" s="1545"/>
      <c r="C299" s="1535"/>
      <c r="D299" s="2378"/>
      <c r="E299" s="1066" t="s">
        <v>1282</v>
      </c>
      <c r="F299" s="1741">
        <f t="shared" si="19"/>
        <v>0</v>
      </c>
      <c r="G299" s="952" t="s">
        <v>605</v>
      </c>
      <c r="H299" s="1068"/>
      <c r="I299" s="1545"/>
      <c r="J299" s="1545"/>
      <c r="K299" s="1545"/>
      <c r="L299" s="1545"/>
      <c r="M299" s="1545"/>
      <c r="N299" s="1545"/>
      <c r="O299" s="1545"/>
      <c r="P299" s="1545"/>
      <c r="Q299" s="1545"/>
      <c r="R299" s="1545"/>
      <c r="S299" s="1548"/>
      <c r="T299" s="1548"/>
      <c r="U299" s="1548"/>
      <c r="V299" s="2294"/>
      <c r="W299" s="825">
        <f t="shared" si="20"/>
        <v>0</v>
      </c>
      <c r="X299" s="825">
        <v>0</v>
      </c>
      <c r="Y299" s="825"/>
      <c r="Z299" s="825"/>
      <c r="AA299" s="825"/>
      <c r="AB299" s="825"/>
      <c r="AC299" s="825"/>
      <c r="AD299" s="825"/>
      <c r="AE299" s="825"/>
      <c r="AF299" s="825"/>
      <c r="AG299" s="825"/>
      <c r="AK299" s="802"/>
    </row>
    <row r="300" spans="2:37" s="811" customFormat="1" outlineLevel="1" x14ac:dyDescent="0.25">
      <c r="B300" s="1545"/>
      <c r="C300" s="1535"/>
      <c r="D300" s="2378"/>
      <c r="E300" s="1726" t="s">
        <v>1283</v>
      </c>
      <c r="F300" s="1741">
        <f t="shared" si="19"/>
        <v>0</v>
      </c>
      <c r="G300" s="952" t="s">
        <v>605</v>
      </c>
      <c r="H300" s="1068"/>
      <c r="I300" s="1545"/>
      <c r="J300" s="1545"/>
      <c r="K300" s="1545"/>
      <c r="L300" s="1545"/>
      <c r="M300" s="1545"/>
      <c r="N300" s="1545"/>
      <c r="O300" s="1545"/>
      <c r="P300" s="1545"/>
      <c r="Q300" s="1545"/>
      <c r="R300" s="1545"/>
      <c r="S300" s="1548"/>
      <c r="T300" s="1548"/>
      <c r="U300" s="1548"/>
      <c r="V300" s="2294"/>
      <c r="W300" s="825">
        <f t="shared" si="20"/>
        <v>0</v>
      </c>
      <c r="X300" s="825">
        <v>0</v>
      </c>
      <c r="Y300" s="825"/>
      <c r="Z300" s="825"/>
      <c r="AA300" s="825"/>
      <c r="AB300" s="825"/>
      <c r="AC300" s="825"/>
      <c r="AD300" s="825"/>
      <c r="AE300" s="825"/>
      <c r="AF300" s="825"/>
      <c r="AG300" s="825"/>
      <c r="AK300" s="802"/>
    </row>
    <row r="301" spans="2:37" s="811" customFormat="1" outlineLevel="1" x14ac:dyDescent="0.25">
      <c r="B301" s="1545"/>
      <c r="C301" s="1535"/>
      <c r="D301" s="2378"/>
      <c r="E301" s="1066" t="s">
        <v>1284</v>
      </c>
      <c r="F301" s="1741">
        <f t="shared" si="19"/>
        <v>94.046118117558692</v>
      </c>
      <c r="G301" s="952" t="s">
        <v>605</v>
      </c>
      <c r="H301" s="1068"/>
      <c r="I301" s="1545"/>
      <c r="J301" s="1545"/>
      <c r="K301" s="1545"/>
      <c r="L301" s="1545"/>
      <c r="M301" s="1545"/>
      <c r="N301" s="1545"/>
      <c r="O301" s="1545"/>
      <c r="P301" s="1545"/>
      <c r="Q301" s="1545"/>
      <c r="R301" s="1545"/>
      <c r="S301" s="1548"/>
      <c r="T301" s="1548"/>
      <c r="U301" s="1548"/>
      <c r="V301" s="2294"/>
      <c r="W301" s="825">
        <f t="shared" si="20"/>
        <v>94.046118117558692</v>
      </c>
      <c r="X301" s="825">
        <v>94.046118117558692</v>
      </c>
      <c r="Y301" s="825"/>
      <c r="Z301" s="825"/>
      <c r="AA301" s="825"/>
      <c r="AB301" s="825"/>
      <c r="AC301" s="825"/>
      <c r="AD301" s="825"/>
      <c r="AE301" s="825"/>
      <c r="AF301" s="825"/>
      <c r="AG301" s="825"/>
      <c r="AK301" s="802"/>
    </row>
    <row r="302" spans="2:37" s="811" customFormat="1" outlineLevel="1" x14ac:dyDescent="0.25">
      <c r="B302" s="1545"/>
      <c r="C302" s="1535"/>
      <c r="D302" s="2378"/>
      <c r="E302" s="1066" t="s">
        <v>1285</v>
      </c>
      <c r="F302" s="1741">
        <f t="shared" si="19"/>
        <v>0</v>
      </c>
      <c r="G302" s="952" t="s">
        <v>605</v>
      </c>
      <c r="H302" s="1068"/>
      <c r="I302" s="1545"/>
      <c r="J302" s="1545"/>
      <c r="K302" s="1545"/>
      <c r="L302" s="1545"/>
      <c r="M302" s="1545"/>
      <c r="N302" s="1545"/>
      <c r="O302" s="1545"/>
      <c r="P302" s="1545"/>
      <c r="Q302" s="1545"/>
      <c r="R302" s="1545"/>
      <c r="S302" s="1548"/>
      <c r="T302" s="1548"/>
      <c r="U302" s="1548"/>
      <c r="V302" s="2294"/>
      <c r="W302" s="825">
        <f t="shared" si="20"/>
        <v>0</v>
      </c>
      <c r="X302" s="825">
        <v>0</v>
      </c>
      <c r="Y302" s="825"/>
      <c r="Z302" s="825"/>
      <c r="AA302" s="825"/>
      <c r="AB302" s="825"/>
      <c r="AC302" s="825"/>
      <c r="AD302" s="825"/>
      <c r="AE302" s="825"/>
      <c r="AF302" s="825"/>
      <c r="AG302" s="825"/>
      <c r="AK302" s="802"/>
    </row>
    <row r="303" spans="2:37" s="811" customFormat="1" outlineLevel="1" x14ac:dyDescent="0.25">
      <c r="B303" s="1545"/>
      <c r="C303" s="1535"/>
      <c r="D303" s="2378"/>
      <c r="E303" s="1066" t="s">
        <v>1286</v>
      </c>
      <c r="F303" s="1741">
        <f t="shared" si="19"/>
        <v>0</v>
      </c>
      <c r="G303" s="952" t="s">
        <v>605</v>
      </c>
      <c r="H303" s="1068"/>
      <c r="I303" s="1545"/>
      <c r="J303" s="1545"/>
      <c r="K303" s="1545"/>
      <c r="L303" s="1545"/>
      <c r="M303" s="1545"/>
      <c r="N303" s="1545"/>
      <c r="O303" s="1545"/>
      <c r="P303" s="1545"/>
      <c r="Q303" s="1545"/>
      <c r="R303" s="1545"/>
      <c r="S303" s="1548"/>
      <c r="T303" s="1548"/>
      <c r="U303" s="1548"/>
      <c r="V303" s="2294"/>
      <c r="W303" s="825">
        <f t="shared" si="20"/>
        <v>0</v>
      </c>
      <c r="X303" s="825">
        <v>0</v>
      </c>
      <c r="Y303" s="825"/>
      <c r="Z303" s="825"/>
      <c r="AA303" s="825"/>
      <c r="AB303" s="825"/>
      <c r="AC303" s="825"/>
      <c r="AD303" s="825"/>
      <c r="AE303" s="825"/>
      <c r="AF303" s="825"/>
      <c r="AG303" s="825"/>
      <c r="AK303" s="802"/>
    </row>
    <row r="304" spans="2:37" s="811" customFormat="1" outlineLevel="1" x14ac:dyDescent="0.25">
      <c r="B304" s="1545"/>
      <c r="C304" s="1535"/>
      <c r="D304" s="2378"/>
      <c r="E304" s="1726" t="s">
        <v>1287</v>
      </c>
      <c r="F304" s="1741">
        <f t="shared" si="19"/>
        <v>63.481129729352105</v>
      </c>
      <c r="G304" s="952" t="s">
        <v>605</v>
      </c>
      <c r="H304" s="1068"/>
      <c r="I304" s="1545"/>
      <c r="J304" s="1545"/>
      <c r="K304" s="1545"/>
      <c r="L304" s="1545"/>
      <c r="M304" s="1545"/>
      <c r="N304" s="1545"/>
      <c r="O304" s="1545"/>
      <c r="P304" s="1545"/>
      <c r="Q304" s="1545"/>
      <c r="R304" s="1545"/>
      <c r="S304" s="1548"/>
      <c r="T304" s="1548"/>
      <c r="U304" s="1548"/>
      <c r="V304" s="2294"/>
      <c r="W304" s="825">
        <f t="shared" si="20"/>
        <v>63.481129729352105</v>
      </c>
      <c r="X304" s="825">
        <v>63.481129729352105</v>
      </c>
      <c r="Y304" s="825"/>
      <c r="Z304" s="825"/>
      <c r="AA304" s="825"/>
      <c r="AB304" s="825"/>
      <c r="AC304" s="825"/>
      <c r="AD304" s="825"/>
      <c r="AE304" s="825"/>
      <c r="AF304" s="825"/>
      <c r="AG304" s="825"/>
      <c r="AK304" s="802"/>
    </row>
    <row r="305" spans="2:37" s="811" customFormat="1" outlineLevel="1" x14ac:dyDescent="0.25">
      <c r="B305" s="1545"/>
      <c r="C305" s="1535"/>
      <c r="D305" s="2378"/>
      <c r="E305" s="1066" t="s">
        <v>1288</v>
      </c>
      <c r="F305" s="1741">
        <f t="shared" si="19"/>
        <v>0</v>
      </c>
      <c r="G305" s="952" t="s">
        <v>605</v>
      </c>
      <c r="H305" s="1068"/>
      <c r="I305" s="1545"/>
      <c r="J305" s="1545"/>
      <c r="K305" s="1545"/>
      <c r="L305" s="1545"/>
      <c r="M305" s="1545"/>
      <c r="N305" s="1545"/>
      <c r="O305" s="1545"/>
      <c r="P305" s="1545"/>
      <c r="Q305" s="1545"/>
      <c r="R305" s="1545"/>
      <c r="S305" s="1548"/>
      <c r="T305" s="1548"/>
      <c r="U305" s="1548"/>
      <c r="V305" s="2294"/>
      <c r="W305" s="825">
        <f t="shared" si="20"/>
        <v>0</v>
      </c>
      <c r="X305" s="825">
        <v>0</v>
      </c>
      <c r="Y305" s="825"/>
      <c r="Z305" s="825"/>
      <c r="AA305" s="825"/>
      <c r="AB305" s="825"/>
      <c r="AC305" s="825"/>
      <c r="AD305" s="825"/>
      <c r="AE305" s="825"/>
      <c r="AF305" s="825"/>
      <c r="AG305" s="825"/>
      <c r="AK305" s="802"/>
    </row>
    <row r="306" spans="2:37" s="811" customFormat="1" outlineLevel="1" x14ac:dyDescent="0.25">
      <c r="B306" s="1545"/>
      <c r="C306" s="1535"/>
      <c r="D306" s="2378"/>
      <c r="E306" s="1726" t="s">
        <v>1289</v>
      </c>
      <c r="F306" s="1741">
        <f t="shared" si="19"/>
        <v>0</v>
      </c>
      <c r="G306" s="952" t="s">
        <v>605</v>
      </c>
      <c r="H306" s="1068"/>
      <c r="I306" s="1545"/>
      <c r="J306" s="1545"/>
      <c r="K306" s="1545"/>
      <c r="L306" s="1545"/>
      <c r="M306" s="1545"/>
      <c r="N306" s="1545"/>
      <c r="O306" s="1545"/>
      <c r="P306" s="1545"/>
      <c r="Q306" s="1545"/>
      <c r="R306" s="1545"/>
      <c r="S306" s="1548"/>
      <c r="T306" s="1548"/>
      <c r="U306" s="1548"/>
      <c r="V306" s="2294"/>
      <c r="W306" s="825">
        <f t="shared" si="20"/>
        <v>0</v>
      </c>
      <c r="X306" s="825">
        <v>0</v>
      </c>
      <c r="Y306" s="825"/>
      <c r="Z306" s="825"/>
      <c r="AA306" s="825"/>
      <c r="AB306" s="825"/>
      <c r="AC306" s="825"/>
      <c r="AD306" s="825"/>
      <c r="AE306" s="825"/>
      <c r="AF306" s="825"/>
      <c r="AG306" s="825"/>
      <c r="AK306" s="802"/>
    </row>
    <row r="307" spans="2:37" s="811" customFormat="1" outlineLevel="1" x14ac:dyDescent="0.25">
      <c r="B307" s="1545"/>
      <c r="C307" s="1535"/>
      <c r="D307" s="2378"/>
      <c r="E307" s="1066" t="s">
        <v>1290</v>
      </c>
      <c r="F307" s="1741">
        <f t="shared" si="19"/>
        <v>97.663276506695567</v>
      </c>
      <c r="G307" s="952" t="s">
        <v>605</v>
      </c>
      <c r="H307" s="1068"/>
      <c r="I307" s="1545"/>
      <c r="J307" s="1545"/>
      <c r="K307" s="1545"/>
      <c r="L307" s="1545"/>
      <c r="M307" s="1545"/>
      <c r="N307" s="1545"/>
      <c r="O307" s="1545"/>
      <c r="P307" s="1545"/>
      <c r="Q307" s="1545"/>
      <c r="R307" s="1545"/>
      <c r="S307" s="1548"/>
      <c r="T307" s="1548"/>
      <c r="U307" s="1548"/>
      <c r="V307" s="2295"/>
      <c r="W307" s="825">
        <f t="shared" si="20"/>
        <v>97.663276506695567</v>
      </c>
      <c r="X307" s="825">
        <v>97.663276506695567</v>
      </c>
      <c r="Y307" s="825"/>
      <c r="Z307" s="825"/>
      <c r="AA307" s="825"/>
      <c r="AB307" s="825"/>
      <c r="AC307" s="825"/>
      <c r="AD307" s="825"/>
      <c r="AE307" s="825"/>
      <c r="AF307" s="825"/>
      <c r="AG307" s="825"/>
      <c r="AK307" s="802"/>
    </row>
    <row r="308" spans="2:37" s="811" customFormat="1" outlineLevel="1" x14ac:dyDescent="0.25">
      <c r="B308" s="1545"/>
      <c r="C308" s="1535"/>
      <c r="D308" s="1740" t="s">
        <v>606</v>
      </c>
      <c r="E308" s="1066" t="s">
        <v>483</v>
      </c>
      <c r="F308" s="1742">
        <v>3.1399999999999997E-2</v>
      </c>
      <c r="G308" s="952" t="s">
        <v>593</v>
      </c>
      <c r="H308" s="1068"/>
      <c r="I308" s="1545"/>
      <c r="J308" s="1545"/>
      <c r="K308" s="1545"/>
      <c r="L308" s="1545"/>
      <c r="M308" s="1545"/>
      <c r="N308" s="1545"/>
      <c r="O308" s="1545"/>
      <c r="P308" s="1545"/>
      <c r="Q308" s="1545"/>
      <c r="R308" s="1545"/>
      <c r="S308" s="1548"/>
      <c r="T308" s="1548"/>
      <c r="U308" s="1548"/>
      <c r="V308" s="824" t="str">
        <f>D308</f>
        <v>Fe</v>
      </c>
      <c r="W308" s="826">
        <v>3.1399999999999997E-2</v>
      </c>
      <c r="X308" s="826">
        <v>3.1399999999999997E-2</v>
      </c>
      <c r="Y308" s="826"/>
      <c r="Z308" s="826"/>
      <c r="AA308" s="826"/>
      <c r="AB308" s="826"/>
      <c r="AC308" s="826"/>
      <c r="AD308" s="826"/>
      <c r="AE308" s="826"/>
      <c r="AF308" s="826"/>
      <c r="AG308" s="826"/>
      <c r="AK308" s="802"/>
    </row>
    <row r="309" spans="2:37" s="811" customFormat="1" outlineLevel="1" x14ac:dyDescent="0.25">
      <c r="B309" s="1545"/>
      <c r="C309" s="1535"/>
      <c r="D309" s="1740" t="s">
        <v>1299</v>
      </c>
      <c r="E309" s="1066" t="s">
        <v>483</v>
      </c>
      <c r="F309" s="1067">
        <v>1646</v>
      </c>
      <c r="G309" s="952" t="s">
        <v>610</v>
      </c>
      <c r="H309" s="1068" t="s">
        <v>1300</v>
      </c>
      <c r="I309" s="1545"/>
      <c r="J309" s="1545"/>
      <c r="K309" s="1545"/>
      <c r="L309" s="1545"/>
      <c r="M309" s="1545"/>
      <c r="N309" s="1545"/>
      <c r="O309" s="1545"/>
      <c r="P309" s="1545"/>
      <c r="Q309" s="1545"/>
      <c r="R309" s="1545"/>
      <c r="S309" s="1548"/>
      <c r="T309" s="1548"/>
      <c r="U309" s="1548"/>
      <c r="V309" s="824" t="str">
        <f>D309</f>
        <v>CDD</v>
      </c>
      <c r="W309" s="819">
        <v>1646</v>
      </c>
      <c r="X309" s="819">
        <v>1646</v>
      </c>
      <c r="Y309" s="819"/>
      <c r="Z309" s="819"/>
      <c r="AA309" s="819"/>
      <c r="AB309" s="819"/>
      <c r="AC309" s="819"/>
      <c r="AD309" s="819"/>
      <c r="AE309" s="819"/>
      <c r="AF309" s="819"/>
      <c r="AG309" s="819"/>
      <c r="AK309" s="802"/>
    </row>
    <row r="310" spans="2:37" s="811" customFormat="1" outlineLevel="1" x14ac:dyDescent="0.25">
      <c r="B310" s="1545"/>
      <c r="C310" s="1535"/>
      <c r="D310" s="1740" t="s">
        <v>1301</v>
      </c>
      <c r="E310" s="1066" t="s">
        <v>483</v>
      </c>
      <c r="F310" s="1142">
        <v>0.75</v>
      </c>
      <c r="G310" s="952" t="s">
        <v>593</v>
      </c>
      <c r="H310" s="1068"/>
      <c r="I310" s="1545"/>
      <c r="J310" s="1545"/>
      <c r="K310" s="1545"/>
      <c r="L310" s="1545"/>
      <c r="M310" s="1545"/>
      <c r="N310" s="1545"/>
      <c r="O310" s="1545"/>
      <c r="P310" s="1545"/>
      <c r="Q310" s="1545"/>
      <c r="R310" s="1545"/>
      <c r="S310" s="1548"/>
      <c r="T310" s="1548"/>
      <c r="U310" s="1548"/>
      <c r="V310" s="824" t="str">
        <f>D310</f>
        <v>DUA</v>
      </c>
      <c r="W310" s="823">
        <v>0.75</v>
      </c>
      <c r="X310" s="823">
        <v>0.75</v>
      </c>
      <c r="Y310" s="823"/>
      <c r="Z310" s="823"/>
      <c r="AA310" s="823"/>
      <c r="AB310" s="823"/>
      <c r="AC310" s="823"/>
      <c r="AD310" s="823"/>
      <c r="AE310" s="823"/>
      <c r="AF310" s="823"/>
      <c r="AG310" s="823"/>
      <c r="AK310" s="802"/>
    </row>
    <row r="311" spans="2:37" s="811" customFormat="1" outlineLevel="1" x14ac:dyDescent="0.25">
      <c r="B311" s="1545"/>
      <c r="C311" s="1535"/>
      <c r="D311" s="2369" t="s">
        <v>1302</v>
      </c>
      <c r="E311" s="1066" t="s">
        <v>1261</v>
      </c>
      <c r="F311" s="1142">
        <v>0.91</v>
      </c>
      <c r="G311" s="952" t="s">
        <v>593</v>
      </c>
      <c r="H311" s="1068" t="s">
        <v>1303</v>
      </c>
      <c r="I311" s="1545"/>
      <c r="J311" s="1545"/>
      <c r="K311" s="1545"/>
      <c r="L311" s="1545"/>
      <c r="M311" s="1545"/>
      <c r="N311" s="1545"/>
      <c r="O311" s="1545"/>
      <c r="P311" s="1545"/>
      <c r="Q311" s="1545"/>
      <c r="R311" s="1545"/>
      <c r="S311" s="1548"/>
      <c r="T311" s="1548"/>
      <c r="U311" s="1548"/>
      <c r="V311" s="2293" t="str">
        <f>D311</f>
        <v>%cool</v>
      </c>
      <c r="W311" s="823">
        <v>0.91</v>
      </c>
      <c r="X311" s="823">
        <v>0.91</v>
      </c>
      <c r="Y311" s="823"/>
      <c r="Z311" s="823"/>
      <c r="AA311" s="823"/>
      <c r="AB311" s="823"/>
      <c r="AC311" s="823"/>
      <c r="AD311" s="823"/>
      <c r="AE311" s="823"/>
      <c r="AF311" s="823"/>
      <c r="AG311" s="823"/>
      <c r="AK311" s="802"/>
    </row>
    <row r="312" spans="2:37" s="811" customFormat="1" outlineLevel="1" x14ac:dyDescent="0.25">
      <c r="B312" s="1545"/>
      <c r="C312" s="1535"/>
      <c r="D312" s="2370"/>
      <c r="E312" s="1066" t="s">
        <v>1262</v>
      </c>
      <c r="F312" s="1142">
        <v>1</v>
      </c>
      <c r="G312" s="952" t="s">
        <v>593</v>
      </c>
      <c r="H312" s="1068" t="s">
        <v>1304</v>
      </c>
      <c r="I312" s="1545"/>
      <c r="J312" s="1545"/>
      <c r="K312" s="1545"/>
      <c r="L312" s="1545"/>
      <c r="M312" s="1545"/>
      <c r="N312" s="1545"/>
      <c r="O312" s="1545"/>
      <c r="P312" s="1545"/>
      <c r="Q312" s="1545"/>
      <c r="R312" s="1545"/>
      <c r="S312" s="1548"/>
      <c r="T312" s="1548"/>
      <c r="U312" s="1548"/>
      <c r="V312" s="2294"/>
      <c r="W312" s="823">
        <v>1</v>
      </c>
      <c r="X312" s="823">
        <v>1</v>
      </c>
      <c r="Y312" s="823"/>
      <c r="Z312" s="823"/>
      <c r="AA312" s="823"/>
      <c r="AB312" s="823"/>
      <c r="AC312" s="823"/>
      <c r="AD312" s="823"/>
      <c r="AE312" s="823"/>
      <c r="AF312" s="823"/>
      <c r="AG312" s="823"/>
      <c r="AK312" s="802"/>
    </row>
    <row r="313" spans="2:37" s="811" customFormat="1" outlineLevel="1" x14ac:dyDescent="0.25">
      <c r="B313" s="1545"/>
      <c r="C313" s="1535"/>
      <c r="D313" s="2370"/>
      <c r="E313" s="1066" t="s">
        <v>1263</v>
      </c>
      <c r="F313" s="1142">
        <v>0.91</v>
      </c>
      <c r="G313" s="952" t="s">
        <v>593</v>
      </c>
      <c r="H313" s="1068" t="s">
        <v>1303</v>
      </c>
      <c r="I313" s="1545"/>
      <c r="J313" s="1545"/>
      <c r="K313" s="1545"/>
      <c r="L313" s="1545"/>
      <c r="M313" s="1545"/>
      <c r="N313" s="1545"/>
      <c r="O313" s="1545"/>
      <c r="P313" s="1545"/>
      <c r="Q313" s="1545"/>
      <c r="R313" s="1545"/>
      <c r="S313" s="1548"/>
      <c r="T313" s="1548"/>
      <c r="U313" s="1548"/>
      <c r="V313" s="2294"/>
      <c r="W313" s="823">
        <v>0.91</v>
      </c>
      <c r="X313" s="823">
        <v>0.91</v>
      </c>
      <c r="Y313" s="823"/>
      <c r="Z313" s="823"/>
      <c r="AA313" s="823"/>
      <c r="AB313" s="823"/>
      <c r="AC313" s="823"/>
      <c r="AD313" s="823"/>
      <c r="AE313" s="823"/>
      <c r="AF313" s="823"/>
      <c r="AG313" s="823"/>
      <c r="AK313" s="802"/>
    </row>
    <row r="314" spans="2:37" s="811" customFormat="1" outlineLevel="1" x14ac:dyDescent="0.25">
      <c r="B314" s="1545"/>
      <c r="C314" s="1535"/>
      <c r="D314" s="2370"/>
      <c r="E314" s="1066" t="s">
        <v>1264</v>
      </c>
      <c r="F314" s="1142">
        <v>0.91</v>
      </c>
      <c r="G314" s="952" t="s">
        <v>593</v>
      </c>
      <c r="H314" s="1068" t="s">
        <v>1303</v>
      </c>
      <c r="I314" s="1545"/>
      <c r="J314" s="1545"/>
      <c r="K314" s="1545"/>
      <c r="L314" s="1545"/>
      <c r="M314" s="1545"/>
      <c r="N314" s="1545"/>
      <c r="O314" s="1545"/>
      <c r="P314" s="1545"/>
      <c r="Q314" s="1545"/>
      <c r="R314" s="1545"/>
      <c r="S314" s="1548"/>
      <c r="T314" s="1548"/>
      <c r="U314" s="1548"/>
      <c r="V314" s="2294"/>
      <c r="W314" s="823">
        <v>0.91</v>
      </c>
      <c r="X314" s="823">
        <v>0.91</v>
      </c>
      <c r="Y314" s="823"/>
      <c r="Z314" s="823"/>
      <c r="AA314" s="823"/>
      <c r="AB314" s="823"/>
      <c r="AC314" s="823"/>
      <c r="AD314" s="823"/>
      <c r="AE314" s="823"/>
      <c r="AF314" s="823"/>
      <c r="AG314" s="823"/>
      <c r="AK314" s="802"/>
    </row>
    <row r="315" spans="2:37" s="811" customFormat="1" outlineLevel="1" x14ac:dyDescent="0.25">
      <c r="B315" s="1545"/>
      <c r="C315" s="1535"/>
      <c r="D315" s="2370"/>
      <c r="E315" s="1066" t="s">
        <v>1265</v>
      </c>
      <c r="F315" s="1142">
        <v>1</v>
      </c>
      <c r="G315" s="952" t="s">
        <v>593</v>
      </c>
      <c r="H315" s="1068" t="s">
        <v>1304</v>
      </c>
      <c r="I315" s="1545"/>
      <c r="J315" s="1545"/>
      <c r="K315" s="1545"/>
      <c r="L315" s="1545"/>
      <c r="M315" s="1545"/>
      <c r="N315" s="1545"/>
      <c r="O315" s="1545"/>
      <c r="P315" s="1545"/>
      <c r="Q315" s="1545"/>
      <c r="R315" s="1545"/>
      <c r="S315" s="1548"/>
      <c r="T315" s="1548"/>
      <c r="U315" s="1548"/>
      <c r="V315" s="2294"/>
      <c r="W315" s="823">
        <v>1</v>
      </c>
      <c r="X315" s="823">
        <v>1</v>
      </c>
      <c r="Y315" s="823"/>
      <c r="Z315" s="823"/>
      <c r="AA315" s="823"/>
      <c r="AB315" s="823"/>
      <c r="AC315" s="823"/>
      <c r="AD315" s="823"/>
      <c r="AE315" s="823"/>
      <c r="AF315" s="823"/>
      <c r="AG315" s="823"/>
      <c r="AK315" s="802"/>
    </row>
    <row r="316" spans="2:37" s="811" customFormat="1" outlineLevel="1" x14ac:dyDescent="0.25">
      <c r="B316" s="1545"/>
      <c r="C316" s="1535"/>
      <c r="D316" s="2370"/>
      <c r="E316" s="1066" t="s">
        <v>1266</v>
      </c>
      <c r="F316" s="1142">
        <v>0.91</v>
      </c>
      <c r="G316" s="952" t="s">
        <v>593</v>
      </c>
      <c r="H316" s="1068" t="s">
        <v>1303</v>
      </c>
      <c r="I316" s="1545"/>
      <c r="J316" s="1545"/>
      <c r="K316" s="1545"/>
      <c r="L316" s="1545"/>
      <c r="M316" s="1545"/>
      <c r="N316" s="1545"/>
      <c r="O316" s="1545"/>
      <c r="P316" s="1545"/>
      <c r="Q316" s="1545"/>
      <c r="R316" s="1545"/>
      <c r="S316" s="1548"/>
      <c r="T316" s="1548"/>
      <c r="U316" s="1548"/>
      <c r="V316" s="2294"/>
      <c r="W316" s="823">
        <v>0.91</v>
      </c>
      <c r="X316" s="823">
        <v>0.91</v>
      </c>
      <c r="Y316" s="823"/>
      <c r="Z316" s="823"/>
      <c r="AA316" s="823"/>
      <c r="AB316" s="823"/>
      <c r="AC316" s="823"/>
      <c r="AD316" s="823"/>
      <c r="AE316" s="823"/>
      <c r="AF316" s="823"/>
      <c r="AG316" s="823"/>
      <c r="AK316" s="802"/>
    </row>
    <row r="317" spans="2:37" s="811" customFormat="1" outlineLevel="1" x14ac:dyDescent="0.25">
      <c r="B317" s="1545"/>
      <c r="C317" s="1535"/>
      <c r="D317" s="2370"/>
      <c r="E317" s="1066" t="s">
        <v>1267</v>
      </c>
      <c r="F317" s="1142">
        <v>0.91</v>
      </c>
      <c r="G317" s="952" t="s">
        <v>593</v>
      </c>
      <c r="H317" s="1068" t="s">
        <v>1303</v>
      </c>
      <c r="I317" s="1545"/>
      <c r="J317" s="1545"/>
      <c r="K317" s="1545"/>
      <c r="L317" s="1545"/>
      <c r="M317" s="1545"/>
      <c r="N317" s="1545"/>
      <c r="O317" s="1545"/>
      <c r="P317" s="1545"/>
      <c r="Q317" s="1545"/>
      <c r="R317" s="1545"/>
      <c r="S317" s="1548"/>
      <c r="T317" s="1548"/>
      <c r="U317" s="1548"/>
      <c r="V317" s="2294"/>
      <c r="W317" s="823">
        <v>0.91</v>
      </c>
      <c r="X317" s="823">
        <v>0.91</v>
      </c>
      <c r="Y317" s="823"/>
      <c r="Z317" s="823"/>
      <c r="AA317" s="823"/>
      <c r="AB317" s="823"/>
      <c r="AC317" s="823"/>
      <c r="AD317" s="823"/>
      <c r="AE317" s="823"/>
      <c r="AF317" s="823"/>
      <c r="AG317" s="823"/>
      <c r="AK317" s="802"/>
    </row>
    <row r="318" spans="2:37" s="811" customFormat="1" outlineLevel="1" x14ac:dyDescent="0.25">
      <c r="B318" s="1545"/>
      <c r="C318" s="1535"/>
      <c r="D318" s="2370"/>
      <c r="E318" s="1066" t="s">
        <v>1268</v>
      </c>
      <c r="F318" s="1142">
        <v>1</v>
      </c>
      <c r="G318" s="952" t="s">
        <v>593</v>
      </c>
      <c r="H318" s="1068" t="s">
        <v>1304</v>
      </c>
      <c r="I318" s="1545"/>
      <c r="J318" s="1545"/>
      <c r="K318" s="1545"/>
      <c r="L318" s="1545"/>
      <c r="M318" s="1545"/>
      <c r="N318" s="1545"/>
      <c r="O318" s="1545"/>
      <c r="P318" s="1545"/>
      <c r="Q318" s="1545"/>
      <c r="R318" s="1545"/>
      <c r="S318" s="1548"/>
      <c r="T318" s="1548"/>
      <c r="U318" s="1548"/>
      <c r="V318" s="2294"/>
      <c r="W318" s="823">
        <v>1</v>
      </c>
      <c r="X318" s="823">
        <v>1</v>
      </c>
      <c r="Y318" s="823"/>
      <c r="Z318" s="823"/>
      <c r="AA318" s="823"/>
      <c r="AB318" s="823"/>
      <c r="AC318" s="823"/>
      <c r="AD318" s="823"/>
      <c r="AE318" s="823"/>
      <c r="AF318" s="823"/>
      <c r="AG318" s="823"/>
      <c r="AK318" s="802"/>
    </row>
    <row r="319" spans="2:37" s="811" customFormat="1" outlineLevel="1" x14ac:dyDescent="0.25">
      <c r="B319" s="1545"/>
      <c r="C319" s="1535"/>
      <c r="D319" s="2370"/>
      <c r="E319" s="1726" t="s">
        <v>1269</v>
      </c>
      <c r="F319" s="1142">
        <v>0.91</v>
      </c>
      <c r="G319" s="952" t="s">
        <v>593</v>
      </c>
      <c r="H319" s="1068" t="s">
        <v>1303</v>
      </c>
      <c r="I319" s="1545"/>
      <c r="J319" s="1545"/>
      <c r="K319" s="1545"/>
      <c r="L319" s="1545"/>
      <c r="M319" s="1545"/>
      <c r="N319" s="1545"/>
      <c r="O319" s="1545"/>
      <c r="P319" s="1545"/>
      <c r="Q319" s="1545"/>
      <c r="R319" s="1545"/>
      <c r="S319" s="1548"/>
      <c r="T319" s="1548"/>
      <c r="U319" s="1548"/>
      <c r="V319" s="2294"/>
      <c r="W319" s="823">
        <v>0.91</v>
      </c>
      <c r="X319" s="823">
        <v>0.91</v>
      </c>
      <c r="Y319" s="823"/>
      <c r="Z319" s="823"/>
      <c r="AA319" s="823"/>
      <c r="AB319" s="823"/>
      <c r="AC319" s="823"/>
      <c r="AD319" s="823"/>
      <c r="AE319" s="823"/>
      <c r="AF319" s="823"/>
      <c r="AG319" s="823"/>
      <c r="AK319" s="802"/>
    </row>
    <row r="320" spans="2:37" s="811" customFormat="1" outlineLevel="1" x14ac:dyDescent="0.25">
      <c r="B320" s="1545"/>
      <c r="C320" s="1535"/>
      <c r="D320" s="2370"/>
      <c r="E320" s="1066" t="s">
        <v>1270</v>
      </c>
      <c r="F320" s="1142">
        <v>0.91</v>
      </c>
      <c r="G320" s="952" t="s">
        <v>593</v>
      </c>
      <c r="H320" s="1068" t="s">
        <v>1303</v>
      </c>
      <c r="I320" s="1545"/>
      <c r="J320" s="1545"/>
      <c r="K320" s="1545"/>
      <c r="L320" s="1545"/>
      <c r="M320" s="1545"/>
      <c r="N320" s="1545"/>
      <c r="O320" s="1545"/>
      <c r="P320" s="1545"/>
      <c r="Q320" s="1545"/>
      <c r="R320" s="1545"/>
      <c r="S320" s="1548"/>
      <c r="T320" s="1548"/>
      <c r="U320" s="1548"/>
      <c r="V320" s="2294"/>
      <c r="W320" s="823">
        <v>0.91</v>
      </c>
      <c r="X320" s="823">
        <v>0.91</v>
      </c>
      <c r="Y320" s="823"/>
      <c r="Z320" s="823"/>
      <c r="AA320" s="823"/>
      <c r="AB320" s="823"/>
      <c r="AC320" s="823"/>
      <c r="AD320" s="823"/>
      <c r="AE320" s="823"/>
      <c r="AF320" s="823"/>
      <c r="AG320" s="823"/>
      <c r="AK320" s="802"/>
    </row>
    <row r="321" spans="2:37" s="811" customFormat="1" outlineLevel="1" x14ac:dyDescent="0.25">
      <c r="B321" s="1545"/>
      <c r="C321" s="1535"/>
      <c r="D321" s="2370"/>
      <c r="E321" s="1066" t="s">
        <v>1271</v>
      </c>
      <c r="F321" s="1142">
        <v>1</v>
      </c>
      <c r="G321" s="952" t="s">
        <v>593</v>
      </c>
      <c r="H321" s="1068" t="s">
        <v>1304</v>
      </c>
      <c r="I321" s="1545"/>
      <c r="J321" s="1545"/>
      <c r="K321" s="1545"/>
      <c r="L321" s="1545"/>
      <c r="M321" s="1545"/>
      <c r="N321" s="1545"/>
      <c r="O321" s="1545"/>
      <c r="P321" s="1545"/>
      <c r="Q321" s="1545"/>
      <c r="R321" s="1545"/>
      <c r="S321" s="1548"/>
      <c r="T321" s="1548"/>
      <c r="U321" s="1548"/>
      <c r="V321" s="2294"/>
      <c r="W321" s="823">
        <v>1</v>
      </c>
      <c r="X321" s="823">
        <v>1</v>
      </c>
      <c r="Y321" s="823"/>
      <c r="Z321" s="823"/>
      <c r="AA321" s="823"/>
      <c r="AB321" s="823"/>
      <c r="AC321" s="823"/>
      <c r="AD321" s="823"/>
      <c r="AE321" s="823"/>
      <c r="AF321" s="823"/>
      <c r="AG321" s="823"/>
      <c r="AK321" s="802"/>
    </row>
    <row r="322" spans="2:37" s="811" customFormat="1" outlineLevel="1" x14ac:dyDescent="0.25">
      <c r="B322" s="1545"/>
      <c r="C322" s="1535"/>
      <c r="D322" s="2370"/>
      <c r="E322" s="1739" t="s">
        <v>1272</v>
      </c>
      <c r="F322" s="1142">
        <v>0.91</v>
      </c>
      <c r="G322" s="952" t="s">
        <v>593</v>
      </c>
      <c r="H322" s="1068" t="s">
        <v>1303</v>
      </c>
      <c r="I322" s="1545"/>
      <c r="J322" s="1545"/>
      <c r="K322" s="1545"/>
      <c r="L322" s="1545"/>
      <c r="M322" s="1545"/>
      <c r="N322" s="1545"/>
      <c r="O322" s="1545"/>
      <c r="P322" s="1545"/>
      <c r="Q322" s="1545"/>
      <c r="R322" s="1545"/>
      <c r="S322" s="1548"/>
      <c r="T322" s="1548"/>
      <c r="U322" s="1548"/>
      <c r="V322" s="2294"/>
      <c r="W322" s="823">
        <v>0.91</v>
      </c>
      <c r="X322" s="823">
        <v>0.91</v>
      </c>
      <c r="Y322" s="823"/>
      <c r="Z322" s="823"/>
      <c r="AA322" s="823"/>
      <c r="AB322" s="823"/>
      <c r="AC322" s="823"/>
      <c r="AD322" s="823"/>
      <c r="AE322" s="823"/>
      <c r="AF322" s="823"/>
      <c r="AG322" s="823"/>
      <c r="AK322" s="802"/>
    </row>
    <row r="323" spans="2:37" s="811" customFormat="1" outlineLevel="1" x14ac:dyDescent="0.25">
      <c r="B323" s="1545"/>
      <c r="C323" s="1535"/>
      <c r="D323" s="2370"/>
      <c r="E323" s="1066" t="s">
        <v>1273</v>
      </c>
      <c r="F323" s="1142">
        <v>0.91</v>
      </c>
      <c r="G323" s="952" t="s">
        <v>593</v>
      </c>
      <c r="H323" s="1068" t="s">
        <v>1303</v>
      </c>
      <c r="I323" s="1545"/>
      <c r="J323" s="1545"/>
      <c r="K323" s="1545"/>
      <c r="L323" s="1545"/>
      <c r="M323" s="1545"/>
      <c r="N323" s="1545"/>
      <c r="O323" s="1545"/>
      <c r="P323" s="1545"/>
      <c r="Q323" s="1545"/>
      <c r="R323" s="1545"/>
      <c r="S323" s="1548"/>
      <c r="T323" s="1548"/>
      <c r="U323" s="1548"/>
      <c r="V323" s="2294"/>
      <c r="W323" s="823">
        <v>0.91</v>
      </c>
      <c r="X323" s="823">
        <v>0.91</v>
      </c>
      <c r="Y323" s="823"/>
      <c r="Z323" s="823"/>
      <c r="AA323" s="823"/>
      <c r="AB323" s="823"/>
      <c r="AC323" s="823"/>
      <c r="AD323" s="823"/>
      <c r="AE323" s="823"/>
      <c r="AF323" s="823"/>
      <c r="AG323" s="823"/>
      <c r="AK323" s="802"/>
    </row>
    <row r="324" spans="2:37" s="811" customFormat="1" outlineLevel="1" x14ac:dyDescent="0.25">
      <c r="B324" s="1545"/>
      <c r="C324" s="1535"/>
      <c r="D324" s="2370"/>
      <c r="E324" s="1066" t="s">
        <v>1274</v>
      </c>
      <c r="F324" s="1142">
        <v>1</v>
      </c>
      <c r="G324" s="952" t="s">
        <v>593</v>
      </c>
      <c r="H324" s="1068" t="s">
        <v>1304</v>
      </c>
      <c r="I324" s="1545"/>
      <c r="J324" s="1545"/>
      <c r="K324" s="1545"/>
      <c r="L324" s="1545"/>
      <c r="M324" s="1545"/>
      <c r="N324" s="1545"/>
      <c r="O324" s="1545"/>
      <c r="P324" s="1545"/>
      <c r="Q324" s="1545"/>
      <c r="R324" s="1545"/>
      <c r="S324" s="1548"/>
      <c r="T324" s="1548"/>
      <c r="U324" s="1548"/>
      <c r="V324" s="2294"/>
      <c r="W324" s="823">
        <v>1</v>
      </c>
      <c r="X324" s="823">
        <v>1</v>
      </c>
      <c r="Y324" s="823"/>
      <c r="Z324" s="823"/>
      <c r="AA324" s="823"/>
      <c r="AB324" s="823"/>
      <c r="AC324" s="823"/>
      <c r="AD324" s="823"/>
      <c r="AE324" s="823"/>
      <c r="AF324" s="823"/>
      <c r="AG324" s="823"/>
      <c r="AK324" s="802"/>
    </row>
    <row r="325" spans="2:37" s="811" customFormat="1" outlineLevel="1" x14ac:dyDescent="0.25">
      <c r="B325" s="1545"/>
      <c r="C325" s="1535"/>
      <c r="D325" s="2370"/>
      <c r="E325" s="1726" t="s">
        <v>1275</v>
      </c>
      <c r="F325" s="1142">
        <v>0.91</v>
      </c>
      <c r="G325" s="952" t="s">
        <v>593</v>
      </c>
      <c r="H325" s="1068" t="s">
        <v>1303</v>
      </c>
      <c r="I325" s="1545"/>
      <c r="J325" s="1545"/>
      <c r="K325" s="1545"/>
      <c r="L325" s="1545"/>
      <c r="M325" s="1545"/>
      <c r="N325" s="1545"/>
      <c r="O325" s="1545"/>
      <c r="P325" s="1545"/>
      <c r="Q325" s="1545"/>
      <c r="R325" s="1545"/>
      <c r="S325" s="1548"/>
      <c r="T325" s="1548"/>
      <c r="U325" s="1548"/>
      <c r="V325" s="2294"/>
      <c r="W325" s="823">
        <v>0.91</v>
      </c>
      <c r="X325" s="823">
        <v>0.91</v>
      </c>
      <c r="Y325" s="823"/>
      <c r="Z325" s="823"/>
      <c r="AA325" s="823"/>
      <c r="AB325" s="823"/>
      <c r="AC325" s="823"/>
      <c r="AD325" s="823"/>
      <c r="AE325" s="823"/>
      <c r="AF325" s="823"/>
      <c r="AG325" s="823"/>
      <c r="AK325" s="802"/>
    </row>
    <row r="326" spans="2:37" s="811" customFormat="1" outlineLevel="1" x14ac:dyDescent="0.25">
      <c r="B326" s="1545"/>
      <c r="C326" s="1535"/>
      <c r="D326" s="2370"/>
      <c r="E326" s="1066" t="s">
        <v>1276</v>
      </c>
      <c r="F326" s="1142">
        <v>0.91</v>
      </c>
      <c r="G326" s="952" t="s">
        <v>593</v>
      </c>
      <c r="H326" s="1068" t="s">
        <v>1303</v>
      </c>
      <c r="I326" s="1545"/>
      <c r="J326" s="1545"/>
      <c r="K326" s="1545"/>
      <c r="L326" s="1545"/>
      <c r="M326" s="1545"/>
      <c r="N326" s="1545"/>
      <c r="O326" s="1545"/>
      <c r="P326" s="1545"/>
      <c r="Q326" s="1545"/>
      <c r="R326" s="1545"/>
      <c r="S326" s="1548"/>
      <c r="T326" s="1548"/>
      <c r="U326" s="1548"/>
      <c r="V326" s="2294"/>
      <c r="W326" s="823">
        <v>0.91</v>
      </c>
      <c r="X326" s="823">
        <v>0.91</v>
      </c>
      <c r="Y326" s="823"/>
      <c r="Z326" s="823"/>
      <c r="AA326" s="823"/>
      <c r="AB326" s="823"/>
      <c r="AC326" s="823"/>
      <c r="AD326" s="823"/>
      <c r="AE326" s="823"/>
      <c r="AF326" s="823"/>
      <c r="AG326" s="823"/>
      <c r="AK326" s="802"/>
    </row>
    <row r="327" spans="2:37" s="811" customFormat="1" outlineLevel="1" x14ac:dyDescent="0.25">
      <c r="B327" s="1545"/>
      <c r="C327" s="1535"/>
      <c r="D327" s="2370"/>
      <c r="E327" s="1066" t="s">
        <v>1277</v>
      </c>
      <c r="F327" s="1142">
        <v>1</v>
      </c>
      <c r="G327" s="952" t="s">
        <v>593</v>
      </c>
      <c r="H327" s="1068" t="s">
        <v>1304</v>
      </c>
      <c r="I327" s="1545"/>
      <c r="J327" s="1545"/>
      <c r="K327" s="1545"/>
      <c r="L327" s="1545"/>
      <c r="M327" s="1545"/>
      <c r="N327" s="1545"/>
      <c r="O327" s="1545"/>
      <c r="P327" s="1545"/>
      <c r="Q327" s="1545"/>
      <c r="R327" s="1545"/>
      <c r="S327" s="1548"/>
      <c r="T327" s="1548"/>
      <c r="U327" s="1548"/>
      <c r="V327" s="2294"/>
      <c r="W327" s="823">
        <v>1</v>
      </c>
      <c r="X327" s="823">
        <v>1</v>
      </c>
      <c r="Y327" s="823"/>
      <c r="Z327" s="823"/>
      <c r="AA327" s="823"/>
      <c r="AB327" s="823"/>
      <c r="AC327" s="823"/>
      <c r="AD327" s="823"/>
      <c r="AE327" s="823"/>
      <c r="AF327" s="823"/>
      <c r="AG327" s="823"/>
      <c r="AK327" s="802"/>
    </row>
    <row r="328" spans="2:37" s="811" customFormat="1" outlineLevel="1" x14ac:dyDescent="0.25">
      <c r="B328" s="1545"/>
      <c r="C328" s="1535"/>
      <c r="D328" s="2370"/>
      <c r="E328" s="1739" t="s">
        <v>1278</v>
      </c>
      <c r="F328" s="1142">
        <v>0.91</v>
      </c>
      <c r="G328" s="952" t="s">
        <v>593</v>
      </c>
      <c r="H328" s="1068" t="s">
        <v>1303</v>
      </c>
      <c r="I328" s="1545"/>
      <c r="J328" s="1545"/>
      <c r="K328" s="1545"/>
      <c r="L328" s="1545"/>
      <c r="M328" s="1545"/>
      <c r="N328" s="1545"/>
      <c r="O328" s="1545"/>
      <c r="P328" s="1545"/>
      <c r="Q328" s="1545"/>
      <c r="R328" s="1545"/>
      <c r="S328" s="1548"/>
      <c r="T328" s="1548"/>
      <c r="U328" s="1548"/>
      <c r="V328" s="2294"/>
      <c r="W328" s="823">
        <v>0.91</v>
      </c>
      <c r="X328" s="823">
        <v>0.91</v>
      </c>
      <c r="Y328" s="823"/>
      <c r="Z328" s="823"/>
      <c r="AA328" s="823"/>
      <c r="AB328" s="823"/>
      <c r="AC328" s="823"/>
      <c r="AD328" s="823"/>
      <c r="AE328" s="823"/>
      <c r="AF328" s="823"/>
      <c r="AG328" s="823"/>
      <c r="AK328" s="802"/>
    </row>
    <row r="329" spans="2:37" s="811" customFormat="1" outlineLevel="1" x14ac:dyDescent="0.25">
      <c r="B329" s="1545"/>
      <c r="C329" s="1535"/>
      <c r="D329" s="2370"/>
      <c r="E329" s="1066" t="s">
        <v>1279</v>
      </c>
      <c r="F329" s="1142">
        <v>0.91</v>
      </c>
      <c r="G329" s="952" t="s">
        <v>593</v>
      </c>
      <c r="H329" s="1068" t="s">
        <v>1303</v>
      </c>
      <c r="I329" s="1545"/>
      <c r="J329" s="1545"/>
      <c r="K329" s="1545"/>
      <c r="L329" s="1545"/>
      <c r="M329" s="1545"/>
      <c r="N329" s="1545"/>
      <c r="O329" s="1545"/>
      <c r="P329" s="1545"/>
      <c r="Q329" s="1545"/>
      <c r="R329" s="1545"/>
      <c r="S329" s="1548"/>
      <c r="T329" s="1548"/>
      <c r="U329" s="1548"/>
      <c r="V329" s="2294"/>
      <c r="W329" s="823">
        <v>0.91</v>
      </c>
      <c r="X329" s="823">
        <v>0.91</v>
      </c>
      <c r="Y329" s="823"/>
      <c r="Z329" s="823"/>
      <c r="AA329" s="823"/>
      <c r="AB329" s="823"/>
      <c r="AC329" s="823"/>
      <c r="AD329" s="823"/>
      <c r="AE329" s="823"/>
      <c r="AF329" s="823"/>
      <c r="AG329" s="823"/>
      <c r="AK329" s="802"/>
    </row>
    <row r="330" spans="2:37" s="811" customFormat="1" outlineLevel="1" x14ac:dyDescent="0.25">
      <c r="B330" s="1545"/>
      <c r="C330" s="1535"/>
      <c r="D330" s="2370"/>
      <c r="E330" s="1066" t="s">
        <v>1280</v>
      </c>
      <c r="F330" s="1142">
        <v>1</v>
      </c>
      <c r="G330" s="952" t="s">
        <v>593</v>
      </c>
      <c r="H330" s="1068" t="s">
        <v>1304</v>
      </c>
      <c r="I330" s="1545"/>
      <c r="J330" s="1545"/>
      <c r="K330" s="1545"/>
      <c r="L330" s="1545"/>
      <c r="M330" s="1545"/>
      <c r="N330" s="1545"/>
      <c r="O330" s="1545"/>
      <c r="P330" s="1545"/>
      <c r="Q330" s="1545"/>
      <c r="R330" s="1545"/>
      <c r="S330" s="1548"/>
      <c r="T330" s="1548"/>
      <c r="U330" s="1548"/>
      <c r="V330" s="2294"/>
      <c r="W330" s="823">
        <v>1</v>
      </c>
      <c r="X330" s="823">
        <v>1</v>
      </c>
      <c r="Y330" s="823"/>
      <c r="Z330" s="823"/>
      <c r="AA330" s="823"/>
      <c r="AB330" s="823"/>
      <c r="AC330" s="823"/>
      <c r="AD330" s="823"/>
      <c r="AE330" s="823"/>
      <c r="AF330" s="823"/>
      <c r="AG330" s="823"/>
      <c r="AK330" s="802"/>
    </row>
    <row r="331" spans="2:37" s="811" customFormat="1" outlineLevel="1" x14ac:dyDescent="0.25">
      <c r="B331" s="1545"/>
      <c r="C331" s="1535"/>
      <c r="D331" s="2370"/>
      <c r="E331" s="1726" t="s">
        <v>1281</v>
      </c>
      <c r="F331" s="1142">
        <v>0.91</v>
      </c>
      <c r="G331" s="952" t="s">
        <v>593</v>
      </c>
      <c r="H331" s="1068" t="s">
        <v>1303</v>
      </c>
      <c r="I331" s="1545"/>
      <c r="J331" s="1545"/>
      <c r="K331" s="1545"/>
      <c r="L331" s="1545"/>
      <c r="M331" s="1545"/>
      <c r="N331" s="1545"/>
      <c r="O331" s="1545"/>
      <c r="P331" s="1545"/>
      <c r="Q331" s="1545"/>
      <c r="R331" s="1545"/>
      <c r="S331" s="1548"/>
      <c r="T331" s="1548"/>
      <c r="U331" s="1548"/>
      <c r="V331" s="2294"/>
      <c r="W331" s="823">
        <v>0.91</v>
      </c>
      <c r="X331" s="823">
        <v>0.91</v>
      </c>
      <c r="Y331" s="823"/>
      <c r="Z331" s="823"/>
      <c r="AA331" s="823"/>
      <c r="AB331" s="823"/>
      <c r="AC331" s="823"/>
      <c r="AD331" s="823"/>
      <c r="AE331" s="823"/>
      <c r="AF331" s="823"/>
      <c r="AG331" s="823"/>
      <c r="AK331" s="802"/>
    </row>
    <row r="332" spans="2:37" s="811" customFormat="1" outlineLevel="1" x14ac:dyDescent="0.25">
      <c r="B332" s="1545"/>
      <c r="C332" s="1535"/>
      <c r="D332" s="2370"/>
      <c r="E332" s="1066" t="s">
        <v>1282</v>
      </c>
      <c r="F332" s="1142">
        <v>0.91</v>
      </c>
      <c r="G332" s="952" t="s">
        <v>593</v>
      </c>
      <c r="H332" s="1068" t="s">
        <v>1303</v>
      </c>
      <c r="I332" s="1545"/>
      <c r="J332" s="1545"/>
      <c r="K332" s="1545"/>
      <c r="L332" s="1545"/>
      <c r="M332" s="1545"/>
      <c r="N332" s="1545"/>
      <c r="O332" s="1545"/>
      <c r="P332" s="1545"/>
      <c r="Q332" s="1545"/>
      <c r="R332" s="1545"/>
      <c r="S332" s="1548"/>
      <c r="T332" s="1548"/>
      <c r="U332" s="1548"/>
      <c r="V332" s="2294"/>
      <c r="W332" s="823">
        <v>0.91</v>
      </c>
      <c r="X332" s="823">
        <v>0.91</v>
      </c>
      <c r="Y332" s="823"/>
      <c r="Z332" s="823"/>
      <c r="AA332" s="823"/>
      <c r="AB332" s="823"/>
      <c r="AC332" s="823"/>
      <c r="AD332" s="823"/>
      <c r="AE332" s="823"/>
      <c r="AF332" s="823"/>
      <c r="AG332" s="823"/>
      <c r="AK332" s="802"/>
    </row>
    <row r="333" spans="2:37" s="811" customFormat="1" outlineLevel="1" x14ac:dyDescent="0.25">
      <c r="B333" s="1545"/>
      <c r="C333" s="1535"/>
      <c r="D333" s="2370"/>
      <c r="E333" s="1726" t="s">
        <v>1283</v>
      </c>
      <c r="F333" s="1142">
        <v>1</v>
      </c>
      <c r="G333" s="952" t="s">
        <v>593</v>
      </c>
      <c r="H333" s="1068" t="s">
        <v>1304</v>
      </c>
      <c r="I333" s="1545"/>
      <c r="J333" s="1545"/>
      <c r="K333" s="1545"/>
      <c r="L333" s="1545"/>
      <c r="M333" s="1545"/>
      <c r="N333" s="1545"/>
      <c r="O333" s="1545"/>
      <c r="P333" s="1545"/>
      <c r="Q333" s="1545"/>
      <c r="R333" s="1545"/>
      <c r="S333" s="1548"/>
      <c r="T333" s="1548"/>
      <c r="U333" s="1548"/>
      <c r="V333" s="2294"/>
      <c r="W333" s="823">
        <v>1</v>
      </c>
      <c r="X333" s="823">
        <v>1</v>
      </c>
      <c r="Y333" s="823"/>
      <c r="Z333" s="823"/>
      <c r="AA333" s="823"/>
      <c r="AB333" s="823"/>
      <c r="AC333" s="823"/>
      <c r="AD333" s="823"/>
      <c r="AE333" s="823"/>
      <c r="AF333" s="823"/>
      <c r="AG333" s="823"/>
      <c r="AK333" s="802"/>
    </row>
    <row r="334" spans="2:37" s="811" customFormat="1" outlineLevel="1" x14ac:dyDescent="0.25">
      <c r="B334" s="1545"/>
      <c r="C334" s="1535"/>
      <c r="D334" s="2370"/>
      <c r="E334" s="1066" t="s">
        <v>1284</v>
      </c>
      <c r="F334" s="1142">
        <v>0.91</v>
      </c>
      <c r="G334" s="952" t="s">
        <v>593</v>
      </c>
      <c r="H334" s="1068" t="s">
        <v>1303</v>
      </c>
      <c r="I334" s="1545"/>
      <c r="J334" s="1545"/>
      <c r="K334" s="1545"/>
      <c r="L334" s="1545"/>
      <c r="M334" s="1545"/>
      <c r="N334" s="1545"/>
      <c r="O334" s="1545"/>
      <c r="P334" s="1545"/>
      <c r="Q334" s="1545"/>
      <c r="R334" s="1545"/>
      <c r="S334" s="1548"/>
      <c r="T334" s="1548"/>
      <c r="U334" s="1548"/>
      <c r="V334" s="2294"/>
      <c r="W334" s="823">
        <v>0.91</v>
      </c>
      <c r="X334" s="823">
        <v>0.91</v>
      </c>
      <c r="Y334" s="823"/>
      <c r="Z334" s="823"/>
      <c r="AA334" s="823"/>
      <c r="AB334" s="823"/>
      <c r="AC334" s="823"/>
      <c r="AD334" s="823"/>
      <c r="AE334" s="823"/>
      <c r="AF334" s="823"/>
      <c r="AG334" s="823"/>
      <c r="AK334" s="802"/>
    </row>
    <row r="335" spans="2:37" s="811" customFormat="1" outlineLevel="1" x14ac:dyDescent="0.25">
      <c r="B335" s="1545"/>
      <c r="C335" s="1535"/>
      <c r="D335" s="2370"/>
      <c r="E335" s="1066" t="s">
        <v>1285</v>
      </c>
      <c r="F335" s="1142">
        <v>0.91</v>
      </c>
      <c r="G335" s="952" t="s">
        <v>593</v>
      </c>
      <c r="H335" s="1068" t="s">
        <v>1303</v>
      </c>
      <c r="I335" s="1545"/>
      <c r="J335" s="1545"/>
      <c r="K335" s="1545"/>
      <c r="L335" s="1545"/>
      <c r="M335" s="1545"/>
      <c r="N335" s="1545"/>
      <c r="O335" s="1545"/>
      <c r="P335" s="1545"/>
      <c r="Q335" s="1545"/>
      <c r="R335" s="1545"/>
      <c r="S335" s="1548"/>
      <c r="T335" s="1548"/>
      <c r="U335" s="1548"/>
      <c r="V335" s="2294"/>
      <c r="W335" s="823">
        <v>0.91</v>
      </c>
      <c r="X335" s="823">
        <v>0.91</v>
      </c>
      <c r="Y335" s="823"/>
      <c r="Z335" s="823"/>
      <c r="AA335" s="823"/>
      <c r="AB335" s="823"/>
      <c r="AC335" s="823"/>
      <c r="AD335" s="823"/>
      <c r="AE335" s="823"/>
      <c r="AF335" s="823"/>
      <c r="AG335" s="823"/>
      <c r="AK335" s="802"/>
    </row>
    <row r="336" spans="2:37" s="811" customFormat="1" outlineLevel="1" x14ac:dyDescent="0.25">
      <c r="B336" s="1545"/>
      <c r="C336" s="1535"/>
      <c r="D336" s="2370"/>
      <c r="E336" s="1066" t="s">
        <v>1286</v>
      </c>
      <c r="F336" s="1142">
        <v>1</v>
      </c>
      <c r="G336" s="952" t="s">
        <v>593</v>
      </c>
      <c r="H336" s="1068" t="s">
        <v>1304</v>
      </c>
      <c r="I336" s="1545"/>
      <c r="J336" s="1545"/>
      <c r="K336" s="1545"/>
      <c r="L336" s="1545"/>
      <c r="M336" s="1545"/>
      <c r="N336" s="1545"/>
      <c r="O336" s="1545"/>
      <c r="P336" s="1545"/>
      <c r="Q336" s="1545"/>
      <c r="R336" s="1545"/>
      <c r="S336" s="1548"/>
      <c r="T336" s="1548"/>
      <c r="U336" s="1548"/>
      <c r="V336" s="2294"/>
      <c r="W336" s="823">
        <v>1</v>
      </c>
      <c r="X336" s="823">
        <v>1</v>
      </c>
      <c r="Y336" s="823"/>
      <c r="Z336" s="823"/>
      <c r="AA336" s="823"/>
      <c r="AB336" s="823"/>
      <c r="AC336" s="823"/>
      <c r="AD336" s="823"/>
      <c r="AE336" s="823"/>
      <c r="AF336" s="823"/>
      <c r="AG336" s="823"/>
      <c r="AK336" s="802"/>
    </row>
    <row r="337" spans="2:37" s="811" customFormat="1" outlineLevel="1" x14ac:dyDescent="0.25">
      <c r="B337" s="1545"/>
      <c r="C337" s="1535"/>
      <c r="D337" s="2370"/>
      <c r="E337" s="1726" t="s">
        <v>1287</v>
      </c>
      <c r="F337" s="1142">
        <v>0.91</v>
      </c>
      <c r="G337" s="952" t="s">
        <v>593</v>
      </c>
      <c r="H337" s="1068" t="s">
        <v>1303</v>
      </c>
      <c r="I337" s="1545"/>
      <c r="J337" s="1545"/>
      <c r="K337" s="1545"/>
      <c r="L337" s="1545"/>
      <c r="M337" s="1545"/>
      <c r="N337" s="1545"/>
      <c r="O337" s="1545"/>
      <c r="P337" s="1545"/>
      <c r="Q337" s="1545"/>
      <c r="R337" s="1545"/>
      <c r="S337" s="1548"/>
      <c r="T337" s="1548"/>
      <c r="U337" s="1548"/>
      <c r="V337" s="2294"/>
      <c r="W337" s="823">
        <v>0.91</v>
      </c>
      <c r="X337" s="823">
        <v>0.91</v>
      </c>
      <c r="Y337" s="823"/>
      <c r="Z337" s="823"/>
      <c r="AA337" s="823"/>
      <c r="AB337" s="823"/>
      <c r="AC337" s="823"/>
      <c r="AD337" s="823"/>
      <c r="AE337" s="823"/>
      <c r="AF337" s="823"/>
      <c r="AG337" s="823"/>
      <c r="AK337" s="802"/>
    </row>
    <row r="338" spans="2:37" s="811" customFormat="1" outlineLevel="1" x14ac:dyDescent="0.25">
      <c r="B338" s="1545"/>
      <c r="C338" s="1535"/>
      <c r="D338" s="2370"/>
      <c r="E338" s="1066" t="s">
        <v>1288</v>
      </c>
      <c r="F338" s="1142">
        <v>0.91</v>
      </c>
      <c r="G338" s="952" t="s">
        <v>593</v>
      </c>
      <c r="H338" s="1068" t="s">
        <v>1303</v>
      </c>
      <c r="I338" s="1545"/>
      <c r="J338" s="1545"/>
      <c r="K338" s="1545"/>
      <c r="L338" s="1545"/>
      <c r="M338" s="1545"/>
      <c r="N338" s="1545"/>
      <c r="O338" s="1545"/>
      <c r="P338" s="1545"/>
      <c r="Q338" s="1545"/>
      <c r="R338" s="1545"/>
      <c r="S338" s="1548"/>
      <c r="T338" s="1548"/>
      <c r="U338" s="1548"/>
      <c r="V338" s="2294"/>
      <c r="W338" s="823">
        <v>0.91</v>
      </c>
      <c r="X338" s="823">
        <v>0.91</v>
      </c>
      <c r="Y338" s="823"/>
      <c r="Z338" s="823"/>
      <c r="AA338" s="823"/>
      <c r="AB338" s="823"/>
      <c r="AC338" s="823"/>
      <c r="AD338" s="823"/>
      <c r="AE338" s="823"/>
      <c r="AF338" s="823"/>
      <c r="AG338" s="823"/>
      <c r="AK338" s="802"/>
    </row>
    <row r="339" spans="2:37" s="811" customFormat="1" outlineLevel="1" x14ac:dyDescent="0.25">
      <c r="B339" s="1545"/>
      <c r="C339" s="1535"/>
      <c r="D339" s="2370"/>
      <c r="E339" s="1726" t="s">
        <v>1289</v>
      </c>
      <c r="F339" s="1142">
        <v>1</v>
      </c>
      <c r="G339" s="952" t="s">
        <v>593</v>
      </c>
      <c r="H339" s="1068" t="s">
        <v>1304</v>
      </c>
      <c r="I339" s="1545"/>
      <c r="J339" s="1545"/>
      <c r="K339" s="1545"/>
      <c r="L339" s="1545"/>
      <c r="M339" s="1545"/>
      <c r="N339" s="1545"/>
      <c r="O339" s="1545"/>
      <c r="P339" s="1545"/>
      <c r="Q339" s="1545"/>
      <c r="R339" s="1545"/>
      <c r="S339" s="1548"/>
      <c r="T339" s="1548"/>
      <c r="U339" s="1548"/>
      <c r="V339" s="2294"/>
      <c r="W339" s="823">
        <v>1</v>
      </c>
      <c r="X339" s="823">
        <v>1</v>
      </c>
      <c r="Y339" s="823"/>
      <c r="Z339" s="823"/>
      <c r="AA339" s="823"/>
      <c r="AB339" s="823"/>
      <c r="AC339" s="823"/>
      <c r="AD339" s="823"/>
      <c r="AE339" s="823"/>
      <c r="AF339" s="823"/>
      <c r="AG339" s="823"/>
      <c r="AK339" s="802"/>
    </row>
    <row r="340" spans="2:37" s="811" customFormat="1" outlineLevel="1" x14ac:dyDescent="0.25">
      <c r="B340" s="1545"/>
      <c r="C340" s="1535"/>
      <c r="D340" s="2370"/>
      <c r="E340" s="1066" t="s">
        <v>1290</v>
      </c>
      <c r="F340" s="1142">
        <v>0.91</v>
      </c>
      <c r="G340" s="952" t="s">
        <v>593</v>
      </c>
      <c r="H340" s="1068" t="s">
        <v>1303</v>
      </c>
      <c r="I340" s="1545"/>
      <c r="J340" s="1545"/>
      <c r="K340" s="1545"/>
      <c r="L340" s="1545"/>
      <c r="M340" s="1545"/>
      <c r="N340" s="1545"/>
      <c r="O340" s="1545"/>
      <c r="P340" s="1545"/>
      <c r="Q340" s="1545"/>
      <c r="R340" s="1545"/>
      <c r="S340" s="1548"/>
      <c r="T340" s="1548"/>
      <c r="U340" s="1548"/>
      <c r="V340" s="2295"/>
      <c r="W340" s="823">
        <v>0.91</v>
      </c>
      <c r="X340" s="823">
        <v>0.91</v>
      </c>
      <c r="Y340" s="823"/>
      <c r="Z340" s="823"/>
      <c r="AA340" s="823"/>
      <c r="AB340" s="823"/>
      <c r="AC340" s="823"/>
      <c r="AD340" s="823"/>
      <c r="AE340" s="823"/>
      <c r="AF340" s="823"/>
      <c r="AG340" s="823"/>
      <c r="AK340" s="802"/>
    </row>
    <row r="341" spans="2:37" s="811" customFormat="1" outlineLevel="1" x14ac:dyDescent="0.25">
      <c r="B341" s="1545"/>
      <c r="C341" s="1535"/>
      <c r="D341" s="2369" t="s">
        <v>1305</v>
      </c>
      <c r="E341" s="1066" t="s">
        <v>1261</v>
      </c>
      <c r="F341" s="1067">
        <v>11</v>
      </c>
      <c r="G341" s="952"/>
      <c r="H341" s="1068" t="s">
        <v>1306</v>
      </c>
      <c r="I341" s="1545"/>
      <c r="J341" s="1545"/>
      <c r="K341" s="1545"/>
      <c r="L341" s="1545"/>
      <c r="M341" s="1545"/>
      <c r="N341" s="1545"/>
      <c r="O341" s="1545"/>
      <c r="P341" s="1545"/>
      <c r="Q341" s="1545"/>
      <c r="R341" s="1545"/>
      <c r="S341" s="1548"/>
      <c r="T341" s="1548"/>
      <c r="U341" s="1548"/>
      <c r="V341" s="2293" t="str">
        <f>D341</f>
        <v>ƞcool</v>
      </c>
      <c r="W341" s="819">
        <v>11</v>
      </c>
      <c r="X341" s="819">
        <v>11</v>
      </c>
      <c r="Y341" s="819"/>
      <c r="Z341" s="819"/>
      <c r="AA341" s="819"/>
      <c r="AB341" s="819"/>
      <c r="AC341" s="819"/>
      <c r="AD341" s="819"/>
      <c r="AE341" s="819"/>
      <c r="AF341" s="819"/>
      <c r="AG341" s="819"/>
      <c r="AK341" s="802"/>
    </row>
    <row r="342" spans="2:37" s="811" customFormat="1" outlineLevel="1" x14ac:dyDescent="0.25">
      <c r="B342" s="1545"/>
      <c r="C342" s="1535"/>
      <c r="D342" s="2370"/>
      <c r="E342" s="1066" t="s">
        <v>1262</v>
      </c>
      <c r="F342" s="1067">
        <v>11</v>
      </c>
      <c r="G342" s="952"/>
      <c r="H342" s="1068" t="s">
        <v>1292</v>
      </c>
      <c r="I342" s="1545"/>
      <c r="J342" s="1545"/>
      <c r="K342" s="1545"/>
      <c r="L342" s="1545"/>
      <c r="M342" s="1545"/>
      <c r="N342" s="1545"/>
      <c r="O342" s="1545"/>
      <c r="P342" s="1545"/>
      <c r="Q342" s="1545"/>
      <c r="R342" s="1545"/>
      <c r="S342" s="1548"/>
      <c r="T342" s="1548"/>
      <c r="U342" s="1548"/>
      <c r="V342" s="2294"/>
      <c r="W342" s="819">
        <v>11</v>
      </c>
      <c r="X342" s="819">
        <v>11</v>
      </c>
      <c r="Y342" s="819"/>
      <c r="Z342" s="819"/>
      <c r="AA342" s="819"/>
      <c r="AB342" s="819"/>
      <c r="AC342" s="819"/>
      <c r="AD342" s="819"/>
      <c r="AE342" s="819"/>
      <c r="AF342" s="819"/>
      <c r="AG342" s="819"/>
      <c r="AK342" s="802"/>
    </row>
    <row r="343" spans="2:37" s="811" customFormat="1" outlineLevel="1" x14ac:dyDescent="0.25">
      <c r="B343" s="1545"/>
      <c r="C343" s="1535"/>
      <c r="D343" s="2370"/>
      <c r="E343" s="1066" t="s">
        <v>1263</v>
      </c>
      <c r="F343" s="1067">
        <v>11</v>
      </c>
      <c r="G343" s="952"/>
      <c r="H343" s="1068" t="s">
        <v>1292</v>
      </c>
      <c r="I343" s="1545"/>
      <c r="J343" s="1545"/>
      <c r="K343" s="1545"/>
      <c r="L343" s="1545"/>
      <c r="M343" s="1545"/>
      <c r="N343" s="1545"/>
      <c r="O343" s="1545"/>
      <c r="P343" s="1545"/>
      <c r="Q343" s="1545"/>
      <c r="R343" s="1545"/>
      <c r="S343" s="1548"/>
      <c r="T343" s="1548"/>
      <c r="U343" s="1548"/>
      <c r="V343" s="2294"/>
      <c r="W343" s="819">
        <v>11</v>
      </c>
      <c r="X343" s="819">
        <v>11</v>
      </c>
      <c r="Y343" s="819"/>
      <c r="Z343" s="819"/>
      <c r="AA343" s="819"/>
      <c r="AB343" s="819"/>
      <c r="AC343" s="819"/>
      <c r="AD343" s="819"/>
      <c r="AE343" s="819"/>
      <c r="AF343" s="819"/>
      <c r="AG343" s="819"/>
      <c r="AK343" s="802"/>
    </row>
    <row r="344" spans="2:37" s="811" customFormat="1" outlineLevel="1" x14ac:dyDescent="0.25">
      <c r="B344" s="1545"/>
      <c r="C344" s="1535"/>
      <c r="D344" s="2370"/>
      <c r="E344" s="1066" t="s">
        <v>1264</v>
      </c>
      <c r="F344" s="1067">
        <v>11</v>
      </c>
      <c r="G344" s="952"/>
      <c r="H344" s="1068" t="s">
        <v>1292</v>
      </c>
      <c r="I344" s="1545"/>
      <c r="J344" s="1545"/>
      <c r="K344" s="1545"/>
      <c r="L344" s="1545"/>
      <c r="M344" s="1545"/>
      <c r="N344" s="1545"/>
      <c r="O344" s="1545"/>
      <c r="P344" s="1545"/>
      <c r="Q344" s="1545"/>
      <c r="R344" s="1545"/>
      <c r="S344" s="1548"/>
      <c r="T344" s="1548"/>
      <c r="U344" s="1548"/>
      <c r="V344" s="2294"/>
      <c r="W344" s="819">
        <v>11</v>
      </c>
      <c r="X344" s="819">
        <v>11</v>
      </c>
      <c r="Y344" s="819"/>
      <c r="Z344" s="819"/>
      <c r="AA344" s="819"/>
      <c r="AB344" s="819"/>
      <c r="AC344" s="819"/>
      <c r="AD344" s="819"/>
      <c r="AE344" s="819"/>
      <c r="AF344" s="819"/>
      <c r="AG344" s="819"/>
      <c r="AK344" s="802"/>
    </row>
    <row r="345" spans="2:37" s="811" customFormat="1" outlineLevel="1" x14ac:dyDescent="0.25">
      <c r="B345" s="1545"/>
      <c r="C345" s="1535"/>
      <c r="D345" s="2370"/>
      <c r="E345" s="1066" t="s">
        <v>1265</v>
      </c>
      <c r="F345" s="1067">
        <v>11</v>
      </c>
      <c r="G345" s="952"/>
      <c r="H345" s="1068" t="s">
        <v>1292</v>
      </c>
      <c r="I345" s="1545"/>
      <c r="J345" s="1545"/>
      <c r="K345" s="1545"/>
      <c r="L345" s="1545"/>
      <c r="M345" s="1545"/>
      <c r="N345" s="1545"/>
      <c r="O345" s="1545"/>
      <c r="P345" s="1545"/>
      <c r="Q345" s="1545"/>
      <c r="R345" s="1545"/>
      <c r="S345" s="1548"/>
      <c r="T345" s="1548"/>
      <c r="U345" s="1548"/>
      <c r="V345" s="2294"/>
      <c r="W345" s="819">
        <v>11</v>
      </c>
      <c r="X345" s="819">
        <v>11</v>
      </c>
      <c r="Y345" s="819"/>
      <c r="Z345" s="819"/>
      <c r="AA345" s="819"/>
      <c r="AB345" s="819"/>
      <c r="AC345" s="819"/>
      <c r="AD345" s="819"/>
      <c r="AE345" s="819"/>
      <c r="AF345" s="819"/>
      <c r="AG345" s="819"/>
      <c r="AK345" s="802"/>
    </row>
    <row r="346" spans="2:37" s="811" customFormat="1" outlineLevel="1" x14ac:dyDescent="0.25">
      <c r="B346" s="1545"/>
      <c r="C346" s="1535"/>
      <c r="D346" s="2370"/>
      <c r="E346" s="1066" t="s">
        <v>1266</v>
      </c>
      <c r="F346" s="1067">
        <v>11</v>
      </c>
      <c r="G346" s="952"/>
      <c r="H346" s="1068" t="s">
        <v>1292</v>
      </c>
      <c r="I346" s="1545"/>
      <c r="J346" s="1545"/>
      <c r="K346" s="1545"/>
      <c r="L346" s="1545"/>
      <c r="M346" s="1545"/>
      <c r="N346" s="1545"/>
      <c r="O346" s="1545"/>
      <c r="P346" s="1545"/>
      <c r="Q346" s="1545"/>
      <c r="R346" s="1545"/>
      <c r="S346" s="1548"/>
      <c r="T346" s="1548"/>
      <c r="U346" s="1548"/>
      <c r="V346" s="2294"/>
      <c r="W346" s="819">
        <v>11</v>
      </c>
      <c r="X346" s="819">
        <v>11</v>
      </c>
      <c r="Y346" s="819"/>
      <c r="Z346" s="819"/>
      <c r="AA346" s="819"/>
      <c r="AB346" s="819"/>
      <c r="AC346" s="819"/>
      <c r="AD346" s="819"/>
      <c r="AE346" s="819"/>
      <c r="AF346" s="819"/>
      <c r="AG346" s="819"/>
      <c r="AK346" s="802"/>
    </row>
    <row r="347" spans="2:37" s="811" customFormat="1" outlineLevel="1" x14ac:dyDescent="0.25">
      <c r="B347" s="1545"/>
      <c r="C347" s="1535"/>
      <c r="D347" s="2370"/>
      <c r="E347" s="1066" t="s">
        <v>1267</v>
      </c>
      <c r="F347" s="1067">
        <v>11</v>
      </c>
      <c r="G347" s="952"/>
      <c r="H347" s="1068" t="s">
        <v>1292</v>
      </c>
      <c r="I347" s="1545"/>
      <c r="J347" s="1545"/>
      <c r="K347" s="1545"/>
      <c r="L347" s="1545"/>
      <c r="M347" s="1545"/>
      <c r="N347" s="1545"/>
      <c r="O347" s="1545"/>
      <c r="P347" s="1545"/>
      <c r="Q347" s="1545"/>
      <c r="R347" s="1545"/>
      <c r="S347" s="1548"/>
      <c r="T347" s="1548"/>
      <c r="U347" s="1548"/>
      <c r="V347" s="2294"/>
      <c r="W347" s="819">
        <v>11</v>
      </c>
      <c r="X347" s="819">
        <v>11</v>
      </c>
      <c r="Y347" s="819"/>
      <c r="Z347" s="819"/>
      <c r="AA347" s="819"/>
      <c r="AB347" s="819"/>
      <c r="AC347" s="819"/>
      <c r="AD347" s="819"/>
      <c r="AE347" s="819"/>
      <c r="AF347" s="819"/>
      <c r="AG347" s="819"/>
      <c r="AK347" s="802"/>
    </row>
    <row r="348" spans="2:37" s="811" customFormat="1" outlineLevel="1" x14ac:dyDescent="0.25">
      <c r="B348" s="1545"/>
      <c r="C348" s="1535"/>
      <c r="D348" s="2370"/>
      <c r="E348" s="1066" t="s">
        <v>1268</v>
      </c>
      <c r="F348" s="1067">
        <v>11</v>
      </c>
      <c r="G348" s="952"/>
      <c r="H348" s="1068" t="s">
        <v>1292</v>
      </c>
      <c r="I348" s="1545"/>
      <c r="J348" s="1545"/>
      <c r="K348" s="1545"/>
      <c r="L348" s="1545"/>
      <c r="M348" s="1545"/>
      <c r="N348" s="1545"/>
      <c r="O348" s="1545"/>
      <c r="P348" s="1545"/>
      <c r="Q348" s="1545"/>
      <c r="R348" s="1545"/>
      <c r="S348" s="1548"/>
      <c r="T348" s="1548"/>
      <c r="U348" s="1548"/>
      <c r="V348" s="2294"/>
      <c r="W348" s="819">
        <v>11</v>
      </c>
      <c r="X348" s="819">
        <v>11</v>
      </c>
      <c r="Y348" s="819"/>
      <c r="Z348" s="819"/>
      <c r="AA348" s="819"/>
      <c r="AB348" s="819"/>
      <c r="AC348" s="819"/>
      <c r="AD348" s="819"/>
      <c r="AE348" s="819"/>
      <c r="AF348" s="819"/>
      <c r="AG348" s="819"/>
      <c r="AK348" s="802"/>
    </row>
    <row r="349" spans="2:37" s="811" customFormat="1" outlineLevel="1" x14ac:dyDescent="0.25">
      <c r="B349" s="1545"/>
      <c r="C349" s="1535"/>
      <c r="D349" s="2370"/>
      <c r="E349" s="1726" t="s">
        <v>1269</v>
      </c>
      <c r="F349" s="1067">
        <v>11</v>
      </c>
      <c r="G349" s="952"/>
      <c r="H349" s="1068" t="s">
        <v>1292</v>
      </c>
      <c r="I349" s="1545"/>
      <c r="J349" s="1545"/>
      <c r="K349" s="1545"/>
      <c r="L349" s="1545"/>
      <c r="M349" s="1545"/>
      <c r="N349" s="1545"/>
      <c r="O349" s="1545"/>
      <c r="P349" s="1545"/>
      <c r="Q349" s="1545"/>
      <c r="R349" s="1545"/>
      <c r="S349" s="1548"/>
      <c r="T349" s="1548"/>
      <c r="U349" s="1548"/>
      <c r="V349" s="2294"/>
      <c r="W349" s="819">
        <v>11</v>
      </c>
      <c r="X349" s="819">
        <v>11</v>
      </c>
      <c r="Y349" s="819"/>
      <c r="Z349" s="819"/>
      <c r="AA349" s="819"/>
      <c r="AB349" s="819"/>
      <c r="AC349" s="819"/>
      <c r="AD349" s="819"/>
      <c r="AE349" s="819"/>
      <c r="AF349" s="819"/>
      <c r="AG349" s="819"/>
      <c r="AK349" s="802"/>
    </row>
    <row r="350" spans="2:37" s="811" customFormat="1" outlineLevel="1" x14ac:dyDescent="0.25">
      <c r="B350" s="1545"/>
      <c r="C350" s="1535"/>
      <c r="D350" s="2370"/>
      <c r="E350" s="1066" t="s">
        <v>1270</v>
      </c>
      <c r="F350" s="1067">
        <v>11</v>
      </c>
      <c r="G350" s="952"/>
      <c r="H350" s="1068" t="s">
        <v>1292</v>
      </c>
      <c r="I350" s="1545"/>
      <c r="J350" s="1545"/>
      <c r="K350" s="1545"/>
      <c r="L350" s="1545"/>
      <c r="M350" s="1545"/>
      <c r="N350" s="1545"/>
      <c r="O350" s="1545"/>
      <c r="P350" s="1545"/>
      <c r="Q350" s="1545"/>
      <c r="R350" s="1545"/>
      <c r="S350" s="1548"/>
      <c r="T350" s="1548"/>
      <c r="U350" s="1548"/>
      <c r="V350" s="2294"/>
      <c r="W350" s="819">
        <v>11</v>
      </c>
      <c r="X350" s="819">
        <v>11</v>
      </c>
      <c r="Y350" s="819"/>
      <c r="Z350" s="819"/>
      <c r="AA350" s="819"/>
      <c r="AB350" s="819"/>
      <c r="AC350" s="819"/>
      <c r="AD350" s="819"/>
      <c r="AE350" s="819"/>
      <c r="AF350" s="819"/>
      <c r="AG350" s="819"/>
      <c r="AK350" s="802"/>
    </row>
    <row r="351" spans="2:37" s="811" customFormat="1" outlineLevel="1" x14ac:dyDescent="0.25">
      <c r="B351" s="1545"/>
      <c r="C351" s="1535"/>
      <c r="D351" s="2370"/>
      <c r="E351" s="1066" t="s">
        <v>1271</v>
      </c>
      <c r="F351" s="1067">
        <v>11</v>
      </c>
      <c r="G351" s="952"/>
      <c r="H351" s="1068" t="s">
        <v>1292</v>
      </c>
      <c r="I351" s="1545"/>
      <c r="J351" s="1545"/>
      <c r="K351" s="1545"/>
      <c r="L351" s="1545"/>
      <c r="M351" s="1545"/>
      <c r="N351" s="1545"/>
      <c r="O351" s="1545"/>
      <c r="P351" s="1545"/>
      <c r="Q351" s="1545"/>
      <c r="R351" s="1545"/>
      <c r="S351" s="1548"/>
      <c r="T351" s="1548"/>
      <c r="U351" s="1548"/>
      <c r="V351" s="2294"/>
      <c r="W351" s="819">
        <v>11</v>
      </c>
      <c r="X351" s="819">
        <v>11</v>
      </c>
      <c r="Y351" s="819"/>
      <c r="Z351" s="819"/>
      <c r="AA351" s="819"/>
      <c r="AB351" s="819"/>
      <c r="AC351" s="819"/>
      <c r="AD351" s="819"/>
      <c r="AE351" s="819"/>
      <c r="AF351" s="819"/>
      <c r="AG351" s="819"/>
      <c r="AK351" s="802"/>
    </row>
    <row r="352" spans="2:37" s="811" customFormat="1" outlineLevel="1" x14ac:dyDescent="0.25">
      <c r="B352" s="1545"/>
      <c r="C352" s="1535"/>
      <c r="D352" s="2370"/>
      <c r="E352" s="1739" t="s">
        <v>1272</v>
      </c>
      <c r="F352" s="1067">
        <v>11</v>
      </c>
      <c r="G352" s="952"/>
      <c r="H352" s="1068" t="s">
        <v>1292</v>
      </c>
      <c r="I352" s="1545"/>
      <c r="J352" s="1545"/>
      <c r="K352" s="1545"/>
      <c r="L352" s="1545"/>
      <c r="M352" s="1545"/>
      <c r="N352" s="1545"/>
      <c r="O352" s="1545"/>
      <c r="P352" s="1545"/>
      <c r="Q352" s="1545"/>
      <c r="R352" s="1545"/>
      <c r="S352" s="1548"/>
      <c r="T352" s="1548"/>
      <c r="U352" s="1548"/>
      <c r="V352" s="2294"/>
      <c r="W352" s="819">
        <v>11</v>
      </c>
      <c r="X352" s="819">
        <v>11</v>
      </c>
      <c r="Y352" s="819"/>
      <c r="Z352" s="819"/>
      <c r="AA352" s="819"/>
      <c r="AB352" s="819"/>
      <c r="AC352" s="819"/>
      <c r="AD352" s="819"/>
      <c r="AE352" s="819"/>
      <c r="AF352" s="819"/>
      <c r="AG352" s="819"/>
      <c r="AK352" s="802"/>
    </row>
    <row r="353" spans="2:37" s="811" customFormat="1" outlineLevel="1" x14ac:dyDescent="0.25">
      <c r="B353" s="1545"/>
      <c r="C353" s="1535"/>
      <c r="D353" s="2370"/>
      <c r="E353" s="1066" t="s">
        <v>1273</v>
      </c>
      <c r="F353" s="1067">
        <v>11</v>
      </c>
      <c r="G353" s="952"/>
      <c r="H353" s="1068" t="s">
        <v>1292</v>
      </c>
      <c r="I353" s="1545"/>
      <c r="J353" s="1545"/>
      <c r="K353" s="1545"/>
      <c r="L353" s="1545"/>
      <c r="M353" s="1545"/>
      <c r="N353" s="1545"/>
      <c r="O353" s="1545"/>
      <c r="P353" s="1545"/>
      <c r="Q353" s="1545"/>
      <c r="R353" s="1545"/>
      <c r="S353" s="1548"/>
      <c r="T353" s="1548"/>
      <c r="U353" s="1548"/>
      <c r="V353" s="2294"/>
      <c r="W353" s="819">
        <v>11</v>
      </c>
      <c r="X353" s="819">
        <v>11</v>
      </c>
      <c r="Y353" s="819"/>
      <c r="Z353" s="819"/>
      <c r="AA353" s="819"/>
      <c r="AB353" s="819"/>
      <c r="AC353" s="819"/>
      <c r="AD353" s="819"/>
      <c r="AE353" s="819"/>
      <c r="AF353" s="819"/>
      <c r="AG353" s="819"/>
      <c r="AK353" s="802"/>
    </row>
    <row r="354" spans="2:37" s="811" customFormat="1" outlineLevel="1" x14ac:dyDescent="0.25">
      <c r="B354" s="1545"/>
      <c r="C354" s="1535"/>
      <c r="D354" s="2370"/>
      <c r="E354" s="1066" t="s">
        <v>1274</v>
      </c>
      <c r="F354" s="1067">
        <v>11</v>
      </c>
      <c r="G354" s="952"/>
      <c r="H354" s="1068" t="s">
        <v>1292</v>
      </c>
      <c r="I354" s="1545"/>
      <c r="J354" s="1545"/>
      <c r="K354" s="1545"/>
      <c r="L354" s="1545"/>
      <c r="M354" s="1545"/>
      <c r="N354" s="1545"/>
      <c r="O354" s="1545"/>
      <c r="P354" s="1545"/>
      <c r="Q354" s="1545"/>
      <c r="R354" s="1545"/>
      <c r="S354" s="1548"/>
      <c r="T354" s="1548"/>
      <c r="U354" s="1548"/>
      <c r="V354" s="2294"/>
      <c r="W354" s="819">
        <v>11</v>
      </c>
      <c r="X354" s="819">
        <v>11</v>
      </c>
      <c r="Y354" s="819"/>
      <c r="Z354" s="819"/>
      <c r="AA354" s="819"/>
      <c r="AB354" s="819"/>
      <c r="AC354" s="819"/>
      <c r="AD354" s="819"/>
      <c r="AE354" s="819"/>
      <c r="AF354" s="819"/>
      <c r="AG354" s="819"/>
      <c r="AK354" s="802"/>
    </row>
    <row r="355" spans="2:37" s="811" customFormat="1" outlineLevel="1" x14ac:dyDescent="0.25">
      <c r="B355" s="1545"/>
      <c r="C355" s="1535"/>
      <c r="D355" s="2370"/>
      <c r="E355" s="1726" t="s">
        <v>1275</v>
      </c>
      <c r="F355" s="1067">
        <v>11</v>
      </c>
      <c r="G355" s="952"/>
      <c r="H355" s="1068" t="s">
        <v>1292</v>
      </c>
      <c r="I355" s="1545"/>
      <c r="J355" s="1545"/>
      <c r="K355" s="1545"/>
      <c r="L355" s="1545"/>
      <c r="M355" s="1545"/>
      <c r="N355" s="1545"/>
      <c r="O355" s="1545"/>
      <c r="P355" s="1545"/>
      <c r="Q355" s="1545"/>
      <c r="R355" s="1545"/>
      <c r="S355" s="1548"/>
      <c r="T355" s="1548"/>
      <c r="U355" s="1548"/>
      <c r="V355" s="2294"/>
      <c r="W355" s="819">
        <v>11</v>
      </c>
      <c r="X355" s="819">
        <v>11</v>
      </c>
      <c r="Y355" s="819"/>
      <c r="Z355" s="819"/>
      <c r="AA355" s="819"/>
      <c r="AB355" s="819"/>
      <c r="AC355" s="819"/>
      <c r="AD355" s="819"/>
      <c r="AE355" s="819"/>
      <c r="AF355" s="819"/>
      <c r="AG355" s="819"/>
      <c r="AK355" s="802"/>
    </row>
    <row r="356" spans="2:37" s="811" customFormat="1" outlineLevel="1" x14ac:dyDescent="0.25">
      <c r="B356" s="1545"/>
      <c r="C356" s="1535"/>
      <c r="D356" s="2370"/>
      <c r="E356" s="1726" t="s">
        <v>1276</v>
      </c>
      <c r="F356" s="1067">
        <v>11</v>
      </c>
      <c r="G356" s="952"/>
      <c r="H356" s="1068" t="s">
        <v>1292</v>
      </c>
      <c r="I356" s="1545"/>
      <c r="J356" s="1545"/>
      <c r="K356" s="1545"/>
      <c r="L356" s="1545"/>
      <c r="M356" s="1545"/>
      <c r="N356" s="1545"/>
      <c r="O356" s="1545"/>
      <c r="P356" s="1545"/>
      <c r="Q356" s="1545"/>
      <c r="R356" s="1545"/>
      <c r="S356" s="1548"/>
      <c r="T356" s="1548"/>
      <c r="U356" s="1548"/>
      <c r="V356" s="2294"/>
      <c r="W356" s="819">
        <v>11</v>
      </c>
      <c r="X356" s="819">
        <v>11</v>
      </c>
      <c r="Y356" s="819"/>
      <c r="Z356" s="819"/>
      <c r="AA356" s="819"/>
      <c r="AB356" s="819"/>
      <c r="AC356" s="819"/>
      <c r="AD356" s="819"/>
      <c r="AE356" s="819"/>
      <c r="AF356" s="819"/>
      <c r="AG356" s="819"/>
      <c r="AK356" s="802"/>
    </row>
    <row r="357" spans="2:37" s="811" customFormat="1" outlineLevel="1" x14ac:dyDescent="0.25">
      <c r="B357" s="1545"/>
      <c r="C357" s="1535"/>
      <c r="D357" s="2371"/>
      <c r="E357" s="1066" t="s">
        <v>1277</v>
      </c>
      <c r="F357" s="1743">
        <v>11</v>
      </c>
      <c r="G357" s="1744"/>
      <c r="H357" s="1068" t="s">
        <v>1292</v>
      </c>
      <c r="I357" s="1545"/>
      <c r="J357" s="1545"/>
      <c r="K357" s="1545"/>
      <c r="L357" s="1545"/>
      <c r="M357" s="1545"/>
      <c r="N357" s="1545"/>
      <c r="O357" s="1545"/>
      <c r="P357" s="1545"/>
      <c r="Q357" s="1545"/>
      <c r="R357" s="1545"/>
      <c r="S357" s="1548"/>
      <c r="T357" s="1548"/>
      <c r="U357" s="1548"/>
      <c r="V357" s="2294"/>
      <c r="W357" s="827">
        <v>11</v>
      </c>
      <c r="X357" s="827">
        <v>11</v>
      </c>
      <c r="Y357" s="827"/>
      <c r="Z357" s="827"/>
      <c r="AA357" s="827"/>
      <c r="AB357" s="827"/>
      <c r="AC357" s="827"/>
      <c r="AD357" s="827"/>
      <c r="AE357" s="827"/>
      <c r="AF357" s="827"/>
      <c r="AG357" s="827"/>
      <c r="AK357" s="802"/>
    </row>
    <row r="358" spans="2:37" s="811" customFormat="1" outlineLevel="1" x14ac:dyDescent="0.25">
      <c r="B358" s="1545"/>
      <c r="C358" s="1535"/>
      <c r="D358" s="2370"/>
      <c r="E358" s="1739" t="s">
        <v>1278</v>
      </c>
      <c r="F358" s="1745">
        <v>11</v>
      </c>
      <c r="G358" s="1744"/>
      <c r="H358" s="1068" t="s">
        <v>1292</v>
      </c>
      <c r="I358" s="1545"/>
      <c r="J358" s="1545"/>
      <c r="K358" s="1545"/>
      <c r="L358" s="1545"/>
      <c r="M358" s="1545"/>
      <c r="N358" s="1545"/>
      <c r="O358" s="1545"/>
      <c r="P358" s="1545"/>
      <c r="Q358" s="1545"/>
      <c r="R358" s="1545"/>
      <c r="S358" s="1548"/>
      <c r="T358" s="1548"/>
      <c r="U358" s="1548"/>
      <c r="V358" s="2294"/>
      <c r="W358" s="828">
        <v>11</v>
      </c>
      <c r="X358" s="828">
        <v>11</v>
      </c>
      <c r="Y358" s="828"/>
      <c r="Z358" s="828"/>
      <c r="AA358" s="828"/>
      <c r="AB358" s="828"/>
      <c r="AC358" s="828"/>
      <c r="AD358" s="828"/>
      <c r="AE358" s="828"/>
      <c r="AF358" s="828"/>
      <c r="AG358" s="828"/>
      <c r="AK358" s="802"/>
    </row>
    <row r="359" spans="2:37" s="811" customFormat="1" outlineLevel="1" x14ac:dyDescent="0.25">
      <c r="B359" s="1545"/>
      <c r="C359" s="1535"/>
      <c r="D359" s="2370"/>
      <c r="E359" s="1066" t="s">
        <v>1279</v>
      </c>
      <c r="F359" s="1745">
        <v>11</v>
      </c>
      <c r="G359" s="1744"/>
      <c r="H359" s="1068" t="s">
        <v>1292</v>
      </c>
      <c r="I359" s="1545"/>
      <c r="J359" s="1545"/>
      <c r="K359" s="1545"/>
      <c r="L359" s="1545"/>
      <c r="M359" s="1545"/>
      <c r="N359" s="1545"/>
      <c r="O359" s="1545"/>
      <c r="P359" s="1545"/>
      <c r="Q359" s="1545"/>
      <c r="R359" s="1545"/>
      <c r="S359" s="1548"/>
      <c r="T359" s="1548"/>
      <c r="U359" s="1548"/>
      <c r="V359" s="2294"/>
      <c r="W359" s="828">
        <v>11</v>
      </c>
      <c r="X359" s="828">
        <v>11</v>
      </c>
      <c r="Y359" s="828"/>
      <c r="Z359" s="828"/>
      <c r="AA359" s="828"/>
      <c r="AB359" s="828"/>
      <c r="AC359" s="828"/>
      <c r="AD359" s="828"/>
      <c r="AE359" s="828"/>
      <c r="AF359" s="828"/>
      <c r="AG359" s="828"/>
      <c r="AK359" s="802"/>
    </row>
    <row r="360" spans="2:37" s="811" customFormat="1" outlineLevel="1" x14ac:dyDescent="0.25">
      <c r="B360" s="1545"/>
      <c r="C360" s="1535"/>
      <c r="D360" s="2370"/>
      <c r="E360" s="1066" t="s">
        <v>1280</v>
      </c>
      <c r="F360" s="1745">
        <v>11</v>
      </c>
      <c r="G360" s="1744"/>
      <c r="H360" s="1068" t="s">
        <v>1292</v>
      </c>
      <c r="I360" s="1545"/>
      <c r="J360" s="1545"/>
      <c r="K360" s="1545"/>
      <c r="L360" s="1545"/>
      <c r="M360" s="1545"/>
      <c r="N360" s="1545"/>
      <c r="O360" s="1545"/>
      <c r="P360" s="1545"/>
      <c r="Q360" s="1545"/>
      <c r="R360" s="1545"/>
      <c r="S360" s="1548"/>
      <c r="T360" s="1548"/>
      <c r="U360" s="1548"/>
      <c r="V360" s="2294"/>
      <c r="W360" s="828">
        <v>11</v>
      </c>
      <c r="X360" s="828">
        <v>11</v>
      </c>
      <c r="Y360" s="828"/>
      <c r="Z360" s="828"/>
      <c r="AA360" s="828"/>
      <c r="AB360" s="828"/>
      <c r="AC360" s="828"/>
      <c r="AD360" s="828"/>
      <c r="AE360" s="828"/>
      <c r="AF360" s="828"/>
      <c r="AG360" s="828"/>
      <c r="AK360" s="802"/>
    </row>
    <row r="361" spans="2:37" s="811" customFormat="1" outlineLevel="1" x14ac:dyDescent="0.25">
      <c r="B361" s="1545"/>
      <c r="C361" s="1535"/>
      <c r="D361" s="2370"/>
      <c r="E361" s="1726" t="s">
        <v>1281</v>
      </c>
      <c r="F361" s="1745">
        <v>11</v>
      </c>
      <c r="G361" s="1744"/>
      <c r="H361" s="1068" t="s">
        <v>1292</v>
      </c>
      <c r="I361" s="1545"/>
      <c r="J361" s="1545"/>
      <c r="K361" s="1545"/>
      <c r="L361" s="1545"/>
      <c r="M361" s="1545"/>
      <c r="N361" s="1545"/>
      <c r="O361" s="1545"/>
      <c r="P361" s="1545"/>
      <c r="Q361" s="1545"/>
      <c r="R361" s="1545"/>
      <c r="S361" s="1548"/>
      <c r="T361" s="1548"/>
      <c r="U361" s="1548"/>
      <c r="V361" s="2294"/>
      <c r="W361" s="828">
        <v>11</v>
      </c>
      <c r="X361" s="828">
        <v>11</v>
      </c>
      <c r="Y361" s="828"/>
      <c r="Z361" s="828"/>
      <c r="AA361" s="828"/>
      <c r="AB361" s="828"/>
      <c r="AC361" s="828"/>
      <c r="AD361" s="828"/>
      <c r="AE361" s="828"/>
      <c r="AF361" s="828"/>
      <c r="AG361" s="828"/>
      <c r="AK361" s="802"/>
    </row>
    <row r="362" spans="2:37" s="811" customFormat="1" outlineLevel="1" x14ac:dyDescent="0.25">
      <c r="B362" s="1545"/>
      <c r="C362" s="1535"/>
      <c r="D362" s="2370"/>
      <c r="E362" s="1066" t="s">
        <v>1282</v>
      </c>
      <c r="F362" s="1745">
        <v>11</v>
      </c>
      <c r="G362" s="1744"/>
      <c r="H362" s="1068" t="s">
        <v>1292</v>
      </c>
      <c r="I362" s="1545"/>
      <c r="J362" s="1545"/>
      <c r="K362" s="1545"/>
      <c r="L362" s="1545"/>
      <c r="M362" s="1545"/>
      <c r="N362" s="1545"/>
      <c r="O362" s="1545"/>
      <c r="P362" s="1545"/>
      <c r="Q362" s="1545"/>
      <c r="R362" s="1545"/>
      <c r="S362" s="1548"/>
      <c r="T362" s="1548"/>
      <c r="U362" s="1548"/>
      <c r="V362" s="2294"/>
      <c r="W362" s="828">
        <v>11</v>
      </c>
      <c r="X362" s="828">
        <v>11</v>
      </c>
      <c r="Y362" s="828"/>
      <c r="Z362" s="828"/>
      <c r="AA362" s="828"/>
      <c r="AB362" s="828"/>
      <c r="AC362" s="828"/>
      <c r="AD362" s="828"/>
      <c r="AE362" s="828"/>
      <c r="AF362" s="828"/>
      <c r="AG362" s="828"/>
      <c r="AK362" s="802"/>
    </row>
    <row r="363" spans="2:37" s="811" customFormat="1" outlineLevel="1" x14ac:dyDescent="0.25">
      <c r="B363" s="1545"/>
      <c r="C363" s="1535"/>
      <c r="D363" s="2370"/>
      <c r="E363" s="1726" t="s">
        <v>1283</v>
      </c>
      <c r="F363" s="1745">
        <v>11</v>
      </c>
      <c r="G363" s="1744"/>
      <c r="H363" s="1068" t="s">
        <v>1292</v>
      </c>
      <c r="I363" s="1545"/>
      <c r="J363" s="1545"/>
      <c r="K363" s="1545"/>
      <c r="L363" s="1545"/>
      <c r="M363" s="1545"/>
      <c r="N363" s="1545"/>
      <c r="O363" s="1545"/>
      <c r="P363" s="1545"/>
      <c r="Q363" s="1545"/>
      <c r="R363" s="1545"/>
      <c r="S363" s="1548"/>
      <c r="T363" s="1548"/>
      <c r="U363" s="1548"/>
      <c r="V363" s="2294"/>
      <c r="W363" s="828">
        <v>11</v>
      </c>
      <c r="X363" s="828">
        <v>11</v>
      </c>
      <c r="Y363" s="828"/>
      <c r="Z363" s="828"/>
      <c r="AA363" s="828"/>
      <c r="AB363" s="828"/>
      <c r="AC363" s="828"/>
      <c r="AD363" s="828"/>
      <c r="AE363" s="828"/>
      <c r="AF363" s="828"/>
      <c r="AG363" s="828"/>
      <c r="AK363" s="802"/>
    </row>
    <row r="364" spans="2:37" s="811" customFormat="1" outlineLevel="1" x14ac:dyDescent="0.25">
      <c r="B364" s="1545"/>
      <c r="C364" s="1535"/>
      <c r="D364" s="2370"/>
      <c r="E364" s="1066" t="s">
        <v>1284</v>
      </c>
      <c r="F364" s="1745">
        <v>11</v>
      </c>
      <c r="G364" s="1744"/>
      <c r="H364" s="1068" t="s">
        <v>1292</v>
      </c>
      <c r="I364" s="1545"/>
      <c r="J364" s="1545"/>
      <c r="K364" s="1545"/>
      <c r="L364" s="1545"/>
      <c r="M364" s="1545"/>
      <c r="N364" s="1545"/>
      <c r="O364" s="1545"/>
      <c r="P364" s="1545"/>
      <c r="Q364" s="1545"/>
      <c r="R364" s="1545"/>
      <c r="S364" s="1548"/>
      <c r="T364" s="1548"/>
      <c r="U364" s="1548"/>
      <c r="V364" s="2294"/>
      <c r="W364" s="828">
        <v>11</v>
      </c>
      <c r="X364" s="828">
        <v>11</v>
      </c>
      <c r="Y364" s="828"/>
      <c r="Z364" s="828"/>
      <c r="AA364" s="828"/>
      <c r="AB364" s="828"/>
      <c r="AC364" s="828"/>
      <c r="AD364" s="828"/>
      <c r="AE364" s="828"/>
      <c r="AF364" s="828"/>
      <c r="AG364" s="828"/>
      <c r="AK364" s="802"/>
    </row>
    <row r="365" spans="2:37" s="811" customFormat="1" outlineLevel="1" x14ac:dyDescent="0.25">
      <c r="B365" s="1545"/>
      <c r="C365" s="1535"/>
      <c r="D365" s="2370"/>
      <c r="E365" s="1066" t="s">
        <v>1285</v>
      </c>
      <c r="F365" s="1745">
        <v>11</v>
      </c>
      <c r="G365" s="1744"/>
      <c r="H365" s="1068" t="s">
        <v>1292</v>
      </c>
      <c r="I365" s="1545"/>
      <c r="J365" s="1545"/>
      <c r="K365" s="1545"/>
      <c r="L365" s="1545"/>
      <c r="M365" s="1545"/>
      <c r="N365" s="1545"/>
      <c r="O365" s="1545"/>
      <c r="P365" s="1545"/>
      <c r="Q365" s="1545"/>
      <c r="R365" s="1545"/>
      <c r="S365" s="1548"/>
      <c r="T365" s="1548"/>
      <c r="U365" s="1548"/>
      <c r="V365" s="2294"/>
      <c r="W365" s="828">
        <v>11</v>
      </c>
      <c r="X365" s="828">
        <v>11</v>
      </c>
      <c r="Y365" s="828"/>
      <c r="Z365" s="828"/>
      <c r="AA365" s="828"/>
      <c r="AB365" s="828"/>
      <c r="AC365" s="828"/>
      <c r="AD365" s="828"/>
      <c r="AE365" s="828"/>
      <c r="AF365" s="828"/>
      <c r="AG365" s="828"/>
      <c r="AK365" s="802"/>
    </row>
    <row r="366" spans="2:37" s="811" customFormat="1" outlineLevel="1" x14ac:dyDescent="0.25">
      <c r="B366" s="1545"/>
      <c r="C366" s="1535"/>
      <c r="D366" s="2370"/>
      <c r="E366" s="1066" t="s">
        <v>1286</v>
      </c>
      <c r="F366" s="1745">
        <v>11</v>
      </c>
      <c r="G366" s="1744"/>
      <c r="H366" s="1068" t="s">
        <v>1292</v>
      </c>
      <c r="I366" s="1545"/>
      <c r="J366" s="1545"/>
      <c r="K366" s="1545"/>
      <c r="L366" s="1545"/>
      <c r="M366" s="1545"/>
      <c r="N366" s="1545"/>
      <c r="O366" s="1545"/>
      <c r="P366" s="1545"/>
      <c r="Q366" s="1545"/>
      <c r="R366" s="1545"/>
      <c r="S366" s="1548"/>
      <c r="T366" s="1548"/>
      <c r="U366" s="1548"/>
      <c r="V366" s="2294"/>
      <c r="W366" s="828">
        <v>11</v>
      </c>
      <c r="X366" s="828">
        <v>11</v>
      </c>
      <c r="Y366" s="828"/>
      <c r="Z366" s="828"/>
      <c r="AA366" s="828"/>
      <c r="AB366" s="828"/>
      <c r="AC366" s="828"/>
      <c r="AD366" s="828"/>
      <c r="AE366" s="828"/>
      <c r="AF366" s="828"/>
      <c r="AG366" s="828"/>
      <c r="AK366" s="802"/>
    </row>
    <row r="367" spans="2:37" s="811" customFormat="1" outlineLevel="1" x14ac:dyDescent="0.25">
      <c r="B367" s="1545"/>
      <c r="C367" s="1535"/>
      <c r="D367" s="2370"/>
      <c r="E367" s="1726" t="s">
        <v>1287</v>
      </c>
      <c r="F367" s="1745">
        <v>11</v>
      </c>
      <c r="G367" s="1744"/>
      <c r="H367" s="1068" t="s">
        <v>1292</v>
      </c>
      <c r="I367" s="1545"/>
      <c r="J367" s="1545"/>
      <c r="K367" s="1545"/>
      <c r="L367" s="1545"/>
      <c r="M367" s="1545"/>
      <c r="N367" s="1545"/>
      <c r="O367" s="1545"/>
      <c r="P367" s="1545"/>
      <c r="Q367" s="1545"/>
      <c r="R367" s="1545"/>
      <c r="S367" s="1548"/>
      <c r="T367" s="1548"/>
      <c r="U367" s="1548"/>
      <c r="V367" s="2294"/>
      <c r="W367" s="828">
        <v>11</v>
      </c>
      <c r="X367" s="828">
        <v>11</v>
      </c>
      <c r="Y367" s="828"/>
      <c r="Z367" s="828"/>
      <c r="AA367" s="828"/>
      <c r="AB367" s="828"/>
      <c r="AC367" s="828"/>
      <c r="AD367" s="828"/>
      <c r="AE367" s="828"/>
      <c r="AF367" s="828"/>
      <c r="AG367" s="828"/>
      <c r="AK367" s="802"/>
    </row>
    <row r="368" spans="2:37" s="811" customFormat="1" outlineLevel="1" x14ac:dyDescent="0.25">
      <c r="B368" s="1545"/>
      <c r="C368" s="1535"/>
      <c r="D368" s="2370"/>
      <c r="E368" s="1066" t="s">
        <v>1288</v>
      </c>
      <c r="F368" s="1745">
        <v>11</v>
      </c>
      <c r="G368" s="1744"/>
      <c r="H368" s="1068" t="s">
        <v>1292</v>
      </c>
      <c r="I368" s="1545"/>
      <c r="J368" s="1545"/>
      <c r="K368" s="1545"/>
      <c r="L368" s="1545"/>
      <c r="M368" s="1545"/>
      <c r="N368" s="1545"/>
      <c r="O368" s="1545"/>
      <c r="P368" s="1545"/>
      <c r="Q368" s="1545"/>
      <c r="R368" s="1545"/>
      <c r="S368" s="1548"/>
      <c r="T368" s="1548"/>
      <c r="U368" s="1548"/>
      <c r="V368" s="2294"/>
      <c r="W368" s="828">
        <v>11</v>
      </c>
      <c r="X368" s="828">
        <v>11</v>
      </c>
      <c r="Y368" s="828"/>
      <c r="Z368" s="828"/>
      <c r="AA368" s="828"/>
      <c r="AB368" s="828"/>
      <c r="AC368" s="828"/>
      <c r="AD368" s="828"/>
      <c r="AE368" s="828"/>
      <c r="AF368" s="828"/>
      <c r="AG368" s="828"/>
      <c r="AK368" s="802"/>
    </row>
    <row r="369" spans="2:37" s="811" customFormat="1" outlineLevel="1" x14ac:dyDescent="0.25">
      <c r="B369" s="1545"/>
      <c r="C369" s="1535"/>
      <c r="D369" s="2370"/>
      <c r="E369" s="1726" t="s">
        <v>1289</v>
      </c>
      <c r="F369" s="1745">
        <v>11</v>
      </c>
      <c r="G369" s="1744"/>
      <c r="H369" s="1068" t="s">
        <v>1292</v>
      </c>
      <c r="I369" s="1545"/>
      <c r="J369" s="1545"/>
      <c r="K369" s="1545"/>
      <c r="L369" s="1545"/>
      <c r="M369" s="1545"/>
      <c r="N369" s="1545"/>
      <c r="O369" s="1545"/>
      <c r="P369" s="1545"/>
      <c r="Q369" s="1545"/>
      <c r="R369" s="1545"/>
      <c r="S369" s="1548"/>
      <c r="T369" s="1548"/>
      <c r="U369" s="1548"/>
      <c r="V369" s="2294"/>
      <c r="W369" s="828">
        <v>11</v>
      </c>
      <c r="X369" s="828">
        <v>11</v>
      </c>
      <c r="Y369" s="828"/>
      <c r="Z369" s="828"/>
      <c r="AA369" s="828"/>
      <c r="AB369" s="828"/>
      <c r="AC369" s="828"/>
      <c r="AD369" s="828"/>
      <c r="AE369" s="828"/>
      <c r="AF369" s="828"/>
      <c r="AG369" s="828"/>
      <c r="AK369" s="802"/>
    </row>
    <row r="370" spans="2:37" s="811" customFormat="1" outlineLevel="1" x14ac:dyDescent="0.25">
      <c r="B370" s="1545"/>
      <c r="C370" s="1535"/>
      <c r="D370" s="2372"/>
      <c r="E370" s="1066" t="s">
        <v>1290</v>
      </c>
      <c r="F370" s="1067">
        <v>11</v>
      </c>
      <c r="G370" s="952"/>
      <c r="H370" s="1068" t="s">
        <v>1292</v>
      </c>
      <c r="I370" s="1545"/>
      <c r="J370" s="1545"/>
      <c r="K370" s="1545"/>
      <c r="L370" s="1545"/>
      <c r="M370" s="1545"/>
      <c r="N370" s="1545"/>
      <c r="O370" s="1545"/>
      <c r="P370" s="1545"/>
      <c r="Q370" s="1545"/>
      <c r="R370" s="1545"/>
      <c r="S370" s="1548"/>
      <c r="T370" s="1548"/>
      <c r="U370" s="1548"/>
      <c r="V370" s="2295"/>
      <c r="W370" s="819">
        <v>11</v>
      </c>
      <c r="X370" s="819">
        <v>11</v>
      </c>
      <c r="Y370" s="819"/>
      <c r="Z370" s="819"/>
      <c r="AA370" s="819"/>
      <c r="AB370" s="819"/>
      <c r="AC370" s="819"/>
      <c r="AD370" s="819"/>
      <c r="AE370" s="819"/>
      <c r="AF370" s="819"/>
      <c r="AG370" s="819"/>
      <c r="AK370" s="802"/>
    </row>
    <row r="371" spans="2:37" s="811" customFormat="1" outlineLevel="1" x14ac:dyDescent="0.25">
      <c r="B371" s="1545"/>
      <c r="C371" s="1535"/>
      <c r="D371" s="1746" t="str">
        <f>D33</f>
        <v>EUL</v>
      </c>
      <c r="E371" s="867" t="s">
        <v>483</v>
      </c>
      <c r="F371" s="876">
        <v>25</v>
      </c>
      <c r="G371" s="910"/>
      <c r="H371" s="869"/>
      <c r="I371" s="1747"/>
      <c r="J371" s="1545"/>
      <c r="K371" s="1545"/>
      <c r="L371" s="1545"/>
      <c r="M371" s="1545"/>
      <c r="N371" s="1545"/>
      <c r="O371" s="1545"/>
      <c r="P371" s="1545"/>
      <c r="Q371" s="1545"/>
      <c r="R371" s="1545"/>
      <c r="S371" s="1548"/>
      <c r="T371" s="1548"/>
      <c r="U371" s="1548"/>
      <c r="V371" s="830" t="str">
        <f>D371</f>
        <v>EUL</v>
      </c>
      <c r="W371" s="831">
        <v>25</v>
      </c>
      <c r="X371" s="831">
        <v>25</v>
      </c>
      <c r="Y371" s="831"/>
      <c r="Z371" s="831"/>
      <c r="AA371" s="831"/>
      <c r="AB371" s="831"/>
      <c r="AC371" s="831"/>
      <c r="AD371" s="831"/>
      <c r="AE371" s="831"/>
      <c r="AF371" s="831"/>
      <c r="AG371" s="831"/>
      <c r="AK371" s="802"/>
    </row>
    <row r="372" spans="2:37" s="811" customFormat="1" outlineLevel="1" x14ac:dyDescent="0.25">
      <c r="B372" s="1545"/>
      <c r="C372" s="1535"/>
      <c r="D372" s="2290" t="str">
        <f>D76</f>
        <v>Inc. Cost</v>
      </c>
      <c r="E372" s="867" t="s">
        <v>1261</v>
      </c>
      <c r="F372" s="526">
        <v>1860.46</v>
      </c>
      <c r="G372" s="910"/>
      <c r="H372" s="869"/>
      <c r="I372" s="1747"/>
      <c r="J372" s="1545"/>
      <c r="K372" s="1545"/>
      <c r="L372" s="1545"/>
      <c r="M372" s="1545"/>
      <c r="N372" s="1545"/>
      <c r="O372" s="1545"/>
      <c r="P372" s="1545"/>
      <c r="Q372" s="1545"/>
      <c r="R372" s="1545"/>
      <c r="S372" s="1548"/>
      <c r="T372" s="1548"/>
      <c r="U372" s="1548"/>
      <c r="V372" s="2374" t="str">
        <f>D372</f>
        <v>Inc. Cost</v>
      </c>
      <c r="W372" s="832">
        <v>1860.46</v>
      </c>
      <c r="X372" s="832">
        <v>1860.46</v>
      </c>
      <c r="Y372" s="832"/>
      <c r="Z372" s="832"/>
      <c r="AA372" s="832"/>
      <c r="AB372" s="832"/>
      <c r="AC372" s="832"/>
      <c r="AD372" s="832"/>
      <c r="AE372" s="832"/>
      <c r="AF372" s="832"/>
      <c r="AG372" s="832"/>
      <c r="AK372" s="802"/>
    </row>
    <row r="373" spans="2:37" s="811" customFormat="1" outlineLevel="1" x14ac:dyDescent="0.25">
      <c r="B373" s="1545"/>
      <c r="C373" s="1535"/>
      <c r="D373" s="2291"/>
      <c r="E373" s="867" t="s">
        <v>1262</v>
      </c>
      <c r="F373" s="526">
        <v>1860.46</v>
      </c>
      <c r="G373" s="910"/>
      <c r="H373" s="869"/>
      <c r="I373" s="1747"/>
      <c r="J373" s="1545"/>
      <c r="K373" s="1545"/>
      <c r="L373" s="1545"/>
      <c r="M373" s="1545"/>
      <c r="N373" s="1545"/>
      <c r="O373" s="1545"/>
      <c r="P373" s="1545"/>
      <c r="Q373" s="1545"/>
      <c r="R373" s="1545"/>
      <c r="S373" s="1548"/>
      <c r="T373" s="1548"/>
      <c r="U373" s="1548"/>
      <c r="V373" s="2375"/>
      <c r="W373" s="832">
        <v>1860.46</v>
      </c>
      <c r="X373" s="832">
        <v>1860.46</v>
      </c>
      <c r="Y373" s="832"/>
      <c r="Z373" s="832"/>
      <c r="AA373" s="832"/>
      <c r="AB373" s="832"/>
      <c r="AC373" s="832"/>
      <c r="AD373" s="832"/>
      <c r="AE373" s="832"/>
      <c r="AF373" s="832"/>
      <c r="AG373" s="832"/>
      <c r="AK373" s="802"/>
    </row>
    <row r="374" spans="2:37" s="811" customFormat="1" outlineLevel="1" x14ac:dyDescent="0.25">
      <c r="B374" s="1545"/>
      <c r="C374" s="1535"/>
      <c r="D374" s="2291"/>
      <c r="E374" s="867" t="s">
        <v>1263</v>
      </c>
      <c r="F374" s="526">
        <v>1860.46</v>
      </c>
      <c r="G374" s="910"/>
      <c r="H374" s="869"/>
      <c r="I374" s="1747"/>
      <c r="J374" s="1545"/>
      <c r="K374" s="1545"/>
      <c r="L374" s="1545"/>
      <c r="M374" s="1545"/>
      <c r="N374" s="1545"/>
      <c r="O374" s="1545"/>
      <c r="P374" s="1545"/>
      <c r="Q374" s="1545"/>
      <c r="R374" s="1545"/>
      <c r="S374" s="1548"/>
      <c r="T374" s="1548"/>
      <c r="U374" s="1548"/>
      <c r="V374" s="2375"/>
      <c r="W374" s="832">
        <v>1860.46</v>
      </c>
      <c r="X374" s="832">
        <v>1860.46</v>
      </c>
      <c r="Y374" s="832"/>
      <c r="Z374" s="832"/>
      <c r="AA374" s="832"/>
      <c r="AB374" s="832"/>
      <c r="AC374" s="832"/>
      <c r="AD374" s="832"/>
      <c r="AE374" s="832"/>
      <c r="AF374" s="832"/>
      <c r="AG374" s="832"/>
      <c r="AK374" s="802"/>
    </row>
    <row r="375" spans="2:37" s="811" customFormat="1" outlineLevel="1" x14ac:dyDescent="0.25">
      <c r="B375" s="1545"/>
      <c r="C375" s="1535"/>
      <c r="D375" s="2291"/>
      <c r="E375" s="867" t="s">
        <v>1264</v>
      </c>
      <c r="F375" s="526">
        <v>2862.25</v>
      </c>
      <c r="G375" s="910"/>
      <c r="H375" s="869"/>
      <c r="I375" s="1747"/>
      <c r="J375" s="1545"/>
      <c r="K375" s="1545"/>
      <c r="L375" s="1545"/>
      <c r="M375" s="1545"/>
      <c r="N375" s="1545"/>
      <c r="O375" s="1545"/>
      <c r="P375" s="1545"/>
      <c r="Q375" s="1545"/>
      <c r="R375" s="1545"/>
      <c r="S375" s="1548"/>
      <c r="T375" s="1548"/>
      <c r="U375" s="1548"/>
      <c r="V375" s="2375"/>
      <c r="W375" s="832">
        <v>2862.25</v>
      </c>
      <c r="X375" s="832">
        <v>2862.25</v>
      </c>
      <c r="Y375" s="832"/>
      <c r="Z375" s="832"/>
      <c r="AA375" s="832"/>
      <c r="AB375" s="832"/>
      <c r="AC375" s="832"/>
      <c r="AD375" s="832"/>
      <c r="AE375" s="832"/>
      <c r="AF375" s="832"/>
      <c r="AG375" s="832"/>
      <c r="AK375" s="802"/>
    </row>
    <row r="376" spans="2:37" s="811" customFormat="1" outlineLevel="1" x14ac:dyDescent="0.25">
      <c r="B376" s="1545"/>
      <c r="C376" s="1535"/>
      <c r="D376" s="2291"/>
      <c r="E376" s="867" t="s">
        <v>1265</v>
      </c>
      <c r="F376" s="526">
        <v>2862.25</v>
      </c>
      <c r="G376" s="910"/>
      <c r="H376" s="869"/>
      <c r="I376" s="1747"/>
      <c r="J376" s="1545"/>
      <c r="K376" s="1545"/>
      <c r="L376" s="1545"/>
      <c r="M376" s="1545"/>
      <c r="N376" s="1545"/>
      <c r="O376" s="1545"/>
      <c r="P376" s="1545"/>
      <c r="Q376" s="1545"/>
      <c r="R376" s="1545"/>
      <c r="S376" s="1548"/>
      <c r="T376" s="1548"/>
      <c r="U376" s="1548"/>
      <c r="V376" s="2375"/>
      <c r="W376" s="832">
        <v>2862.25</v>
      </c>
      <c r="X376" s="832">
        <v>2862.25</v>
      </c>
      <c r="Y376" s="832"/>
      <c r="Z376" s="832"/>
      <c r="AA376" s="832"/>
      <c r="AB376" s="832"/>
      <c r="AC376" s="832"/>
      <c r="AD376" s="832"/>
      <c r="AE376" s="832"/>
      <c r="AF376" s="832"/>
      <c r="AG376" s="832"/>
      <c r="AK376" s="802"/>
    </row>
    <row r="377" spans="2:37" s="811" customFormat="1" outlineLevel="1" x14ac:dyDescent="0.25">
      <c r="B377" s="1545"/>
      <c r="C377" s="1535"/>
      <c r="D377" s="2291"/>
      <c r="E377" s="867" t="s">
        <v>1266</v>
      </c>
      <c r="F377" s="526">
        <v>2862.25</v>
      </c>
      <c r="G377" s="910"/>
      <c r="H377" s="869"/>
      <c r="I377" s="1747"/>
      <c r="J377" s="1545"/>
      <c r="K377" s="1545"/>
      <c r="L377" s="1545"/>
      <c r="M377" s="1545"/>
      <c r="N377" s="1545"/>
      <c r="O377" s="1545"/>
      <c r="P377" s="1545"/>
      <c r="Q377" s="1545"/>
      <c r="R377" s="1545"/>
      <c r="S377" s="1548"/>
      <c r="T377" s="1548"/>
      <c r="U377" s="1548"/>
      <c r="V377" s="2375"/>
      <c r="W377" s="832">
        <v>2862.25</v>
      </c>
      <c r="X377" s="832">
        <v>2862.25</v>
      </c>
      <c r="Y377" s="832"/>
      <c r="Z377" s="832"/>
      <c r="AA377" s="832"/>
      <c r="AB377" s="832"/>
      <c r="AC377" s="832"/>
      <c r="AD377" s="832"/>
      <c r="AE377" s="832"/>
      <c r="AF377" s="832"/>
      <c r="AG377" s="832"/>
      <c r="AK377" s="802"/>
    </row>
    <row r="378" spans="2:37" s="811" customFormat="1" outlineLevel="1" x14ac:dyDescent="0.25">
      <c r="B378" s="1545"/>
      <c r="C378" s="1535"/>
      <c r="D378" s="2291"/>
      <c r="E378" s="867" t="s">
        <v>1267</v>
      </c>
      <c r="F378" s="526">
        <v>836.16</v>
      </c>
      <c r="G378" s="910"/>
      <c r="H378" s="869"/>
      <c r="I378" s="1747"/>
      <c r="J378" s="1545"/>
      <c r="K378" s="1545"/>
      <c r="L378" s="1545"/>
      <c r="M378" s="1545"/>
      <c r="N378" s="1545"/>
      <c r="O378" s="1545"/>
      <c r="P378" s="1545"/>
      <c r="Q378" s="1545"/>
      <c r="R378" s="1545"/>
      <c r="S378" s="1548"/>
      <c r="T378" s="1548"/>
      <c r="U378" s="1548"/>
      <c r="V378" s="2375"/>
      <c r="W378" s="832">
        <v>836.16</v>
      </c>
      <c r="X378" s="832">
        <v>836.16</v>
      </c>
      <c r="Y378" s="832"/>
      <c r="Z378" s="832"/>
      <c r="AA378" s="832"/>
      <c r="AB378" s="832"/>
      <c r="AC378" s="832"/>
      <c r="AD378" s="832"/>
      <c r="AE378" s="832"/>
      <c r="AF378" s="832"/>
      <c r="AG378" s="832"/>
      <c r="AK378" s="802"/>
    </row>
    <row r="379" spans="2:37" s="811" customFormat="1" outlineLevel="1" x14ac:dyDescent="0.25">
      <c r="B379" s="1545"/>
      <c r="C379" s="1535"/>
      <c r="D379" s="2291"/>
      <c r="E379" s="867" t="s">
        <v>1268</v>
      </c>
      <c r="F379" s="526">
        <v>836.16</v>
      </c>
      <c r="G379" s="910"/>
      <c r="H379" s="869"/>
      <c r="I379" s="1747"/>
      <c r="J379" s="1545"/>
      <c r="K379" s="1545"/>
      <c r="L379" s="1545"/>
      <c r="M379" s="1545"/>
      <c r="N379" s="1545"/>
      <c r="O379" s="1545"/>
      <c r="P379" s="1545"/>
      <c r="Q379" s="1545"/>
      <c r="R379" s="1545"/>
      <c r="S379" s="1548"/>
      <c r="T379" s="1548"/>
      <c r="U379" s="1548"/>
      <c r="V379" s="2375"/>
      <c r="W379" s="832">
        <v>836.16</v>
      </c>
      <c r="X379" s="832">
        <v>836.16</v>
      </c>
      <c r="Y379" s="832"/>
      <c r="Z379" s="832"/>
      <c r="AA379" s="832"/>
      <c r="AB379" s="832"/>
      <c r="AC379" s="832"/>
      <c r="AD379" s="832"/>
      <c r="AE379" s="832"/>
      <c r="AF379" s="832"/>
      <c r="AG379" s="832"/>
      <c r="AK379" s="802"/>
    </row>
    <row r="380" spans="2:37" s="811" customFormat="1" outlineLevel="1" x14ac:dyDescent="0.25">
      <c r="B380" s="1545"/>
      <c r="C380" s="1535"/>
      <c r="D380" s="2291"/>
      <c r="E380" s="1748" t="s">
        <v>1269</v>
      </c>
      <c r="F380" s="526">
        <v>836.16</v>
      </c>
      <c r="G380" s="910"/>
      <c r="H380" s="869"/>
      <c r="I380" s="1747"/>
      <c r="J380" s="1545"/>
      <c r="K380" s="1545"/>
      <c r="L380" s="1545"/>
      <c r="M380" s="1545"/>
      <c r="N380" s="1545"/>
      <c r="O380" s="1545"/>
      <c r="P380" s="1545"/>
      <c r="Q380" s="1545"/>
      <c r="R380" s="1545"/>
      <c r="S380" s="1548"/>
      <c r="T380" s="1548"/>
      <c r="U380" s="1548"/>
      <c r="V380" s="2375"/>
      <c r="W380" s="832">
        <v>836.16</v>
      </c>
      <c r="X380" s="832">
        <v>836.16</v>
      </c>
      <c r="Y380" s="832"/>
      <c r="Z380" s="832"/>
      <c r="AA380" s="832"/>
      <c r="AB380" s="832"/>
      <c r="AC380" s="832"/>
      <c r="AD380" s="832"/>
      <c r="AE380" s="832"/>
      <c r="AF380" s="832"/>
      <c r="AG380" s="832"/>
      <c r="AK380" s="802"/>
    </row>
    <row r="381" spans="2:37" s="811" customFormat="1" outlineLevel="1" x14ac:dyDescent="0.25">
      <c r="B381" s="1545"/>
      <c r="C381" s="1535"/>
      <c r="D381" s="2291"/>
      <c r="E381" s="867" t="s">
        <v>1270</v>
      </c>
      <c r="F381" s="526">
        <v>1286.3900000000001</v>
      </c>
      <c r="G381" s="910"/>
      <c r="H381" s="869"/>
      <c r="I381" s="1747"/>
      <c r="J381" s="1545"/>
      <c r="K381" s="1545"/>
      <c r="L381" s="1545"/>
      <c r="M381" s="1545"/>
      <c r="N381" s="1545"/>
      <c r="O381" s="1545"/>
      <c r="P381" s="1545"/>
      <c r="Q381" s="1545"/>
      <c r="R381" s="1545"/>
      <c r="S381" s="1548"/>
      <c r="T381" s="1548"/>
      <c r="U381" s="1548"/>
      <c r="V381" s="2375"/>
      <c r="W381" s="832">
        <v>1286.3900000000001</v>
      </c>
      <c r="X381" s="832">
        <v>1286.3900000000001</v>
      </c>
      <c r="Y381" s="832"/>
      <c r="Z381" s="832"/>
      <c r="AA381" s="832"/>
      <c r="AB381" s="832"/>
      <c r="AC381" s="832"/>
      <c r="AD381" s="832"/>
      <c r="AE381" s="832"/>
      <c r="AF381" s="832"/>
      <c r="AG381" s="832"/>
      <c r="AK381" s="802"/>
    </row>
    <row r="382" spans="2:37" s="811" customFormat="1" outlineLevel="1" x14ac:dyDescent="0.25">
      <c r="B382" s="1545"/>
      <c r="C382" s="1535"/>
      <c r="D382" s="2291"/>
      <c r="E382" s="867" t="s">
        <v>1271</v>
      </c>
      <c r="F382" s="526">
        <v>1286.3900000000001</v>
      </c>
      <c r="G382" s="910"/>
      <c r="H382" s="869"/>
      <c r="I382" s="1747"/>
      <c r="J382" s="1545"/>
      <c r="K382" s="1545"/>
      <c r="L382" s="1545"/>
      <c r="M382" s="1545"/>
      <c r="N382" s="1545"/>
      <c r="O382" s="1545"/>
      <c r="P382" s="1545"/>
      <c r="Q382" s="1545"/>
      <c r="R382" s="1545"/>
      <c r="S382" s="1548"/>
      <c r="T382" s="1548"/>
      <c r="U382" s="1548"/>
      <c r="V382" s="2375"/>
      <c r="W382" s="832">
        <v>1286.3900000000001</v>
      </c>
      <c r="X382" s="832">
        <v>1286.3900000000001</v>
      </c>
      <c r="Y382" s="832"/>
      <c r="Z382" s="832"/>
      <c r="AA382" s="832"/>
      <c r="AB382" s="832"/>
      <c r="AC382" s="832"/>
      <c r="AD382" s="832"/>
      <c r="AE382" s="832"/>
      <c r="AF382" s="832"/>
      <c r="AG382" s="832"/>
      <c r="AK382" s="802"/>
    </row>
    <row r="383" spans="2:37" s="811" customFormat="1" outlineLevel="1" x14ac:dyDescent="0.25">
      <c r="B383" s="1545"/>
      <c r="C383" s="1535"/>
      <c r="D383" s="2291"/>
      <c r="E383" s="1749" t="s">
        <v>1272</v>
      </c>
      <c r="F383" s="526">
        <v>1286.3900000000001</v>
      </c>
      <c r="G383" s="910"/>
      <c r="H383" s="869"/>
      <c r="I383" s="1747"/>
      <c r="J383" s="1545"/>
      <c r="K383" s="1545"/>
      <c r="L383" s="1545"/>
      <c r="M383" s="1545"/>
      <c r="N383" s="1545"/>
      <c r="O383" s="1545"/>
      <c r="P383" s="1545"/>
      <c r="Q383" s="1545"/>
      <c r="R383" s="1545"/>
      <c r="S383" s="1548"/>
      <c r="T383" s="1548"/>
      <c r="U383" s="1548"/>
      <c r="V383" s="2375"/>
      <c r="W383" s="832">
        <v>1286.3900000000001</v>
      </c>
      <c r="X383" s="832">
        <v>1286.3900000000001</v>
      </c>
      <c r="Y383" s="832"/>
      <c r="Z383" s="832"/>
      <c r="AA383" s="832"/>
      <c r="AB383" s="832"/>
      <c r="AC383" s="832"/>
      <c r="AD383" s="832"/>
      <c r="AE383" s="832"/>
      <c r="AF383" s="832"/>
      <c r="AG383" s="832"/>
      <c r="AK383" s="802"/>
    </row>
    <row r="384" spans="2:37" s="811" customFormat="1" outlineLevel="1" x14ac:dyDescent="0.25">
      <c r="B384" s="1545"/>
      <c r="C384" s="1535"/>
      <c r="D384" s="2291"/>
      <c r="E384" s="867" t="s">
        <v>1273</v>
      </c>
      <c r="F384" s="526">
        <v>1208.5</v>
      </c>
      <c r="G384" s="910"/>
      <c r="H384" s="869"/>
      <c r="I384" s="1747"/>
      <c r="J384" s="1545"/>
      <c r="K384" s="1545"/>
      <c r="L384" s="1545"/>
      <c r="M384" s="1545"/>
      <c r="N384" s="1545"/>
      <c r="O384" s="1545"/>
      <c r="P384" s="1545"/>
      <c r="Q384" s="1545"/>
      <c r="R384" s="1545"/>
      <c r="S384" s="1548"/>
      <c r="T384" s="1548"/>
      <c r="U384" s="1548"/>
      <c r="V384" s="2375"/>
      <c r="W384" s="832">
        <v>1208.5</v>
      </c>
      <c r="X384" s="832">
        <v>1208.5</v>
      </c>
      <c r="Y384" s="832"/>
      <c r="Z384" s="832"/>
      <c r="AA384" s="832"/>
      <c r="AB384" s="832"/>
      <c r="AC384" s="832"/>
      <c r="AD384" s="832"/>
      <c r="AE384" s="832"/>
      <c r="AF384" s="832"/>
      <c r="AG384" s="832"/>
      <c r="AK384" s="802"/>
    </row>
    <row r="385" spans="2:37" s="811" customFormat="1" outlineLevel="1" x14ac:dyDescent="0.25">
      <c r="B385" s="1545"/>
      <c r="C385" s="1535"/>
      <c r="D385" s="2291"/>
      <c r="E385" s="867" t="s">
        <v>1274</v>
      </c>
      <c r="F385" s="526">
        <v>1208.5</v>
      </c>
      <c r="G385" s="910"/>
      <c r="H385" s="869"/>
      <c r="I385" s="1747"/>
      <c r="J385" s="1545"/>
      <c r="K385" s="1545"/>
      <c r="L385" s="1545"/>
      <c r="M385" s="1545"/>
      <c r="N385" s="1545"/>
      <c r="O385" s="1545"/>
      <c r="P385" s="1545"/>
      <c r="Q385" s="1545"/>
      <c r="R385" s="1545"/>
      <c r="S385" s="1548"/>
      <c r="T385" s="1548"/>
      <c r="U385" s="1548"/>
      <c r="V385" s="2375"/>
      <c r="W385" s="832">
        <v>1208.5</v>
      </c>
      <c r="X385" s="832">
        <v>1208.5</v>
      </c>
      <c r="Y385" s="832"/>
      <c r="Z385" s="832"/>
      <c r="AA385" s="832"/>
      <c r="AB385" s="832"/>
      <c r="AC385" s="832"/>
      <c r="AD385" s="832"/>
      <c r="AE385" s="832"/>
      <c r="AF385" s="832"/>
      <c r="AG385" s="832"/>
      <c r="AK385" s="802"/>
    </row>
    <row r="386" spans="2:37" s="811" customFormat="1" outlineLevel="1" x14ac:dyDescent="0.25">
      <c r="B386" s="1545"/>
      <c r="C386" s="1535"/>
      <c r="D386" s="2291"/>
      <c r="E386" s="1748" t="s">
        <v>1275</v>
      </c>
      <c r="F386" s="526">
        <v>1208.5</v>
      </c>
      <c r="G386" s="910"/>
      <c r="H386" s="869"/>
      <c r="I386" s="1747"/>
      <c r="J386" s="1545"/>
      <c r="K386" s="1545"/>
      <c r="L386" s="1545"/>
      <c r="M386" s="1545"/>
      <c r="N386" s="1545"/>
      <c r="O386" s="1545"/>
      <c r="P386" s="1545"/>
      <c r="Q386" s="1545"/>
      <c r="R386" s="1545"/>
      <c r="S386" s="1548"/>
      <c r="T386" s="1548"/>
      <c r="U386" s="1548"/>
      <c r="V386" s="2375"/>
      <c r="W386" s="832">
        <v>1208.5</v>
      </c>
      <c r="X386" s="832">
        <v>1208.5</v>
      </c>
      <c r="Y386" s="832"/>
      <c r="Z386" s="832"/>
      <c r="AA386" s="832"/>
      <c r="AB386" s="832"/>
      <c r="AC386" s="832"/>
      <c r="AD386" s="832"/>
      <c r="AE386" s="832"/>
      <c r="AF386" s="832"/>
      <c r="AG386" s="832"/>
      <c r="AK386" s="802"/>
    </row>
    <row r="387" spans="2:37" s="811" customFormat="1" outlineLevel="1" x14ac:dyDescent="0.25">
      <c r="B387" s="1545"/>
      <c r="C387" s="1535"/>
      <c r="D387" s="2291"/>
      <c r="E387" s="1748" t="s">
        <v>1276</v>
      </c>
      <c r="F387" s="526">
        <v>1859.23</v>
      </c>
      <c r="G387" s="910"/>
      <c r="H387" s="869"/>
      <c r="I387" s="1747"/>
      <c r="J387" s="1545"/>
      <c r="K387" s="1545"/>
      <c r="L387" s="1545"/>
      <c r="M387" s="1545"/>
      <c r="N387" s="1545"/>
      <c r="O387" s="1545"/>
      <c r="P387" s="1545"/>
      <c r="Q387" s="1545"/>
      <c r="R387" s="1545"/>
      <c r="S387" s="1548"/>
      <c r="T387" s="1548"/>
      <c r="U387" s="1548"/>
      <c r="V387" s="2375"/>
      <c r="W387" s="832">
        <v>1859.23</v>
      </c>
      <c r="X387" s="832">
        <v>1859.23</v>
      </c>
      <c r="Y387" s="832"/>
      <c r="Z387" s="832"/>
      <c r="AA387" s="832"/>
      <c r="AB387" s="832"/>
      <c r="AC387" s="832"/>
      <c r="AD387" s="832"/>
      <c r="AE387" s="832"/>
      <c r="AF387" s="832"/>
      <c r="AG387" s="832"/>
      <c r="AK387" s="802"/>
    </row>
    <row r="388" spans="2:37" s="811" customFormat="1" outlineLevel="1" x14ac:dyDescent="0.25">
      <c r="B388" s="1545"/>
      <c r="C388" s="1535"/>
      <c r="D388" s="2373"/>
      <c r="E388" s="867" t="s">
        <v>1277</v>
      </c>
      <c r="F388" s="526">
        <v>1859.23</v>
      </c>
      <c r="G388" s="1750"/>
      <c r="H388" s="869"/>
      <c r="I388" s="1747"/>
      <c r="J388" s="1545"/>
      <c r="K388" s="1545"/>
      <c r="L388" s="1545"/>
      <c r="M388" s="1545"/>
      <c r="N388" s="1545"/>
      <c r="O388" s="1545"/>
      <c r="P388" s="1545"/>
      <c r="Q388" s="1545"/>
      <c r="R388" s="1545"/>
      <c r="S388" s="1548"/>
      <c r="T388" s="1548"/>
      <c r="U388" s="1548"/>
      <c r="V388" s="2375"/>
      <c r="W388" s="832">
        <v>1859.23</v>
      </c>
      <c r="X388" s="832">
        <v>1859.23</v>
      </c>
      <c r="Y388" s="832"/>
      <c r="Z388" s="832"/>
      <c r="AA388" s="832"/>
      <c r="AB388" s="832"/>
      <c r="AC388" s="832"/>
      <c r="AD388" s="832"/>
      <c r="AE388" s="832"/>
      <c r="AF388" s="832"/>
      <c r="AG388" s="832"/>
      <c r="AK388" s="802"/>
    </row>
    <row r="389" spans="2:37" s="811" customFormat="1" outlineLevel="1" x14ac:dyDescent="0.25">
      <c r="B389" s="1545"/>
      <c r="C389" s="1535"/>
      <c r="D389" s="2291"/>
      <c r="E389" s="1749" t="s">
        <v>1278</v>
      </c>
      <c r="F389" s="526">
        <v>1859.23</v>
      </c>
      <c r="G389" s="1750"/>
      <c r="H389" s="869"/>
      <c r="I389" s="1747"/>
      <c r="J389" s="1545"/>
      <c r="K389" s="1545"/>
      <c r="L389" s="1545"/>
      <c r="M389" s="1545"/>
      <c r="N389" s="1545"/>
      <c r="O389" s="1545"/>
      <c r="P389" s="1545"/>
      <c r="Q389" s="1545"/>
      <c r="R389" s="1545"/>
      <c r="S389" s="1548"/>
      <c r="T389" s="1548"/>
      <c r="U389" s="1548"/>
      <c r="V389" s="2375"/>
      <c r="W389" s="832">
        <v>1859.23</v>
      </c>
      <c r="X389" s="832">
        <v>1859.23</v>
      </c>
      <c r="Y389" s="832"/>
      <c r="Z389" s="832"/>
      <c r="AA389" s="832"/>
      <c r="AB389" s="832"/>
      <c r="AC389" s="832"/>
      <c r="AD389" s="832"/>
      <c r="AE389" s="832"/>
      <c r="AF389" s="832"/>
      <c r="AG389" s="832"/>
      <c r="AK389" s="802"/>
    </row>
    <row r="390" spans="2:37" s="811" customFormat="1" outlineLevel="1" x14ac:dyDescent="0.25">
      <c r="B390" s="1545"/>
      <c r="C390" s="1535"/>
      <c r="D390" s="2291"/>
      <c r="E390" s="867" t="s">
        <v>1279</v>
      </c>
      <c r="F390" s="526">
        <v>1846.68</v>
      </c>
      <c r="G390" s="1750"/>
      <c r="H390" s="869"/>
      <c r="I390" s="1747"/>
      <c r="J390" s="1545"/>
      <c r="K390" s="1545"/>
      <c r="L390" s="1545"/>
      <c r="M390" s="1545"/>
      <c r="N390" s="1545"/>
      <c r="O390" s="1545"/>
      <c r="P390" s="1545"/>
      <c r="Q390" s="1545"/>
      <c r="R390" s="1545"/>
      <c r="S390" s="1548"/>
      <c r="T390" s="1548"/>
      <c r="U390" s="1548"/>
      <c r="V390" s="2375"/>
      <c r="W390" s="832">
        <v>1846.68</v>
      </c>
      <c r="X390" s="832">
        <v>1846.68</v>
      </c>
      <c r="Y390" s="832"/>
      <c r="Z390" s="832"/>
      <c r="AA390" s="832"/>
      <c r="AB390" s="832"/>
      <c r="AC390" s="832"/>
      <c r="AD390" s="832"/>
      <c r="AE390" s="832"/>
      <c r="AF390" s="832"/>
      <c r="AG390" s="832"/>
      <c r="AK390" s="802"/>
    </row>
    <row r="391" spans="2:37" s="811" customFormat="1" outlineLevel="1" x14ac:dyDescent="0.25">
      <c r="B391" s="1545"/>
      <c r="C391" s="1535"/>
      <c r="D391" s="2291"/>
      <c r="E391" s="867" t="s">
        <v>1280</v>
      </c>
      <c r="F391" s="526">
        <v>1846.68</v>
      </c>
      <c r="G391" s="1750"/>
      <c r="H391" s="869"/>
      <c r="I391" s="1747"/>
      <c r="J391" s="1545"/>
      <c r="K391" s="1545"/>
      <c r="L391" s="1545"/>
      <c r="M391" s="1545"/>
      <c r="N391" s="1545"/>
      <c r="O391" s="1545"/>
      <c r="P391" s="1545"/>
      <c r="Q391" s="1545"/>
      <c r="R391" s="1545"/>
      <c r="S391" s="1548"/>
      <c r="T391" s="1548"/>
      <c r="U391" s="1548"/>
      <c r="V391" s="2375"/>
      <c r="W391" s="832">
        <v>1846.68</v>
      </c>
      <c r="X391" s="832">
        <v>1846.68</v>
      </c>
      <c r="Y391" s="832"/>
      <c r="Z391" s="832"/>
      <c r="AA391" s="832"/>
      <c r="AB391" s="832"/>
      <c r="AC391" s="832"/>
      <c r="AD391" s="832"/>
      <c r="AE391" s="832"/>
      <c r="AF391" s="832"/>
      <c r="AG391" s="832"/>
      <c r="AK391" s="802"/>
    </row>
    <row r="392" spans="2:37" s="811" customFormat="1" outlineLevel="1" x14ac:dyDescent="0.25">
      <c r="B392" s="1545"/>
      <c r="C392" s="1535"/>
      <c r="D392" s="2291"/>
      <c r="E392" s="1748" t="s">
        <v>1281</v>
      </c>
      <c r="F392" s="526">
        <v>1846.68</v>
      </c>
      <c r="G392" s="1750"/>
      <c r="H392" s="869"/>
      <c r="I392" s="1747"/>
      <c r="J392" s="1545"/>
      <c r="K392" s="1545"/>
      <c r="L392" s="1545"/>
      <c r="M392" s="1545"/>
      <c r="N392" s="1545"/>
      <c r="O392" s="1545"/>
      <c r="P392" s="1545"/>
      <c r="Q392" s="1545"/>
      <c r="R392" s="1545"/>
      <c r="S392" s="1548"/>
      <c r="T392" s="1548"/>
      <c r="U392" s="1548"/>
      <c r="V392" s="2375"/>
      <c r="W392" s="832">
        <v>1846.68</v>
      </c>
      <c r="X392" s="832">
        <v>1846.68</v>
      </c>
      <c r="Y392" s="832"/>
      <c r="Z392" s="832"/>
      <c r="AA392" s="832"/>
      <c r="AB392" s="832"/>
      <c r="AC392" s="832"/>
      <c r="AD392" s="832"/>
      <c r="AE392" s="832"/>
      <c r="AF392" s="832"/>
      <c r="AG392" s="832"/>
      <c r="AK392" s="802"/>
    </row>
    <row r="393" spans="2:37" s="811" customFormat="1" outlineLevel="1" x14ac:dyDescent="0.25">
      <c r="B393" s="1545"/>
      <c r="C393" s="1535"/>
      <c r="D393" s="2291"/>
      <c r="E393" s="867" t="s">
        <v>1282</v>
      </c>
      <c r="F393" s="526">
        <v>2841.04</v>
      </c>
      <c r="G393" s="1750"/>
      <c r="H393" s="869"/>
      <c r="I393" s="1747"/>
      <c r="J393" s="1545"/>
      <c r="K393" s="1545"/>
      <c r="L393" s="1545"/>
      <c r="M393" s="1545"/>
      <c r="N393" s="1545"/>
      <c r="O393" s="1545"/>
      <c r="P393" s="1545"/>
      <c r="Q393" s="1545"/>
      <c r="R393" s="1545"/>
      <c r="S393" s="1548"/>
      <c r="T393" s="1548"/>
      <c r="U393" s="1548"/>
      <c r="V393" s="2375"/>
      <c r="W393" s="832">
        <v>2841.04</v>
      </c>
      <c r="X393" s="832">
        <v>2841.04</v>
      </c>
      <c r="Y393" s="832"/>
      <c r="Z393" s="832"/>
      <c r="AA393" s="832"/>
      <c r="AB393" s="832"/>
      <c r="AC393" s="832"/>
      <c r="AD393" s="832"/>
      <c r="AE393" s="832"/>
      <c r="AF393" s="832"/>
      <c r="AG393" s="832"/>
      <c r="AK393" s="802"/>
    </row>
    <row r="394" spans="2:37" s="811" customFormat="1" outlineLevel="1" x14ac:dyDescent="0.25">
      <c r="B394" s="1545"/>
      <c r="C394" s="1535"/>
      <c r="D394" s="2291"/>
      <c r="E394" s="1748" t="s">
        <v>1283</v>
      </c>
      <c r="F394" s="526">
        <v>2841.04</v>
      </c>
      <c r="G394" s="1750"/>
      <c r="H394" s="869"/>
      <c r="I394" s="1747"/>
      <c r="J394" s="1545"/>
      <c r="K394" s="1545"/>
      <c r="L394" s="1545"/>
      <c r="M394" s="1545"/>
      <c r="N394" s="1545"/>
      <c r="O394" s="1545"/>
      <c r="P394" s="1545"/>
      <c r="Q394" s="1545"/>
      <c r="R394" s="1545"/>
      <c r="S394" s="1548"/>
      <c r="T394" s="1548"/>
      <c r="U394" s="1548"/>
      <c r="V394" s="2375"/>
      <c r="W394" s="832">
        <v>2841.04</v>
      </c>
      <c r="X394" s="832">
        <v>2841.04</v>
      </c>
      <c r="Y394" s="832"/>
      <c r="Z394" s="832"/>
      <c r="AA394" s="832"/>
      <c r="AB394" s="832"/>
      <c r="AC394" s="832"/>
      <c r="AD394" s="832"/>
      <c r="AE394" s="832"/>
      <c r="AF394" s="832"/>
      <c r="AG394" s="832"/>
      <c r="AK394" s="802"/>
    </row>
    <row r="395" spans="2:37" s="811" customFormat="1" outlineLevel="1" x14ac:dyDescent="0.25">
      <c r="B395" s="1545"/>
      <c r="C395" s="1535"/>
      <c r="D395" s="2291"/>
      <c r="E395" s="867" t="s">
        <v>1284</v>
      </c>
      <c r="F395" s="526">
        <v>2841.04</v>
      </c>
      <c r="G395" s="1750"/>
      <c r="H395" s="869"/>
      <c r="I395" s="1747"/>
      <c r="J395" s="1545"/>
      <c r="K395" s="1545"/>
      <c r="L395" s="1545"/>
      <c r="M395" s="1545"/>
      <c r="N395" s="1545"/>
      <c r="O395" s="1545"/>
      <c r="P395" s="1545"/>
      <c r="Q395" s="1545"/>
      <c r="R395" s="1545"/>
      <c r="S395" s="1548"/>
      <c r="T395" s="1548"/>
      <c r="U395" s="1548"/>
      <c r="V395" s="2375"/>
      <c r="W395" s="832">
        <v>2841.04</v>
      </c>
      <c r="X395" s="832">
        <v>2841.04</v>
      </c>
      <c r="Y395" s="832"/>
      <c r="Z395" s="832"/>
      <c r="AA395" s="832"/>
      <c r="AB395" s="832"/>
      <c r="AC395" s="832"/>
      <c r="AD395" s="832"/>
      <c r="AE395" s="832"/>
      <c r="AF395" s="832"/>
      <c r="AG395" s="832"/>
      <c r="AK395" s="802"/>
    </row>
    <row r="396" spans="2:37" s="811" customFormat="1" outlineLevel="1" x14ac:dyDescent="0.25">
      <c r="B396" s="1545"/>
      <c r="C396" s="1535"/>
      <c r="D396" s="2291"/>
      <c r="E396" s="867" t="s">
        <v>1285</v>
      </c>
      <c r="F396" s="526">
        <v>2461.73</v>
      </c>
      <c r="G396" s="1750"/>
      <c r="H396" s="869"/>
      <c r="I396" s="1747"/>
      <c r="J396" s="1545"/>
      <c r="K396" s="1545"/>
      <c r="L396" s="1545"/>
      <c r="M396" s="1545"/>
      <c r="N396" s="1545"/>
      <c r="O396" s="1545"/>
      <c r="P396" s="1545"/>
      <c r="Q396" s="1545"/>
      <c r="R396" s="1545"/>
      <c r="S396" s="1548"/>
      <c r="T396" s="1548"/>
      <c r="U396" s="1548"/>
      <c r="V396" s="2375"/>
      <c r="W396" s="832">
        <v>2461.73</v>
      </c>
      <c r="X396" s="832">
        <v>2461.73</v>
      </c>
      <c r="Y396" s="832"/>
      <c r="Z396" s="832"/>
      <c r="AA396" s="832"/>
      <c r="AB396" s="832"/>
      <c r="AC396" s="832"/>
      <c r="AD396" s="832"/>
      <c r="AE396" s="832"/>
      <c r="AF396" s="832"/>
      <c r="AG396" s="832"/>
      <c r="AK396" s="802"/>
    </row>
    <row r="397" spans="2:37" s="811" customFormat="1" outlineLevel="1" x14ac:dyDescent="0.25">
      <c r="B397" s="1545"/>
      <c r="C397" s="1535"/>
      <c r="D397" s="2291"/>
      <c r="E397" s="867" t="s">
        <v>1286</v>
      </c>
      <c r="F397" s="526">
        <v>2461.73</v>
      </c>
      <c r="G397" s="1750"/>
      <c r="H397" s="869"/>
      <c r="I397" s="1747"/>
      <c r="J397" s="1545"/>
      <c r="K397" s="1545"/>
      <c r="L397" s="1545"/>
      <c r="M397" s="1545"/>
      <c r="N397" s="1545"/>
      <c r="O397" s="1545"/>
      <c r="P397" s="1545"/>
      <c r="Q397" s="1545"/>
      <c r="R397" s="1545"/>
      <c r="S397" s="1548"/>
      <c r="T397" s="1548"/>
      <c r="U397" s="1548"/>
      <c r="V397" s="2375"/>
      <c r="W397" s="832">
        <v>2461.73</v>
      </c>
      <c r="X397" s="832">
        <v>2461.73</v>
      </c>
      <c r="Y397" s="832"/>
      <c r="Z397" s="832"/>
      <c r="AA397" s="832"/>
      <c r="AB397" s="832"/>
      <c r="AC397" s="832"/>
      <c r="AD397" s="832"/>
      <c r="AE397" s="832"/>
      <c r="AF397" s="832"/>
      <c r="AG397" s="832"/>
      <c r="AK397" s="802"/>
    </row>
    <row r="398" spans="2:37" s="811" customFormat="1" outlineLevel="1" x14ac:dyDescent="0.25">
      <c r="B398" s="1545"/>
      <c r="C398" s="1535"/>
      <c r="D398" s="2291"/>
      <c r="E398" s="1748" t="s">
        <v>1287</v>
      </c>
      <c r="F398" s="526">
        <v>2461.73</v>
      </c>
      <c r="G398" s="1750"/>
      <c r="H398" s="869"/>
      <c r="I398" s="1747"/>
      <c r="J398" s="1545"/>
      <c r="K398" s="1545"/>
      <c r="L398" s="1545"/>
      <c r="M398" s="1545"/>
      <c r="N398" s="1545"/>
      <c r="O398" s="1545"/>
      <c r="P398" s="1545"/>
      <c r="Q398" s="1545"/>
      <c r="R398" s="1545"/>
      <c r="S398" s="1548"/>
      <c r="T398" s="1548"/>
      <c r="U398" s="1548"/>
      <c r="V398" s="2375"/>
      <c r="W398" s="832">
        <v>2461.73</v>
      </c>
      <c r="X398" s="832">
        <v>2461.73</v>
      </c>
      <c r="Y398" s="832"/>
      <c r="Z398" s="832"/>
      <c r="AA398" s="832"/>
      <c r="AB398" s="832"/>
      <c r="AC398" s="832"/>
      <c r="AD398" s="832"/>
      <c r="AE398" s="832"/>
      <c r="AF398" s="832"/>
      <c r="AG398" s="832"/>
      <c r="AK398" s="802"/>
    </row>
    <row r="399" spans="2:37" s="811" customFormat="1" outlineLevel="1" x14ac:dyDescent="0.25">
      <c r="B399" s="1545"/>
      <c r="C399" s="1535"/>
      <c r="D399" s="2291"/>
      <c r="E399" s="867" t="s">
        <v>1288</v>
      </c>
      <c r="F399" s="526">
        <v>3787.28</v>
      </c>
      <c r="G399" s="1750"/>
      <c r="H399" s="869"/>
      <c r="I399" s="1747"/>
      <c r="J399" s="1545"/>
      <c r="K399" s="1545"/>
      <c r="L399" s="1545"/>
      <c r="M399" s="1545"/>
      <c r="N399" s="1545"/>
      <c r="O399" s="1545"/>
      <c r="P399" s="1545"/>
      <c r="Q399" s="1545"/>
      <c r="R399" s="1545"/>
      <c r="S399" s="1548"/>
      <c r="T399" s="1548"/>
      <c r="U399" s="1548"/>
      <c r="V399" s="2375"/>
      <c r="W399" s="832">
        <v>3787.28</v>
      </c>
      <c r="X399" s="832">
        <v>3787.28</v>
      </c>
      <c r="Y399" s="832"/>
      <c r="Z399" s="832"/>
      <c r="AA399" s="832"/>
      <c r="AB399" s="832"/>
      <c r="AC399" s="832"/>
      <c r="AD399" s="832"/>
      <c r="AE399" s="832"/>
      <c r="AF399" s="832"/>
      <c r="AG399" s="832"/>
      <c r="AK399" s="802"/>
    </row>
    <row r="400" spans="2:37" s="811" customFormat="1" outlineLevel="1" x14ac:dyDescent="0.25">
      <c r="B400" s="1545"/>
      <c r="C400" s="1535"/>
      <c r="D400" s="2291"/>
      <c r="E400" s="1748" t="s">
        <v>1289</v>
      </c>
      <c r="F400" s="526">
        <v>3787.28</v>
      </c>
      <c r="G400" s="1750"/>
      <c r="H400" s="869"/>
      <c r="I400" s="1747"/>
      <c r="J400" s="1545"/>
      <c r="K400" s="1545"/>
      <c r="L400" s="1545"/>
      <c r="M400" s="1545"/>
      <c r="N400" s="1545"/>
      <c r="O400" s="1545"/>
      <c r="P400" s="1545"/>
      <c r="Q400" s="1545"/>
      <c r="R400" s="1545"/>
      <c r="S400" s="1548"/>
      <c r="T400" s="1548"/>
      <c r="U400" s="1548"/>
      <c r="V400" s="2375"/>
      <c r="W400" s="832">
        <v>3787.28</v>
      </c>
      <c r="X400" s="832">
        <v>3787.28</v>
      </c>
      <c r="Y400" s="832"/>
      <c r="Z400" s="832"/>
      <c r="AA400" s="832"/>
      <c r="AB400" s="832"/>
      <c r="AC400" s="832"/>
      <c r="AD400" s="832"/>
      <c r="AE400" s="832"/>
      <c r="AF400" s="832"/>
      <c r="AG400" s="832"/>
      <c r="AK400" s="802"/>
    </row>
    <row r="401" spans="2:37" s="811" customFormat="1" outlineLevel="1" x14ac:dyDescent="0.25">
      <c r="B401" s="1545"/>
      <c r="C401" s="1535"/>
      <c r="D401" s="2292"/>
      <c r="E401" s="867" t="s">
        <v>1290</v>
      </c>
      <c r="F401" s="526">
        <v>3787.28</v>
      </c>
      <c r="G401" s="910"/>
      <c r="H401" s="869"/>
      <c r="I401" s="1747"/>
      <c r="J401" s="1545"/>
      <c r="K401" s="1545"/>
      <c r="L401" s="1545"/>
      <c r="M401" s="1545"/>
      <c r="N401" s="1545"/>
      <c r="O401" s="1545"/>
      <c r="P401" s="1545"/>
      <c r="Q401" s="1545"/>
      <c r="R401" s="1545"/>
      <c r="S401" s="1548"/>
      <c r="T401" s="1548"/>
      <c r="U401" s="1548"/>
      <c r="V401" s="2376"/>
      <c r="W401" s="832">
        <v>3787.28</v>
      </c>
      <c r="X401" s="832">
        <v>3787.28</v>
      </c>
      <c r="Y401" s="832"/>
      <c r="Z401" s="832"/>
      <c r="AA401" s="832"/>
      <c r="AB401" s="832"/>
      <c r="AC401" s="832"/>
      <c r="AD401" s="832"/>
      <c r="AE401" s="832"/>
      <c r="AF401" s="832"/>
      <c r="AG401" s="832"/>
      <c r="AK401" s="802"/>
    </row>
    <row r="402" spans="2:37" x14ac:dyDescent="0.25">
      <c r="B402" s="1087"/>
      <c r="C402" s="1434"/>
      <c r="AK402" s="802"/>
    </row>
    <row r="403" spans="2:37" x14ac:dyDescent="0.25">
      <c r="B403" s="1087"/>
      <c r="C403" s="1434"/>
      <c r="AK403" s="802"/>
    </row>
    <row r="404" spans="2:37" x14ac:dyDescent="0.25">
      <c r="B404" s="2022" t="s">
        <v>1307</v>
      </c>
      <c r="C404" s="2023"/>
      <c r="D404" s="2023"/>
      <c r="E404" s="2023"/>
      <c r="F404" s="2023"/>
      <c r="G404" s="2023"/>
      <c r="H404" s="2023"/>
      <c r="I404" s="1992"/>
      <c r="J404" s="1992"/>
      <c r="K404" s="1992"/>
      <c r="L404" s="1992"/>
      <c r="M404" s="1992"/>
      <c r="N404" s="1992"/>
      <c r="O404" s="1992"/>
      <c r="P404" s="1992"/>
      <c r="Q404" s="1992"/>
      <c r="R404" s="1993"/>
      <c r="V404" s="2022" t="str">
        <f>B404</f>
        <v>Floor Insulation</v>
      </c>
      <c r="W404" s="2023"/>
      <c r="X404" s="2023"/>
      <c r="Y404" s="2023"/>
      <c r="Z404" s="2023"/>
      <c r="AA404" s="2023"/>
      <c r="AB404" s="2023"/>
      <c r="AC404" s="2024"/>
      <c r="AD404" s="2024"/>
      <c r="AE404" s="2024"/>
      <c r="AF404" s="2024"/>
      <c r="AG404" s="2024"/>
      <c r="AH404" s="2024"/>
      <c r="AI404" s="2025"/>
      <c r="AK404" s="802"/>
    </row>
    <row r="405" spans="2:37" x14ac:dyDescent="0.25">
      <c r="B405" s="1708"/>
      <c r="C405" s="1535"/>
      <c r="D405" s="1722"/>
      <c r="E405" s="1722"/>
      <c r="F405" s="1723"/>
      <c r="G405" s="1723"/>
      <c r="H405" s="1723"/>
      <c r="I405" s="1723"/>
      <c r="J405" s="1723"/>
      <c r="K405" s="1723"/>
      <c r="L405" s="1724"/>
      <c r="M405" s="1548"/>
      <c r="N405" s="1548"/>
      <c r="O405" s="1548"/>
      <c r="AK405" s="802"/>
    </row>
    <row r="406" spans="2:37" ht="45" x14ac:dyDescent="0.25">
      <c r="B406" s="1708"/>
      <c r="C406" s="184" t="s">
        <v>16</v>
      </c>
      <c r="D406" s="184" t="s">
        <v>509</v>
      </c>
      <c r="E406" s="184" t="s">
        <v>18</v>
      </c>
      <c r="F406" s="184" t="s">
        <v>19</v>
      </c>
      <c r="G406" s="184" t="s">
        <v>20</v>
      </c>
      <c r="H406" s="184" t="s">
        <v>21</v>
      </c>
      <c r="I406" s="184" t="s">
        <v>724</v>
      </c>
      <c r="J406" s="184" t="s">
        <v>725</v>
      </c>
      <c r="K406" s="184" t="s">
        <v>22</v>
      </c>
      <c r="L406" s="448" t="s">
        <v>23</v>
      </c>
      <c r="M406" s="184" t="s">
        <v>24</v>
      </c>
      <c r="N406" s="184" t="s">
        <v>1308</v>
      </c>
      <c r="O406" s="1548"/>
      <c r="P406" s="1548"/>
      <c r="Q406" s="1548"/>
      <c r="R406" s="1548"/>
      <c r="V406" s="48" t="s">
        <v>26</v>
      </c>
      <c r="W406" s="49">
        <f>W$6</f>
        <v>43252</v>
      </c>
      <c r="X406" s="49">
        <f t="shared" ref="X406:AG406" si="21">X$6</f>
        <v>43465</v>
      </c>
      <c r="Y406" s="49" t="str">
        <f t="shared" si="21"/>
        <v>-</v>
      </c>
      <c r="Z406" s="49" t="str">
        <f t="shared" si="21"/>
        <v>-</v>
      </c>
      <c r="AA406" s="49" t="str">
        <f t="shared" si="21"/>
        <v>-</v>
      </c>
      <c r="AB406" s="49" t="str">
        <f t="shared" si="21"/>
        <v>-</v>
      </c>
      <c r="AC406" s="49" t="str">
        <f t="shared" si="21"/>
        <v>-</v>
      </c>
      <c r="AD406" s="49" t="str">
        <f t="shared" si="21"/>
        <v>-</v>
      </c>
      <c r="AE406" s="49" t="str">
        <f t="shared" si="21"/>
        <v>-</v>
      </c>
      <c r="AF406" s="49" t="str">
        <f t="shared" si="21"/>
        <v>-</v>
      </c>
      <c r="AG406" s="49" t="str">
        <f t="shared" si="21"/>
        <v>-</v>
      </c>
      <c r="AK406" s="802"/>
    </row>
    <row r="407" spans="2:37" x14ac:dyDescent="0.25">
      <c r="B407" s="1708"/>
      <c r="C407" s="1531"/>
      <c r="D407" s="1066" t="s">
        <v>1246</v>
      </c>
      <c r="E407" s="1066" t="s">
        <v>1309</v>
      </c>
      <c r="F407" s="1077">
        <f>I407+J407</f>
        <v>2641.1109246458486</v>
      </c>
      <c r="G407" s="1531" t="s">
        <v>1248</v>
      </c>
      <c r="H407" s="170">
        <f>VLOOKUP(G407,'CP FACTORS'!$A$3:$B$38, 2, FALSE)</f>
        <v>4.6608050000000002E-4</v>
      </c>
      <c r="I407" s="1062">
        <f>(1/F$416-1/F$417)*F$418*(1-F$419)*F$420*24*F$421/(F$422*3412)</f>
        <v>2389.2552388276667</v>
      </c>
      <c r="J407" s="1062">
        <f>(1/F416-1/F417)*F418*(1-F419)*F423*24*F424/(F425*1000)</f>
        <v>251.85568581818183</v>
      </c>
      <c r="K407" s="1534">
        <f>H407*F407</f>
        <v>1.2309703003143995</v>
      </c>
      <c r="L407" s="525">
        <f>F426</f>
        <v>25</v>
      </c>
      <c r="M407" s="526">
        <f>F427</f>
        <v>734.04</v>
      </c>
      <c r="N407" s="813">
        <f>F418</f>
        <v>1080</v>
      </c>
      <c r="O407" s="1548"/>
      <c r="P407" s="1548"/>
      <c r="Q407" s="1548"/>
      <c r="R407" s="1548"/>
      <c r="V407" s="176" t="str">
        <f>$F$46</f>
        <v>kWh Annual Savings</v>
      </c>
      <c r="W407" s="821">
        <v>2641.1109246458486</v>
      </c>
      <c r="X407" s="722">
        <v>2641.1109246458486</v>
      </c>
      <c r="Y407" s="176"/>
      <c r="Z407" s="176"/>
      <c r="AA407" s="176"/>
      <c r="AB407" s="176"/>
      <c r="AC407" s="176"/>
      <c r="AD407" s="176"/>
      <c r="AE407" s="176"/>
      <c r="AF407" s="176"/>
      <c r="AG407" s="176"/>
      <c r="AH407" s="801"/>
      <c r="AI407" s="801"/>
      <c r="AK407" s="802"/>
    </row>
    <row r="408" spans="2:37" outlineLevel="1" x14ac:dyDescent="0.25">
      <c r="B408" s="1708"/>
      <c r="C408" s="1535"/>
      <c r="D408" s="1546"/>
      <c r="E408" s="1546"/>
      <c r="F408" s="1547"/>
      <c r="G408" s="1548"/>
      <c r="H408" s="1548"/>
      <c r="I408" s="1548"/>
      <c r="J408" s="1548"/>
      <c r="K408" s="1548"/>
      <c r="L408" s="1548"/>
      <c r="M408" s="1548"/>
      <c r="N408" s="1548"/>
      <c r="O408" s="1548"/>
      <c r="P408" s="1548"/>
      <c r="Q408" s="1548"/>
      <c r="R408" s="1548"/>
      <c r="AK408" s="802"/>
    </row>
    <row r="409" spans="2:37" outlineLevel="1" x14ac:dyDescent="0.25">
      <c r="B409" s="1708"/>
      <c r="C409" s="1535"/>
      <c r="D409" s="1418" t="s">
        <v>463</v>
      </c>
      <c r="E409" s="1546"/>
      <c r="F409" s="1547"/>
      <c r="G409" s="1548"/>
      <c r="H409" s="1548"/>
      <c r="I409" s="1548"/>
      <c r="J409" s="1548"/>
      <c r="K409" s="1548"/>
      <c r="L409" s="1548"/>
      <c r="M409" s="1548"/>
      <c r="N409" s="1548"/>
      <c r="O409" s="1548"/>
      <c r="AK409" s="802"/>
    </row>
    <row r="410" spans="2:37" ht="18" customHeight="1" outlineLevel="1" x14ac:dyDescent="0.25">
      <c r="B410" s="1708"/>
      <c r="C410" s="1735"/>
      <c r="D410" s="2368"/>
      <c r="E410" s="2368"/>
      <c r="F410" s="2368"/>
      <c r="G410" s="2368"/>
      <c r="H410" s="1550"/>
      <c r="I410" s="1550"/>
      <c r="J410" s="1550"/>
      <c r="K410" s="1550"/>
      <c r="L410" s="1550"/>
      <c r="M410" s="1548"/>
      <c r="N410" s="1548"/>
      <c r="O410" s="1548"/>
      <c r="AK410" s="802"/>
    </row>
    <row r="411" spans="2:37" outlineLevel="1" x14ac:dyDescent="0.25">
      <c r="B411" s="1708"/>
      <c r="C411" s="1736"/>
      <c r="D411" s="2368"/>
      <c r="E411" s="2368"/>
      <c r="F411" s="2368"/>
      <c r="G411" s="2368"/>
      <c r="H411" s="1550"/>
      <c r="I411" s="1550"/>
      <c r="J411" s="1550"/>
      <c r="K411" s="1550"/>
      <c r="L411" s="1550"/>
      <c r="M411" s="1548"/>
      <c r="N411" s="1548"/>
      <c r="O411" s="1548"/>
      <c r="AK411" s="802"/>
    </row>
    <row r="412" spans="2:37" outlineLevel="1" x14ac:dyDescent="0.25">
      <c r="B412" s="1708"/>
      <c r="C412" s="1736"/>
      <c r="D412" s="2368"/>
      <c r="E412" s="2368"/>
      <c r="F412" s="2368"/>
      <c r="G412" s="2368"/>
      <c r="H412" s="1550"/>
      <c r="I412" s="1550"/>
      <c r="J412" s="1550"/>
      <c r="K412" s="1550"/>
      <c r="L412" s="1550"/>
      <c r="M412" s="1548"/>
      <c r="N412" s="1548"/>
      <c r="O412" s="1548"/>
      <c r="AK412" s="802"/>
    </row>
    <row r="413" spans="2:37" ht="15" customHeight="1" outlineLevel="1" x14ac:dyDescent="0.25">
      <c r="B413" s="1708"/>
      <c r="C413" s="1737"/>
      <c r="D413" s="2368"/>
      <c r="E413" s="2368"/>
      <c r="F413" s="2368"/>
      <c r="G413" s="2368"/>
      <c r="H413" s="1550"/>
      <c r="I413" s="1550"/>
      <c r="J413" s="1550"/>
      <c r="K413" s="1550"/>
      <c r="L413" s="1550"/>
      <c r="M413" s="1548"/>
      <c r="N413" s="1548"/>
      <c r="O413" s="1548"/>
      <c r="AK413" s="802"/>
    </row>
    <row r="414" spans="2:37" outlineLevel="1" x14ac:dyDescent="0.25">
      <c r="B414" s="1708"/>
      <c r="C414" s="1535"/>
      <c r="D414" s="1546"/>
      <c r="E414" s="1546"/>
      <c r="F414" s="1548"/>
      <c r="G414" s="1548"/>
      <c r="H414" s="1548"/>
      <c r="I414" s="1548"/>
      <c r="J414" s="1548"/>
      <c r="K414" s="1548"/>
      <c r="L414" s="1548"/>
      <c r="M414" s="1548"/>
      <c r="N414" s="1548"/>
      <c r="O414" s="1548"/>
      <c r="AK414" s="802"/>
    </row>
    <row r="415" spans="2:37" outlineLevel="1" x14ac:dyDescent="0.25">
      <c r="B415" s="1708"/>
      <c r="C415" s="1535"/>
      <c r="D415" s="1098" t="s">
        <v>465</v>
      </c>
      <c r="E415" s="1098" t="s">
        <v>466</v>
      </c>
      <c r="F415" s="184" t="s">
        <v>467</v>
      </c>
      <c r="G415" s="184" t="s">
        <v>515</v>
      </c>
      <c r="H415" s="184" t="s">
        <v>592</v>
      </c>
      <c r="I415" s="1548"/>
      <c r="J415" s="1548"/>
      <c r="K415" s="1548"/>
      <c r="L415" s="1548"/>
      <c r="M415" s="1548"/>
      <c r="N415" s="1548"/>
      <c r="O415" s="1548"/>
      <c r="V415" s="48" t="s">
        <v>26</v>
      </c>
      <c r="W415" s="49">
        <f>W$6</f>
        <v>43252</v>
      </c>
      <c r="X415" s="49">
        <f t="shared" ref="X415:AG415" si="22">X$6</f>
        <v>43465</v>
      </c>
      <c r="Y415" s="49" t="str">
        <f t="shared" si="22"/>
        <v>-</v>
      </c>
      <c r="Z415" s="49" t="str">
        <f t="shared" si="22"/>
        <v>-</v>
      </c>
      <c r="AA415" s="49" t="str">
        <f t="shared" si="22"/>
        <v>-</v>
      </c>
      <c r="AB415" s="49" t="str">
        <f t="shared" si="22"/>
        <v>-</v>
      </c>
      <c r="AC415" s="49" t="str">
        <f t="shared" si="22"/>
        <v>-</v>
      </c>
      <c r="AD415" s="49" t="str">
        <f t="shared" si="22"/>
        <v>-</v>
      </c>
      <c r="AE415" s="49" t="str">
        <f t="shared" si="22"/>
        <v>-</v>
      </c>
      <c r="AF415" s="49" t="str">
        <f t="shared" si="22"/>
        <v>-</v>
      </c>
      <c r="AG415" s="49" t="str">
        <f t="shared" si="22"/>
        <v>-</v>
      </c>
      <c r="AK415" s="802"/>
    </row>
    <row r="416" spans="2:37" ht="18" outlineLevel="1" x14ac:dyDescent="0.25">
      <c r="B416" s="1708"/>
      <c r="C416" s="1535"/>
      <c r="D416" s="1751" t="s">
        <v>1887</v>
      </c>
      <c r="E416" s="1066" t="s">
        <v>1310</v>
      </c>
      <c r="F416" s="1741">
        <v>3.96</v>
      </c>
      <c r="G416" s="952" t="s">
        <v>972</v>
      </c>
      <c r="H416" s="1068"/>
      <c r="I416" s="1548"/>
      <c r="J416" s="1548"/>
      <c r="K416" s="1548"/>
      <c r="L416" s="1548"/>
      <c r="M416" s="1548"/>
      <c r="N416" s="1548"/>
      <c r="O416" s="1548"/>
      <c r="V416" s="833" t="str">
        <f>D416</f>
        <v>Rold</v>
      </c>
      <c r="W416" s="825">
        <v>3.96</v>
      </c>
      <c r="X416" s="825">
        <v>3.96</v>
      </c>
      <c r="Y416" s="825"/>
      <c r="Z416" s="825"/>
      <c r="AA416" s="825"/>
      <c r="AB416" s="825"/>
      <c r="AC416" s="825"/>
      <c r="AD416" s="825"/>
      <c r="AE416" s="825"/>
      <c r="AF416" s="825"/>
      <c r="AG416" s="825"/>
      <c r="AK416" s="802"/>
    </row>
    <row r="417" spans="2:37" ht="18" outlineLevel="1" x14ac:dyDescent="0.25">
      <c r="B417" s="1708"/>
      <c r="C417" s="1535"/>
      <c r="D417" s="1751" t="s">
        <v>1892</v>
      </c>
      <c r="E417" s="1066" t="s">
        <v>1310</v>
      </c>
      <c r="F417" s="1067">
        <v>25</v>
      </c>
      <c r="G417" s="952"/>
      <c r="H417" s="1068"/>
      <c r="I417" s="1548"/>
      <c r="J417" s="1548"/>
      <c r="K417" s="1548"/>
      <c r="L417" s="1548"/>
      <c r="M417" s="1548"/>
      <c r="N417" s="1548"/>
      <c r="O417" s="1548"/>
      <c r="V417" s="833" t="str">
        <f t="shared" ref="V417:V425" si="23">D417</f>
        <v>Radded</v>
      </c>
      <c r="W417" s="819">
        <v>25</v>
      </c>
      <c r="X417" s="819">
        <v>25</v>
      </c>
      <c r="Y417" s="819"/>
      <c r="Z417" s="819"/>
      <c r="AA417" s="819"/>
      <c r="AB417" s="819"/>
      <c r="AC417" s="819"/>
      <c r="AD417" s="819"/>
      <c r="AE417" s="819"/>
      <c r="AF417" s="819"/>
      <c r="AG417" s="819"/>
      <c r="AK417" s="802"/>
    </row>
    <row r="418" spans="2:37" ht="18" outlineLevel="1" x14ac:dyDescent="0.25">
      <c r="B418" s="1545"/>
      <c r="C418" s="1535"/>
      <c r="D418" s="1740" t="s">
        <v>1893</v>
      </c>
      <c r="E418" s="1066" t="s">
        <v>1310</v>
      </c>
      <c r="F418" s="1067">
        <f>72*15</f>
        <v>1080</v>
      </c>
      <c r="G418" s="952" t="s">
        <v>1311</v>
      </c>
      <c r="H418" s="1068" t="s">
        <v>1312</v>
      </c>
      <c r="I418" s="1545"/>
      <c r="J418" s="1545"/>
      <c r="K418" s="1545"/>
      <c r="L418" s="1545"/>
      <c r="M418" s="1545"/>
      <c r="N418" s="1545"/>
      <c r="O418" s="1545"/>
      <c r="P418" s="905"/>
      <c r="Q418" s="905"/>
      <c r="R418" s="905"/>
      <c r="V418" s="833" t="str">
        <f t="shared" si="23"/>
        <v>AFloor</v>
      </c>
      <c r="W418" s="819">
        <f>72*15</f>
        <v>1080</v>
      </c>
      <c r="X418" s="819">
        <v>1080</v>
      </c>
      <c r="Y418" s="819"/>
      <c r="Z418" s="819"/>
      <c r="AA418" s="819"/>
      <c r="AB418" s="819"/>
      <c r="AC418" s="819"/>
      <c r="AD418" s="819"/>
      <c r="AE418" s="819"/>
      <c r="AF418" s="819"/>
      <c r="AG418" s="819"/>
      <c r="AK418" s="802"/>
    </row>
    <row r="419" spans="2:37" ht="18" outlineLevel="1" x14ac:dyDescent="0.25">
      <c r="B419" s="1545"/>
      <c r="C419" s="1535"/>
      <c r="D419" s="1740" t="s">
        <v>1894</v>
      </c>
      <c r="E419" s="1066" t="s">
        <v>1310</v>
      </c>
      <c r="F419" s="1142">
        <v>0.12</v>
      </c>
      <c r="G419" s="952"/>
      <c r="H419" s="1068"/>
      <c r="I419" s="1545"/>
      <c r="J419" s="1752"/>
      <c r="K419" s="1545"/>
      <c r="L419" s="1545"/>
      <c r="M419" s="1545"/>
      <c r="N419" s="1545"/>
      <c r="O419" s="1545"/>
      <c r="P419" s="905"/>
      <c r="Q419" s="905"/>
      <c r="R419" s="905"/>
      <c r="V419" s="833" t="str">
        <f t="shared" si="23"/>
        <v>Framing FactorFloor</v>
      </c>
      <c r="W419" s="823">
        <v>0.12</v>
      </c>
      <c r="X419" s="823">
        <v>0.12</v>
      </c>
      <c r="Y419" s="823"/>
      <c r="Z419" s="823"/>
      <c r="AA419" s="823"/>
      <c r="AB419" s="823"/>
      <c r="AC419" s="823"/>
      <c r="AD419" s="823"/>
      <c r="AE419" s="823"/>
      <c r="AF419" s="823"/>
      <c r="AG419" s="823"/>
      <c r="AK419" s="802"/>
    </row>
    <row r="420" spans="2:37" outlineLevel="1" x14ac:dyDescent="0.25">
      <c r="B420" s="1545"/>
      <c r="C420" s="1535"/>
      <c r="D420" s="1740" t="s">
        <v>1295</v>
      </c>
      <c r="E420" s="1066" t="s">
        <v>1310</v>
      </c>
      <c r="F420" s="1067">
        <v>1911</v>
      </c>
      <c r="G420" s="952" t="s">
        <v>610</v>
      </c>
      <c r="H420" s="1068" t="s">
        <v>1313</v>
      </c>
      <c r="I420" s="1545"/>
      <c r="J420" s="1545"/>
      <c r="K420" s="1545"/>
      <c r="L420" s="1545"/>
      <c r="M420" s="1545"/>
      <c r="N420" s="1545"/>
      <c r="O420" s="1545"/>
      <c r="P420" s="905"/>
      <c r="Q420" s="905"/>
      <c r="R420" s="905"/>
      <c r="V420" s="833" t="str">
        <f t="shared" si="23"/>
        <v>HDD</v>
      </c>
      <c r="W420" s="819">
        <v>1911</v>
      </c>
      <c r="X420" s="819">
        <v>1911</v>
      </c>
      <c r="Y420" s="819"/>
      <c r="Z420" s="819"/>
      <c r="AA420" s="819"/>
      <c r="AB420" s="819"/>
      <c r="AC420" s="819"/>
      <c r="AD420" s="819"/>
      <c r="AE420" s="819"/>
      <c r="AF420" s="819"/>
      <c r="AG420" s="819"/>
      <c r="AK420" s="802"/>
    </row>
    <row r="421" spans="2:37" ht="18" outlineLevel="1" x14ac:dyDescent="0.25">
      <c r="B421" s="1545"/>
      <c r="C421" s="1535"/>
      <c r="D421" s="1740" t="s">
        <v>1895</v>
      </c>
      <c r="E421" s="1066" t="s">
        <v>1310</v>
      </c>
      <c r="F421" s="1142">
        <v>0.88</v>
      </c>
      <c r="G421" s="952" t="s">
        <v>593</v>
      </c>
      <c r="H421" s="1068"/>
      <c r="I421" s="1753"/>
      <c r="J421" s="1545"/>
      <c r="K421" s="1545"/>
      <c r="L421" s="1545"/>
      <c r="M421" s="1545"/>
      <c r="N421" s="1545"/>
      <c r="O421" s="1545"/>
      <c r="P421" s="905"/>
      <c r="Q421" s="905"/>
      <c r="R421" s="905"/>
      <c r="V421" s="833" t="str">
        <f t="shared" si="23"/>
        <v>AdjFloor</v>
      </c>
      <c r="W421" s="823">
        <v>0.88</v>
      </c>
      <c r="X421" s="823">
        <v>0.88</v>
      </c>
      <c r="Y421" s="823"/>
      <c r="Z421" s="823"/>
      <c r="AA421" s="823"/>
      <c r="AB421" s="823"/>
      <c r="AC421" s="823"/>
      <c r="AD421" s="823"/>
      <c r="AE421" s="823"/>
      <c r="AF421" s="823"/>
      <c r="AG421" s="823"/>
      <c r="AK421" s="802"/>
    </row>
    <row r="422" spans="2:37" outlineLevel="1" x14ac:dyDescent="0.25">
      <c r="B422" s="1545"/>
      <c r="C422" s="1535"/>
      <c r="D422" s="1751" t="s">
        <v>1297</v>
      </c>
      <c r="E422" s="1066" t="s">
        <v>1310</v>
      </c>
      <c r="F422" s="1741">
        <v>1</v>
      </c>
      <c r="G422" s="952" t="s">
        <v>593</v>
      </c>
      <c r="H422" s="1068" t="s">
        <v>1298</v>
      </c>
      <c r="I422" s="1545"/>
      <c r="J422" s="1545"/>
      <c r="K422" s="1545"/>
      <c r="L422" s="1545"/>
      <c r="M422" s="1545"/>
      <c r="N422" s="1545"/>
      <c r="O422" s="1545"/>
      <c r="P422" s="905"/>
      <c r="Q422" s="905"/>
      <c r="R422" s="905"/>
      <c r="V422" s="833" t="str">
        <f t="shared" si="23"/>
        <v>ƞheat</v>
      </c>
      <c r="W422" s="825">
        <v>1</v>
      </c>
      <c r="X422" s="825">
        <v>1</v>
      </c>
      <c r="Y422" s="825"/>
      <c r="Z422" s="825"/>
      <c r="AA422" s="825"/>
      <c r="AB422" s="825"/>
      <c r="AC422" s="825"/>
      <c r="AD422" s="825"/>
      <c r="AE422" s="825"/>
      <c r="AF422" s="825"/>
      <c r="AG422" s="825"/>
      <c r="AK422" s="802"/>
    </row>
    <row r="423" spans="2:37" outlineLevel="1" x14ac:dyDescent="0.25">
      <c r="B423" s="1545"/>
      <c r="C423" s="1535"/>
      <c r="D423" s="1740" t="s">
        <v>1299</v>
      </c>
      <c r="E423" s="1066" t="s">
        <v>1310</v>
      </c>
      <c r="F423" s="1067">
        <v>762</v>
      </c>
      <c r="G423" s="952" t="s">
        <v>610</v>
      </c>
      <c r="H423" s="1068" t="s">
        <v>1314</v>
      </c>
      <c r="I423" s="1545"/>
      <c r="J423" s="1545"/>
      <c r="K423" s="1545"/>
      <c r="L423" s="1545"/>
      <c r="M423" s="1545"/>
      <c r="N423" s="1545"/>
      <c r="O423" s="1545"/>
      <c r="P423" s="905"/>
      <c r="Q423" s="905"/>
      <c r="R423" s="905"/>
      <c r="V423" s="833" t="str">
        <f t="shared" si="23"/>
        <v>CDD</v>
      </c>
      <c r="W423" s="819">
        <v>762</v>
      </c>
      <c r="X423" s="819">
        <v>762</v>
      </c>
      <c r="Y423" s="819"/>
      <c r="Z423" s="819"/>
      <c r="AA423" s="819"/>
      <c r="AB423" s="819"/>
      <c r="AC423" s="819"/>
      <c r="AD423" s="819"/>
      <c r="AE423" s="819"/>
      <c r="AF423" s="819"/>
      <c r="AG423" s="819"/>
      <c r="AK423" s="802"/>
    </row>
    <row r="424" spans="2:37" outlineLevel="1" x14ac:dyDescent="0.25">
      <c r="B424" s="1545"/>
      <c r="C424" s="1535"/>
      <c r="D424" s="871" t="s">
        <v>1301</v>
      </c>
      <c r="E424" s="867" t="s">
        <v>1310</v>
      </c>
      <c r="F424" s="868">
        <v>0.75</v>
      </c>
      <c r="G424" s="910" t="s">
        <v>593</v>
      </c>
      <c r="H424" s="869"/>
      <c r="I424" s="1545"/>
      <c r="J424" s="1545"/>
      <c r="K424" s="1545"/>
      <c r="L424" s="1545"/>
      <c r="M424" s="1545"/>
      <c r="N424" s="1545"/>
      <c r="O424" s="1545"/>
      <c r="P424" s="905"/>
      <c r="Q424" s="905"/>
      <c r="R424" s="905"/>
      <c r="V424" s="833" t="str">
        <f t="shared" si="23"/>
        <v>DUA</v>
      </c>
      <c r="W424" s="823">
        <v>0.75</v>
      </c>
      <c r="X424" s="823">
        <v>0.75</v>
      </c>
      <c r="Y424" s="823"/>
      <c r="Z424" s="823"/>
      <c r="AA424" s="823"/>
      <c r="AB424" s="823"/>
      <c r="AC424" s="823"/>
      <c r="AD424" s="823"/>
      <c r="AE424" s="823"/>
      <c r="AF424" s="823"/>
      <c r="AG424" s="823"/>
      <c r="AK424" s="802"/>
    </row>
    <row r="425" spans="2:37" outlineLevel="1" x14ac:dyDescent="0.25">
      <c r="B425" s="1545"/>
      <c r="C425" s="1535"/>
      <c r="D425" s="871" t="s">
        <v>1305</v>
      </c>
      <c r="E425" s="867" t="s">
        <v>1310</v>
      </c>
      <c r="F425" s="872">
        <v>11</v>
      </c>
      <c r="G425" s="910"/>
      <c r="H425" s="869" t="s">
        <v>1315</v>
      </c>
      <c r="I425" s="1545"/>
      <c r="J425" s="1545"/>
      <c r="K425" s="1545"/>
      <c r="L425" s="1545"/>
      <c r="M425" s="1545"/>
      <c r="N425" s="1545"/>
      <c r="O425" s="1545"/>
      <c r="P425" s="905"/>
      <c r="Q425" s="905"/>
      <c r="R425" s="905"/>
      <c r="V425" s="824" t="str">
        <f t="shared" si="23"/>
        <v>ƞcool</v>
      </c>
      <c r="W425" s="819">
        <v>11</v>
      </c>
      <c r="X425" s="819">
        <v>11</v>
      </c>
      <c r="Y425" s="819"/>
      <c r="Z425" s="819"/>
      <c r="AA425" s="819"/>
      <c r="AB425" s="819"/>
      <c r="AC425" s="819"/>
      <c r="AD425" s="819"/>
      <c r="AE425" s="819"/>
      <c r="AF425" s="819"/>
      <c r="AG425" s="819"/>
      <c r="AK425" s="802"/>
    </row>
    <row r="426" spans="2:37" outlineLevel="1" x14ac:dyDescent="0.25">
      <c r="B426" s="1545"/>
      <c r="C426" s="1535"/>
      <c r="D426" s="1754" t="str">
        <f>L406</f>
        <v>EUL</v>
      </c>
      <c r="E426" s="1755" t="str">
        <f>E33</f>
        <v>Effective Useful Life</v>
      </c>
      <c r="F426" s="876">
        <v>25</v>
      </c>
      <c r="G426" s="910"/>
      <c r="H426" s="869"/>
      <c r="I426" s="1545"/>
      <c r="J426" s="1545"/>
      <c r="K426" s="1545"/>
      <c r="L426" s="1545"/>
      <c r="M426" s="1545"/>
      <c r="N426" s="1545"/>
      <c r="O426" s="1545"/>
      <c r="P426" s="905"/>
      <c r="Q426" s="905"/>
      <c r="R426" s="905"/>
      <c r="V426" s="824" t="str">
        <f>D426</f>
        <v>EUL</v>
      </c>
      <c r="W426" s="831">
        <v>25</v>
      </c>
      <c r="X426" s="831">
        <v>25</v>
      </c>
      <c r="Y426" s="819"/>
      <c r="Z426" s="819"/>
      <c r="AA426" s="819"/>
      <c r="AB426" s="819"/>
      <c r="AC426" s="819"/>
      <c r="AD426" s="819"/>
      <c r="AE426" s="819"/>
      <c r="AF426" s="819"/>
      <c r="AG426" s="819"/>
      <c r="AK426" s="802"/>
    </row>
    <row r="427" spans="2:37" outlineLevel="1" x14ac:dyDescent="0.25">
      <c r="B427" s="1545"/>
      <c r="C427" s="1535"/>
      <c r="D427" s="1754" t="str">
        <f>M406</f>
        <v>Inc. Cost</v>
      </c>
      <c r="E427" s="1755" t="str">
        <f>E34</f>
        <v>Incremental Cost</v>
      </c>
      <c r="F427" s="526">
        <v>734.04</v>
      </c>
      <c r="G427" s="910"/>
      <c r="H427" s="869"/>
      <c r="I427" s="1545"/>
      <c r="J427" s="1545"/>
      <c r="K427" s="1545"/>
      <c r="L427" s="1545"/>
      <c r="M427" s="1545"/>
      <c r="N427" s="1545"/>
      <c r="O427" s="1545"/>
      <c r="P427" s="905"/>
      <c r="Q427" s="905"/>
      <c r="R427" s="905"/>
      <c r="V427" s="824" t="str">
        <f>D427</f>
        <v>Inc. Cost</v>
      </c>
      <c r="W427" s="832">
        <v>734.04</v>
      </c>
      <c r="X427" s="832">
        <v>734.04</v>
      </c>
      <c r="Y427" s="819"/>
      <c r="Z427" s="819"/>
      <c r="AA427" s="819"/>
      <c r="AB427" s="819"/>
      <c r="AC427" s="819"/>
      <c r="AD427" s="819"/>
      <c r="AE427" s="819"/>
      <c r="AF427" s="819"/>
      <c r="AG427" s="819"/>
      <c r="AK427" s="802"/>
    </row>
    <row r="428" spans="2:37" x14ac:dyDescent="0.25">
      <c r="B428" s="1708"/>
      <c r="C428" s="1535"/>
      <c r="D428" s="1546"/>
      <c r="E428" s="1546"/>
      <c r="F428" s="1548"/>
      <c r="G428" s="1548"/>
      <c r="H428" s="1548"/>
      <c r="I428" s="1548"/>
      <c r="J428" s="1548"/>
      <c r="K428" s="1548"/>
      <c r="L428" s="1548"/>
      <c r="M428" s="1548"/>
      <c r="N428" s="1548"/>
      <c r="O428" s="1548"/>
      <c r="AK428" s="802"/>
    </row>
    <row r="429" spans="2:37" x14ac:dyDescent="0.25">
      <c r="B429" s="1548"/>
      <c r="C429" s="1756"/>
      <c r="D429" s="1546"/>
      <c r="E429" s="1546"/>
      <c r="F429" s="1548"/>
      <c r="G429" s="1548"/>
      <c r="H429" s="1548"/>
      <c r="I429" s="1548"/>
      <c r="J429" s="1548"/>
      <c r="K429" s="1548"/>
      <c r="L429" s="1548"/>
      <c r="M429" s="1548"/>
      <c r="N429" s="1548"/>
      <c r="O429" s="1548"/>
      <c r="AK429" s="802"/>
    </row>
    <row r="430" spans="2:37" x14ac:dyDescent="0.25">
      <c r="B430" s="2022" t="s">
        <v>723</v>
      </c>
      <c r="C430" s="2023"/>
      <c r="D430" s="2023"/>
      <c r="E430" s="2023"/>
      <c r="F430" s="2023"/>
      <c r="G430" s="2023"/>
      <c r="H430" s="2023"/>
      <c r="I430" s="1992"/>
      <c r="J430" s="1992"/>
      <c r="K430" s="1992"/>
      <c r="L430" s="1992"/>
      <c r="M430" s="1992"/>
      <c r="N430" s="1992"/>
      <c r="O430" s="1992"/>
      <c r="P430" s="1992"/>
      <c r="Q430" s="1992"/>
      <c r="R430" s="1993"/>
      <c r="V430" s="2022" t="str">
        <f>B430</f>
        <v>Dirty Filter Alarm</v>
      </c>
      <c r="W430" s="2023"/>
      <c r="X430" s="2023"/>
      <c r="Y430" s="2023"/>
      <c r="Z430" s="2023"/>
      <c r="AA430" s="2023"/>
      <c r="AB430" s="2023"/>
      <c r="AC430" s="2024"/>
      <c r="AD430" s="2024"/>
      <c r="AE430" s="2024"/>
      <c r="AF430" s="2024"/>
      <c r="AG430" s="2024"/>
      <c r="AH430" s="2024"/>
      <c r="AI430" s="2025"/>
      <c r="AK430" s="802"/>
    </row>
    <row r="431" spans="2:37" x14ac:dyDescent="0.25">
      <c r="B431" s="1087"/>
      <c r="C431" s="1434"/>
      <c r="D431" s="1435"/>
      <c r="E431" s="1435"/>
      <c r="F431" s="1436"/>
      <c r="G431" s="1436"/>
      <c r="H431" s="1436"/>
      <c r="I431" s="1436"/>
      <c r="J431" s="1436"/>
      <c r="K431" s="1436"/>
      <c r="L431" s="1437"/>
      <c r="AK431" s="802"/>
    </row>
    <row r="432" spans="2:37" ht="45" x14ac:dyDescent="0.25">
      <c r="B432" s="1087"/>
      <c r="C432" s="184" t="s">
        <v>16</v>
      </c>
      <c r="D432" s="184" t="s">
        <v>509</v>
      </c>
      <c r="E432" s="184" t="s">
        <v>18</v>
      </c>
      <c r="F432" s="184" t="s">
        <v>19</v>
      </c>
      <c r="G432" s="184" t="s">
        <v>20</v>
      </c>
      <c r="H432" s="184" t="s">
        <v>21</v>
      </c>
      <c r="I432" s="184" t="s">
        <v>724</v>
      </c>
      <c r="J432" s="184" t="s">
        <v>725</v>
      </c>
      <c r="K432" s="184" t="s">
        <v>22</v>
      </c>
      <c r="L432" s="448" t="s">
        <v>23</v>
      </c>
      <c r="M432" s="184" t="s">
        <v>24</v>
      </c>
      <c r="N432" s="184" t="s">
        <v>25</v>
      </c>
      <c r="V432" s="48" t="s">
        <v>26</v>
      </c>
      <c r="W432" s="49">
        <f>W$6</f>
        <v>43252</v>
      </c>
      <c r="X432" s="49">
        <f t="shared" ref="X432:AG432" si="24">X$6</f>
        <v>43465</v>
      </c>
      <c r="Y432" s="49" t="str">
        <f t="shared" si="24"/>
        <v>-</v>
      </c>
      <c r="Z432" s="49" t="str">
        <f t="shared" si="24"/>
        <v>-</v>
      </c>
      <c r="AA432" s="49" t="str">
        <f t="shared" si="24"/>
        <v>-</v>
      </c>
      <c r="AB432" s="49" t="str">
        <f t="shared" si="24"/>
        <v>-</v>
      </c>
      <c r="AC432" s="49" t="str">
        <f t="shared" si="24"/>
        <v>-</v>
      </c>
      <c r="AD432" s="49" t="str">
        <f t="shared" si="24"/>
        <v>-</v>
      </c>
      <c r="AE432" s="49" t="str">
        <f t="shared" si="24"/>
        <v>-</v>
      </c>
      <c r="AF432" s="49" t="str">
        <f t="shared" si="24"/>
        <v>-</v>
      </c>
      <c r="AG432" s="49" t="str">
        <f t="shared" si="24"/>
        <v>-</v>
      </c>
      <c r="AK432" s="802"/>
    </row>
    <row r="433" spans="2:37" x14ac:dyDescent="0.25">
      <c r="B433" s="1087"/>
      <c r="C433" s="1531"/>
      <c r="D433" s="1066" t="s">
        <v>1246</v>
      </c>
      <c r="E433" s="1066" t="s">
        <v>1316</v>
      </c>
      <c r="F433" s="1077">
        <f>I433+J433</f>
        <v>141.0499999999999</v>
      </c>
      <c r="G433" s="1531" t="s">
        <v>728</v>
      </c>
      <c r="H433" s="170">
        <f>VLOOKUP(G433,'CP FACTORS'!$A$3:$B$38, 2, FALSE)</f>
        <v>4.6608050000000002E-4</v>
      </c>
      <c r="I433" s="1062">
        <f>F$442*F$443*F$444*F$445*F446*F447</f>
        <v>87.89374999999994</v>
      </c>
      <c r="J433" s="1062">
        <f>F$448*F$443*F$449*F$445*F446*F447</f>
        <v>53.156249999999972</v>
      </c>
      <c r="K433" s="1757">
        <f>H433*F433</f>
        <v>6.5740654524999956E-2</v>
      </c>
      <c r="L433" s="525">
        <f>F451</f>
        <v>14</v>
      </c>
      <c r="M433" s="526">
        <f>F452</f>
        <v>5</v>
      </c>
      <c r="N433" s="1531" t="s">
        <v>31</v>
      </c>
      <c r="P433" s="252"/>
      <c r="Q433" s="252"/>
      <c r="R433" s="1413"/>
      <c r="V433" s="176" t="str">
        <f>F432</f>
        <v>kWh Annual Savings</v>
      </c>
      <c r="W433" s="1022">
        <v>168.50624999999999</v>
      </c>
      <c r="X433" s="822">
        <v>141.0499999999999</v>
      </c>
      <c r="Y433" s="176"/>
      <c r="Z433" s="176"/>
      <c r="AA433" s="176"/>
      <c r="AB433" s="176"/>
      <c r="AC433" s="176"/>
      <c r="AD433" s="176"/>
      <c r="AE433" s="176"/>
      <c r="AF433" s="176"/>
      <c r="AG433" s="176"/>
      <c r="AK433" s="802"/>
    </row>
    <row r="434" spans="2:37" outlineLevel="1" x14ac:dyDescent="0.25">
      <c r="B434" s="1087"/>
      <c r="C434" s="1434"/>
      <c r="F434" s="1445"/>
      <c r="V434"/>
      <c r="W434"/>
      <c r="X434"/>
      <c r="Y434"/>
      <c r="Z434"/>
      <c r="AA434"/>
      <c r="AB434"/>
      <c r="AC434"/>
      <c r="AD434"/>
      <c r="AE434"/>
      <c r="AF434"/>
      <c r="AG434"/>
      <c r="AK434" s="802"/>
    </row>
    <row r="435" spans="2:37" outlineLevel="1" x14ac:dyDescent="0.25">
      <c r="B435" s="1087"/>
      <c r="C435" s="1434"/>
      <c r="D435" s="1418" t="s">
        <v>463</v>
      </c>
      <c r="F435" s="1445"/>
      <c r="V435"/>
      <c r="W435"/>
      <c r="X435"/>
      <c r="Y435"/>
      <c r="Z435"/>
      <c r="AA435"/>
      <c r="AB435"/>
      <c r="AC435"/>
      <c r="AD435"/>
      <c r="AE435"/>
      <c r="AF435"/>
      <c r="AG435"/>
      <c r="AK435" s="802"/>
    </row>
    <row r="436" spans="2:37" outlineLevel="1" x14ac:dyDescent="0.25">
      <c r="B436" s="1087"/>
      <c r="C436" s="1434"/>
      <c r="F436" s="1445"/>
      <c r="V436"/>
      <c r="W436"/>
      <c r="X436"/>
      <c r="Y436"/>
      <c r="Z436"/>
      <c r="AA436"/>
      <c r="AB436"/>
      <c r="AC436"/>
      <c r="AD436"/>
      <c r="AE436"/>
      <c r="AF436"/>
      <c r="AG436"/>
      <c r="AK436" s="802"/>
    </row>
    <row r="437" spans="2:37" outlineLevel="1" x14ac:dyDescent="0.25">
      <c r="B437" s="1087"/>
      <c r="C437" s="1434"/>
      <c r="F437" s="1445"/>
      <c r="V437"/>
      <c r="W437"/>
      <c r="X437"/>
      <c r="Y437"/>
      <c r="Z437"/>
      <c r="AA437"/>
      <c r="AB437"/>
      <c r="AC437"/>
      <c r="AD437"/>
      <c r="AE437"/>
      <c r="AF437"/>
      <c r="AG437"/>
      <c r="AK437" s="802"/>
    </row>
    <row r="438" spans="2:37" outlineLevel="1" x14ac:dyDescent="0.25">
      <c r="B438" s="1087"/>
      <c r="C438" s="1434"/>
      <c r="F438" s="1445"/>
      <c r="V438"/>
      <c r="W438"/>
      <c r="X438"/>
      <c r="Y438"/>
      <c r="Z438"/>
      <c r="AA438"/>
      <c r="AB438"/>
      <c r="AC438"/>
      <c r="AD438"/>
      <c r="AE438"/>
      <c r="AF438"/>
      <c r="AG438"/>
      <c r="AK438" s="802"/>
    </row>
    <row r="439" spans="2:37" outlineLevel="1" x14ac:dyDescent="0.25">
      <c r="B439" s="1087"/>
      <c r="C439" s="1434"/>
      <c r="F439" s="1445"/>
      <c r="V439"/>
      <c r="W439"/>
      <c r="X439"/>
      <c r="Y439"/>
      <c r="Z439"/>
      <c r="AA439"/>
      <c r="AB439"/>
      <c r="AC439"/>
      <c r="AD439"/>
      <c r="AE439"/>
      <c r="AF439"/>
      <c r="AG439"/>
      <c r="AK439" s="802"/>
    </row>
    <row r="440" spans="2:37" outlineLevel="1" x14ac:dyDescent="0.25">
      <c r="B440" s="1087"/>
      <c r="C440" s="1434"/>
      <c r="V440"/>
      <c r="W440"/>
      <c r="X440"/>
      <c r="Y440"/>
      <c r="Z440"/>
      <c r="AA440"/>
      <c r="AB440"/>
      <c r="AC440"/>
      <c r="AD440"/>
      <c r="AE440"/>
      <c r="AF440"/>
      <c r="AG440"/>
      <c r="AK440" s="802"/>
    </row>
    <row r="441" spans="2:37" outlineLevel="1" x14ac:dyDescent="0.25">
      <c r="B441" s="1087"/>
      <c r="C441" s="1434"/>
      <c r="D441" s="1098" t="s">
        <v>465</v>
      </c>
      <c r="E441" s="1098" t="s">
        <v>466</v>
      </c>
      <c r="F441" s="184" t="s">
        <v>467</v>
      </c>
      <c r="G441" s="184" t="s">
        <v>515</v>
      </c>
      <c r="H441" s="184" t="s">
        <v>592</v>
      </c>
      <c r="V441" s="48" t="s">
        <v>26</v>
      </c>
      <c r="W441" s="49">
        <f>W$6</f>
        <v>43252</v>
      </c>
      <c r="X441" s="49">
        <f t="shared" ref="X441:AG441" si="25">X$6</f>
        <v>43465</v>
      </c>
      <c r="Y441" s="49" t="str">
        <f t="shared" si="25"/>
        <v>-</v>
      </c>
      <c r="Z441" s="49" t="str">
        <f t="shared" si="25"/>
        <v>-</v>
      </c>
      <c r="AA441" s="49" t="str">
        <f t="shared" si="25"/>
        <v>-</v>
      </c>
      <c r="AB441" s="49" t="str">
        <f t="shared" si="25"/>
        <v>-</v>
      </c>
      <c r="AC441" s="49" t="str">
        <f t="shared" si="25"/>
        <v>-</v>
      </c>
      <c r="AD441" s="49" t="str">
        <f t="shared" si="25"/>
        <v>-</v>
      </c>
      <c r="AE441" s="49" t="str">
        <f t="shared" si="25"/>
        <v>-</v>
      </c>
      <c r="AF441" s="49" t="str">
        <f t="shared" si="25"/>
        <v>-</v>
      </c>
      <c r="AG441" s="49" t="str">
        <f t="shared" si="25"/>
        <v>-</v>
      </c>
      <c r="AK441" s="802"/>
    </row>
    <row r="442" spans="2:37" ht="30" outlineLevel="1" x14ac:dyDescent="0.25">
      <c r="B442" s="1087"/>
      <c r="C442" s="1434"/>
      <c r="D442" s="836" t="s">
        <v>730</v>
      </c>
      <c r="E442" s="837" t="s">
        <v>1316</v>
      </c>
      <c r="F442" s="1564">
        <v>1</v>
      </c>
      <c r="G442" s="839" t="s">
        <v>1795</v>
      </c>
      <c r="H442" s="569"/>
      <c r="P442" s="252"/>
      <c r="Q442" s="252"/>
      <c r="R442" s="252"/>
      <c r="S442" s="252"/>
      <c r="T442" s="252"/>
      <c r="U442" s="252"/>
      <c r="V442" s="834" t="s">
        <v>730</v>
      </c>
      <c r="W442" s="835">
        <v>0.95</v>
      </c>
      <c r="X442" s="838">
        <v>1</v>
      </c>
      <c r="Y442" s="823"/>
      <c r="Z442" s="823"/>
      <c r="AA442" s="823"/>
      <c r="AB442" s="823"/>
      <c r="AC442" s="823"/>
      <c r="AD442" s="823"/>
      <c r="AE442" s="823"/>
      <c r="AF442" s="823"/>
      <c r="AG442" s="823"/>
      <c r="AK442" s="802"/>
    </row>
    <row r="443" spans="2:37" ht="30" outlineLevel="1" x14ac:dyDescent="0.25">
      <c r="B443" s="1087"/>
      <c r="C443" s="1434"/>
      <c r="D443" s="836" t="s">
        <v>22</v>
      </c>
      <c r="E443" s="837" t="s">
        <v>1316</v>
      </c>
      <c r="F443" s="948">
        <v>0.5</v>
      </c>
      <c r="G443" s="839" t="s">
        <v>1795</v>
      </c>
      <c r="H443" s="569"/>
      <c r="P443" s="252"/>
      <c r="Q443" s="252"/>
      <c r="R443" s="252"/>
      <c r="S443" s="252"/>
      <c r="T443" s="252"/>
      <c r="U443" s="252"/>
      <c r="V443" s="834" t="s">
        <v>22</v>
      </c>
      <c r="W443" s="841">
        <v>0.5</v>
      </c>
      <c r="X443" s="841">
        <v>0.5</v>
      </c>
      <c r="Y443" s="825"/>
      <c r="Z443" s="825"/>
      <c r="AA443" s="825"/>
      <c r="AB443" s="825"/>
      <c r="AC443" s="825"/>
      <c r="AD443" s="825"/>
      <c r="AE443" s="825"/>
      <c r="AF443" s="825"/>
      <c r="AG443" s="825"/>
      <c r="AK443" s="802"/>
    </row>
    <row r="444" spans="2:37" ht="30" outlineLevel="1" x14ac:dyDescent="0.25">
      <c r="B444" s="1087"/>
      <c r="C444" s="1434"/>
      <c r="D444" s="836" t="s">
        <v>1318</v>
      </c>
      <c r="E444" s="837" t="s">
        <v>1316</v>
      </c>
      <c r="F444" s="1067">
        <v>2009</v>
      </c>
      <c r="G444" s="843" t="s">
        <v>1795</v>
      </c>
      <c r="H444" s="569"/>
      <c r="P444" s="252"/>
      <c r="Q444" s="252"/>
      <c r="R444" s="252"/>
      <c r="S444" s="252"/>
      <c r="T444" s="252"/>
      <c r="U444" s="252"/>
      <c r="V444" s="834" t="s">
        <v>1319</v>
      </c>
      <c r="W444" s="818">
        <v>1496</v>
      </c>
      <c r="X444" s="842">
        <v>2009</v>
      </c>
      <c r="Y444" s="819"/>
      <c r="Z444" s="819"/>
      <c r="AA444" s="819"/>
      <c r="AB444" s="819"/>
      <c r="AC444" s="819"/>
      <c r="AD444" s="819"/>
      <c r="AE444" s="819"/>
      <c r="AF444" s="819"/>
      <c r="AG444" s="819"/>
      <c r="AK444" s="802"/>
    </row>
    <row r="445" spans="2:37" outlineLevel="1" x14ac:dyDescent="0.25">
      <c r="B445" s="1087"/>
      <c r="C445" s="1434"/>
      <c r="D445" s="837" t="s">
        <v>734</v>
      </c>
      <c r="E445" s="837" t="s">
        <v>1316</v>
      </c>
      <c r="F445" s="1142">
        <v>0.15</v>
      </c>
      <c r="G445" s="839" t="s">
        <v>593</v>
      </c>
      <c r="H445" s="569"/>
      <c r="P445" s="252"/>
      <c r="Q445" s="252"/>
      <c r="R445" s="252"/>
      <c r="S445" s="252"/>
      <c r="T445" s="252"/>
      <c r="U445" s="252"/>
      <c r="V445" s="817" t="s">
        <v>734</v>
      </c>
      <c r="W445" s="835">
        <v>0.15</v>
      </c>
      <c r="X445" s="823">
        <v>0.15</v>
      </c>
      <c r="Y445" s="823"/>
      <c r="Z445" s="823"/>
      <c r="AA445" s="823"/>
      <c r="AB445" s="823"/>
      <c r="AC445" s="823"/>
      <c r="AD445" s="823"/>
      <c r="AE445" s="823"/>
      <c r="AF445" s="823"/>
      <c r="AG445" s="823"/>
      <c r="AK445" s="802"/>
    </row>
    <row r="446" spans="2:37" outlineLevel="1" x14ac:dyDescent="0.25">
      <c r="B446" s="1087"/>
      <c r="C446" s="1434"/>
      <c r="D446" s="844" t="s">
        <v>736</v>
      </c>
      <c r="E446" s="837" t="s">
        <v>1316</v>
      </c>
      <c r="F446" s="1142">
        <v>1</v>
      </c>
      <c r="G446" s="839" t="s">
        <v>593</v>
      </c>
      <c r="H446" s="569"/>
      <c r="P446" s="252"/>
      <c r="Q446" s="252"/>
      <c r="R446" s="252"/>
      <c r="S446" s="252"/>
      <c r="T446" s="252"/>
      <c r="U446" s="252"/>
      <c r="V446" s="845" t="s">
        <v>736</v>
      </c>
      <c r="W446" s="835">
        <v>1</v>
      </c>
      <c r="X446" s="823">
        <v>1</v>
      </c>
      <c r="Y446" s="823"/>
      <c r="Z446" s="823"/>
      <c r="AA446" s="823"/>
      <c r="AB446" s="823"/>
      <c r="AC446" s="823"/>
      <c r="AD446" s="823"/>
      <c r="AE446" s="823"/>
      <c r="AF446" s="823"/>
      <c r="AG446" s="823"/>
      <c r="AK446" s="802"/>
    </row>
    <row r="447" spans="2:37" ht="30" outlineLevel="1" x14ac:dyDescent="0.25">
      <c r="B447" s="1087"/>
      <c r="C447" s="1434"/>
      <c r="D447" s="844" t="s">
        <v>58</v>
      </c>
      <c r="E447" s="837" t="s">
        <v>1316</v>
      </c>
      <c r="F447" s="1142">
        <v>0.58333333333333304</v>
      </c>
      <c r="G447" s="839" t="s">
        <v>1795</v>
      </c>
      <c r="H447" s="569" t="s">
        <v>1320</v>
      </c>
      <c r="P447" s="252"/>
      <c r="Q447" s="252"/>
      <c r="R447" s="252"/>
      <c r="S447" s="252"/>
      <c r="T447" s="252"/>
      <c r="U447" s="252"/>
      <c r="V447" s="845" t="s">
        <v>58</v>
      </c>
      <c r="W447" s="835">
        <v>1</v>
      </c>
      <c r="X447" s="846">
        <v>0.58333333333333304</v>
      </c>
      <c r="Y447" s="823"/>
      <c r="Z447" s="823"/>
      <c r="AA447" s="823"/>
      <c r="AB447" s="823"/>
      <c r="AC447" s="823"/>
      <c r="AD447" s="823"/>
      <c r="AE447" s="823"/>
      <c r="AF447" s="823"/>
      <c r="AG447" s="823"/>
      <c r="AK447" s="802"/>
    </row>
    <row r="448" spans="2:37" ht="30" outlineLevel="1" x14ac:dyDescent="0.25">
      <c r="B448" s="1087"/>
      <c r="C448" s="1434"/>
      <c r="D448" s="836" t="s">
        <v>608</v>
      </c>
      <c r="E448" s="837" t="s">
        <v>1316</v>
      </c>
      <c r="F448" s="1564">
        <v>1</v>
      </c>
      <c r="G448" s="839" t="s">
        <v>1795</v>
      </c>
      <c r="H448" s="569"/>
      <c r="P448" s="252"/>
      <c r="Q448" s="252"/>
      <c r="R448" s="252"/>
      <c r="S448" s="252"/>
      <c r="T448" s="252"/>
      <c r="U448" s="252"/>
      <c r="V448" s="834" t="s">
        <v>608</v>
      </c>
      <c r="W448" s="835">
        <v>0.95</v>
      </c>
      <c r="X448" s="838">
        <v>1</v>
      </c>
      <c r="Y448" s="823"/>
      <c r="Z448" s="823"/>
      <c r="AA448" s="823"/>
      <c r="AB448" s="823"/>
      <c r="AC448" s="823"/>
      <c r="AD448" s="823"/>
      <c r="AE448" s="823"/>
      <c r="AF448" s="823"/>
      <c r="AG448" s="823"/>
      <c r="AK448" s="802"/>
    </row>
    <row r="449" spans="2:37" ht="30" outlineLevel="1" x14ac:dyDescent="0.25">
      <c r="B449" s="1087"/>
      <c r="C449" s="1434"/>
      <c r="D449" s="836" t="s">
        <v>1322</v>
      </c>
      <c r="E449" s="837" t="s">
        <v>1316</v>
      </c>
      <c r="F449" s="1758">
        <v>1215</v>
      </c>
      <c r="G449" s="839" t="s">
        <v>1795</v>
      </c>
      <c r="H449" s="569"/>
      <c r="V449" s="824" t="s">
        <v>1323</v>
      </c>
      <c r="W449" s="819">
        <v>869</v>
      </c>
      <c r="X449" s="847">
        <v>1215</v>
      </c>
      <c r="Y449" s="819"/>
      <c r="Z449" s="819"/>
      <c r="AA449" s="819"/>
      <c r="AB449" s="819"/>
      <c r="AC449" s="819"/>
      <c r="AD449" s="819"/>
      <c r="AE449" s="819"/>
      <c r="AF449" s="819"/>
      <c r="AG449" s="819"/>
      <c r="AK449" s="802"/>
    </row>
    <row r="450" spans="2:37" customFormat="1" ht="30" outlineLevel="1" x14ac:dyDescent="0.25">
      <c r="B450" s="1087"/>
      <c r="C450" s="1434"/>
      <c r="D450" s="162" t="s">
        <v>740</v>
      </c>
      <c r="E450" s="158" t="s">
        <v>741</v>
      </c>
      <c r="F450" s="406" t="s">
        <v>742</v>
      </c>
      <c r="G450" s="839" t="s">
        <v>1795</v>
      </c>
      <c r="H450" s="849"/>
      <c r="I450" s="904"/>
      <c r="J450" s="904"/>
      <c r="K450" s="904"/>
      <c r="L450" s="904"/>
      <c r="M450" s="1452"/>
      <c r="N450" s="904"/>
      <c r="O450" s="904"/>
      <c r="P450" s="904"/>
      <c r="Q450" s="904"/>
      <c r="R450" s="130"/>
      <c r="S450" s="130"/>
      <c r="T450" s="130"/>
      <c r="U450" s="130"/>
      <c r="V450" s="288" t="str">
        <f>D450</f>
        <v>P</v>
      </c>
      <c r="W450" s="406" t="s">
        <v>742</v>
      </c>
      <c r="X450" s="848" t="s">
        <v>742</v>
      </c>
      <c r="Y450" s="406"/>
      <c r="Z450" s="406"/>
      <c r="AA450" s="406"/>
      <c r="AB450" s="406"/>
      <c r="AC450" s="406"/>
      <c r="AD450" s="406"/>
      <c r="AE450" s="406"/>
      <c r="AF450" s="406"/>
      <c r="AG450" s="406"/>
    </row>
    <row r="451" spans="2:37" outlineLevel="1" x14ac:dyDescent="0.25">
      <c r="B451" s="1545"/>
      <c r="C451" s="1535"/>
      <c r="D451" s="850" t="str">
        <f>D426</f>
        <v>EUL</v>
      </c>
      <c r="E451" s="850" t="str">
        <f>E426</f>
        <v>Effective Useful Life</v>
      </c>
      <c r="F451" s="1759">
        <v>14</v>
      </c>
      <c r="G451" s="839"/>
      <c r="H451" s="569"/>
      <c r="I451" s="1545"/>
      <c r="J451" s="1545"/>
      <c r="K451" s="1545"/>
      <c r="L451" s="1545"/>
      <c r="M451" s="1545"/>
      <c r="N451" s="1545"/>
      <c r="O451" s="1545"/>
      <c r="P451" s="905"/>
      <c r="Q451" s="905"/>
      <c r="R451" s="905"/>
      <c r="V451" s="824" t="str">
        <f>D451</f>
        <v>EUL</v>
      </c>
      <c r="W451" s="831">
        <v>14</v>
      </c>
      <c r="X451" s="831">
        <v>14</v>
      </c>
      <c r="Y451" s="819"/>
      <c r="Z451" s="819"/>
      <c r="AA451" s="819"/>
      <c r="AB451" s="819"/>
      <c r="AC451" s="819"/>
      <c r="AD451" s="819"/>
      <c r="AE451" s="819"/>
      <c r="AF451" s="819"/>
      <c r="AG451" s="819"/>
      <c r="AK451" s="802"/>
    </row>
    <row r="452" spans="2:37" outlineLevel="1" x14ac:dyDescent="0.25">
      <c r="B452" s="1545"/>
      <c r="C452" s="1535"/>
      <c r="D452" s="850" t="str">
        <f>D427</f>
        <v>Inc. Cost</v>
      </c>
      <c r="E452" s="850" t="str">
        <f>E427</f>
        <v>Incremental Cost</v>
      </c>
      <c r="F452" s="408">
        <v>5</v>
      </c>
      <c r="G452" s="839"/>
      <c r="H452" s="569"/>
      <c r="I452" s="1545"/>
      <c r="J452" s="1545"/>
      <c r="K452" s="1545"/>
      <c r="L452" s="1545"/>
      <c r="M452" s="1545"/>
      <c r="N452" s="1545"/>
      <c r="O452" s="1545"/>
      <c r="P452" s="905"/>
      <c r="Q452" s="905"/>
      <c r="R452" s="905"/>
      <c r="V452" s="824" t="str">
        <f>D452</f>
        <v>Inc. Cost</v>
      </c>
      <c r="W452" s="832">
        <v>5</v>
      </c>
      <c r="X452" s="832">
        <v>5</v>
      </c>
      <c r="Y452" s="819"/>
      <c r="Z452" s="819"/>
      <c r="AA452" s="819"/>
      <c r="AB452" s="819"/>
      <c r="AC452" s="819"/>
      <c r="AD452" s="819"/>
      <c r="AE452" s="819"/>
      <c r="AF452" s="819"/>
      <c r="AG452" s="819"/>
      <c r="AK452" s="802"/>
    </row>
    <row r="453" spans="2:37" x14ac:dyDescent="0.25">
      <c r="AK453" s="802"/>
    </row>
    <row r="454" spans="2:37" s="811" customFormat="1" x14ac:dyDescent="0.25">
      <c r="B454" s="2022" t="s">
        <v>1324</v>
      </c>
      <c r="C454" s="2023"/>
      <c r="D454" s="2023"/>
      <c r="E454" s="2023"/>
      <c r="F454" s="2023"/>
      <c r="G454" s="2023"/>
      <c r="H454" s="2023"/>
      <c r="I454" s="1992"/>
      <c r="J454" s="1992"/>
      <c r="K454" s="1992"/>
      <c r="L454" s="1992"/>
      <c r="M454" s="1992"/>
      <c r="N454" s="1992"/>
      <c r="O454" s="1992"/>
      <c r="P454" s="1992"/>
      <c r="Q454" s="1992"/>
      <c r="R454" s="1993"/>
      <c r="S454" s="1548"/>
      <c r="T454" s="1548"/>
      <c r="U454" s="1548"/>
      <c r="V454" s="2022" t="str">
        <f>B454</f>
        <v>Duct Insulation</v>
      </c>
      <c r="W454" s="2023"/>
      <c r="X454" s="2023"/>
      <c r="Y454" s="2023"/>
      <c r="Z454" s="2023"/>
      <c r="AA454" s="2023"/>
      <c r="AB454" s="2023"/>
      <c r="AC454" s="2024"/>
      <c r="AD454" s="2024"/>
      <c r="AE454" s="2024"/>
      <c r="AF454" s="2024"/>
      <c r="AG454" s="2024"/>
      <c r="AH454" s="2024"/>
      <c r="AI454" s="2025"/>
      <c r="AK454" s="802"/>
    </row>
    <row r="455" spans="2:37" s="811" customFormat="1" ht="15" customHeight="1" x14ac:dyDescent="0.25">
      <c r="B455" s="1548"/>
      <c r="C455" s="1756"/>
      <c r="D455" s="1546"/>
      <c r="E455" s="1546"/>
      <c r="F455" s="1548"/>
      <c r="G455" s="1548"/>
      <c r="H455" s="1548"/>
      <c r="I455" s="1548"/>
      <c r="J455" s="1548"/>
      <c r="K455" s="1548"/>
      <c r="L455" s="1548"/>
      <c r="M455" s="1548"/>
      <c r="N455" s="1548"/>
      <c r="O455" s="1548"/>
      <c r="P455" s="1548"/>
      <c r="Q455" s="1548"/>
      <c r="R455" s="1548"/>
      <c r="S455" s="1548"/>
      <c r="T455" s="1548"/>
      <c r="U455" s="1548"/>
      <c r="V455" s="249"/>
      <c r="W455" s="249"/>
      <c r="X455" s="249"/>
      <c r="Y455" s="249"/>
      <c r="Z455" s="249"/>
      <c r="AA455" s="249"/>
      <c r="AB455" s="249"/>
      <c r="AC455" s="249"/>
      <c r="AD455" s="249"/>
      <c r="AE455" s="249"/>
      <c r="AF455" s="249"/>
      <c r="AG455" s="249"/>
      <c r="AH455" s="249"/>
      <c r="AI455" s="249"/>
      <c r="AK455" s="802"/>
    </row>
    <row r="456" spans="2:37" s="811" customFormat="1" ht="45" x14ac:dyDescent="0.25">
      <c r="B456" s="1545"/>
      <c r="C456" s="184" t="s">
        <v>16</v>
      </c>
      <c r="D456" s="184" t="s">
        <v>509</v>
      </c>
      <c r="E456" s="1098" t="s">
        <v>18</v>
      </c>
      <c r="F456" s="184" t="s">
        <v>1325</v>
      </c>
      <c r="G456" s="184" t="s">
        <v>20</v>
      </c>
      <c r="H456" s="184" t="s">
        <v>21</v>
      </c>
      <c r="I456" s="184" t="s">
        <v>1326</v>
      </c>
      <c r="J456" s="184" t="s">
        <v>1327</v>
      </c>
      <c r="K456" s="184" t="s">
        <v>1328</v>
      </c>
      <c r="L456" s="184" t="s">
        <v>22</v>
      </c>
      <c r="M456" s="184" t="s">
        <v>23</v>
      </c>
      <c r="N456" s="184" t="s">
        <v>437</v>
      </c>
      <c r="O456" s="184" t="s">
        <v>25</v>
      </c>
      <c r="P456" s="1548"/>
      <c r="Q456" s="1548"/>
      <c r="R456" s="1548"/>
      <c r="S456" s="1548"/>
      <c r="T456" s="1548"/>
      <c r="U456" s="1548"/>
      <c r="V456" s="48" t="s">
        <v>26</v>
      </c>
      <c r="W456" s="49">
        <f>W$6</f>
        <v>43252</v>
      </c>
      <c r="X456" s="49">
        <f t="shared" ref="X456:AG456" si="26">X$6</f>
        <v>43465</v>
      </c>
      <c r="Y456" s="49" t="str">
        <f t="shared" si="26"/>
        <v>-</v>
      </c>
      <c r="Z456" s="49" t="str">
        <f t="shared" si="26"/>
        <v>-</v>
      </c>
      <c r="AA456" s="49" t="str">
        <f t="shared" si="26"/>
        <v>-</v>
      </c>
      <c r="AB456" s="49" t="str">
        <f t="shared" si="26"/>
        <v>-</v>
      </c>
      <c r="AC456" s="49" t="str">
        <f t="shared" si="26"/>
        <v>-</v>
      </c>
      <c r="AD456" s="49" t="str">
        <f t="shared" si="26"/>
        <v>-</v>
      </c>
      <c r="AE456" s="49" t="str">
        <f t="shared" si="26"/>
        <v>-</v>
      </c>
      <c r="AF456" s="49" t="str">
        <f t="shared" si="26"/>
        <v>-</v>
      </c>
      <c r="AG456" s="49" t="str">
        <f t="shared" si="26"/>
        <v>-</v>
      </c>
      <c r="AH456" s="249"/>
      <c r="AI456" s="249"/>
      <c r="AK456" s="802"/>
    </row>
    <row r="457" spans="2:37" s="811" customFormat="1" ht="15" customHeight="1" x14ac:dyDescent="0.25">
      <c r="B457" s="1545"/>
      <c r="C457" s="559"/>
      <c r="D457" s="837" t="s">
        <v>1250</v>
      </c>
      <c r="E457" s="837" t="s">
        <v>1329</v>
      </c>
      <c r="F457" s="406">
        <f>(I457+J457)*G488*G489*G490</f>
        <v>1436.5606215435027</v>
      </c>
      <c r="G457" s="559" t="s">
        <v>728</v>
      </c>
      <c r="H457" s="170">
        <f>VLOOKUP(G457,'CP FACTORS'!$A$3:$B$38, 2, FALSE)</f>
        <v>4.6608050000000002E-4</v>
      </c>
      <c r="I457" s="406">
        <f>(1/G472-1/G473)*G474*G476*G477/(G478*G479)</f>
        <v>58.901912329794527</v>
      </c>
      <c r="J457" s="406">
        <f>(1/G472-1/G473)*G474*G480*G481/(G482*G483)</f>
        <v>1377.6587092137083</v>
      </c>
      <c r="K457" s="1760">
        <v>0</v>
      </c>
      <c r="L457" s="1761">
        <f>H457*F457</f>
        <v>0.66955289276930652</v>
      </c>
      <c r="M457" s="406">
        <f>$G$491</f>
        <v>20</v>
      </c>
      <c r="N457" s="408">
        <f>$G$492</f>
        <v>138.69999999999999</v>
      </c>
      <c r="O457" s="569"/>
      <c r="P457" s="1548"/>
      <c r="Q457" s="1548"/>
      <c r="R457" s="1548"/>
      <c r="S457" s="1548"/>
      <c r="T457" s="1548"/>
      <c r="U457" s="1548"/>
      <c r="V457" s="176" t="str">
        <f>$F$456</f>
        <v>kWh
Annual Savings</v>
      </c>
      <c r="W457" s="77">
        <v>1436.5606215435027</v>
      </c>
      <c r="X457" s="1203">
        <v>1436.5606215435027</v>
      </c>
      <c r="Y457" s="176"/>
      <c r="Z457" s="176"/>
      <c r="AA457" s="176"/>
      <c r="AB457" s="176"/>
      <c r="AC457" s="176"/>
      <c r="AD457" s="176"/>
      <c r="AE457" s="176"/>
      <c r="AF457" s="176"/>
      <c r="AG457" s="176"/>
      <c r="AH457" s="249"/>
      <c r="AI457" s="249"/>
      <c r="AK457" s="802"/>
    </row>
    <row r="458" spans="2:37" s="811" customFormat="1" ht="15" customHeight="1" x14ac:dyDescent="0.25">
      <c r="B458" s="1545"/>
      <c r="C458" s="559"/>
      <c r="D458" s="837" t="s">
        <v>1250</v>
      </c>
      <c r="E458" s="837" t="s">
        <v>1330</v>
      </c>
      <c r="F458" s="406">
        <f>(I458+J458)*G488*G489*G490</f>
        <v>1267.6448744421125</v>
      </c>
      <c r="G458" s="559" t="s">
        <v>728</v>
      </c>
      <c r="H458" s="170">
        <f>VLOOKUP(G458,'CP FACTORS'!$A$3:$B$38, 2, FALSE)</f>
        <v>4.6608050000000002E-4</v>
      </c>
      <c r="I458" s="406">
        <f>(1/G472-1/G473)*G475*G476*G477/(G478*G479)</f>
        <v>51.976022549941234</v>
      </c>
      <c r="J458" s="406">
        <f>(1/G472-1/G473)*G475*G480*G481/(G482*G483)</f>
        <v>1215.6688518921712</v>
      </c>
      <c r="K458" s="1760"/>
      <c r="L458" s="1761">
        <f>H458*F458</f>
        <v>0.59082455690241709</v>
      </c>
      <c r="M458" s="406">
        <f>$G$491</f>
        <v>20</v>
      </c>
      <c r="N458" s="408">
        <f>$G$492</f>
        <v>138.69999999999999</v>
      </c>
      <c r="O458" s="569"/>
      <c r="P458" s="1548"/>
      <c r="Q458" s="1548"/>
      <c r="R458" s="1548"/>
      <c r="S458" s="1548"/>
      <c r="T458" s="1548"/>
      <c r="U458" s="1548"/>
      <c r="V458" s="176" t="str">
        <f>$F$456</f>
        <v>kWh
Annual Savings</v>
      </c>
      <c r="W458" s="77">
        <v>1267.6448744421125</v>
      </c>
      <c r="X458" s="1203">
        <v>1267.6448744421125</v>
      </c>
      <c r="Y458" s="176"/>
      <c r="Z458" s="176"/>
      <c r="AA458" s="176"/>
      <c r="AB458" s="176"/>
      <c r="AC458" s="176"/>
      <c r="AD458" s="176"/>
      <c r="AE458" s="176"/>
      <c r="AF458" s="176"/>
      <c r="AG458" s="176"/>
      <c r="AK458" s="802"/>
    </row>
    <row r="459" spans="2:37" s="811" customFormat="1" x14ac:dyDescent="0.25">
      <c r="B459" s="1545"/>
      <c r="C459" s="559"/>
      <c r="D459" s="837" t="s">
        <v>1250</v>
      </c>
      <c r="E459" s="837" t="s">
        <v>1331</v>
      </c>
      <c r="F459" s="406">
        <f>(I459+J459)*G488*G489*G490</f>
        <v>114.3457559964678</v>
      </c>
      <c r="G459" s="559" t="s">
        <v>728</v>
      </c>
      <c r="H459" s="170">
        <f>VLOOKUP(G459,'CP FACTORS'!$A$3:$B$38, 2, FALSE)</f>
        <v>4.6608050000000002E-4</v>
      </c>
      <c r="I459" s="406">
        <f>(1/G472-1/G473)*G474*G476*G477/(G478*G479)</f>
        <v>58.901912329794527</v>
      </c>
      <c r="J459" s="406">
        <f>K459*G484*G485</f>
        <v>55.443843666673274</v>
      </c>
      <c r="K459" s="1760">
        <f>(1/G472-1/G473)*G474*G480*G481/(100000*G487)</f>
        <v>60.263737382527857</v>
      </c>
      <c r="L459" s="1761">
        <f>H459*F459</f>
        <v>5.3294327127711712E-2</v>
      </c>
      <c r="M459" s="406">
        <f>$G$491</f>
        <v>20</v>
      </c>
      <c r="N459" s="408">
        <f>$G$492</f>
        <v>138.69999999999999</v>
      </c>
      <c r="O459" s="569"/>
      <c r="P459" s="1548"/>
      <c r="Q459" s="1548"/>
      <c r="R459" s="1548"/>
      <c r="S459" s="1548"/>
      <c r="T459" s="1548"/>
      <c r="U459" s="1548"/>
      <c r="V459" s="176" t="str">
        <f>$F$456</f>
        <v>kWh
Annual Savings</v>
      </c>
      <c r="W459" s="77">
        <v>114.3457559964678</v>
      </c>
      <c r="X459" s="1203">
        <v>114.3457559964678</v>
      </c>
      <c r="Y459" s="176"/>
      <c r="Z459" s="176"/>
      <c r="AA459" s="176"/>
      <c r="AB459" s="176"/>
      <c r="AC459" s="176"/>
      <c r="AD459" s="176"/>
      <c r="AE459" s="176"/>
      <c r="AF459" s="176"/>
      <c r="AG459" s="176"/>
      <c r="AK459" s="802"/>
    </row>
    <row r="460" spans="2:37" s="811" customFormat="1" ht="15" customHeight="1" outlineLevel="1" x14ac:dyDescent="0.25">
      <c r="B460" s="1545"/>
      <c r="C460" s="1535"/>
      <c r="D460" s="1762"/>
      <c r="E460" s="1762"/>
      <c r="F460" s="851"/>
      <c r="G460" s="851"/>
      <c r="H460" s="851"/>
      <c r="I460" s="851" t="s">
        <v>1332</v>
      </c>
      <c r="J460" s="851"/>
      <c r="K460" s="851"/>
      <c r="L460" s="851"/>
      <c r="M460" s="1548"/>
      <c r="N460" s="1548"/>
      <c r="O460" s="1548"/>
      <c r="P460" s="1548"/>
      <c r="Q460" s="1548"/>
      <c r="R460" s="1548"/>
      <c r="S460" s="1548"/>
      <c r="T460" s="1548"/>
      <c r="U460" s="1548"/>
      <c r="AK460" s="802"/>
    </row>
    <row r="461" spans="2:37" s="811" customFormat="1" ht="15" customHeight="1" outlineLevel="1" x14ac:dyDescent="0.25">
      <c r="B461" s="1545"/>
      <c r="C461" s="1535"/>
      <c r="D461" s="1418" t="s">
        <v>463</v>
      </c>
      <c r="E461" s="1763"/>
      <c r="F461" s="1764"/>
      <c r="G461" s="1764"/>
      <c r="H461" s="1764"/>
      <c r="I461" s="1764"/>
      <c r="J461" s="1764"/>
      <c r="K461" s="1764"/>
      <c r="L461" s="851"/>
      <c r="M461" s="1548"/>
      <c r="N461" s="1548"/>
      <c r="O461" s="1548"/>
      <c r="P461" s="1548"/>
      <c r="Q461" s="1548"/>
      <c r="R461" s="1548"/>
      <c r="S461" s="1548"/>
      <c r="T461" s="1548"/>
      <c r="U461" s="1548"/>
      <c r="AK461" s="802"/>
    </row>
    <row r="462" spans="2:37" s="811" customFormat="1" ht="15" customHeight="1" outlineLevel="1" x14ac:dyDescent="0.25">
      <c r="B462" s="1545"/>
      <c r="C462" s="1535"/>
      <c r="D462" s="1763"/>
      <c r="E462" s="1763"/>
      <c r="F462" s="1764"/>
      <c r="G462" s="1764"/>
      <c r="H462" s="1764"/>
      <c r="I462" s="1764"/>
      <c r="J462" s="1764"/>
      <c r="K462" s="1764"/>
      <c r="L462" s="851"/>
      <c r="M462" s="1548"/>
      <c r="N462" s="1548"/>
      <c r="O462" s="1548"/>
      <c r="P462" s="1548"/>
      <c r="Q462" s="1548"/>
      <c r="R462" s="1548"/>
      <c r="S462" s="1548"/>
      <c r="T462" s="1548"/>
      <c r="U462" s="1548"/>
      <c r="AK462" s="802"/>
    </row>
    <row r="463" spans="2:37" s="811" customFormat="1" ht="27.75" customHeight="1" outlineLevel="1" x14ac:dyDescent="0.25">
      <c r="B463" s="1545"/>
      <c r="C463" s="1535"/>
      <c r="D463" s="1763"/>
      <c r="E463" s="1763"/>
      <c r="F463" s="1764"/>
      <c r="G463" s="1764"/>
      <c r="H463" s="1764"/>
      <c r="I463" s="1764"/>
      <c r="J463" s="1764"/>
      <c r="K463" s="1764"/>
      <c r="L463" s="851"/>
      <c r="M463" s="1548"/>
      <c r="N463" s="1548"/>
      <c r="O463" s="1548"/>
      <c r="P463" s="1548"/>
      <c r="Q463" s="1548"/>
      <c r="R463" s="1548"/>
      <c r="S463" s="1548"/>
      <c r="T463" s="1548"/>
      <c r="U463" s="1548"/>
      <c r="AK463" s="802"/>
    </row>
    <row r="464" spans="2:37" s="811" customFormat="1" ht="15" customHeight="1" outlineLevel="1" x14ac:dyDescent="0.25">
      <c r="B464" s="1545"/>
      <c r="C464" s="1535"/>
      <c r="D464" s="1763"/>
      <c r="E464" s="1763"/>
      <c r="F464" s="1764"/>
      <c r="G464" s="1764"/>
      <c r="H464" s="1764"/>
      <c r="I464" s="1764"/>
      <c r="J464" s="1764"/>
      <c r="K464" s="1764"/>
      <c r="L464" s="851"/>
      <c r="M464" s="1548"/>
      <c r="N464" s="1548"/>
      <c r="O464" s="1548"/>
      <c r="P464" s="1548"/>
      <c r="Q464" s="1548"/>
      <c r="R464" s="1548"/>
      <c r="S464" s="1548"/>
      <c r="T464" s="1548"/>
      <c r="U464" s="1548"/>
      <c r="AK464" s="802"/>
    </row>
    <row r="465" spans="2:37" s="811" customFormat="1" ht="15" customHeight="1" outlineLevel="1" x14ac:dyDescent="0.25">
      <c r="B465" s="1545"/>
      <c r="C465" s="1535"/>
      <c r="D465" s="1763"/>
      <c r="E465" s="1763"/>
      <c r="F465" s="1764"/>
      <c r="G465" s="1764"/>
      <c r="H465" s="1764"/>
      <c r="I465" s="1764"/>
      <c r="J465" s="1764"/>
      <c r="K465" s="1764"/>
      <c r="L465" s="851"/>
      <c r="M465" s="1548"/>
      <c r="N465" s="1548"/>
      <c r="O465" s="1548"/>
      <c r="P465" s="1548"/>
      <c r="Q465" s="1548"/>
      <c r="R465" s="1548"/>
      <c r="S465" s="1548"/>
      <c r="T465" s="1548"/>
      <c r="U465" s="1548"/>
      <c r="AK465" s="802"/>
    </row>
    <row r="466" spans="2:37" s="811" customFormat="1" ht="15" customHeight="1" outlineLevel="1" x14ac:dyDescent="0.25">
      <c r="B466" s="1545"/>
      <c r="C466" s="1535"/>
      <c r="D466" s="1763"/>
      <c r="E466" s="1762"/>
      <c r="F466" s="1764"/>
      <c r="G466" s="1765" t="s">
        <v>1333</v>
      </c>
      <c r="H466" s="1764"/>
      <c r="I466" s="1764"/>
      <c r="J466" s="1764"/>
      <c r="K466" s="1764"/>
      <c r="L466" s="851"/>
      <c r="M466" s="1548"/>
      <c r="N466" s="1548"/>
      <c r="O466" s="1548"/>
      <c r="P466" s="1548"/>
      <c r="Q466" s="1548"/>
      <c r="R466" s="1548"/>
      <c r="S466" s="1548"/>
      <c r="T466" s="1548"/>
      <c r="U466" s="1548"/>
      <c r="AK466" s="802"/>
    </row>
    <row r="467" spans="2:37" s="811" customFormat="1" ht="15" customHeight="1" outlineLevel="1" x14ac:dyDescent="0.25">
      <c r="B467" s="1545"/>
      <c r="C467" s="1535"/>
      <c r="D467" s="1763" t="s">
        <v>1334</v>
      </c>
      <c r="E467" s="1763"/>
      <c r="F467" s="1764"/>
      <c r="G467" s="1764"/>
      <c r="H467" s="529"/>
      <c r="I467" s="1764"/>
      <c r="J467" s="1764"/>
      <c r="K467" s="1764"/>
      <c r="L467" s="851"/>
      <c r="M467" s="1548"/>
      <c r="N467" s="1548"/>
      <c r="O467" s="1548"/>
      <c r="P467" s="1548"/>
      <c r="Q467" s="1548"/>
      <c r="R467" s="1548"/>
      <c r="S467" s="1548"/>
      <c r="T467" s="1548"/>
      <c r="U467" s="1548"/>
      <c r="AK467" s="802"/>
    </row>
    <row r="468" spans="2:37" s="811" customFormat="1" ht="15" customHeight="1" outlineLevel="1" x14ac:dyDescent="0.25">
      <c r="B468" s="1545"/>
      <c r="C468" s="1535"/>
      <c r="D468" s="1763"/>
      <c r="E468" s="1651"/>
      <c r="F468" s="1764"/>
      <c r="G468" s="1764"/>
      <c r="H468" s="1764"/>
      <c r="I468" s="1764"/>
      <c r="J468" s="1764"/>
      <c r="K468" s="1764"/>
      <c r="L468" s="851"/>
      <c r="M468" s="1548"/>
      <c r="N468" s="1548"/>
      <c r="O468" s="1548"/>
      <c r="P468" s="1548"/>
      <c r="Q468" s="1548"/>
      <c r="R468" s="1548"/>
      <c r="S468" s="1548"/>
      <c r="T468" s="1548"/>
      <c r="U468" s="1548"/>
      <c r="AK468" s="802"/>
    </row>
    <row r="469" spans="2:37" s="811" customFormat="1" ht="15" customHeight="1" outlineLevel="1" x14ac:dyDescent="0.25">
      <c r="B469" s="1545"/>
      <c r="C469" s="1535"/>
      <c r="D469" s="1763"/>
      <c r="E469" s="1763"/>
      <c r="F469" s="1764"/>
      <c r="G469" s="1764"/>
      <c r="H469" s="1764"/>
      <c r="I469" s="1764"/>
      <c r="J469" s="1764"/>
      <c r="K469" s="1764"/>
      <c r="L469" s="851"/>
      <c r="M469" s="1548"/>
      <c r="N469" s="1548"/>
      <c r="O469" s="1548"/>
      <c r="P469" s="1548"/>
      <c r="Q469" s="1548"/>
      <c r="R469" s="1548"/>
      <c r="S469" s="1548"/>
      <c r="T469" s="1548"/>
      <c r="U469" s="1548"/>
      <c r="AK469" s="802"/>
    </row>
    <row r="470" spans="2:37" s="811" customFormat="1" ht="15" customHeight="1" outlineLevel="1" x14ac:dyDescent="0.25">
      <c r="B470" s="1545"/>
      <c r="C470" s="1535"/>
      <c r="D470" s="1762"/>
      <c r="E470" s="1762"/>
      <c r="F470" s="851"/>
      <c r="G470" s="851"/>
      <c r="H470" s="851"/>
      <c r="I470" s="851"/>
      <c r="J470" s="851"/>
      <c r="K470" s="851"/>
      <c r="L470" s="851"/>
      <c r="M470" s="1548"/>
      <c r="N470" s="1548"/>
      <c r="O470" s="1548"/>
      <c r="P470" s="1548"/>
      <c r="Q470" s="1548"/>
      <c r="R470" s="1548"/>
      <c r="S470" s="1548"/>
      <c r="T470" s="1548"/>
      <c r="U470" s="1548"/>
      <c r="AK470" s="802"/>
    </row>
    <row r="471" spans="2:37" s="811" customFormat="1" ht="15" customHeight="1" outlineLevel="1" x14ac:dyDescent="0.25">
      <c r="B471" s="1545"/>
      <c r="C471" s="1535"/>
      <c r="D471" s="1098" t="s">
        <v>465</v>
      </c>
      <c r="E471" s="1098" t="s">
        <v>466</v>
      </c>
      <c r="F471" s="184" t="s">
        <v>514</v>
      </c>
      <c r="G471" s="184" t="s">
        <v>467</v>
      </c>
      <c r="H471" s="2050" t="s">
        <v>515</v>
      </c>
      <c r="I471" s="2075"/>
      <c r="J471" s="2050" t="s">
        <v>468</v>
      </c>
      <c r="K471" s="2050"/>
      <c r="L471" s="2050"/>
      <c r="M471" s="1548"/>
      <c r="N471" s="1548"/>
      <c r="O471" s="1548"/>
      <c r="P471" s="1548"/>
      <c r="Q471" s="1548"/>
      <c r="R471" s="1548"/>
      <c r="S471" s="1548"/>
      <c r="T471" s="1548"/>
      <c r="U471" s="1548"/>
      <c r="V471" s="48" t="s">
        <v>26</v>
      </c>
      <c r="W471" s="49">
        <f>W$6</f>
        <v>43252</v>
      </c>
      <c r="X471" s="49">
        <f t="shared" ref="X471:AG471" si="27">X$6</f>
        <v>43465</v>
      </c>
      <c r="Y471" s="49" t="str">
        <f t="shared" si="27"/>
        <v>-</v>
      </c>
      <c r="Z471" s="49" t="str">
        <f t="shared" si="27"/>
        <v>-</v>
      </c>
      <c r="AA471" s="49" t="str">
        <f t="shared" si="27"/>
        <v>-</v>
      </c>
      <c r="AB471" s="49" t="str">
        <f t="shared" si="27"/>
        <v>-</v>
      </c>
      <c r="AC471" s="49" t="str">
        <f t="shared" si="27"/>
        <v>-</v>
      </c>
      <c r="AD471" s="49" t="str">
        <f t="shared" si="27"/>
        <v>-</v>
      </c>
      <c r="AE471" s="49" t="str">
        <f t="shared" si="27"/>
        <v>-</v>
      </c>
      <c r="AF471" s="49" t="str">
        <f t="shared" si="27"/>
        <v>-</v>
      </c>
      <c r="AG471" s="49" t="str">
        <f t="shared" si="27"/>
        <v>-</v>
      </c>
      <c r="AK471" s="802"/>
    </row>
    <row r="472" spans="2:37" s="811" customFormat="1" ht="47.25" customHeight="1" outlineLevel="1" x14ac:dyDescent="0.25">
      <c r="B472" s="1545"/>
      <c r="C472" s="1535"/>
      <c r="D472" s="1058" t="s">
        <v>1896</v>
      </c>
      <c r="E472" s="892" t="s">
        <v>1335</v>
      </c>
      <c r="F472" s="1766"/>
      <c r="G472" s="1767">
        <v>4</v>
      </c>
      <c r="H472" s="2272" t="s">
        <v>1336</v>
      </c>
      <c r="I472" s="2315"/>
      <c r="J472" s="2272"/>
      <c r="K472" s="2272"/>
      <c r="L472" s="2272"/>
      <c r="M472" s="1548"/>
      <c r="N472" s="1548"/>
      <c r="O472" s="1548"/>
      <c r="P472" s="1548"/>
      <c r="Q472" s="1548"/>
      <c r="R472" s="1548"/>
      <c r="S472" s="1548"/>
      <c r="T472" s="1548"/>
      <c r="U472" s="1548"/>
      <c r="V472" s="830" t="str">
        <f>D472</f>
        <v>Rexisting</v>
      </c>
      <c r="W472" s="853">
        <v>4</v>
      </c>
      <c r="X472" s="853">
        <v>4</v>
      </c>
      <c r="Y472" s="853"/>
      <c r="Z472" s="853"/>
      <c r="AA472" s="853"/>
      <c r="AB472" s="853"/>
      <c r="AC472" s="853"/>
      <c r="AD472" s="853"/>
      <c r="AE472" s="853"/>
      <c r="AF472" s="853"/>
      <c r="AG472" s="853"/>
      <c r="AK472" s="802"/>
    </row>
    <row r="473" spans="2:37" s="811" customFormat="1" ht="46.5" customHeight="1" outlineLevel="1" x14ac:dyDescent="0.25">
      <c r="B473" s="1545"/>
      <c r="C473" s="1535"/>
      <c r="D473" s="1058" t="s">
        <v>1897</v>
      </c>
      <c r="E473" s="892" t="s">
        <v>1337</v>
      </c>
      <c r="F473" s="1766"/>
      <c r="G473" s="1767">
        <v>8</v>
      </c>
      <c r="H473" s="2272" t="s">
        <v>1338</v>
      </c>
      <c r="I473" s="2315"/>
      <c r="J473" s="2272"/>
      <c r="K473" s="2272"/>
      <c r="L473" s="2272"/>
      <c r="M473" s="1548"/>
      <c r="N473" s="1548"/>
      <c r="O473" s="1548"/>
      <c r="P473" s="1548"/>
      <c r="Q473" s="1548"/>
      <c r="R473" s="1548"/>
      <c r="S473" s="1548"/>
      <c r="T473" s="1548"/>
      <c r="U473" s="1548"/>
      <c r="V473" s="830" t="str">
        <f t="shared" ref="V473:V490" si="28">D473</f>
        <v>Rnew</v>
      </c>
      <c r="W473" s="853">
        <v>8</v>
      </c>
      <c r="X473" s="853">
        <v>8</v>
      </c>
      <c r="Y473" s="853"/>
      <c r="Z473" s="853"/>
      <c r="AA473" s="853"/>
      <c r="AB473" s="853"/>
      <c r="AC473" s="853"/>
      <c r="AD473" s="853"/>
      <c r="AE473" s="853"/>
      <c r="AF473" s="853"/>
      <c r="AG473" s="853"/>
      <c r="AK473" s="802"/>
    </row>
    <row r="474" spans="2:37" s="811" customFormat="1" ht="30" customHeight="1" outlineLevel="1" x14ac:dyDescent="0.25">
      <c r="B474" s="1548"/>
      <c r="C474" s="1535"/>
      <c r="D474" s="2281" t="s">
        <v>1339</v>
      </c>
      <c r="E474" s="2339" t="s">
        <v>1340</v>
      </c>
      <c r="F474" s="807" t="s">
        <v>1341</v>
      </c>
      <c r="G474" s="1768">
        <f>SQRT(F$67)*((12+30+12+30)/12)</f>
        <v>260.69714229350501</v>
      </c>
      <c r="H474" s="2366" t="s">
        <v>1342</v>
      </c>
      <c r="I474" s="2367"/>
      <c r="J474" s="2272"/>
      <c r="K474" s="2272"/>
      <c r="L474" s="2272"/>
      <c r="M474" s="1548"/>
      <c r="N474" s="1548"/>
      <c r="O474" s="1548"/>
      <c r="P474" s="1548"/>
      <c r="Q474" s="1548"/>
      <c r="R474" s="1548"/>
      <c r="S474" s="1548"/>
      <c r="T474" s="1548"/>
      <c r="U474" s="1548"/>
      <c r="V474" s="855" t="str">
        <f>F474</f>
        <v xml:space="preserve">Area - Single Family </v>
      </c>
      <c r="W474" s="854">
        <f>SQRT(W$67)*((12+30+12+30)/12)</f>
        <v>260.69714229350501</v>
      </c>
      <c r="X474" s="854">
        <f>SQRT(X$67)*((12+30+12+30)/12)</f>
        <v>260.69714229350501</v>
      </c>
      <c r="Y474" s="854"/>
      <c r="Z474" s="854"/>
      <c r="AA474" s="854"/>
      <c r="AB474" s="854"/>
      <c r="AC474" s="854"/>
      <c r="AD474" s="854"/>
      <c r="AE474" s="854"/>
      <c r="AF474" s="854"/>
      <c r="AG474" s="854"/>
      <c r="AK474" s="802"/>
    </row>
    <row r="475" spans="2:37" s="811" customFormat="1" ht="27.75" customHeight="1" outlineLevel="1" x14ac:dyDescent="0.25">
      <c r="B475" s="1548"/>
      <c r="C475" s="1535"/>
      <c r="D475" s="2282"/>
      <c r="E475" s="2341"/>
      <c r="F475" s="807" t="s">
        <v>1343</v>
      </c>
      <c r="G475" s="1769">
        <f>SQRT(F$69)*((12+30+12+30)/12)</f>
        <v>230.04347415216975</v>
      </c>
      <c r="H475" s="2272" t="s">
        <v>1344</v>
      </c>
      <c r="I475" s="2272"/>
      <c r="J475" s="2316"/>
      <c r="K475" s="2272"/>
      <c r="L475" s="2272"/>
      <c r="M475" s="1548"/>
      <c r="N475" s="1548"/>
      <c r="O475" s="1548"/>
      <c r="P475" s="1548"/>
      <c r="Q475" s="1548"/>
      <c r="R475" s="1548"/>
      <c r="S475" s="1548"/>
      <c r="T475" s="1548"/>
      <c r="U475" s="1548"/>
      <c r="V475" s="855" t="str">
        <f>F475</f>
        <v>Area - Mobile Home</v>
      </c>
      <c r="W475" s="856">
        <f>SQRT(W$69)*((12+30+12+30)/12)</f>
        <v>230.04347415216975</v>
      </c>
      <c r="X475" s="856">
        <f>SQRT(X$69)*((12+30+12+30)/12)</f>
        <v>230.04347415216975</v>
      </c>
      <c r="Y475" s="856"/>
      <c r="Z475" s="856"/>
      <c r="AA475" s="856"/>
      <c r="AB475" s="856"/>
      <c r="AC475" s="856"/>
      <c r="AD475" s="856"/>
      <c r="AE475" s="856"/>
      <c r="AF475" s="856"/>
      <c r="AG475" s="854"/>
      <c r="AK475" s="802"/>
    </row>
    <row r="476" spans="2:37" s="811" customFormat="1" ht="214.5" customHeight="1" outlineLevel="1" x14ac:dyDescent="0.25">
      <c r="B476" s="1548"/>
      <c r="C476" s="1535"/>
      <c r="D476" s="577" t="s">
        <v>409</v>
      </c>
      <c r="E476" s="807" t="s">
        <v>1345</v>
      </c>
      <c r="F476" s="807"/>
      <c r="G476" s="1770">
        <v>869</v>
      </c>
      <c r="H476" s="2341" t="s">
        <v>1222</v>
      </c>
      <c r="I476" s="2388"/>
      <c r="J476" s="2278" t="s">
        <v>1346</v>
      </c>
      <c r="K476" s="2278"/>
      <c r="L476" s="2278"/>
      <c r="M476" s="1771"/>
      <c r="N476" s="1548"/>
      <c r="O476" s="1548"/>
      <c r="P476" s="1548"/>
      <c r="Q476" s="1548"/>
      <c r="R476" s="1548"/>
      <c r="S476" s="1548"/>
      <c r="T476" s="1548"/>
      <c r="U476" s="1548"/>
      <c r="V476" s="830" t="str">
        <f t="shared" si="28"/>
        <v>EFLHcool</v>
      </c>
      <c r="W476" s="207">
        <v>869</v>
      </c>
      <c r="X476" s="207">
        <v>869</v>
      </c>
      <c r="Y476" s="207"/>
      <c r="Z476" s="207"/>
      <c r="AA476" s="207"/>
      <c r="AB476" s="207"/>
      <c r="AC476" s="207"/>
      <c r="AD476" s="207"/>
      <c r="AE476" s="207"/>
      <c r="AF476" s="207"/>
      <c r="AG476" s="207"/>
      <c r="AK476" s="802"/>
    </row>
    <row r="477" spans="2:37" s="811" customFormat="1" ht="257.25" customHeight="1" outlineLevel="1" x14ac:dyDescent="0.25">
      <c r="B477" s="1548"/>
      <c r="C477" s="1535"/>
      <c r="D477" s="577" t="s">
        <v>1898</v>
      </c>
      <c r="E477" s="807" t="s">
        <v>1347</v>
      </c>
      <c r="F477" s="807"/>
      <c r="G477" s="1770">
        <v>20.8</v>
      </c>
      <c r="H477" s="2274" t="s">
        <v>1348</v>
      </c>
      <c r="I477" s="2365"/>
      <c r="J477" s="2278" t="s">
        <v>1346</v>
      </c>
      <c r="K477" s="2278"/>
      <c r="L477" s="2278"/>
      <c r="M477" s="1771"/>
      <c r="N477" s="1548"/>
      <c r="O477" s="1548"/>
      <c r="P477" s="1548"/>
      <c r="Q477" s="1548"/>
      <c r="R477" s="1548"/>
      <c r="S477" s="1548"/>
      <c r="T477" s="1548"/>
      <c r="U477" s="1548"/>
      <c r="V477" s="830" t="str">
        <f t="shared" si="28"/>
        <v>ΔTAVG, cooling</v>
      </c>
      <c r="W477" s="207">
        <v>20.8</v>
      </c>
      <c r="X477" s="207">
        <v>20.8</v>
      </c>
      <c r="Y477" s="207"/>
      <c r="Z477" s="207"/>
      <c r="AA477" s="207"/>
      <c r="AB477" s="207"/>
      <c r="AC477" s="207"/>
      <c r="AD477" s="207"/>
      <c r="AE477" s="207"/>
      <c r="AF477" s="207"/>
      <c r="AG477" s="207"/>
      <c r="AK477" s="802"/>
    </row>
    <row r="478" spans="2:37" s="811" customFormat="1" ht="30" customHeight="1" outlineLevel="1" x14ac:dyDescent="0.25">
      <c r="B478" s="1548"/>
      <c r="C478" s="1535"/>
      <c r="D478" s="577">
        <v>1000</v>
      </c>
      <c r="E478" s="807" t="s">
        <v>1220</v>
      </c>
      <c r="F478" s="807"/>
      <c r="G478" s="1770">
        <v>1000</v>
      </c>
      <c r="H478" s="2080" t="s">
        <v>1221</v>
      </c>
      <c r="I478" s="2304"/>
      <c r="J478" s="2278" t="s">
        <v>1346</v>
      </c>
      <c r="K478" s="2278"/>
      <c r="L478" s="2278"/>
      <c r="M478" s="1771"/>
      <c r="N478" s="1548"/>
      <c r="O478" s="1548"/>
      <c r="P478" s="1548"/>
      <c r="Q478" s="1548"/>
      <c r="R478" s="1548"/>
      <c r="S478" s="1548"/>
      <c r="T478" s="1548"/>
      <c r="U478" s="1548"/>
      <c r="V478" s="830">
        <f t="shared" si="28"/>
        <v>1000</v>
      </c>
      <c r="W478" s="207">
        <v>1000</v>
      </c>
      <c r="X478" s="207">
        <v>1000</v>
      </c>
      <c r="Y478" s="207"/>
      <c r="Z478" s="207"/>
      <c r="AA478" s="207"/>
      <c r="AB478" s="207"/>
      <c r="AC478" s="207"/>
      <c r="AD478" s="207"/>
      <c r="AE478" s="207"/>
      <c r="AF478" s="207"/>
      <c r="AG478" s="207"/>
      <c r="AK478" s="802"/>
    </row>
    <row r="479" spans="2:37" s="811" customFormat="1" ht="45" customHeight="1" outlineLevel="1" x14ac:dyDescent="0.25">
      <c r="B479" s="1548"/>
      <c r="C479" s="1535"/>
      <c r="D479" s="577" t="s">
        <v>617</v>
      </c>
      <c r="E479" s="807" t="s">
        <v>1349</v>
      </c>
      <c r="F479" s="807"/>
      <c r="G479" s="1770">
        <v>10</v>
      </c>
      <c r="H479" s="2274" t="s">
        <v>1350</v>
      </c>
      <c r="I479" s="2365"/>
      <c r="J479" s="2278" t="s">
        <v>1351</v>
      </c>
      <c r="K479" s="2278"/>
      <c r="L479" s="2278"/>
      <c r="M479" s="1771"/>
      <c r="N479" s="1548"/>
      <c r="O479" s="1548"/>
      <c r="P479" s="1548"/>
      <c r="Q479" s="1548"/>
      <c r="R479" s="1548"/>
      <c r="S479" s="1548"/>
      <c r="T479" s="1548"/>
      <c r="U479" s="1548"/>
      <c r="V479" s="830" t="str">
        <f t="shared" si="28"/>
        <v>SEER</v>
      </c>
      <c r="W479" s="207">
        <v>10</v>
      </c>
      <c r="X479" s="207">
        <v>10</v>
      </c>
      <c r="Y479" s="207"/>
      <c r="Z479" s="207"/>
      <c r="AA479" s="207"/>
      <c r="AB479" s="207"/>
      <c r="AC479" s="207"/>
      <c r="AD479" s="207"/>
      <c r="AE479" s="207"/>
      <c r="AF479" s="207"/>
      <c r="AG479" s="207"/>
      <c r="AK479" s="802"/>
    </row>
    <row r="480" spans="2:37" s="811" customFormat="1" ht="325.5" customHeight="1" outlineLevel="1" x14ac:dyDescent="0.25">
      <c r="B480" s="1548"/>
      <c r="C480" s="1535"/>
      <c r="D480" s="577" t="s">
        <v>410</v>
      </c>
      <c r="E480" s="807" t="s">
        <v>1032</v>
      </c>
      <c r="F480" s="807"/>
      <c r="G480" s="1770">
        <v>2009</v>
      </c>
      <c r="H480" s="2285" t="s">
        <v>1352</v>
      </c>
      <c r="I480" s="2084"/>
      <c r="J480" s="2278" t="s">
        <v>1346</v>
      </c>
      <c r="K480" s="2278"/>
      <c r="L480" s="2278"/>
      <c r="M480" s="1771"/>
      <c r="N480" s="1548"/>
      <c r="O480" s="1548"/>
      <c r="P480" s="1548"/>
      <c r="Q480" s="1548"/>
      <c r="R480" s="1548"/>
      <c r="S480" s="1548"/>
      <c r="T480" s="1548"/>
      <c r="U480" s="1548"/>
      <c r="V480" s="830" t="str">
        <f t="shared" si="28"/>
        <v>EFLHheat</v>
      </c>
      <c r="W480" s="207">
        <v>2009</v>
      </c>
      <c r="X480" s="207">
        <v>2009</v>
      </c>
      <c r="Y480" s="207"/>
      <c r="Z480" s="207"/>
      <c r="AA480" s="207"/>
      <c r="AB480" s="207"/>
      <c r="AC480" s="207"/>
      <c r="AD480" s="207"/>
      <c r="AE480" s="207"/>
      <c r="AF480" s="207"/>
      <c r="AG480" s="207"/>
      <c r="AK480" s="802"/>
    </row>
    <row r="481" spans="2:37" s="811" customFormat="1" ht="189.75" customHeight="1" outlineLevel="1" x14ac:dyDescent="0.25">
      <c r="B481" s="1548"/>
      <c r="C481" s="1535"/>
      <c r="D481" s="577" t="s">
        <v>1899</v>
      </c>
      <c r="E481" s="807" t="s">
        <v>1353</v>
      </c>
      <c r="F481" s="807"/>
      <c r="G481" s="1770">
        <v>71.8</v>
      </c>
      <c r="H481" s="2274" t="s">
        <v>1348</v>
      </c>
      <c r="I481" s="2365"/>
      <c r="J481" s="2278" t="s">
        <v>1346</v>
      </c>
      <c r="K481" s="2278"/>
      <c r="L481" s="2278"/>
      <c r="M481" s="1771"/>
      <c r="N481" s="1548"/>
      <c r="O481" s="1548"/>
      <c r="P481" s="1548"/>
      <c r="Q481" s="1548"/>
      <c r="R481" s="1548"/>
      <c r="S481" s="1548"/>
      <c r="T481" s="1548"/>
      <c r="U481" s="1548"/>
      <c r="V481" s="830" t="str">
        <f t="shared" si="28"/>
        <v>ΔTAVG, heating</v>
      </c>
      <c r="W481" s="207">
        <v>71.8</v>
      </c>
      <c r="X481" s="207">
        <v>71.8</v>
      </c>
      <c r="Y481" s="207"/>
      <c r="Z481" s="207"/>
      <c r="AA481" s="207"/>
      <c r="AB481" s="207"/>
      <c r="AC481" s="207"/>
      <c r="AD481" s="207"/>
      <c r="AE481" s="207"/>
      <c r="AF481" s="207"/>
      <c r="AG481" s="207"/>
      <c r="AK481" s="802"/>
    </row>
    <row r="482" spans="2:37" s="811" customFormat="1" ht="60" customHeight="1" outlineLevel="1" x14ac:dyDescent="0.25">
      <c r="B482" s="1548"/>
      <c r="C482" s="1535"/>
      <c r="D482" s="577">
        <v>3412</v>
      </c>
      <c r="E482" s="807" t="s">
        <v>851</v>
      </c>
      <c r="F482" s="807"/>
      <c r="G482" s="1770">
        <v>3412</v>
      </c>
      <c r="H482" s="2134" t="s">
        <v>834</v>
      </c>
      <c r="I482" s="2332"/>
      <c r="J482" s="2361" t="s">
        <v>1354</v>
      </c>
      <c r="K482" s="2361"/>
      <c r="L482" s="2361"/>
      <c r="M482" s="1771"/>
      <c r="N482" s="1548"/>
      <c r="O482" s="1548"/>
      <c r="P482" s="1548"/>
      <c r="Q482" s="1548"/>
      <c r="R482" s="1548"/>
      <c r="S482" s="1548"/>
      <c r="T482" s="1548"/>
      <c r="U482" s="1548"/>
      <c r="V482" s="830">
        <f t="shared" si="28"/>
        <v>3412</v>
      </c>
      <c r="W482" s="207">
        <v>3412</v>
      </c>
      <c r="X482" s="207">
        <v>3412</v>
      </c>
      <c r="Y482" s="207"/>
      <c r="Z482" s="207"/>
      <c r="AA482" s="207"/>
      <c r="AB482" s="207"/>
      <c r="AC482" s="207"/>
      <c r="AD482" s="207"/>
      <c r="AE482" s="207"/>
      <c r="AF482" s="207"/>
      <c r="AG482" s="207"/>
      <c r="AK482" s="802"/>
    </row>
    <row r="483" spans="2:37" s="811" customFormat="1" ht="45" customHeight="1" outlineLevel="1" x14ac:dyDescent="0.25">
      <c r="B483" s="1548"/>
      <c r="C483" s="1535"/>
      <c r="D483" s="577" t="s">
        <v>1355</v>
      </c>
      <c r="E483" s="807" t="s">
        <v>1356</v>
      </c>
      <c r="F483" s="807"/>
      <c r="G483" s="196">
        <v>1</v>
      </c>
      <c r="H483" s="2274" t="s">
        <v>1357</v>
      </c>
      <c r="I483" s="2365"/>
      <c r="J483" s="2278" t="s">
        <v>1346</v>
      </c>
      <c r="K483" s="2278"/>
      <c r="L483" s="2278"/>
      <c r="M483" s="1771"/>
      <c r="N483" s="1548"/>
      <c r="O483" s="1548"/>
      <c r="P483" s="1548"/>
      <c r="Q483" s="1548"/>
      <c r="R483" s="1548"/>
      <c r="S483" s="1548"/>
      <c r="T483" s="1548"/>
      <c r="U483" s="1548"/>
      <c r="V483" s="830" t="str">
        <f t="shared" si="28"/>
        <v>COP</v>
      </c>
      <c r="W483" s="194">
        <v>1</v>
      </c>
      <c r="X483" s="194">
        <v>1</v>
      </c>
      <c r="Y483" s="194"/>
      <c r="Z483" s="194"/>
      <c r="AA483" s="194"/>
      <c r="AB483" s="194"/>
      <c r="AC483" s="194"/>
      <c r="AD483" s="194"/>
      <c r="AE483" s="194"/>
      <c r="AF483" s="194"/>
      <c r="AG483" s="194"/>
      <c r="AK483" s="802"/>
    </row>
    <row r="484" spans="2:37" s="811" customFormat="1" ht="44.25" customHeight="1" outlineLevel="1" x14ac:dyDescent="0.25">
      <c r="B484" s="1548"/>
      <c r="C484" s="1535"/>
      <c r="D484" s="577" t="s">
        <v>1900</v>
      </c>
      <c r="E484" s="807" t="s">
        <v>1358</v>
      </c>
      <c r="F484" s="807"/>
      <c r="G484" s="1772">
        <v>3.1399999999999997E-2</v>
      </c>
      <c r="H484" s="2274" t="s">
        <v>1359</v>
      </c>
      <c r="I484" s="2365"/>
      <c r="J484" s="2278" t="s">
        <v>1346</v>
      </c>
      <c r="K484" s="2278"/>
      <c r="L484" s="2278"/>
      <c r="M484" s="1771"/>
      <c r="N484" s="1548"/>
      <c r="O484" s="1548"/>
      <c r="P484" s="1548"/>
      <c r="Q484" s="1548"/>
      <c r="R484" s="1548"/>
      <c r="S484" s="1548"/>
      <c r="T484" s="1548"/>
      <c r="U484" s="1548"/>
      <c r="V484" s="830" t="str">
        <f t="shared" si="28"/>
        <v>Fe</v>
      </c>
      <c r="W484" s="857">
        <v>3.1399999999999997E-2</v>
      </c>
      <c r="X484" s="857">
        <v>3.1399999999999997E-2</v>
      </c>
      <c r="Y484" s="857"/>
      <c r="Z484" s="857"/>
      <c r="AA484" s="857"/>
      <c r="AB484" s="857"/>
      <c r="AC484" s="857"/>
      <c r="AD484" s="857"/>
      <c r="AE484" s="857"/>
      <c r="AF484" s="857"/>
      <c r="AG484" s="857"/>
      <c r="AK484" s="802"/>
    </row>
    <row r="485" spans="2:37" s="811" customFormat="1" ht="30" customHeight="1" outlineLevel="1" x14ac:dyDescent="0.25">
      <c r="B485" s="1548"/>
      <c r="C485" s="1535"/>
      <c r="D485" s="577">
        <v>29.3</v>
      </c>
      <c r="E485" s="807" t="s">
        <v>1360</v>
      </c>
      <c r="F485" s="807"/>
      <c r="G485" s="805">
        <v>29.3</v>
      </c>
      <c r="H485" s="2274" t="s">
        <v>1361</v>
      </c>
      <c r="I485" s="2365"/>
      <c r="J485" s="2278" t="s">
        <v>1346</v>
      </c>
      <c r="K485" s="2278"/>
      <c r="L485" s="2278"/>
      <c r="M485" s="1771"/>
      <c r="N485" s="1548"/>
      <c r="O485" s="1548"/>
      <c r="P485" s="1548"/>
      <c r="Q485" s="1548"/>
      <c r="R485" s="1548"/>
      <c r="S485" s="1548"/>
      <c r="T485" s="1548"/>
      <c r="U485" s="1548"/>
      <c r="V485" s="830">
        <f t="shared" si="28"/>
        <v>29.3</v>
      </c>
      <c r="W485" s="200">
        <v>29.3</v>
      </c>
      <c r="X485" s="200">
        <v>29.3</v>
      </c>
      <c r="Y485" s="200"/>
      <c r="Z485" s="200"/>
      <c r="AA485" s="200"/>
      <c r="AB485" s="200"/>
      <c r="AC485" s="200"/>
      <c r="AD485" s="200"/>
      <c r="AE485" s="200"/>
      <c r="AF485" s="200"/>
      <c r="AG485" s="200"/>
      <c r="AK485" s="802"/>
    </row>
    <row r="486" spans="2:37" s="811" customFormat="1" ht="45" customHeight="1" outlineLevel="1" x14ac:dyDescent="0.25">
      <c r="B486" s="1548"/>
      <c r="C486" s="1535"/>
      <c r="D486" s="1773">
        <v>100000</v>
      </c>
      <c r="E486" s="807" t="s">
        <v>1362</v>
      </c>
      <c r="F486" s="807"/>
      <c r="G486" s="1770">
        <v>100000</v>
      </c>
      <c r="H486" s="2274" t="s">
        <v>1363</v>
      </c>
      <c r="I486" s="2365"/>
      <c r="J486" s="2361" t="s">
        <v>1364</v>
      </c>
      <c r="K486" s="2361"/>
      <c r="L486" s="2361"/>
      <c r="M486" s="1771"/>
      <c r="N486" s="1548"/>
      <c r="O486" s="1548"/>
      <c r="P486" s="1548"/>
      <c r="Q486" s="1548"/>
      <c r="R486" s="1548"/>
      <c r="S486" s="1548"/>
      <c r="T486" s="1548"/>
      <c r="U486" s="1548"/>
      <c r="V486" s="830">
        <f t="shared" si="28"/>
        <v>100000</v>
      </c>
      <c r="W486" s="207">
        <v>100000</v>
      </c>
      <c r="X486" s="207">
        <v>100000</v>
      </c>
      <c r="Y486" s="207"/>
      <c r="Z486" s="207"/>
      <c r="AA486" s="207"/>
      <c r="AB486" s="207"/>
      <c r="AC486" s="207"/>
      <c r="AD486" s="207"/>
      <c r="AE486" s="207"/>
      <c r="AF486" s="207"/>
      <c r="AG486" s="207"/>
      <c r="AK486" s="802"/>
    </row>
    <row r="487" spans="2:37" s="811" customFormat="1" ht="45" customHeight="1" outlineLevel="1" x14ac:dyDescent="0.25">
      <c r="B487" s="1548"/>
      <c r="C487" s="1535"/>
      <c r="D487" s="1774" t="s">
        <v>1901</v>
      </c>
      <c r="E487" s="807" t="s">
        <v>1365</v>
      </c>
      <c r="F487" s="807"/>
      <c r="G487" s="1775">
        <v>0.78</v>
      </c>
      <c r="H487" s="2272"/>
      <c r="I487" s="2315"/>
      <c r="J487" s="2361" t="s">
        <v>1364</v>
      </c>
      <c r="K487" s="2361"/>
      <c r="L487" s="2361"/>
      <c r="M487" s="1771"/>
      <c r="N487" s="1548"/>
      <c r="O487" s="1548"/>
      <c r="P487" s="1548"/>
      <c r="Q487" s="1548"/>
      <c r="R487" s="1548"/>
      <c r="S487" s="1548"/>
      <c r="T487" s="1548"/>
      <c r="U487" s="1548"/>
      <c r="V487" s="830" t="str">
        <f t="shared" si="28"/>
        <v>Effheat</v>
      </c>
      <c r="W487" s="858">
        <v>0.78</v>
      </c>
      <c r="X487" s="858">
        <v>0.78</v>
      </c>
      <c r="Y487" s="858"/>
      <c r="Z487" s="858"/>
      <c r="AA487" s="858"/>
      <c r="AB487" s="858"/>
      <c r="AC487" s="858"/>
      <c r="AD487" s="858"/>
      <c r="AE487" s="858"/>
      <c r="AF487" s="858"/>
      <c r="AG487" s="858"/>
      <c r="AK487" s="802"/>
    </row>
    <row r="488" spans="2:37" s="811" customFormat="1" ht="15" customHeight="1" outlineLevel="1" x14ac:dyDescent="0.25">
      <c r="B488" s="1548"/>
      <c r="C488" s="1535"/>
      <c r="D488" s="890" t="s">
        <v>764</v>
      </c>
      <c r="E488" s="890" t="s">
        <v>1366</v>
      </c>
      <c r="F488" s="890"/>
      <c r="G488" s="908">
        <v>1</v>
      </c>
      <c r="H488" s="2271" t="s">
        <v>1367</v>
      </c>
      <c r="I488" s="2299"/>
      <c r="J488" s="2278" t="s">
        <v>1368</v>
      </c>
      <c r="K488" s="2278"/>
      <c r="L488" s="2278"/>
      <c r="M488" s="1771"/>
      <c r="N488" s="1548"/>
      <c r="O488" s="1548"/>
      <c r="P488" s="1548"/>
      <c r="Q488" s="1548"/>
      <c r="R488" s="1548"/>
      <c r="S488" s="1548"/>
      <c r="T488" s="1548"/>
      <c r="U488" s="1548"/>
      <c r="V488" s="830" t="str">
        <f t="shared" si="28"/>
        <v>Electric Saturation</v>
      </c>
      <c r="W488" s="860">
        <v>1</v>
      </c>
      <c r="X488" s="860">
        <v>1</v>
      </c>
      <c r="Y488" s="860"/>
      <c r="Z488" s="860"/>
      <c r="AA488" s="860"/>
      <c r="AB488" s="860"/>
      <c r="AC488" s="860"/>
      <c r="AD488" s="860"/>
      <c r="AE488" s="860"/>
      <c r="AF488" s="860"/>
      <c r="AG488" s="860"/>
      <c r="AK488" s="802"/>
    </row>
    <row r="489" spans="2:37" s="811" customFormat="1" ht="15" customHeight="1" outlineLevel="1" x14ac:dyDescent="0.25">
      <c r="B489" s="1548"/>
      <c r="C489" s="1535"/>
      <c r="D489" s="890" t="s">
        <v>736</v>
      </c>
      <c r="E489" s="890" t="s">
        <v>769</v>
      </c>
      <c r="F489" s="890"/>
      <c r="G489" s="908">
        <v>1</v>
      </c>
      <c r="H489" s="2271" t="s">
        <v>1367</v>
      </c>
      <c r="I489" s="2299"/>
      <c r="J489" s="2278" t="s">
        <v>1368</v>
      </c>
      <c r="K489" s="2278"/>
      <c r="L489" s="2278"/>
      <c r="M489" s="1771"/>
      <c r="N489" s="1548"/>
      <c r="O489" s="1548"/>
      <c r="P489" s="1548"/>
      <c r="Q489" s="1548"/>
      <c r="R489" s="1548"/>
      <c r="S489" s="1548"/>
      <c r="T489" s="1548"/>
      <c r="U489" s="1548"/>
      <c r="V489" s="830" t="str">
        <f t="shared" si="28"/>
        <v>Utility Adjustment</v>
      </c>
      <c r="W489" s="860">
        <v>1</v>
      </c>
      <c r="X489" s="860">
        <v>1</v>
      </c>
      <c r="Y489" s="860"/>
      <c r="Z489" s="860"/>
      <c r="AA489" s="860"/>
      <c r="AB489" s="860"/>
      <c r="AC489" s="860"/>
      <c r="AD489" s="860"/>
      <c r="AE489" s="860"/>
      <c r="AF489" s="860"/>
      <c r="AG489" s="860"/>
      <c r="AK489" s="802"/>
    </row>
    <row r="490" spans="2:37" s="811" customFormat="1" outlineLevel="1" x14ac:dyDescent="0.25">
      <c r="B490" s="1548"/>
      <c r="C490" s="1535"/>
      <c r="D490" s="918" t="s">
        <v>58</v>
      </c>
      <c r="E490" s="918" t="s">
        <v>1369</v>
      </c>
      <c r="F490" s="1776"/>
      <c r="G490" s="979">
        <v>1</v>
      </c>
      <c r="H490" s="2272" t="s">
        <v>1370</v>
      </c>
      <c r="I490" s="2315"/>
      <c r="J490" s="2361" t="s">
        <v>1354</v>
      </c>
      <c r="K490" s="2361"/>
      <c r="L490" s="2361"/>
      <c r="M490" s="1771"/>
      <c r="N490" s="1548"/>
      <c r="O490" s="1548"/>
      <c r="P490" s="1548"/>
      <c r="Q490" s="1548"/>
      <c r="R490" s="1548"/>
      <c r="S490" s="1548"/>
      <c r="T490" s="1548"/>
      <c r="U490" s="1548"/>
      <c r="V490" s="830" t="str">
        <f t="shared" si="28"/>
        <v>ISR</v>
      </c>
      <c r="W490" s="862">
        <v>1</v>
      </c>
      <c r="X490" s="862">
        <v>1</v>
      </c>
      <c r="Y490" s="862"/>
      <c r="Z490" s="862"/>
      <c r="AA490" s="862"/>
      <c r="AB490" s="862"/>
      <c r="AC490" s="862"/>
      <c r="AD490" s="862"/>
      <c r="AE490" s="862"/>
      <c r="AF490" s="862"/>
      <c r="AG490" s="862"/>
      <c r="AK490" s="802"/>
    </row>
    <row r="491" spans="2:37" s="811" customFormat="1" ht="15" customHeight="1" outlineLevel="1" x14ac:dyDescent="0.25">
      <c r="B491" s="1548"/>
      <c r="C491" s="1535"/>
      <c r="D491" s="1754" t="str">
        <f>D451</f>
        <v>EUL</v>
      </c>
      <c r="E491" s="1754" t="str">
        <f>E451</f>
        <v>Effective Useful Life</v>
      </c>
      <c r="F491" s="876" t="s">
        <v>483</v>
      </c>
      <c r="G491" s="962">
        <v>20</v>
      </c>
      <c r="H491" s="2271"/>
      <c r="I491" s="2299"/>
      <c r="J491" s="2278"/>
      <c r="K491" s="2278"/>
      <c r="L491" s="2278"/>
      <c r="M491" s="1771"/>
      <c r="N491" s="1548"/>
      <c r="O491" s="1548"/>
      <c r="P491" s="1548"/>
      <c r="Q491" s="1548"/>
      <c r="R491" s="1548"/>
      <c r="S491" s="1548"/>
      <c r="T491" s="1548"/>
      <c r="U491" s="1548"/>
      <c r="V491" s="830" t="str">
        <f>D491</f>
        <v>EUL</v>
      </c>
      <c r="W491" s="863">
        <v>20</v>
      </c>
      <c r="X491" s="863">
        <v>20</v>
      </c>
      <c r="Y491" s="863"/>
      <c r="Z491" s="863"/>
      <c r="AA491" s="863"/>
      <c r="AB491" s="863"/>
      <c r="AC491" s="863"/>
      <c r="AD491" s="863"/>
      <c r="AE491" s="863"/>
      <c r="AF491" s="863"/>
      <c r="AG491" s="863"/>
      <c r="AK491" s="802"/>
    </row>
    <row r="492" spans="2:37" s="811" customFormat="1" outlineLevel="1" x14ac:dyDescent="0.25">
      <c r="B492" s="1548"/>
      <c r="C492" s="1535"/>
      <c r="D492" s="1754" t="str">
        <f>D452</f>
        <v>Inc. Cost</v>
      </c>
      <c r="E492" s="1754" t="str">
        <f>E452</f>
        <v>Incremental Cost</v>
      </c>
      <c r="F492" s="526" t="s">
        <v>483</v>
      </c>
      <c r="G492" s="526">
        <v>138.69999999999999</v>
      </c>
      <c r="H492" s="2272"/>
      <c r="I492" s="2315"/>
      <c r="J492" s="2361"/>
      <c r="K492" s="2361"/>
      <c r="L492" s="2361"/>
      <c r="M492" s="1771"/>
      <c r="N492" s="1548"/>
      <c r="O492" s="1548"/>
      <c r="P492" s="1548"/>
      <c r="Q492" s="1548"/>
      <c r="R492" s="1548"/>
      <c r="S492" s="1548"/>
      <c r="T492" s="1548"/>
      <c r="U492" s="1548"/>
      <c r="V492" s="830" t="str">
        <f>D492</f>
        <v>Inc. Cost</v>
      </c>
      <c r="W492" s="832">
        <v>138.69999999999999</v>
      </c>
      <c r="X492" s="832">
        <v>138.69999999999999</v>
      </c>
      <c r="Y492" s="832"/>
      <c r="Z492" s="832"/>
      <c r="AA492" s="832"/>
      <c r="AB492" s="832"/>
      <c r="AC492" s="832"/>
      <c r="AD492" s="832"/>
      <c r="AE492" s="832"/>
      <c r="AF492" s="832"/>
      <c r="AG492" s="832"/>
      <c r="AK492" s="802"/>
    </row>
    <row r="493" spans="2:37" s="811" customFormat="1" x14ac:dyDescent="0.25">
      <c r="B493" s="1548"/>
      <c r="C493" s="1535"/>
      <c r="D493" s="1777"/>
      <c r="E493" s="1777"/>
      <c r="F493" s="1778"/>
      <c r="G493" s="1778"/>
      <c r="H493" s="1778"/>
      <c r="I493" s="1548"/>
      <c r="J493" s="1548"/>
      <c r="K493" s="1548"/>
      <c r="L493" s="1548"/>
      <c r="M493" s="1548"/>
      <c r="N493" s="1548"/>
      <c r="O493" s="1548"/>
      <c r="P493" s="1548"/>
      <c r="Q493" s="1548"/>
      <c r="R493" s="1548"/>
      <c r="S493" s="1548"/>
      <c r="T493" s="1548"/>
      <c r="U493" s="1548"/>
      <c r="AK493" s="802"/>
    </row>
    <row r="494" spans="2:37" s="811" customFormat="1" x14ac:dyDescent="0.25">
      <c r="B494" s="1548"/>
      <c r="C494" s="1535"/>
      <c r="D494" s="1777"/>
      <c r="E494" s="1777"/>
      <c r="F494" s="1778"/>
      <c r="G494" s="1778"/>
      <c r="H494" s="1778"/>
      <c r="I494" s="1548"/>
      <c r="J494" s="1548"/>
      <c r="K494" s="1548"/>
      <c r="L494" s="1548"/>
      <c r="M494" s="1548"/>
      <c r="N494" s="1548"/>
      <c r="O494" s="1548"/>
      <c r="P494" s="1548"/>
      <c r="Q494" s="1548"/>
      <c r="R494" s="1548"/>
      <c r="S494" s="1548"/>
      <c r="T494" s="1548"/>
      <c r="U494" s="1548"/>
      <c r="AK494" s="802"/>
    </row>
    <row r="495" spans="2:37" s="811" customFormat="1" x14ac:dyDescent="0.25">
      <c r="B495" s="2022" t="s">
        <v>1371</v>
      </c>
      <c r="C495" s="2023"/>
      <c r="D495" s="2023"/>
      <c r="E495" s="2023"/>
      <c r="F495" s="2023"/>
      <c r="G495" s="2023"/>
      <c r="H495" s="2023"/>
      <c r="I495" s="1992"/>
      <c r="J495" s="1992"/>
      <c r="K495" s="1992"/>
      <c r="L495" s="1992"/>
      <c r="M495" s="1992"/>
      <c r="N495" s="1992"/>
      <c r="O495" s="1992"/>
      <c r="P495" s="1992"/>
      <c r="Q495" s="1992"/>
      <c r="R495" s="1993"/>
      <c r="S495" s="1548"/>
      <c r="T495" s="1548"/>
      <c r="U495" s="1548"/>
      <c r="V495" s="2022" t="str">
        <f>B495</f>
        <v>Duct Repair (Duct Sealing and Repair - Methodology 3)</v>
      </c>
      <c r="W495" s="2023"/>
      <c r="X495" s="2023"/>
      <c r="Y495" s="2023"/>
      <c r="Z495" s="2023"/>
      <c r="AA495" s="2023"/>
      <c r="AB495" s="2023"/>
      <c r="AC495" s="2024"/>
      <c r="AD495" s="2024"/>
      <c r="AE495" s="2024"/>
      <c r="AF495" s="2024"/>
      <c r="AG495" s="2024"/>
      <c r="AH495" s="2024"/>
      <c r="AI495" s="2025"/>
      <c r="AK495" s="802"/>
    </row>
    <row r="496" spans="2:37" s="811" customFormat="1" ht="15" customHeight="1" x14ac:dyDescent="0.25">
      <c r="B496" s="1779"/>
      <c r="C496" s="1756"/>
      <c r="D496" s="1546"/>
      <c r="E496" s="1546"/>
      <c r="F496" s="1548"/>
      <c r="G496" s="1548"/>
      <c r="H496" s="1548"/>
      <c r="I496" s="1548"/>
      <c r="J496" s="1548"/>
      <c r="K496" s="1548"/>
      <c r="L496" s="1548"/>
      <c r="M496" s="1548"/>
      <c r="N496" s="1548"/>
      <c r="O496" s="1548"/>
      <c r="P496" s="1548"/>
      <c r="Q496" s="1548"/>
      <c r="R496" s="1548"/>
      <c r="S496" s="1548"/>
      <c r="T496" s="1548"/>
      <c r="U496" s="1548"/>
      <c r="V496" s="249"/>
      <c r="W496" s="249"/>
      <c r="X496" s="249"/>
      <c r="Y496" s="249"/>
      <c r="Z496" s="249"/>
      <c r="AA496" s="249"/>
      <c r="AB496" s="249"/>
      <c r="AC496" s="249"/>
      <c r="AD496" s="249"/>
      <c r="AE496" s="249"/>
      <c r="AF496" s="249"/>
      <c r="AG496" s="249"/>
      <c r="AH496" s="249"/>
      <c r="AI496" s="249"/>
      <c r="AK496" s="802"/>
    </row>
    <row r="497" spans="2:37" s="811" customFormat="1" ht="45" x14ac:dyDescent="0.25">
      <c r="B497" s="1779"/>
      <c r="C497" s="184" t="s">
        <v>16</v>
      </c>
      <c r="D497" s="184" t="s">
        <v>509</v>
      </c>
      <c r="E497" s="184" t="s">
        <v>18</v>
      </c>
      <c r="F497" s="184" t="s">
        <v>1325</v>
      </c>
      <c r="G497" s="184" t="s">
        <v>20</v>
      </c>
      <c r="H497" s="184" t="s">
        <v>21</v>
      </c>
      <c r="I497" s="184" t="s">
        <v>1326</v>
      </c>
      <c r="J497" s="184" t="s">
        <v>1327</v>
      </c>
      <c r="K497" s="184" t="s">
        <v>22</v>
      </c>
      <c r="L497" s="184" t="s">
        <v>23</v>
      </c>
      <c r="M497" s="184" t="s">
        <v>437</v>
      </c>
      <c r="N497" s="184" t="s">
        <v>1372</v>
      </c>
      <c r="O497" s="1548"/>
      <c r="P497" s="1548"/>
      <c r="Q497" s="1548"/>
      <c r="R497" s="1548"/>
      <c r="S497" s="1548"/>
      <c r="T497" s="1548"/>
      <c r="U497" s="1548"/>
      <c r="V497" s="48" t="s">
        <v>26</v>
      </c>
      <c r="W497" s="49">
        <f>W$6</f>
        <v>43252</v>
      </c>
      <c r="X497" s="49">
        <f t="shared" ref="X497:AG497" si="29">X$6</f>
        <v>43465</v>
      </c>
      <c r="Y497" s="49" t="str">
        <f t="shared" si="29"/>
        <v>-</v>
      </c>
      <c r="Z497" s="49" t="str">
        <f t="shared" si="29"/>
        <v>-</v>
      </c>
      <c r="AA497" s="49" t="str">
        <f t="shared" si="29"/>
        <v>-</v>
      </c>
      <c r="AB497" s="49" t="str">
        <f t="shared" si="29"/>
        <v>-</v>
      </c>
      <c r="AC497" s="49" t="str">
        <f t="shared" si="29"/>
        <v>-</v>
      </c>
      <c r="AD497" s="49" t="str">
        <f t="shared" si="29"/>
        <v>-</v>
      </c>
      <c r="AE497" s="49" t="str">
        <f t="shared" si="29"/>
        <v>-</v>
      </c>
      <c r="AF497" s="49" t="str">
        <f t="shared" si="29"/>
        <v>-</v>
      </c>
      <c r="AG497" s="49" t="str">
        <f t="shared" si="29"/>
        <v>-</v>
      </c>
      <c r="AH497" s="249"/>
      <c r="AI497" s="249"/>
      <c r="AK497" s="802"/>
    </row>
    <row r="498" spans="2:37" s="811" customFormat="1" ht="15" customHeight="1" x14ac:dyDescent="0.25">
      <c r="B498" s="1779"/>
      <c r="C498" s="1531"/>
      <c r="D498" s="1066" t="s">
        <v>1250</v>
      </c>
      <c r="E498" s="1066" t="s">
        <v>1373</v>
      </c>
      <c r="F498" s="1780">
        <f>I498+J498</f>
        <v>183.23284858343499</v>
      </c>
      <c r="G498" s="1531" t="s">
        <v>728</v>
      </c>
      <c r="H498" s="170">
        <f>VLOOKUP(G498,'CP FACTORS'!$A$3:$B$38, 2, FALSE)</f>
        <v>4.6608050000000002E-4</v>
      </c>
      <c r="I498" s="1062">
        <f>G511*G513</f>
        <v>30.166383608248438</v>
      </c>
      <c r="J498" s="1062">
        <f>G514*G513</f>
        <v>153.06646497518653</v>
      </c>
      <c r="K498" s="1781">
        <f>H498*F498</f>
        <v>8.540125768419167E-2</v>
      </c>
      <c r="L498" s="1062">
        <f>$G$524</f>
        <v>20</v>
      </c>
      <c r="M498" s="608">
        <f>$G$525</f>
        <v>299.34233999999998</v>
      </c>
      <c r="N498" s="813">
        <f>G513</f>
        <v>37.242448899072144</v>
      </c>
      <c r="O498" s="1548"/>
      <c r="P498" s="1548"/>
      <c r="Q498" s="1548"/>
      <c r="R498" s="1548"/>
      <c r="S498" s="1548"/>
      <c r="T498" s="1548"/>
      <c r="U498" s="1548"/>
      <c r="V498" s="176" t="str">
        <f>$F$456</f>
        <v>kWh
Annual Savings</v>
      </c>
      <c r="W498" s="1204">
        <v>183.23284858343499</v>
      </c>
      <c r="X498" s="1205">
        <v>183.23284858343499</v>
      </c>
      <c r="Y498" s="176"/>
      <c r="Z498" s="176"/>
      <c r="AA498" s="176"/>
      <c r="AB498" s="176"/>
      <c r="AC498" s="176"/>
      <c r="AD498" s="176"/>
      <c r="AE498" s="176"/>
      <c r="AF498" s="176"/>
      <c r="AG498" s="176"/>
      <c r="AH498" s="249"/>
      <c r="AI498" s="249"/>
      <c r="AK498" s="802"/>
    </row>
    <row r="499" spans="2:37" s="811" customFormat="1" ht="15" customHeight="1" x14ac:dyDescent="0.25">
      <c r="B499" s="1779"/>
      <c r="C499" s="1531"/>
      <c r="D499" s="1066" t="s">
        <v>1250</v>
      </c>
      <c r="E499" s="1066" t="s">
        <v>1374</v>
      </c>
      <c r="F499" s="1780">
        <f>I499+J499</f>
        <v>218.61317503755345</v>
      </c>
      <c r="G499" s="1531" t="s">
        <v>728</v>
      </c>
      <c r="H499" s="170">
        <f>VLOOKUP(G499,'CP FACTORS'!$A$3:$B$38, 2, FALSE)</f>
        <v>4.6608050000000002E-4</v>
      </c>
      <c r="I499" s="1062">
        <f>G511*G513</f>
        <v>30.166383608248438</v>
      </c>
      <c r="J499" s="1062">
        <f>G516*G513</f>
        <v>188.44679142930502</v>
      </c>
      <c r="K499" s="1781">
        <f>H499*F499</f>
        <v>0.10189133792809044</v>
      </c>
      <c r="L499" s="1062">
        <f>$G$524</f>
        <v>20</v>
      </c>
      <c r="M499" s="608">
        <f>$G$525</f>
        <v>299.34233999999998</v>
      </c>
      <c r="N499" s="813">
        <f>G513</f>
        <v>37.242448899072144</v>
      </c>
      <c r="O499" s="1548"/>
      <c r="P499" s="1548"/>
      <c r="Q499" s="1548"/>
      <c r="R499" s="1548"/>
      <c r="S499" s="1548"/>
      <c r="T499" s="1548"/>
      <c r="U499" s="1548"/>
      <c r="V499" s="176" t="str">
        <f>$F$456</f>
        <v>kWh
Annual Savings</v>
      </c>
      <c r="W499" s="1204">
        <v>218.61317503755345</v>
      </c>
      <c r="X499" s="1205">
        <v>218.61317503755345</v>
      </c>
      <c r="Y499" s="176"/>
      <c r="Z499" s="176"/>
      <c r="AA499" s="176"/>
      <c r="AB499" s="176"/>
      <c r="AC499" s="176"/>
      <c r="AD499" s="176"/>
      <c r="AE499" s="176"/>
      <c r="AF499" s="176"/>
      <c r="AG499" s="176"/>
      <c r="AK499" s="802"/>
    </row>
    <row r="500" spans="2:37" s="811" customFormat="1" ht="15" customHeight="1" outlineLevel="1" x14ac:dyDescent="0.25">
      <c r="B500" s="1779"/>
      <c r="C500" s="1535"/>
      <c r="D500" s="1546"/>
      <c r="E500" s="1546"/>
      <c r="F500" s="1548"/>
      <c r="G500" s="1548"/>
      <c r="H500" s="1548"/>
      <c r="I500" s="851" t="s">
        <v>1332</v>
      </c>
      <c r="J500" s="1548"/>
      <c r="K500" s="1548"/>
      <c r="L500" s="1548"/>
      <c r="M500" s="1548"/>
      <c r="N500" s="1548"/>
      <c r="O500" s="1548"/>
      <c r="P500" s="1548"/>
      <c r="Q500" s="1548"/>
      <c r="R500" s="1548"/>
      <c r="S500" s="1548"/>
      <c r="T500" s="1548"/>
      <c r="U500" s="1548"/>
      <c r="AK500" s="802"/>
    </row>
    <row r="501" spans="2:37" s="811" customFormat="1" ht="15" customHeight="1" outlineLevel="1" x14ac:dyDescent="0.25">
      <c r="B501" s="1779"/>
      <c r="C501" s="1535"/>
      <c r="D501" s="1418" t="s">
        <v>463</v>
      </c>
      <c r="E501" s="1536"/>
      <c r="F501" s="1535"/>
      <c r="G501" s="1535"/>
      <c r="H501" s="1545"/>
      <c r="I501" s="1545"/>
      <c r="J501" s="1545"/>
      <c r="K501" s="1545"/>
      <c r="L501" s="1548"/>
      <c r="M501" s="1548"/>
      <c r="N501" s="1548"/>
      <c r="O501" s="1548"/>
      <c r="P501" s="1548"/>
      <c r="Q501" s="1548"/>
      <c r="R501" s="1548"/>
      <c r="S501" s="1548"/>
      <c r="T501" s="1548"/>
      <c r="U501" s="1548"/>
      <c r="AK501" s="802"/>
    </row>
    <row r="502" spans="2:37" s="811" customFormat="1" ht="15" customHeight="1" outlineLevel="1" x14ac:dyDescent="0.25">
      <c r="B502" s="1779"/>
      <c r="C502" s="1535"/>
      <c r="D502" s="1536" t="s">
        <v>1375</v>
      </c>
      <c r="E502" s="1536"/>
      <c r="F502" s="1535"/>
      <c r="G502" s="1535"/>
      <c r="H502" s="1545"/>
      <c r="I502" s="1545"/>
      <c r="J502" s="1545"/>
      <c r="K502" s="1545"/>
      <c r="L502" s="1548"/>
      <c r="M502" s="1548"/>
      <c r="N502" s="1548"/>
      <c r="O502" s="1548"/>
      <c r="P502" s="1548"/>
      <c r="Q502" s="1548"/>
      <c r="R502" s="1548"/>
      <c r="S502" s="1548"/>
      <c r="T502" s="1548"/>
      <c r="U502" s="1548"/>
      <c r="AK502" s="802"/>
    </row>
    <row r="503" spans="2:37" s="811" customFormat="1" outlineLevel="1" x14ac:dyDescent="0.25">
      <c r="B503" s="1779"/>
      <c r="C503" s="1535"/>
      <c r="D503" s="1536"/>
      <c r="E503" s="1536"/>
      <c r="F503" s="1535"/>
      <c r="G503" s="1535"/>
      <c r="H503" s="1545"/>
      <c r="I503" s="1545"/>
      <c r="J503" s="1545"/>
      <c r="K503" s="1545"/>
      <c r="L503" s="1548"/>
      <c r="M503" s="1548"/>
      <c r="N503" s="1548"/>
      <c r="O503" s="1548"/>
      <c r="P503" s="1548"/>
      <c r="Q503" s="1548"/>
      <c r="R503" s="1548"/>
      <c r="S503" s="1548"/>
      <c r="T503" s="1548"/>
      <c r="U503" s="1548"/>
      <c r="AK503" s="802"/>
    </row>
    <row r="504" spans="2:37" s="811" customFormat="1" ht="15" customHeight="1" outlineLevel="1" x14ac:dyDescent="0.25">
      <c r="B504" s="1779"/>
      <c r="C504" s="1535"/>
      <c r="D504" s="1536"/>
      <c r="E504" s="1536"/>
      <c r="F504" s="1535"/>
      <c r="G504" s="1535"/>
      <c r="H504" s="1545"/>
      <c r="I504" s="1545"/>
      <c r="J504" s="1545"/>
      <c r="K504" s="1545"/>
      <c r="L504" s="1548"/>
      <c r="M504" s="1548"/>
      <c r="N504" s="1548"/>
      <c r="O504" s="1548"/>
      <c r="P504" s="1548"/>
      <c r="Q504" s="1548"/>
      <c r="R504" s="1548"/>
      <c r="S504" s="1548"/>
      <c r="T504" s="1548"/>
      <c r="U504" s="1548"/>
      <c r="AK504" s="802"/>
    </row>
    <row r="505" spans="2:37" s="811" customFormat="1" ht="15" customHeight="1" outlineLevel="1" x14ac:dyDescent="0.25">
      <c r="B505" s="1779"/>
      <c r="C505" s="1535"/>
      <c r="D505" s="1536"/>
      <c r="E505" s="1536"/>
      <c r="F505" s="1535"/>
      <c r="G505" s="1535"/>
      <c r="H505" s="1545"/>
      <c r="I505" s="1545"/>
      <c r="J505" s="1545"/>
      <c r="K505" s="1545"/>
      <c r="L505" s="1548"/>
      <c r="M505" s="1548"/>
      <c r="N505" s="1548"/>
      <c r="O505" s="1548"/>
      <c r="P505" s="1548"/>
      <c r="Q505" s="1548"/>
      <c r="R505" s="1548"/>
      <c r="S505" s="1548"/>
      <c r="T505" s="1548"/>
      <c r="U505" s="1548"/>
      <c r="AK505" s="802"/>
    </row>
    <row r="506" spans="2:37" s="811" customFormat="1" ht="15" customHeight="1" outlineLevel="1" x14ac:dyDescent="0.25">
      <c r="B506" s="1779"/>
      <c r="C506" s="1535"/>
      <c r="D506" s="1536" t="s">
        <v>1334</v>
      </c>
      <c r="E506" s="1536"/>
      <c r="F506" s="1545"/>
      <c r="G506" s="1535" t="s">
        <v>1333</v>
      </c>
      <c r="H506" s="130"/>
      <c r="I506" s="1545"/>
      <c r="J506" s="1545"/>
      <c r="K506" s="1545"/>
      <c r="L506" s="1548"/>
      <c r="M506" s="1548"/>
      <c r="N506" s="1548"/>
      <c r="O506" s="1548"/>
      <c r="P506" s="1548"/>
      <c r="Q506" s="1548"/>
      <c r="R506" s="1548"/>
      <c r="S506" s="1548"/>
      <c r="T506" s="1548"/>
      <c r="U506" s="1548"/>
      <c r="AK506" s="802"/>
    </row>
    <row r="507" spans="2:37" s="811" customFormat="1" ht="15" customHeight="1" outlineLevel="1" x14ac:dyDescent="0.25">
      <c r="B507" s="1779"/>
      <c r="C507" s="1535"/>
      <c r="D507" s="1536"/>
      <c r="E507" s="658"/>
      <c r="F507" s="1545"/>
      <c r="G507" s="1545"/>
      <c r="H507" s="1545"/>
      <c r="I507" s="1545"/>
      <c r="J507" s="1545"/>
      <c r="K507" s="1545"/>
      <c r="L507" s="1548"/>
      <c r="M507" s="1548"/>
      <c r="N507" s="1548"/>
      <c r="O507" s="1548"/>
      <c r="P507" s="1548"/>
      <c r="Q507" s="1548"/>
      <c r="R507" s="1548"/>
      <c r="S507" s="1548"/>
      <c r="T507" s="1548"/>
      <c r="U507" s="1548"/>
      <c r="AK507" s="802"/>
    </row>
    <row r="508" spans="2:37" s="811" customFormat="1" ht="15" customHeight="1" outlineLevel="1" x14ac:dyDescent="0.25">
      <c r="B508" s="1779"/>
      <c r="C508" s="1535"/>
      <c r="D508" s="1536"/>
      <c r="E508" s="1536"/>
      <c r="F508" s="1545"/>
      <c r="G508" s="1545"/>
      <c r="H508" s="1545"/>
      <c r="I508" s="1545"/>
      <c r="J508" s="1545"/>
      <c r="K508" s="1545"/>
      <c r="L508" s="1548"/>
      <c r="M508" s="1548"/>
      <c r="N508" s="1548"/>
      <c r="O508" s="1548"/>
      <c r="P508" s="1548"/>
      <c r="Q508" s="1548"/>
      <c r="R508" s="1548"/>
      <c r="S508" s="1548"/>
      <c r="T508" s="1548"/>
      <c r="U508" s="1548"/>
      <c r="AK508" s="802"/>
    </row>
    <row r="509" spans="2:37" s="811" customFormat="1" ht="15" customHeight="1" outlineLevel="1" x14ac:dyDescent="0.25">
      <c r="B509" s="1779"/>
      <c r="C509" s="1535"/>
      <c r="D509" s="1546"/>
      <c r="E509" s="1546"/>
      <c r="F509" s="1548"/>
      <c r="G509" s="1548"/>
      <c r="H509" s="1548"/>
      <c r="I509" s="1548"/>
      <c r="J509" s="1548"/>
      <c r="K509" s="1548"/>
      <c r="L509" s="1548"/>
      <c r="M509" s="1548"/>
      <c r="N509" s="1548"/>
      <c r="O509" s="1548"/>
      <c r="P509" s="1548"/>
      <c r="Q509" s="1548"/>
      <c r="R509" s="1548"/>
      <c r="S509" s="1548"/>
      <c r="T509" s="1548"/>
      <c r="U509" s="1548"/>
      <c r="AK509" s="802"/>
    </row>
    <row r="510" spans="2:37" s="811" customFormat="1" ht="15" customHeight="1" outlineLevel="1" x14ac:dyDescent="0.25">
      <c r="B510" s="1779"/>
      <c r="C510" s="1535"/>
      <c r="D510" s="1098" t="s">
        <v>465</v>
      </c>
      <c r="E510" s="1098" t="s">
        <v>466</v>
      </c>
      <c r="F510" s="184" t="s">
        <v>514</v>
      </c>
      <c r="G510" s="184" t="s">
        <v>467</v>
      </c>
      <c r="H510" s="2050" t="s">
        <v>515</v>
      </c>
      <c r="I510" s="2050"/>
      <c r="J510" s="2050" t="s">
        <v>468</v>
      </c>
      <c r="K510" s="2050"/>
      <c r="L510" s="2050"/>
      <c r="M510" s="1548"/>
      <c r="N510" s="1548"/>
      <c r="O510" s="1548"/>
      <c r="P510" s="1548"/>
      <c r="Q510" s="1548"/>
      <c r="R510" s="1548"/>
      <c r="S510" s="1548"/>
      <c r="T510" s="1548"/>
      <c r="U510" s="1548"/>
      <c r="V510" s="48" t="s">
        <v>26</v>
      </c>
      <c r="W510" s="49">
        <f>W$6</f>
        <v>43252</v>
      </c>
      <c r="X510" s="49">
        <f t="shared" ref="X510:AG510" si="30">X$6</f>
        <v>43465</v>
      </c>
      <c r="Y510" s="49" t="str">
        <f t="shared" si="30"/>
        <v>-</v>
      </c>
      <c r="Z510" s="49" t="str">
        <f t="shared" si="30"/>
        <v>-</v>
      </c>
      <c r="AA510" s="49" t="str">
        <f t="shared" si="30"/>
        <v>-</v>
      </c>
      <c r="AB510" s="49" t="str">
        <f t="shared" si="30"/>
        <v>-</v>
      </c>
      <c r="AC510" s="49" t="str">
        <f t="shared" si="30"/>
        <v>-</v>
      </c>
      <c r="AD510" s="49" t="str">
        <f t="shared" si="30"/>
        <v>-</v>
      </c>
      <c r="AE510" s="49" t="str">
        <f t="shared" si="30"/>
        <v>-</v>
      </c>
      <c r="AF510" s="49" t="str">
        <f t="shared" si="30"/>
        <v>-</v>
      </c>
      <c r="AG510" s="49" t="str">
        <f t="shared" si="30"/>
        <v>-</v>
      </c>
      <c r="AK510" s="802"/>
    </row>
    <row r="511" spans="2:37" s="811" customFormat="1" outlineLevel="1" x14ac:dyDescent="0.25">
      <c r="B511" s="1779"/>
      <c r="C511" s="1535"/>
      <c r="D511" s="2281" t="s">
        <v>1376</v>
      </c>
      <c r="E511" s="2339" t="s">
        <v>1377</v>
      </c>
      <c r="F511" s="869" t="s">
        <v>612</v>
      </c>
      <c r="G511" s="1782">
        <v>0.81</v>
      </c>
      <c r="H511" s="2272" t="s">
        <v>972</v>
      </c>
      <c r="I511" s="2272"/>
      <c r="J511" s="2272"/>
      <c r="K511" s="2272"/>
      <c r="L511" s="2272"/>
      <c r="M511" s="1548"/>
      <c r="N511" s="1548"/>
      <c r="O511" s="1548"/>
      <c r="P511" s="1548"/>
      <c r="Q511" s="1548"/>
      <c r="R511" s="1548"/>
      <c r="S511" s="1548"/>
      <c r="T511" s="1548"/>
      <c r="U511" s="1548"/>
      <c r="V511" s="2356" t="str">
        <f>D511</f>
        <v>CoolingSavingsPerUnit</v>
      </c>
      <c r="W511" s="864">
        <v>0.81</v>
      </c>
      <c r="X511" s="864">
        <v>0.81</v>
      </c>
      <c r="Y511" s="853"/>
      <c r="Z511" s="853"/>
      <c r="AA511" s="853"/>
      <c r="AB511" s="853"/>
      <c r="AC511" s="853"/>
      <c r="AD511" s="853"/>
      <c r="AE511" s="853"/>
      <c r="AF511" s="853"/>
      <c r="AG511" s="853"/>
      <c r="AK511" s="802"/>
    </row>
    <row r="512" spans="2:37" s="811" customFormat="1" outlineLevel="1" x14ac:dyDescent="0.25">
      <c r="B512" s="1779"/>
      <c r="C512" s="1535"/>
      <c r="D512" s="2362"/>
      <c r="E512" s="2340"/>
      <c r="F512" s="910" t="s">
        <v>614</v>
      </c>
      <c r="G512" s="1783">
        <v>0.7</v>
      </c>
      <c r="H512" s="2272" t="s">
        <v>972</v>
      </c>
      <c r="I512" s="2272"/>
      <c r="J512" s="2272"/>
      <c r="K512" s="2272"/>
      <c r="L512" s="2272"/>
      <c r="M512" s="1548"/>
      <c r="N512" s="1548"/>
      <c r="O512" s="1548"/>
      <c r="P512" s="1548"/>
      <c r="Q512" s="1548"/>
      <c r="R512" s="1548"/>
      <c r="S512" s="1548"/>
      <c r="T512" s="1548"/>
      <c r="U512" s="1548"/>
      <c r="V512" s="2357"/>
      <c r="W512" s="865">
        <v>0.7</v>
      </c>
      <c r="X512" s="865">
        <v>0.7</v>
      </c>
      <c r="Y512" s="853"/>
      <c r="Z512" s="853"/>
      <c r="AA512" s="853"/>
      <c r="AB512" s="853"/>
      <c r="AC512" s="853"/>
      <c r="AD512" s="853"/>
      <c r="AE512" s="853"/>
      <c r="AF512" s="853"/>
      <c r="AG512" s="853"/>
      <c r="AK512" s="802"/>
    </row>
    <row r="513" spans="1:37" s="811" customFormat="1" ht="31.5" customHeight="1" outlineLevel="1" x14ac:dyDescent="0.25">
      <c r="B513" s="1779"/>
      <c r="C513" s="1535"/>
      <c r="D513" s="1058" t="s">
        <v>1902</v>
      </c>
      <c r="E513" s="892" t="s">
        <v>1337</v>
      </c>
      <c r="F513" s="869"/>
      <c r="G513" s="1767">
        <f>SQRT($F$67)</f>
        <v>37.242448899072144</v>
      </c>
      <c r="H513" s="2272" t="s">
        <v>1378</v>
      </c>
      <c r="I513" s="2272"/>
      <c r="J513" s="2272"/>
      <c r="K513" s="2272"/>
      <c r="L513" s="2272"/>
      <c r="M513" s="1548"/>
      <c r="N513" s="1548"/>
      <c r="O513" s="1548"/>
      <c r="P513" s="1548"/>
      <c r="Q513" s="1548"/>
      <c r="R513" s="1548"/>
      <c r="S513" s="1548"/>
      <c r="T513" s="1548"/>
      <c r="U513" s="1548"/>
      <c r="V513" s="866" t="str">
        <f>D513</f>
        <v>DuctLength</v>
      </c>
      <c r="W513" s="853">
        <f>SQRT($F$67)</f>
        <v>37.242448899072144</v>
      </c>
      <c r="X513" s="853">
        <v>37.242448899072144</v>
      </c>
      <c r="Y513" s="853"/>
      <c r="Z513" s="853"/>
      <c r="AA513" s="853"/>
      <c r="AB513" s="853"/>
      <c r="AC513" s="853"/>
      <c r="AD513" s="853"/>
      <c r="AE513" s="853"/>
      <c r="AF513" s="853"/>
      <c r="AG513" s="853"/>
      <c r="AK513" s="802"/>
    </row>
    <row r="514" spans="1:37" s="811" customFormat="1" ht="15" customHeight="1" outlineLevel="1" x14ac:dyDescent="0.25">
      <c r="B514" s="1779"/>
      <c r="C514" s="1535"/>
      <c r="D514" s="2281" t="s">
        <v>1379</v>
      </c>
      <c r="E514" s="2339" t="s">
        <v>1380</v>
      </c>
      <c r="F514" s="869" t="s">
        <v>1381</v>
      </c>
      <c r="G514" s="1782">
        <v>4.1100000000000003</v>
      </c>
      <c r="H514" s="2272" t="s">
        <v>972</v>
      </c>
      <c r="I514" s="2272"/>
      <c r="J514" s="2272"/>
      <c r="K514" s="2272"/>
      <c r="L514" s="2272"/>
      <c r="M514" s="1548"/>
      <c r="N514" s="1548"/>
      <c r="O514" s="1548"/>
      <c r="P514" s="1548"/>
      <c r="Q514" s="1548"/>
      <c r="R514" s="1548"/>
      <c r="S514" s="1548"/>
      <c r="T514" s="1548"/>
      <c r="U514" s="1548"/>
      <c r="V514" s="2356" t="str">
        <f>D514</f>
        <v>HeatingSavingsPerUnit</v>
      </c>
      <c r="W514" s="864">
        <v>4.1100000000000003</v>
      </c>
      <c r="X514" s="864">
        <v>4.1100000000000003</v>
      </c>
      <c r="Y514" s="853"/>
      <c r="Z514" s="853"/>
      <c r="AA514" s="853"/>
      <c r="AB514" s="853"/>
      <c r="AC514" s="853"/>
      <c r="AD514" s="853"/>
      <c r="AE514" s="853"/>
      <c r="AF514" s="853"/>
      <c r="AG514" s="853"/>
      <c r="AK514" s="802"/>
    </row>
    <row r="515" spans="1:37" s="811" customFormat="1" outlineLevel="1" x14ac:dyDescent="0.25">
      <c r="B515" s="1779"/>
      <c r="C515" s="1535"/>
      <c r="D515" s="2362"/>
      <c r="E515" s="2340"/>
      <c r="F515" s="869" t="s">
        <v>1382</v>
      </c>
      <c r="G515" s="1782">
        <v>3.41</v>
      </c>
      <c r="H515" s="2272" t="s">
        <v>972</v>
      </c>
      <c r="I515" s="2272"/>
      <c r="J515" s="2272"/>
      <c r="K515" s="2272"/>
      <c r="L515" s="2272"/>
      <c r="M515" s="1548"/>
      <c r="N515" s="1548"/>
      <c r="O515" s="1548"/>
      <c r="P515" s="1548"/>
      <c r="Q515" s="1548"/>
      <c r="R515" s="1548"/>
      <c r="S515" s="1548"/>
      <c r="T515" s="1548"/>
      <c r="U515" s="1548"/>
      <c r="V515" s="2363"/>
      <c r="W515" s="864">
        <v>3.41</v>
      </c>
      <c r="X515" s="864">
        <v>3.41</v>
      </c>
      <c r="Y515" s="853"/>
      <c r="Z515" s="853"/>
      <c r="AA515" s="853"/>
      <c r="AB515" s="853"/>
      <c r="AC515" s="853"/>
      <c r="AD515" s="853"/>
      <c r="AE515" s="853"/>
      <c r="AF515" s="853"/>
      <c r="AG515" s="853"/>
      <c r="AK515" s="802"/>
    </row>
    <row r="516" spans="1:37" s="811" customFormat="1" outlineLevel="1" x14ac:dyDescent="0.25">
      <c r="B516" s="1779"/>
      <c r="C516" s="1535"/>
      <c r="D516" s="2362"/>
      <c r="E516" s="2340"/>
      <c r="F516" s="869" t="s">
        <v>1383</v>
      </c>
      <c r="G516" s="1782">
        <v>5.0599999999999996</v>
      </c>
      <c r="H516" s="2272" t="s">
        <v>972</v>
      </c>
      <c r="I516" s="2272"/>
      <c r="J516" s="2272"/>
      <c r="K516" s="2272"/>
      <c r="L516" s="2272"/>
      <c r="M516" s="1548"/>
      <c r="N516" s="1548"/>
      <c r="O516" s="1548"/>
      <c r="P516" s="1548"/>
      <c r="Q516" s="1548"/>
      <c r="R516" s="1548"/>
      <c r="S516" s="1548"/>
      <c r="T516" s="1548"/>
      <c r="U516" s="1548"/>
      <c r="V516" s="2363"/>
      <c r="W516" s="864">
        <v>5.0599999999999996</v>
      </c>
      <c r="X516" s="864">
        <v>5.0599999999999996</v>
      </c>
      <c r="Y516" s="853"/>
      <c r="Z516" s="853"/>
      <c r="AA516" s="853"/>
      <c r="AB516" s="853"/>
      <c r="AC516" s="853"/>
      <c r="AD516" s="853"/>
      <c r="AE516" s="853"/>
      <c r="AF516" s="853"/>
      <c r="AG516" s="853"/>
      <c r="AK516" s="802"/>
    </row>
    <row r="517" spans="1:37" s="811" customFormat="1" outlineLevel="1" x14ac:dyDescent="0.25">
      <c r="B517" s="1779"/>
      <c r="C517" s="1535"/>
      <c r="D517" s="2362"/>
      <c r="E517" s="2340"/>
      <c r="F517" s="869" t="s">
        <v>1384</v>
      </c>
      <c r="G517" s="1782">
        <v>0.21</v>
      </c>
      <c r="H517" s="2272" t="s">
        <v>972</v>
      </c>
      <c r="I517" s="2272"/>
      <c r="J517" s="2272"/>
      <c r="K517" s="2272"/>
      <c r="L517" s="2272"/>
      <c r="M517" s="1548"/>
      <c r="N517" s="1548"/>
      <c r="O517" s="1548"/>
      <c r="P517" s="1548"/>
      <c r="Q517" s="1548"/>
      <c r="R517" s="1548"/>
      <c r="S517" s="1548"/>
      <c r="T517" s="1548"/>
      <c r="U517" s="1548"/>
      <c r="V517" s="2363"/>
      <c r="W517" s="864">
        <v>0.21</v>
      </c>
      <c r="X517" s="864">
        <v>0.21</v>
      </c>
      <c r="Y517" s="853"/>
      <c r="Z517" s="853"/>
      <c r="AA517" s="853"/>
      <c r="AB517" s="853"/>
      <c r="AC517" s="853"/>
      <c r="AD517" s="853"/>
      <c r="AE517" s="853"/>
      <c r="AF517" s="853"/>
      <c r="AG517" s="853"/>
      <c r="AK517" s="802"/>
    </row>
    <row r="518" spans="1:37" s="811" customFormat="1" outlineLevel="1" x14ac:dyDescent="0.25">
      <c r="B518" s="1779"/>
      <c r="C518" s="1535"/>
      <c r="D518" s="2282"/>
      <c r="E518" s="2341"/>
      <c r="F518" s="910" t="s">
        <v>1385</v>
      </c>
      <c r="G518" s="1782">
        <v>0.19</v>
      </c>
      <c r="H518" s="2272" t="s">
        <v>972</v>
      </c>
      <c r="I518" s="2272"/>
      <c r="J518" s="2278"/>
      <c r="K518" s="2278"/>
      <c r="L518" s="2278"/>
      <c r="M518" s="1548"/>
      <c r="N518" s="1548"/>
      <c r="O518" s="1548"/>
      <c r="P518" s="1548"/>
      <c r="Q518" s="1548"/>
      <c r="R518" s="1548"/>
      <c r="S518" s="1548"/>
      <c r="T518" s="1548"/>
      <c r="U518" s="1548"/>
      <c r="V518" s="2364"/>
      <c r="W518" s="864">
        <v>0.19</v>
      </c>
      <c r="X518" s="864">
        <v>0.19</v>
      </c>
      <c r="Y518" s="853"/>
      <c r="Z518" s="853"/>
      <c r="AA518" s="853"/>
      <c r="AB518" s="853"/>
      <c r="AC518" s="853"/>
      <c r="AD518" s="853"/>
      <c r="AE518" s="853"/>
      <c r="AF518" s="853"/>
      <c r="AG518" s="853"/>
      <c r="AK518" s="802"/>
    </row>
    <row r="519" spans="1:37" s="811" customFormat="1" ht="32.25" customHeight="1" outlineLevel="1" x14ac:dyDescent="0.25">
      <c r="B519" s="1779"/>
      <c r="C519" s="1535"/>
      <c r="D519" s="577" t="s">
        <v>1900</v>
      </c>
      <c r="E519" s="807" t="s">
        <v>1358</v>
      </c>
      <c r="F519" s="910"/>
      <c r="G519" s="1772">
        <v>3.1399999999999997E-2</v>
      </c>
      <c r="H519" s="2274" t="s">
        <v>972</v>
      </c>
      <c r="I519" s="2274"/>
      <c r="J519" s="2278"/>
      <c r="K519" s="2278"/>
      <c r="L519" s="2278"/>
      <c r="M519" s="1548"/>
      <c r="N519" s="1548"/>
      <c r="O519" s="1548"/>
      <c r="P519" s="1548"/>
      <c r="Q519" s="1548"/>
      <c r="R519" s="1548"/>
      <c r="S519" s="1548"/>
      <c r="T519" s="1548"/>
      <c r="U519" s="1548"/>
      <c r="V519" s="830" t="str">
        <f t="shared" ref="V519:V525" si="31">D519</f>
        <v>Fe</v>
      </c>
      <c r="W519" s="857">
        <v>3.1399999999999997E-2</v>
      </c>
      <c r="X519" s="857">
        <v>3.1399999999999997E-2</v>
      </c>
      <c r="Y519" s="853"/>
      <c r="Z519" s="853"/>
      <c r="AA519" s="853"/>
      <c r="AB519" s="853"/>
      <c r="AC519" s="853"/>
      <c r="AD519" s="853"/>
      <c r="AE519" s="853"/>
      <c r="AF519" s="853"/>
      <c r="AG519" s="853"/>
      <c r="AK519" s="802"/>
    </row>
    <row r="520" spans="1:37" s="811" customFormat="1" ht="15" customHeight="1" outlineLevel="1" x14ac:dyDescent="0.25">
      <c r="B520" s="1779"/>
      <c r="C520" s="1535"/>
      <c r="D520" s="918">
        <v>29.3</v>
      </c>
      <c r="E520" s="807" t="s">
        <v>1360</v>
      </c>
      <c r="F520" s="910"/>
      <c r="G520" s="805">
        <v>29.3</v>
      </c>
      <c r="H520" s="2272" t="s">
        <v>1361</v>
      </c>
      <c r="I520" s="2272"/>
      <c r="J520" s="2278"/>
      <c r="K520" s="2278"/>
      <c r="L520" s="2278"/>
      <c r="M520" s="1548"/>
      <c r="N520" s="1548"/>
      <c r="O520" s="1548"/>
      <c r="P520" s="1548"/>
      <c r="Q520" s="1548"/>
      <c r="R520" s="1548"/>
      <c r="S520" s="1548"/>
      <c r="T520" s="1548"/>
      <c r="U520" s="1548"/>
      <c r="V520" s="830">
        <f t="shared" si="31"/>
        <v>29.3</v>
      </c>
      <c r="W520" s="200">
        <v>29.3</v>
      </c>
      <c r="X520" s="200">
        <v>29.3</v>
      </c>
      <c r="Y520" s="853"/>
      <c r="Z520" s="853"/>
      <c r="AA520" s="853"/>
      <c r="AB520" s="853"/>
      <c r="AC520" s="853"/>
      <c r="AD520" s="853"/>
      <c r="AE520" s="853"/>
      <c r="AF520" s="853"/>
      <c r="AG520" s="853"/>
      <c r="AK520" s="802"/>
    </row>
    <row r="521" spans="1:37" s="811" customFormat="1" ht="15" customHeight="1" outlineLevel="1" x14ac:dyDescent="0.25">
      <c r="B521" s="1779"/>
      <c r="C521" s="1535"/>
      <c r="D521" s="890" t="s">
        <v>764</v>
      </c>
      <c r="E521" s="890" t="s">
        <v>1366</v>
      </c>
      <c r="F521" s="910"/>
      <c r="G521" s="908">
        <v>1</v>
      </c>
      <c r="H521" s="2271" t="s">
        <v>1367</v>
      </c>
      <c r="I521" s="2271"/>
      <c r="J521" s="2278"/>
      <c r="K521" s="2278"/>
      <c r="L521" s="2278"/>
      <c r="M521" s="1548"/>
      <c r="N521" s="1548"/>
      <c r="O521" s="1548"/>
      <c r="P521" s="1548"/>
      <c r="Q521" s="1548"/>
      <c r="R521" s="1548"/>
      <c r="S521" s="1548"/>
      <c r="T521" s="1548"/>
      <c r="U521" s="1548"/>
      <c r="V521" s="830" t="str">
        <f t="shared" si="31"/>
        <v>Electric Saturation</v>
      </c>
      <c r="W521" s="860">
        <v>1</v>
      </c>
      <c r="X521" s="860">
        <v>1</v>
      </c>
      <c r="Y521" s="853"/>
      <c r="Z521" s="853"/>
      <c r="AA521" s="853"/>
      <c r="AB521" s="853"/>
      <c r="AC521" s="853"/>
      <c r="AD521" s="853"/>
      <c r="AE521" s="853"/>
      <c r="AF521" s="853"/>
      <c r="AG521" s="853"/>
      <c r="AK521" s="802"/>
    </row>
    <row r="522" spans="1:37" s="811" customFormat="1" ht="15" customHeight="1" outlineLevel="1" x14ac:dyDescent="0.25">
      <c r="B522" s="1779"/>
      <c r="C522" s="1535"/>
      <c r="D522" s="890" t="s">
        <v>736</v>
      </c>
      <c r="E522" s="890" t="s">
        <v>769</v>
      </c>
      <c r="F522" s="910"/>
      <c r="G522" s="908">
        <v>1</v>
      </c>
      <c r="H522" s="2271" t="s">
        <v>1367</v>
      </c>
      <c r="I522" s="2271"/>
      <c r="J522" s="2278"/>
      <c r="K522" s="2278"/>
      <c r="L522" s="2278"/>
      <c r="M522" s="1548"/>
      <c r="N522" s="1548"/>
      <c r="O522" s="1548"/>
      <c r="P522" s="1548"/>
      <c r="Q522" s="1548"/>
      <c r="R522" s="1548"/>
      <c r="S522" s="1548"/>
      <c r="T522" s="1548"/>
      <c r="U522" s="1548"/>
      <c r="V522" s="830" t="str">
        <f t="shared" si="31"/>
        <v>Utility Adjustment</v>
      </c>
      <c r="W522" s="860">
        <v>1</v>
      </c>
      <c r="X522" s="860">
        <v>1</v>
      </c>
      <c r="Y522" s="853"/>
      <c r="Z522" s="853"/>
      <c r="AA522" s="853"/>
      <c r="AB522" s="853"/>
      <c r="AC522" s="853"/>
      <c r="AD522" s="853"/>
      <c r="AE522" s="853"/>
      <c r="AF522" s="853"/>
      <c r="AG522" s="853"/>
      <c r="AK522" s="802"/>
    </row>
    <row r="523" spans="1:37" s="811" customFormat="1" ht="15" customHeight="1" outlineLevel="1" x14ac:dyDescent="0.25">
      <c r="B523" s="1779"/>
      <c r="C523" s="1535"/>
      <c r="D523" s="918" t="s">
        <v>58</v>
      </c>
      <c r="E523" s="918" t="s">
        <v>1369</v>
      </c>
      <c r="F523" s="910"/>
      <c r="G523" s="979">
        <v>1</v>
      </c>
      <c r="H523" s="2272" t="s">
        <v>1370</v>
      </c>
      <c r="I523" s="2272"/>
      <c r="J523" s="2361" t="s">
        <v>1354</v>
      </c>
      <c r="K523" s="2361"/>
      <c r="L523" s="2361"/>
      <c r="M523" s="1548"/>
      <c r="N523" s="1548"/>
      <c r="O523" s="1548"/>
      <c r="P523" s="1548"/>
      <c r="Q523" s="1548"/>
      <c r="R523" s="1548"/>
      <c r="S523" s="1548"/>
      <c r="T523" s="1548"/>
      <c r="U523" s="1548"/>
      <c r="V523" s="830" t="str">
        <f t="shared" si="31"/>
        <v>ISR</v>
      </c>
      <c r="W523" s="862">
        <v>1</v>
      </c>
      <c r="X523" s="862">
        <v>1</v>
      </c>
      <c r="Y523" s="853"/>
      <c r="Z523" s="853"/>
      <c r="AA523" s="853"/>
      <c r="AB523" s="853"/>
      <c r="AC523" s="853"/>
      <c r="AD523" s="853"/>
      <c r="AE523" s="853"/>
      <c r="AF523" s="853"/>
      <c r="AG523" s="853"/>
      <c r="AK523" s="802"/>
    </row>
    <row r="524" spans="1:37" s="811" customFormat="1" ht="15" customHeight="1" outlineLevel="1" x14ac:dyDescent="0.25">
      <c r="B524" s="1548"/>
      <c r="C524" s="1535"/>
      <c r="D524" s="1754" t="str">
        <f>D491</f>
        <v>EUL</v>
      </c>
      <c r="E524" s="1754" t="str">
        <f>E491</f>
        <v>Effective Useful Life</v>
      </c>
      <c r="F524" s="876" t="s">
        <v>483</v>
      </c>
      <c r="G524" s="962">
        <v>20</v>
      </c>
      <c r="H524" s="2271"/>
      <c r="I524" s="2299"/>
      <c r="J524" s="2278"/>
      <c r="K524" s="2278"/>
      <c r="L524" s="2278"/>
      <c r="M524" s="1771"/>
      <c r="N524" s="1548"/>
      <c r="O524" s="1548"/>
      <c r="P524" s="1548"/>
      <c r="Q524" s="1548"/>
      <c r="R524" s="1548"/>
      <c r="S524" s="1548"/>
      <c r="T524" s="1548"/>
      <c r="U524" s="1548"/>
      <c r="V524" s="830" t="str">
        <f t="shared" si="31"/>
        <v>EUL</v>
      </c>
      <c r="W524" s="863">
        <v>20</v>
      </c>
      <c r="X524" s="863">
        <v>20</v>
      </c>
      <c r="Y524" s="863"/>
      <c r="Z524" s="863"/>
      <c r="AA524" s="863"/>
      <c r="AB524" s="863"/>
      <c r="AC524" s="863"/>
      <c r="AD524" s="863"/>
      <c r="AE524" s="863"/>
      <c r="AF524" s="863"/>
      <c r="AG524" s="863"/>
      <c r="AK524" s="802"/>
    </row>
    <row r="525" spans="1:37" s="811" customFormat="1" outlineLevel="1" x14ac:dyDescent="0.25">
      <c r="B525" s="1548"/>
      <c r="C525" s="1535"/>
      <c r="D525" s="1754" t="str">
        <f>D492</f>
        <v>Inc. Cost</v>
      </c>
      <c r="E525" s="1754" t="str">
        <f>E492</f>
        <v>Incremental Cost</v>
      </c>
      <c r="F525" s="526" t="s">
        <v>483</v>
      </c>
      <c r="G525" s="526">
        <v>299.34233999999998</v>
      </c>
      <c r="H525" s="2272"/>
      <c r="I525" s="2315"/>
      <c r="J525" s="2361"/>
      <c r="K525" s="2361"/>
      <c r="L525" s="2361"/>
      <c r="M525" s="1771"/>
      <c r="N525" s="1548"/>
      <c r="O525" s="1548"/>
      <c r="P525" s="1548"/>
      <c r="Q525" s="1548"/>
      <c r="R525" s="1548"/>
      <c r="S525" s="1548"/>
      <c r="T525" s="1548"/>
      <c r="U525" s="1548"/>
      <c r="V525" s="830" t="str">
        <f t="shared" si="31"/>
        <v>Inc. Cost</v>
      </c>
      <c r="W525" s="832">
        <v>299.34233999999998</v>
      </c>
      <c r="X525" s="832">
        <v>299.34233999999998</v>
      </c>
      <c r="Y525" s="832"/>
      <c r="Z525" s="832"/>
      <c r="AA525" s="832"/>
      <c r="AB525" s="832"/>
      <c r="AC525" s="832"/>
      <c r="AD525" s="832"/>
      <c r="AE525" s="832"/>
      <c r="AF525" s="832"/>
      <c r="AG525" s="832"/>
      <c r="AK525" s="802"/>
    </row>
    <row r="526" spans="1:37" s="811" customFormat="1" x14ac:dyDescent="0.25">
      <c r="B526" s="1779"/>
      <c r="C526" s="1535"/>
      <c r="D526" s="1777"/>
      <c r="E526" s="1777"/>
      <c r="F526" s="1548"/>
      <c r="G526" s="1778"/>
      <c r="H526" s="1778"/>
      <c r="I526" s="1778"/>
      <c r="J526" s="1548"/>
      <c r="K526" s="1548"/>
      <c r="L526" s="1548"/>
      <c r="M526" s="1548"/>
      <c r="N526" s="1548"/>
      <c r="O526" s="1548"/>
      <c r="P526" s="1548"/>
      <c r="Q526" s="1548"/>
      <c r="R526" s="1548"/>
      <c r="S526" s="1548"/>
      <c r="T526" s="1548"/>
      <c r="U526" s="1548"/>
      <c r="AK526" s="802"/>
    </row>
    <row r="527" spans="1:37" s="811" customFormat="1" x14ac:dyDescent="0.25">
      <c r="B527" s="1548"/>
      <c r="C527" s="1535"/>
      <c r="D527" s="1777"/>
      <c r="E527" s="1777"/>
      <c r="F527" s="1778"/>
      <c r="G527" s="1778"/>
      <c r="H527" s="1778"/>
      <c r="I527" s="1548"/>
      <c r="J527" s="1548"/>
      <c r="K527" s="1548"/>
      <c r="L527" s="1548"/>
      <c r="M527" s="1548"/>
      <c r="N527" s="1548"/>
      <c r="O527" s="1548"/>
      <c r="P527" s="1548"/>
      <c r="Q527" s="1548"/>
      <c r="R527" s="1548"/>
      <c r="S527" s="1548"/>
      <c r="T527" s="1548"/>
      <c r="U527" s="1548"/>
      <c r="AK527" s="802"/>
    </row>
    <row r="528" spans="1:37" x14ac:dyDescent="0.25">
      <c r="A528" s="397"/>
      <c r="B528" s="2022" t="str">
        <f>'HVAC Deemed Table'!B4:L4</f>
        <v>ECM/ Blower Motor</v>
      </c>
      <c r="C528" s="2023"/>
      <c r="D528" s="2023"/>
      <c r="E528" s="2023"/>
      <c r="F528" s="2023"/>
      <c r="G528" s="2023"/>
      <c r="H528" s="2023"/>
      <c r="I528" s="1992"/>
      <c r="J528" s="1992"/>
      <c r="K528" s="1992"/>
      <c r="L528" s="1992"/>
      <c r="M528" s="1992"/>
      <c r="N528" s="1992"/>
      <c r="O528" s="1992"/>
      <c r="P528" s="1992"/>
      <c r="Q528" s="1992"/>
      <c r="R528" s="1993"/>
      <c r="V528" s="2022" t="str">
        <f>B528</f>
        <v>ECM/ Blower Motor</v>
      </c>
      <c r="W528" s="2023"/>
      <c r="X528" s="2023"/>
      <c r="Y528" s="2023"/>
      <c r="Z528" s="2023"/>
      <c r="AA528" s="2023"/>
      <c r="AB528" s="2023"/>
      <c r="AC528" s="2024"/>
      <c r="AD528" s="2024"/>
      <c r="AE528" s="2024"/>
      <c r="AF528" s="2024"/>
      <c r="AG528" s="2024"/>
      <c r="AH528" s="2024"/>
      <c r="AI528" s="2025"/>
      <c r="AJ528" s="811"/>
      <c r="AK528" s="802"/>
    </row>
    <row r="529" spans="2:37" x14ac:dyDescent="0.25">
      <c r="B529" s="1087"/>
      <c r="C529" s="1434"/>
      <c r="D529" s="1435"/>
      <c r="E529" s="1435"/>
      <c r="F529" s="1436"/>
      <c r="G529" s="1436"/>
      <c r="H529" s="1436"/>
      <c r="I529" s="1436"/>
      <c r="J529" s="1436"/>
      <c r="K529" s="1436"/>
      <c r="L529" s="1437"/>
      <c r="AJ529" s="811"/>
      <c r="AK529" s="802"/>
    </row>
    <row r="530" spans="2:37" ht="45" x14ac:dyDescent="0.25">
      <c r="B530" s="1087"/>
      <c r="C530" s="184" t="s">
        <v>16</v>
      </c>
      <c r="D530" s="184" t="s">
        <v>509</v>
      </c>
      <c r="E530" s="184" t="s">
        <v>18</v>
      </c>
      <c r="F530" s="184" t="s">
        <v>19</v>
      </c>
      <c r="G530" s="184" t="s">
        <v>20</v>
      </c>
      <c r="H530" s="184" t="s">
        <v>21</v>
      </c>
      <c r="I530" s="184" t="s">
        <v>724</v>
      </c>
      <c r="J530" s="184" t="s">
        <v>725</v>
      </c>
      <c r="K530" s="184" t="s">
        <v>879</v>
      </c>
      <c r="L530" s="184" t="s">
        <v>880</v>
      </c>
      <c r="M530" s="184" t="s">
        <v>22</v>
      </c>
      <c r="N530" s="448" t="s">
        <v>23</v>
      </c>
      <c r="O530" s="184" t="s">
        <v>24</v>
      </c>
      <c r="P530" s="184" t="s">
        <v>25</v>
      </c>
      <c r="V530" s="48" t="s">
        <v>26</v>
      </c>
      <c r="W530" s="49">
        <f>W$6</f>
        <v>43252</v>
      </c>
      <c r="X530" s="49">
        <f t="shared" ref="X530:AG530" si="32">X$6</f>
        <v>43465</v>
      </c>
      <c r="Y530" s="49" t="str">
        <f t="shared" si="32"/>
        <v>-</v>
      </c>
      <c r="Z530" s="49" t="str">
        <f t="shared" si="32"/>
        <v>-</v>
      </c>
      <c r="AA530" s="49" t="str">
        <f t="shared" si="32"/>
        <v>-</v>
      </c>
      <c r="AB530" s="49" t="str">
        <f t="shared" si="32"/>
        <v>-</v>
      </c>
      <c r="AC530" s="49" t="str">
        <f t="shared" si="32"/>
        <v>-</v>
      </c>
      <c r="AD530" s="49" t="str">
        <f t="shared" si="32"/>
        <v>-</v>
      </c>
      <c r="AE530" s="49" t="str">
        <f t="shared" si="32"/>
        <v>-</v>
      </c>
      <c r="AF530" s="49" t="str">
        <f t="shared" si="32"/>
        <v>-</v>
      </c>
      <c r="AG530" s="49" t="str">
        <f t="shared" si="32"/>
        <v>-</v>
      </c>
      <c r="AJ530" s="811"/>
      <c r="AK530" s="802"/>
    </row>
    <row r="531" spans="2:37" x14ac:dyDescent="0.25">
      <c r="B531" s="1087"/>
      <c r="C531" s="1531"/>
      <c r="D531" s="1066" t="s">
        <v>1250</v>
      </c>
      <c r="E531" s="1066" t="s">
        <v>1386</v>
      </c>
      <c r="F531" s="1784">
        <f t="shared" ref="F531:F542" si="33">I531+J531+K531+L531</f>
        <v>591.90332067911811</v>
      </c>
      <c r="G531" s="1531" t="s">
        <v>728</v>
      </c>
      <c r="H531" s="170">
        <f>VLOOKUP(G531,'CP FACTORS'!$A$3:$B$38, 2, FALSE)</f>
        <v>4.6608050000000002E-4</v>
      </c>
      <c r="I531" s="1062">
        <f>(1-F551)*400*F$557/F$558*F568</f>
        <v>265.20931146252826</v>
      </c>
      <c r="J531" s="1062">
        <f>(1-F559)*70*F$565/F$566*F568</f>
        <v>4.7032258064516173</v>
      </c>
      <c r="K531" s="1062">
        <f>(25*F$565/F$566+2960*10%-30)*F568</f>
        <v>321.99078341013825</v>
      </c>
      <c r="L531" s="1062">
        <v>0</v>
      </c>
      <c r="M531" s="1605">
        <f>H531*F531</f>
        <v>0.27587459565378369</v>
      </c>
      <c r="N531" s="1785">
        <f>F574</f>
        <v>20</v>
      </c>
      <c r="O531" s="526">
        <f>F580</f>
        <v>97</v>
      </c>
      <c r="P531" s="1786" t="s">
        <v>31</v>
      </c>
      <c r="R531" s="1551"/>
      <c r="V531" s="176" t="str">
        <f>$F$456</f>
        <v>kWh
Annual Savings</v>
      </c>
      <c r="W531" s="1204">
        <v>591.90332067911811</v>
      </c>
      <c r="X531" s="1205">
        <v>591.90332067911811</v>
      </c>
      <c r="Y531" s="176"/>
      <c r="Z531" s="176"/>
      <c r="AA531" s="176"/>
      <c r="AB531" s="176"/>
      <c r="AC531" s="176"/>
      <c r="AD531" s="176"/>
      <c r="AE531" s="176"/>
      <c r="AF531" s="176"/>
      <c r="AG531" s="176"/>
      <c r="AJ531" s="811"/>
      <c r="AK531" s="802"/>
    </row>
    <row r="532" spans="2:37" x14ac:dyDescent="0.25">
      <c r="B532" s="1087"/>
      <c r="C532" s="1531"/>
      <c r="D532" s="1066" t="s">
        <v>1250</v>
      </c>
      <c r="E532" s="1726" t="s">
        <v>1387</v>
      </c>
      <c r="F532" s="1784">
        <f t="shared" si="33"/>
        <v>794.49034774724942</v>
      </c>
      <c r="G532" s="1531" t="s">
        <v>728</v>
      </c>
      <c r="H532" s="170">
        <f>VLOOKUP(G532,'CP FACTORS'!$A$3:$B$38, 2, FALSE)</f>
        <v>4.6608050000000002E-4</v>
      </c>
      <c r="I532" s="1062">
        <f>(1-F552)*400*F$557/F$558*F569</f>
        <v>315.72537078872409</v>
      </c>
      <c r="J532" s="1062">
        <f>(1-F560)*70*F$565/F$566*F569</f>
        <v>156.7741935483871</v>
      </c>
      <c r="K532" s="1062">
        <f>(25*F$565/F$566+2960*10%-30)*F569</f>
        <v>321.99078341013825</v>
      </c>
      <c r="L532" s="1062">
        <v>0</v>
      </c>
      <c r="M532" s="1605">
        <f t="shared" ref="M532:M542" si="34">H532*F532</f>
        <v>0.37029645852321191</v>
      </c>
      <c r="N532" s="1785">
        <f>F575</f>
        <v>6</v>
      </c>
      <c r="O532" s="526">
        <f>F581</f>
        <v>475</v>
      </c>
      <c r="P532" s="1438" t="s">
        <v>31</v>
      </c>
      <c r="R532" s="1551"/>
      <c r="V532" s="176" t="str">
        <f t="shared" ref="V532:V542" si="35">$F$456</f>
        <v>kWh
Annual Savings</v>
      </c>
      <c r="W532" s="1204">
        <v>794.49034774724942</v>
      </c>
      <c r="X532" s="1205">
        <v>794.49034774724942</v>
      </c>
      <c r="Y532" s="176"/>
      <c r="Z532" s="176"/>
      <c r="AA532" s="176"/>
      <c r="AB532" s="176"/>
      <c r="AC532" s="176"/>
      <c r="AD532" s="176"/>
      <c r="AE532" s="176"/>
      <c r="AF532" s="176"/>
      <c r="AG532" s="176"/>
      <c r="AH532" s="811"/>
      <c r="AI532" s="811"/>
      <c r="AJ532" s="811"/>
      <c r="AK532" s="802"/>
    </row>
    <row r="533" spans="2:37" x14ac:dyDescent="0.25">
      <c r="B533" s="1087"/>
      <c r="C533" s="1531"/>
      <c r="D533" s="1066" t="s">
        <v>1250</v>
      </c>
      <c r="E533" s="1787" t="s">
        <v>1388</v>
      </c>
      <c r="F533" s="1784">
        <f t="shared" si="33"/>
        <v>591.90332067911811</v>
      </c>
      <c r="G533" s="559" t="str">
        <f>'CP FACTORS'!$A$17</f>
        <v>HVAC RES ER2</v>
      </c>
      <c r="H533" s="170">
        <f>VLOOKUP(G533,'CP FACTORS'!$A$3:$B$38, 2, FALSE)</f>
        <v>4.6608050000000002E-4</v>
      </c>
      <c r="I533" s="1062">
        <f>(1-F553)*400*F$557/F$558*F570</f>
        <v>265.20931146252826</v>
      </c>
      <c r="J533" s="1062">
        <f>(1-F561)*70*F$565/F$566*F570</f>
        <v>4.7032258064516173</v>
      </c>
      <c r="K533" s="1062">
        <f>(25*F$565/F$566+2960*10%-30)*F570</f>
        <v>321.99078341013825</v>
      </c>
      <c r="L533" s="1062">
        <v>0</v>
      </c>
      <c r="M533" s="1605">
        <f t="shared" si="34"/>
        <v>0.27587459565378369</v>
      </c>
      <c r="N533" s="1785">
        <f>F576</f>
        <v>12</v>
      </c>
      <c r="O533" s="526">
        <f>F582</f>
        <v>0</v>
      </c>
      <c r="P533" s="1438" t="s">
        <v>31</v>
      </c>
      <c r="R533" s="1551"/>
      <c r="V533" s="176" t="str">
        <f t="shared" si="35"/>
        <v>kWh
Annual Savings</v>
      </c>
      <c r="W533" s="1204">
        <v>591.90332067911811</v>
      </c>
      <c r="X533" s="1205">
        <v>591.90332067911811</v>
      </c>
      <c r="Y533" s="176"/>
      <c r="Z533" s="176"/>
      <c r="AA533" s="176"/>
      <c r="AB533" s="176"/>
      <c r="AC533" s="176"/>
      <c r="AD533" s="176"/>
      <c r="AE533" s="176"/>
      <c r="AF533" s="176"/>
      <c r="AG533" s="176"/>
      <c r="AK533" s="802"/>
    </row>
    <row r="534" spans="2:37" x14ac:dyDescent="0.25">
      <c r="B534" s="1087"/>
      <c r="C534" s="1531"/>
      <c r="D534" s="1066" t="s">
        <v>1250</v>
      </c>
      <c r="E534" s="1066" t="s">
        <v>1389</v>
      </c>
      <c r="F534" s="1784">
        <f t="shared" si="33"/>
        <v>3255.9033206791182</v>
      </c>
      <c r="G534" s="559" t="s">
        <v>728</v>
      </c>
      <c r="H534" s="170">
        <f>VLOOKUP(G534,'CP FACTORS'!$A$3:$B$38, 2, FALSE)</f>
        <v>4.6608050000000002E-4</v>
      </c>
      <c r="I534" s="1062">
        <f t="shared" ref="I534:I539" si="36">(1-F551)*400*F$557/F$558*F568</f>
        <v>265.20931146252826</v>
      </c>
      <c r="J534" s="1062">
        <f t="shared" ref="J534:J539" si="37">(1-F559)*70*F$565/F$566*F568</f>
        <v>4.7032258064516173</v>
      </c>
      <c r="K534" s="1062">
        <v>0</v>
      </c>
      <c r="L534" s="1062">
        <f>(25*F$565/F$566+2960-30)*F568</f>
        <v>2985.9907834101382</v>
      </c>
      <c r="M534" s="1605">
        <f t="shared" si="34"/>
        <v>1.5175130476537839</v>
      </c>
      <c r="N534" s="1785">
        <f t="shared" ref="N534:N539" si="38">F574</f>
        <v>20</v>
      </c>
      <c r="O534" s="526">
        <f t="shared" ref="O534:O539" si="39">F580</f>
        <v>97</v>
      </c>
      <c r="P534" s="1438" t="s">
        <v>31</v>
      </c>
      <c r="R534" s="1551"/>
      <c r="V534" s="176" t="str">
        <f t="shared" si="35"/>
        <v>kWh
Annual Savings</v>
      </c>
      <c r="W534" s="1204">
        <v>3255.9033206791182</v>
      </c>
      <c r="X534" s="1205">
        <v>3255.9033206791182</v>
      </c>
      <c r="Y534" s="176"/>
      <c r="Z534" s="176"/>
      <c r="AA534" s="176"/>
      <c r="AB534" s="176"/>
      <c r="AC534" s="176"/>
      <c r="AD534" s="176"/>
      <c r="AE534" s="176"/>
      <c r="AF534" s="176"/>
      <c r="AG534" s="176"/>
      <c r="AK534" s="802"/>
    </row>
    <row r="535" spans="2:37" x14ac:dyDescent="0.25">
      <c r="B535" s="1087"/>
      <c r="C535" s="1531"/>
      <c r="D535" s="1066" t="s">
        <v>1250</v>
      </c>
      <c r="E535" s="1726" t="s">
        <v>1390</v>
      </c>
      <c r="F535" s="1784">
        <f t="shared" si="33"/>
        <v>3458.4903477472494</v>
      </c>
      <c r="G535" s="559" t="s">
        <v>728</v>
      </c>
      <c r="H535" s="170">
        <f>VLOOKUP(G535,'CP FACTORS'!$A$3:$B$38, 2, FALSE)</f>
        <v>4.6608050000000002E-4</v>
      </c>
      <c r="I535" s="1062">
        <f>(1-F552)*400*F$557/F$558*F569</f>
        <v>315.72537078872409</v>
      </c>
      <c r="J535" s="1062">
        <f t="shared" si="37"/>
        <v>156.7741935483871</v>
      </c>
      <c r="K535" s="1062">
        <v>0</v>
      </c>
      <c r="L535" s="1062">
        <f>(25*F$565/F$566+2960-30)*F569</f>
        <v>2985.9907834101382</v>
      </c>
      <c r="M535" s="1605">
        <f t="shared" si="34"/>
        <v>1.6119349105232119</v>
      </c>
      <c r="N535" s="1785">
        <f t="shared" si="38"/>
        <v>6</v>
      </c>
      <c r="O535" s="526">
        <f t="shared" si="39"/>
        <v>475</v>
      </c>
      <c r="P535" s="1438" t="s">
        <v>31</v>
      </c>
      <c r="R535" s="1551"/>
      <c r="V535" s="176" t="str">
        <f t="shared" si="35"/>
        <v>kWh
Annual Savings</v>
      </c>
      <c r="W535" s="1204">
        <v>3458.4903477472494</v>
      </c>
      <c r="X535" s="1205">
        <v>3458.4903477472494</v>
      </c>
      <c r="Y535" s="176"/>
      <c r="Z535" s="176"/>
      <c r="AA535" s="176"/>
      <c r="AB535" s="176"/>
      <c r="AC535" s="176"/>
      <c r="AD535" s="176"/>
      <c r="AE535" s="176"/>
      <c r="AF535" s="176"/>
      <c r="AG535" s="176"/>
      <c r="AK535" s="802"/>
    </row>
    <row r="536" spans="2:37" x14ac:dyDescent="0.25">
      <c r="B536" s="1087"/>
      <c r="C536" s="1531"/>
      <c r="D536" s="1066" t="s">
        <v>1250</v>
      </c>
      <c r="E536" s="1787" t="s">
        <v>1391</v>
      </c>
      <c r="F536" s="1784">
        <f t="shared" si="33"/>
        <v>3255.9033206791182</v>
      </c>
      <c r="G536" s="559" t="str">
        <f>'CP FACTORS'!$A$17</f>
        <v>HVAC RES ER2</v>
      </c>
      <c r="H536" s="170">
        <f>VLOOKUP(G536,'CP FACTORS'!$A$3:$B$38, 2, FALSE)</f>
        <v>4.6608050000000002E-4</v>
      </c>
      <c r="I536" s="1062">
        <f t="shared" si="36"/>
        <v>265.20931146252826</v>
      </c>
      <c r="J536" s="1062">
        <f t="shared" si="37"/>
        <v>4.7032258064516173</v>
      </c>
      <c r="K536" s="1062">
        <v>0</v>
      </c>
      <c r="L536" s="1062">
        <f>(25*F$565/F$566+2960-30)*F570</f>
        <v>2985.9907834101382</v>
      </c>
      <c r="M536" s="1605">
        <f t="shared" si="34"/>
        <v>1.5175130476537839</v>
      </c>
      <c r="N536" s="1785">
        <f t="shared" si="38"/>
        <v>12</v>
      </c>
      <c r="O536" s="526">
        <f t="shared" si="39"/>
        <v>0</v>
      </c>
      <c r="P536" s="1438" t="s">
        <v>31</v>
      </c>
      <c r="R536" s="1551"/>
      <c r="V536" s="176" t="str">
        <f t="shared" si="35"/>
        <v>kWh
Annual Savings</v>
      </c>
      <c r="W536" s="1204">
        <v>3255.9033206791182</v>
      </c>
      <c r="X536" s="1205">
        <v>3255.9033206791182</v>
      </c>
      <c r="Y536" s="176"/>
      <c r="Z536" s="176"/>
      <c r="AA536" s="176"/>
      <c r="AB536" s="176"/>
      <c r="AC536" s="176"/>
      <c r="AD536" s="176"/>
      <c r="AE536" s="176"/>
      <c r="AF536" s="176"/>
      <c r="AG536" s="176"/>
      <c r="AK536" s="802"/>
    </row>
    <row r="537" spans="2:37" x14ac:dyDescent="0.25">
      <c r="B537" s="1087"/>
      <c r="C537" s="1531"/>
      <c r="D537" s="1066" t="s">
        <v>1246</v>
      </c>
      <c r="E537" s="1066" t="s">
        <v>1392</v>
      </c>
      <c r="F537" s="1784">
        <f t="shared" si="33"/>
        <v>591.90332067911811</v>
      </c>
      <c r="G537" s="559" t="s">
        <v>728</v>
      </c>
      <c r="H537" s="170">
        <f>VLOOKUP(G537,'CP FACTORS'!$A$3:$B$38, 2, FALSE)</f>
        <v>4.6608050000000002E-4</v>
      </c>
      <c r="I537" s="1062">
        <f>(1-F554)*400*F$557/F$558*F571</f>
        <v>265.20931146252826</v>
      </c>
      <c r="J537" s="1062">
        <f t="shared" si="37"/>
        <v>4.7032258064516173</v>
      </c>
      <c r="K537" s="1062">
        <f>(25*F$565/F$566+2960*10%-30)*F571</f>
        <v>321.99078341013825</v>
      </c>
      <c r="L537" s="1062">
        <v>0</v>
      </c>
      <c r="M537" s="1605">
        <f t="shared" si="34"/>
        <v>0.27587459565378369</v>
      </c>
      <c r="N537" s="1785">
        <f t="shared" si="38"/>
        <v>20</v>
      </c>
      <c r="O537" s="526">
        <f t="shared" si="39"/>
        <v>97</v>
      </c>
      <c r="P537" s="1438" t="s">
        <v>31</v>
      </c>
      <c r="R537" s="1551"/>
      <c r="V537" s="176" t="str">
        <f t="shared" si="35"/>
        <v>kWh
Annual Savings</v>
      </c>
      <c r="W537" s="1204">
        <v>591.90332067911811</v>
      </c>
      <c r="X537" s="1205">
        <v>591.90332067911811</v>
      </c>
      <c r="Y537" s="176"/>
      <c r="Z537" s="176"/>
      <c r="AA537" s="176"/>
      <c r="AB537" s="176"/>
      <c r="AC537" s="176"/>
      <c r="AD537" s="176"/>
      <c r="AE537" s="176"/>
      <c r="AF537" s="176"/>
      <c r="AG537" s="176"/>
      <c r="AK537" s="802"/>
    </row>
    <row r="538" spans="2:37" x14ac:dyDescent="0.25">
      <c r="B538" s="1087"/>
      <c r="C538" s="1531"/>
      <c r="D538" s="1066" t="s">
        <v>1246</v>
      </c>
      <c r="E538" s="1726" t="s">
        <v>1393</v>
      </c>
      <c r="F538" s="1784">
        <f t="shared" si="33"/>
        <v>794.49034774724942</v>
      </c>
      <c r="G538" s="559" t="s">
        <v>728</v>
      </c>
      <c r="H538" s="170">
        <f>VLOOKUP(G538,'CP FACTORS'!$A$3:$B$38, 2, FALSE)</f>
        <v>4.6608050000000002E-4</v>
      </c>
      <c r="I538" s="1062">
        <f t="shared" si="36"/>
        <v>315.72537078872409</v>
      </c>
      <c r="J538" s="1062">
        <f t="shared" si="37"/>
        <v>156.7741935483871</v>
      </c>
      <c r="K538" s="1062">
        <f>(25*F$565/F$566+2960*10%-30)*F572</f>
        <v>321.99078341013825</v>
      </c>
      <c r="L538" s="1062">
        <v>0</v>
      </c>
      <c r="M538" s="1605">
        <f t="shared" si="34"/>
        <v>0.37029645852321191</v>
      </c>
      <c r="N538" s="1785">
        <f t="shared" si="38"/>
        <v>6</v>
      </c>
      <c r="O538" s="526">
        <f t="shared" si="39"/>
        <v>475</v>
      </c>
      <c r="P538" s="1438" t="s">
        <v>31</v>
      </c>
      <c r="R538" s="1551"/>
      <c r="V538" s="176" t="str">
        <f t="shared" si="35"/>
        <v>kWh
Annual Savings</v>
      </c>
      <c r="W538" s="1204">
        <v>794.49034774724942</v>
      </c>
      <c r="X538" s="1205">
        <v>794.49034774724942</v>
      </c>
      <c r="Y538" s="176"/>
      <c r="Z538" s="176"/>
      <c r="AA538" s="176"/>
      <c r="AB538" s="176"/>
      <c r="AC538" s="176"/>
      <c r="AD538" s="176"/>
      <c r="AE538" s="176"/>
      <c r="AF538" s="176"/>
      <c r="AG538" s="176"/>
      <c r="AK538" s="802"/>
    </row>
    <row r="539" spans="2:37" x14ac:dyDescent="0.25">
      <c r="B539" s="1087"/>
      <c r="C539" s="1531"/>
      <c r="D539" s="1066" t="s">
        <v>1246</v>
      </c>
      <c r="E539" s="1787" t="s">
        <v>1394</v>
      </c>
      <c r="F539" s="1784">
        <f t="shared" si="33"/>
        <v>591.90332067911811</v>
      </c>
      <c r="G539" s="559" t="str">
        <f>'CP FACTORS'!$A$17</f>
        <v>HVAC RES ER2</v>
      </c>
      <c r="H539" s="170">
        <f>VLOOKUP(G539,'CP FACTORS'!$A$3:$B$38, 2, FALSE)</f>
        <v>4.6608050000000002E-4</v>
      </c>
      <c r="I539" s="1062">
        <f t="shared" si="36"/>
        <v>265.20931146252826</v>
      </c>
      <c r="J539" s="1062">
        <f t="shared" si="37"/>
        <v>4.7032258064516173</v>
      </c>
      <c r="K539" s="1062">
        <f>(25*F$565/F$566+2960*10%-30)*F573</f>
        <v>321.99078341013825</v>
      </c>
      <c r="L539" s="1062">
        <v>0</v>
      </c>
      <c r="M539" s="1605">
        <f t="shared" si="34"/>
        <v>0.27587459565378369</v>
      </c>
      <c r="N539" s="1785">
        <f t="shared" si="38"/>
        <v>12</v>
      </c>
      <c r="O539" s="526">
        <f t="shared" si="39"/>
        <v>0</v>
      </c>
      <c r="P539" s="1438" t="s">
        <v>31</v>
      </c>
      <c r="R539" s="1551"/>
      <c r="V539" s="176" t="str">
        <f t="shared" si="35"/>
        <v>kWh
Annual Savings</v>
      </c>
      <c r="W539" s="1204">
        <v>591.90332067911811</v>
      </c>
      <c r="X539" s="1205">
        <v>591.90332067911811</v>
      </c>
      <c r="Y539" s="176"/>
      <c r="Z539" s="176"/>
      <c r="AA539" s="176"/>
      <c r="AB539" s="176"/>
      <c r="AC539" s="176"/>
      <c r="AD539" s="176"/>
      <c r="AE539" s="176"/>
      <c r="AF539" s="176"/>
      <c r="AG539" s="176"/>
      <c r="AK539" s="802"/>
    </row>
    <row r="540" spans="2:37" x14ac:dyDescent="0.25">
      <c r="B540" s="1087"/>
      <c r="C540" s="1531"/>
      <c r="D540" s="1066" t="s">
        <v>1246</v>
      </c>
      <c r="E540" s="1066" t="s">
        <v>1395</v>
      </c>
      <c r="F540" s="1784">
        <f t="shared" si="33"/>
        <v>3255.9033206791182</v>
      </c>
      <c r="G540" s="559" t="s">
        <v>728</v>
      </c>
      <c r="H540" s="170">
        <f>VLOOKUP(G540,'CP FACTORS'!$A$3:$B$38, 2, FALSE)</f>
        <v>4.6608050000000002E-4</v>
      </c>
      <c r="I540" s="1062">
        <f>(1-F554)*400*F$557/F$558*F571</f>
        <v>265.20931146252826</v>
      </c>
      <c r="J540" s="1062">
        <f>(1-F562)*70*F$565/F$566*F571</f>
        <v>4.7032258064516173</v>
      </c>
      <c r="K540" s="1062">
        <v>0</v>
      </c>
      <c r="L540" s="1062">
        <f>(25*F$565/F$566+2960-30)*F571</f>
        <v>2985.9907834101382</v>
      </c>
      <c r="M540" s="1605">
        <f t="shared" si="34"/>
        <v>1.5175130476537839</v>
      </c>
      <c r="N540" s="1785">
        <f>F577</f>
        <v>20</v>
      </c>
      <c r="O540" s="526">
        <f>F583</f>
        <v>97</v>
      </c>
      <c r="P540" s="1438" t="s">
        <v>31</v>
      </c>
      <c r="R540" s="1551"/>
      <c r="V540" s="176" t="str">
        <f t="shared" si="35"/>
        <v>kWh
Annual Savings</v>
      </c>
      <c r="W540" s="1204">
        <v>3255.9033206791182</v>
      </c>
      <c r="X540" s="1205">
        <v>3255.9033206791182</v>
      </c>
      <c r="Y540" s="176"/>
      <c r="Z540" s="176"/>
      <c r="AA540" s="176"/>
      <c r="AB540" s="176"/>
      <c r="AC540" s="176"/>
      <c r="AD540" s="176"/>
      <c r="AE540" s="176"/>
      <c r="AF540" s="176"/>
      <c r="AG540" s="176"/>
      <c r="AK540" s="802"/>
    </row>
    <row r="541" spans="2:37" x14ac:dyDescent="0.25">
      <c r="B541" s="1087"/>
      <c r="C541" s="1531"/>
      <c r="D541" s="1066" t="s">
        <v>1246</v>
      </c>
      <c r="E541" s="1726" t="s">
        <v>1396</v>
      </c>
      <c r="F541" s="1784">
        <f t="shared" si="33"/>
        <v>3458.4903477472494</v>
      </c>
      <c r="G541" s="559" t="s">
        <v>728</v>
      </c>
      <c r="H541" s="170">
        <f>VLOOKUP(G541,'CP FACTORS'!$A$3:$B$38, 2, FALSE)</f>
        <v>4.6608050000000002E-4</v>
      </c>
      <c r="I541" s="1062">
        <f>(1-F555)*400*F$557/F$558*F572</f>
        <v>315.72537078872409</v>
      </c>
      <c r="J541" s="1062">
        <f>(1-F563)*70*F$565/F$566*F572</f>
        <v>156.7741935483871</v>
      </c>
      <c r="K541" s="1062">
        <v>0</v>
      </c>
      <c r="L541" s="1062">
        <f>(25*F$565/F$566+2960-30)*F572</f>
        <v>2985.9907834101382</v>
      </c>
      <c r="M541" s="1605">
        <f t="shared" si="34"/>
        <v>1.6119349105232119</v>
      </c>
      <c r="N541" s="1785">
        <f>F578</f>
        <v>6</v>
      </c>
      <c r="O541" s="526">
        <f>F584</f>
        <v>475</v>
      </c>
      <c r="P541" s="1438" t="s">
        <v>31</v>
      </c>
      <c r="R541" s="1551"/>
      <c r="V541" s="176" t="str">
        <f t="shared" si="35"/>
        <v>kWh
Annual Savings</v>
      </c>
      <c r="W541" s="1204">
        <v>3458.4903477472494</v>
      </c>
      <c r="X541" s="1205">
        <v>3458.4903477472494</v>
      </c>
      <c r="Y541" s="176"/>
      <c r="Z541" s="176"/>
      <c r="AA541" s="176"/>
      <c r="AB541" s="176"/>
      <c r="AC541" s="176"/>
      <c r="AD541" s="176"/>
      <c r="AE541" s="176"/>
      <c r="AF541" s="176"/>
      <c r="AG541" s="176"/>
      <c r="AK541" s="802"/>
    </row>
    <row r="542" spans="2:37" x14ac:dyDescent="0.25">
      <c r="B542" s="1087"/>
      <c r="C542" s="1531"/>
      <c r="D542" s="1066" t="s">
        <v>1246</v>
      </c>
      <c r="E542" s="1787" t="s">
        <v>1397</v>
      </c>
      <c r="F542" s="1784">
        <f t="shared" si="33"/>
        <v>3255.9033206791182</v>
      </c>
      <c r="G542" s="559" t="str">
        <f>'CP FACTORS'!$A$17</f>
        <v>HVAC RES ER2</v>
      </c>
      <c r="H542" s="170">
        <f>VLOOKUP(G542,'CP FACTORS'!$A$3:$B$38, 2, FALSE)</f>
        <v>4.6608050000000002E-4</v>
      </c>
      <c r="I542" s="1062">
        <f>(1-F556)*400*F$557/F$558*F573</f>
        <v>265.20931146252826</v>
      </c>
      <c r="J542" s="1062">
        <f>(1-F564)*70*F$565/F$566*F573</f>
        <v>4.7032258064516173</v>
      </c>
      <c r="K542" s="1062">
        <v>0</v>
      </c>
      <c r="L542" s="1062">
        <f>(25*F$565/F$566+2960-30)*F573</f>
        <v>2985.9907834101382</v>
      </c>
      <c r="M542" s="1605">
        <f t="shared" si="34"/>
        <v>1.5175130476537839</v>
      </c>
      <c r="N542" s="1785">
        <f>F579</f>
        <v>12</v>
      </c>
      <c r="O542" s="526">
        <f>F585</f>
        <v>0</v>
      </c>
      <c r="P542" s="1786" t="s">
        <v>31</v>
      </c>
      <c r="R542" s="1551"/>
      <c r="V542" s="176" t="str">
        <f t="shared" si="35"/>
        <v>kWh
Annual Savings</v>
      </c>
      <c r="W542" s="1204">
        <v>3255.9033206791182</v>
      </c>
      <c r="X542" s="1205">
        <v>3255.9033206791182</v>
      </c>
      <c r="Y542" s="176"/>
      <c r="Z542" s="176"/>
      <c r="AA542" s="176"/>
      <c r="AB542" s="176"/>
      <c r="AC542" s="176"/>
      <c r="AD542" s="176"/>
      <c r="AE542" s="176"/>
      <c r="AF542" s="176"/>
      <c r="AG542" s="176"/>
      <c r="AK542" s="802"/>
    </row>
    <row r="543" spans="2:37" outlineLevel="1" x14ac:dyDescent="0.25">
      <c r="B543" s="1087"/>
      <c r="C543" s="1434"/>
      <c r="F543" s="1445"/>
      <c r="AK543" s="802"/>
    </row>
    <row r="544" spans="2:37" outlineLevel="1" x14ac:dyDescent="0.25">
      <c r="B544" s="1087"/>
      <c r="C544" s="1434"/>
      <c r="D544" s="1418" t="s">
        <v>463</v>
      </c>
      <c r="F544" s="1445"/>
      <c r="AK544" s="802"/>
    </row>
    <row r="545" spans="2:37" ht="18" customHeight="1" outlineLevel="1" x14ac:dyDescent="0.25">
      <c r="B545" s="1087"/>
      <c r="C545" s="1434"/>
      <c r="E545" s="1788"/>
      <c r="AK545" s="802"/>
    </row>
    <row r="546" spans="2:37" ht="41.25" customHeight="1" outlineLevel="1" x14ac:dyDescent="0.25">
      <c r="B546" s="1087"/>
      <c r="C546" s="1434"/>
      <c r="E546" s="1788"/>
      <c r="AK546" s="802"/>
    </row>
    <row r="547" spans="2:37" outlineLevel="1" x14ac:dyDescent="0.25">
      <c r="B547" s="1087"/>
      <c r="C547" s="1434"/>
      <c r="E547" s="1788"/>
      <c r="AK547" s="802"/>
    </row>
    <row r="548" spans="2:37" outlineLevel="1" x14ac:dyDescent="0.25">
      <c r="B548" s="1087"/>
      <c r="C548" s="1434"/>
      <c r="E548" s="1788"/>
      <c r="AK548" s="802"/>
    </row>
    <row r="549" spans="2:37" outlineLevel="1" x14ac:dyDescent="0.25">
      <c r="B549" s="1087"/>
      <c r="C549" s="1434"/>
      <c r="AK549" s="802"/>
    </row>
    <row r="550" spans="2:37" outlineLevel="1" x14ac:dyDescent="0.25">
      <c r="B550" s="1087"/>
      <c r="C550" s="1434"/>
      <c r="D550" s="1098" t="s">
        <v>465</v>
      </c>
      <c r="E550" s="1098" t="s">
        <v>466</v>
      </c>
      <c r="F550" s="184" t="s">
        <v>467</v>
      </c>
      <c r="G550" s="184" t="s">
        <v>515</v>
      </c>
      <c r="H550" s="184" t="s">
        <v>592</v>
      </c>
      <c r="V550" s="48" t="s">
        <v>26</v>
      </c>
      <c r="W550" s="49">
        <f>W$6</f>
        <v>43252</v>
      </c>
      <c r="X550" s="49">
        <f t="shared" ref="X550:AG550" si="40">X$6</f>
        <v>43465</v>
      </c>
      <c r="Y550" s="49" t="str">
        <f t="shared" si="40"/>
        <v>-</v>
      </c>
      <c r="Z550" s="49" t="str">
        <f t="shared" si="40"/>
        <v>-</v>
      </c>
      <c r="AA550" s="49" t="str">
        <f t="shared" si="40"/>
        <v>-</v>
      </c>
      <c r="AB550" s="49" t="str">
        <f t="shared" si="40"/>
        <v>-</v>
      </c>
      <c r="AC550" s="49" t="str">
        <f t="shared" si="40"/>
        <v>-</v>
      </c>
      <c r="AD550" s="49" t="str">
        <f t="shared" si="40"/>
        <v>-</v>
      </c>
      <c r="AE550" s="49" t="str">
        <f t="shared" si="40"/>
        <v>-</v>
      </c>
      <c r="AF550" s="49" t="str">
        <f t="shared" si="40"/>
        <v>-</v>
      </c>
      <c r="AG550" s="49" t="str">
        <f t="shared" si="40"/>
        <v>-</v>
      </c>
      <c r="AK550" s="802"/>
    </row>
    <row r="551" spans="2:37" outlineLevel="1" x14ac:dyDescent="0.25">
      <c r="B551" s="1087"/>
      <c r="C551" s="1434"/>
      <c r="D551" s="2290" t="s">
        <v>893</v>
      </c>
      <c r="E551" s="867" t="s">
        <v>1398</v>
      </c>
      <c r="F551" s="868">
        <v>0.16</v>
      </c>
      <c r="G551" s="910" t="s">
        <v>593</v>
      </c>
      <c r="H551" s="869"/>
      <c r="V551" s="2356" t="s">
        <v>893</v>
      </c>
      <c r="W551" s="870">
        <v>0.16</v>
      </c>
      <c r="X551" s="835">
        <v>0.16</v>
      </c>
      <c r="Y551" s="870"/>
      <c r="Z551" s="870"/>
      <c r="AA551" s="870"/>
      <c r="AB551" s="870"/>
      <c r="AC551" s="870"/>
      <c r="AD551" s="870"/>
      <c r="AE551" s="870"/>
      <c r="AF551" s="870"/>
      <c r="AG551" s="870"/>
      <c r="AK551" s="802"/>
    </row>
    <row r="552" spans="2:37" outlineLevel="1" x14ac:dyDescent="0.25">
      <c r="B552" s="1087"/>
      <c r="C552" s="1434"/>
      <c r="D552" s="2291"/>
      <c r="E552" s="867" t="s">
        <v>1399</v>
      </c>
      <c r="F552" s="868">
        <v>0</v>
      </c>
      <c r="G552" s="910" t="s">
        <v>593</v>
      </c>
      <c r="H552" s="869"/>
      <c r="V552" s="2357"/>
      <c r="W552" s="870">
        <v>0</v>
      </c>
      <c r="X552" s="835">
        <v>0</v>
      </c>
      <c r="Y552" s="870"/>
      <c r="Z552" s="870"/>
      <c r="AA552" s="870"/>
      <c r="AB552" s="870"/>
      <c r="AC552" s="870"/>
      <c r="AD552" s="870"/>
      <c r="AE552" s="870"/>
      <c r="AF552" s="870"/>
      <c r="AG552" s="870"/>
      <c r="AK552" s="802"/>
    </row>
    <row r="553" spans="2:37" outlineLevel="1" x14ac:dyDescent="0.25">
      <c r="B553" s="1087"/>
      <c r="C553" s="1434"/>
      <c r="D553" s="2291"/>
      <c r="E553" s="867" t="s">
        <v>1400</v>
      </c>
      <c r="F553" s="868">
        <v>0.16</v>
      </c>
      <c r="G553" s="910" t="s">
        <v>593</v>
      </c>
      <c r="H553" s="869"/>
      <c r="V553" s="2358"/>
      <c r="W553" s="870">
        <v>0.16</v>
      </c>
      <c r="X553" s="835">
        <v>0.16</v>
      </c>
      <c r="Y553" s="870"/>
      <c r="Z553" s="870"/>
      <c r="AA553" s="870"/>
      <c r="AB553" s="870"/>
      <c r="AC553" s="870"/>
      <c r="AD553" s="870"/>
      <c r="AE553" s="870"/>
      <c r="AF553" s="870"/>
      <c r="AG553" s="870"/>
      <c r="AK553" s="802"/>
    </row>
    <row r="554" spans="2:37" outlineLevel="1" x14ac:dyDescent="0.25">
      <c r="B554" s="1087"/>
      <c r="C554" s="1434"/>
      <c r="D554" s="2291"/>
      <c r="E554" s="867" t="s">
        <v>1401</v>
      </c>
      <c r="F554" s="868">
        <v>0.16</v>
      </c>
      <c r="G554" s="910" t="s">
        <v>593</v>
      </c>
      <c r="H554" s="869"/>
      <c r="V554" s="2358"/>
      <c r="W554" s="870">
        <v>0.16</v>
      </c>
      <c r="X554" s="835">
        <v>0.16</v>
      </c>
      <c r="Y554" s="870"/>
      <c r="Z554" s="870"/>
      <c r="AA554" s="870"/>
      <c r="AB554" s="870"/>
      <c r="AC554" s="870"/>
      <c r="AD554" s="870"/>
      <c r="AE554" s="870"/>
      <c r="AF554" s="870"/>
      <c r="AG554" s="870"/>
      <c r="AK554" s="802"/>
    </row>
    <row r="555" spans="2:37" outlineLevel="1" x14ac:dyDescent="0.25">
      <c r="B555" s="1087"/>
      <c r="C555" s="1434"/>
      <c r="D555" s="2291"/>
      <c r="E555" s="867" t="s">
        <v>1402</v>
      </c>
      <c r="F555" s="868">
        <v>0</v>
      </c>
      <c r="G555" s="910" t="s">
        <v>593</v>
      </c>
      <c r="H555" s="869"/>
      <c r="V555" s="2358"/>
      <c r="W555" s="870">
        <v>0</v>
      </c>
      <c r="X555" s="835">
        <v>0</v>
      </c>
      <c r="Y555" s="870"/>
      <c r="Z555" s="870"/>
      <c r="AA555" s="870"/>
      <c r="AB555" s="870"/>
      <c r="AC555" s="870"/>
      <c r="AD555" s="870"/>
      <c r="AE555" s="870"/>
      <c r="AF555" s="870"/>
      <c r="AG555" s="870"/>
      <c r="AK555" s="802"/>
    </row>
    <row r="556" spans="2:37" outlineLevel="1" x14ac:dyDescent="0.25">
      <c r="B556" s="1087"/>
      <c r="C556" s="1434"/>
      <c r="D556" s="2291"/>
      <c r="E556" s="867" t="s">
        <v>1403</v>
      </c>
      <c r="F556" s="868">
        <v>0.16</v>
      </c>
      <c r="G556" s="910" t="s">
        <v>593</v>
      </c>
      <c r="H556" s="869"/>
      <c r="V556" s="2359"/>
      <c r="W556" s="870">
        <v>0.16</v>
      </c>
      <c r="X556" s="835">
        <v>0.16</v>
      </c>
      <c r="Y556" s="870"/>
      <c r="Z556" s="870"/>
      <c r="AA556" s="870"/>
      <c r="AB556" s="870"/>
      <c r="AC556" s="870"/>
      <c r="AD556" s="870"/>
      <c r="AE556" s="870"/>
      <c r="AF556" s="870"/>
      <c r="AG556" s="870"/>
      <c r="AK556" s="802"/>
    </row>
    <row r="557" spans="2:37" ht="18" outlineLevel="1" x14ac:dyDescent="0.25">
      <c r="B557" s="1087"/>
      <c r="C557" s="1434"/>
      <c r="D557" s="871" t="s">
        <v>896</v>
      </c>
      <c r="E557" s="867" t="s">
        <v>483</v>
      </c>
      <c r="F557" s="872">
        <v>2009</v>
      </c>
      <c r="G557" s="910" t="s">
        <v>593</v>
      </c>
      <c r="H557" s="869"/>
      <c r="V557" s="866" t="str">
        <f t="shared" ref="V557:V568" si="41">D557</f>
        <v>EFLH heating</v>
      </c>
      <c r="W557" s="873">
        <v>2009</v>
      </c>
      <c r="X557" s="818">
        <v>2009</v>
      </c>
      <c r="Y557" s="873"/>
      <c r="Z557" s="873"/>
      <c r="AA557" s="873"/>
      <c r="AB557" s="873"/>
      <c r="AC557" s="873"/>
      <c r="AD557" s="873"/>
      <c r="AE557" s="873"/>
      <c r="AF557" s="873"/>
      <c r="AG557" s="873"/>
      <c r="AK557" s="802"/>
    </row>
    <row r="558" spans="2:37" ht="18" outlineLevel="1" x14ac:dyDescent="0.25">
      <c r="B558" s="1087"/>
      <c r="C558" s="1434"/>
      <c r="D558" s="871" t="s">
        <v>898</v>
      </c>
      <c r="E558" s="867" t="s">
        <v>483</v>
      </c>
      <c r="F558" s="874">
        <v>2545.25</v>
      </c>
      <c r="G558" s="910" t="s">
        <v>593</v>
      </c>
      <c r="H558" s="869"/>
      <c r="V558" s="866" t="str">
        <f t="shared" si="41"/>
        <v>WI_EFLH heating</v>
      </c>
      <c r="W558" s="875">
        <v>2545.25</v>
      </c>
      <c r="X558" s="841">
        <v>2545.25</v>
      </c>
      <c r="Y558" s="875"/>
      <c r="Z558" s="875"/>
      <c r="AA558" s="875"/>
      <c r="AB558" s="875"/>
      <c r="AC558" s="875"/>
      <c r="AD558" s="875"/>
      <c r="AE558" s="875"/>
      <c r="AF558" s="875"/>
      <c r="AG558" s="875"/>
      <c r="AK558" s="802"/>
    </row>
    <row r="559" spans="2:37" outlineLevel="1" x14ac:dyDescent="0.25">
      <c r="B559" s="1087"/>
      <c r="C559" s="1434"/>
      <c r="D559" s="2290" t="s">
        <v>900</v>
      </c>
      <c r="E559" s="867" t="str">
        <f t="shared" ref="E559:E564" si="42">E551</f>
        <v>ECM Fan EUL Replacement -SF</v>
      </c>
      <c r="F559" s="868">
        <v>0.97</v>
      </c>
      <c r="G559" s="910" t="s">
        <v>593</v>
      </c>
      <c r="H559" s="869"/>
      <c r="V559" s="2356" t="str">
        <f t="shared" si="41"/>
        <v>% with New Central Cooling</v>
      </c>
      <c r="W559" s="870">
        <v>0.97</v>
      </c>
      <c r="X559" s="835">
        <v>0.97</v>
      </c>
      <c r="Y559" s="870"/>
      <c r="Z559" s="870"/>
      <c r="AA559" s="870"/>
      <c r="AB559" s="870"/>
      <c r="AC559" s="870"/>
      <c r="AD559" s="870"/>
      <c r="AE559" s="870"/>
      <c r="AF559" s="870"/>
      <c r="AG559" s="870"/>
      <c r="AK559" s="802"/>
    </row>
    <row r="560" spans="2:37" outlineLevel="1" x14ac:dyDescent="0.25">
      <c r="B560" s="1087"/>
      <c r="C560" s="1434"/>
      <c r="D560" s="2291"/>
      <c r="E560" s="867" t="str">
        <f t="shared" si="42"/>
        <v>ECM Fan Early Replacement ER 1 (Full Cost) - SF</v>
      </c>
      <c r="F560" s="868">
        <v>0</v>
      </c>
      <c r="G560" s="910" t="s">
        <v>593</v>
      </c>
      <c r="H560" s="869"/>
      <c r="V560" s="2358"/>
      <c r="W560" s="870">
        <v>0</v>
      </c>
      <c r="X560" s="835">
        <v>0</v>
      </c>
      <c r="Y560" s="870"/>
      <c r="Z560" s="870"/>
      <c r="AA560" s="870"/>
      <c r="AB560" s="870"/>
      <c r="AC560" s="870"/>
      <c r="AD560" s="870"/>
      <c r="AE560" s="870"/>
      <c r="AF560" s="870"/>
      <c r="AG560" s="870"/>
      <c r="AK560" s="802"/>
    </row>
    <row r="561" spans="2:37" outlineLevel="1" x14ac:dyDescent="0.25">
      <c r="B561" s="1087"/>
      <c r="C561" s="1434"/>
      <c r="D561" s="2291"/>
      <c r="E561" s="867" t="str">
        <f t="shared" si="42"/>
        <v>ECM Fan Early Replacement ER 2 (Remaining Life) - SF</v>
      </c>
      <c r="F561" s="868">
        <v>0.97</v>
      </c>
      <c r="G561" s="910" t="s">
        <v>593</v>
      </c>
      <c r="H561" s="869"/>
      <c r="V561" s="2358"/>
      <c r="W561" s="870">
        <v>0.97</v>
      </c>
      <c r="X561" s="835">
        <v>0.97</v>
      </c>
      <c r="Y561" s="870"/>
      <c r="Z561" s="870"/>
      <c r="AA561" s="870"/>
      <c r="AB561" s="870"/>
      <c r="AC561" s="870"/>
      <c r="AD561" s="870"/>
      <c r="AE561" s="870"/>
      <c r="AF561" s="870"/>
      <c r="AG561" s="870"/>
      <c r="AK561" s="802"/>
    </row>
    <row r="562" spans="2:37" outlineLevel="1" x14ac:dyDescent="0.25">
      <c r="B562" s="1087"/>
      <c r="C562" s="1434"/>
      <c r="D562" s="2291"/>
      <c r="E562" s="867" t="str">
        <f t="shared" si="42"/>
        <v>ECM Fan EUL Replacement - MF</v>
      </c>
      <c r="F562" s="868">
        <v>0.97</v>
      </c>
      <c r="G562" s="910" t="s">
        <v>593</v>
      </c>
      <c r="H562" s="869"/>
      <c r="V562" s="2358"/>
      <c r="W562" s="870">
        <v>0.97</v>
      </c>
      <c r="X562" s="835">
        <v>0.97</v>
      </c>
      <c r="Y562" s="870"/>
      <c r="Z562" s="870"/>
      <c r="AA562" s="870"/>
      <c r="AB562" s="870"/>
      <c r="AC562" s="870"/>
      <c r="AD562" s="870"/>
      <c r="AE562" s="870"/>
      <c r="AF562" s="870"/>
      <c r="AG562" s="870"/>
      <c r="AK562" s="802"/>
    </row>
    <row r="563" spans="2:37" outlineLevel="1" x14ac:dyDescent="0.25">
      <c r="B563" s="1087"/>
      <c r="C563" s="1434"/>
      <c r="D563" s="2291"/>
      <c r="E563" s="867" t="str">
        <f t="shared" si="42"/>
        <v>ECM Fan Early Replacement ER 1 (Full Cost) - MF</v>
      </c>
      <c r="F563" s="868">
        <v>0</v>
      </c>
      <c r="G563" s="910" t="s">
        <v>593</v>
      </c>
      <c r="H563" s="869"/>
      <c r="V563" s="2358"/>
      <c r="W563" s="870">
        <v>0</v>
      </c>
      <c r="X563" s="835">
        <v>0</v>
      </c>
      <c r="Y563" s="870"/>
      <c r="Z563" s="870"/>
      <c r="AA563" s="870"/>
      <c r="AB563" s="870"/>
      <c r="AC563" s="870"/>
      <c r="AD563" s="870"/>
      <c r="AE563" s="870"/>
      <c r="AF563" s="870"/>
      <c r="AG563" s="870"/>
      <c r="AK563" s="802"/>
    </row>
    <row r="564" spans="2:37" outlineLevel="1" x14ac:dyDescent="0.25">
      <c r="B564" s="1087"/>
      <c r="C564" s="1434"/>
      <c r="D564" s="2291"/>
      <c r="E564" s="867" t="str">
        <f t="shared" si="42"/>
        <v>ECM Fan Early Replacement ER 2 (Remaining Life) - MF</v>
      </c>
      <c r="F564" s="868">
        <v>0.97</v>
      </c>
      <c r="G564" s="910" t="s">
        <v>593</v>
      </c>
      <c r="H564" s="869"/>
      <c r="V564" s="2359"/>
      <c r="W564" s="870">
        <v>0.97</v>
      </c>
      <c r="X564" s="835">
        <v>0.97</v>
      </c>
      <c r="Y564" s="870"/>
      <c r="Z564" s="870"/>
      <c r="AA564" s="870"/>
      <c r="AB564" s="870"/>
      <c r="AC564" s="870"/>
      <c r="AD564" s="870"/>
      <c r="AE564" s="870"/>
      <c r="AF564" s="870"/>
      <c r="AG564" s="870"/>
      <c r="AK564" s="802"/>
    </row>
    <row r="565" spans="2:37" ht="18" outlineLevel="1" x14ac:dyDescent="0.25">
      <c r="B565" s="1087"/>
      <c r="C565" s="1434"/>
      <c r="D565" s="871" t="s">
        <v>902</v>
      </c>
      <c r="E565" s="867" t="s">
        <v>483</v>
      </c>
      <c r="F565" s="874">
        <v>1215</v>
      </c>
      <c r="G565" s="910" t="s">
        <v>593</v>
      </c>
      <c r="H565" s="869"/>
      <c r="V565" s="866" t="str">
        <f t="shared" si="41"/>
        <v>EFLH cooling</v>
      </c>
      <c r="W565" s="875">
        <v>1215</v>
      </c>
      <c r="X565" s="841">
        <v>1215</v>
      </c>
      <c r="Y565" s="875"/>
      <c r="Z565" s="875"/>
      <c r="AA565" s="875"/>
      <c r="AB565" s="875"/>
      <c r="AC565" s="875"/>
      <c r="AD565" s="875"/>
      <c r="AE565" s="875"/>
      <c r="AF565" s="875"/>
      <c r="AG565" s="875"/>
      <c r="AK565" s="802"/>
    </row>
    <row r="566" spans="2:37" ht="18" outlineLevel="1" x14ac:dyDescent="0.25">
      <c r="B566" s="1087"/>
      <c r="C566" s="1434"/>
      <c r="D566" s="871" t="s">
        <v>904</v>
      </c>
      <c r="E566" s="867" t="s">
        <v>483</v>
      </c>
      <c r="F566" s="876">
        <v>542.5</v>
      </c>
      <c r="G566" s="910" t="s">
        <v>593</v>
      </c>
      <c r="H566" s="869"/>
      <c r="V566" s="866" t="str">
        <f t="shared" si="41"/>
        <v>WI_EFLH cooling</v>
      </c>
      <c r="W566" s="831">
        <v>542.5</v>
      </c>
      <c r="X566" s="829">
        <v>542.5</v>
      </c>
      <c r="Y566" s="831"/>
      <c r="Z566" s="831"/>
      <c r="AA566" s="831"/>
      <c r="AB566" s="831"/>
      <c r="AC566" s="831"/>
      <c r="AD566" s="831"/>
      <c r="AE566" s="831"/>
      <c r="AF566" s="831"/>
      <c r="AG566" s="831"/>
      <c r="AK566" s="802"/>
    </row>
    <row r="567" spans="2:37" outlineLevel="1" x14ac:dyDescent="0.25">
      <c r="B567" s="1087"/>
      <c r="C567" s="1434"/>
      <c r="D567" s="871" t="s">
        <v>1404</v>
      </c>
      <c r="E567" s="867" t="s">
        <v>483</v>
      </c>
      <c r="F567" s="868">
        <v>0.95</v>
      </c>
      <c r="G567" s="910" t="s">
        <v>593</v>
      </c>
      <c r="H567" s="869"/>
      <c r="V567" s="866" t="str">
        <f t="shared" si="41"/>
        <v>AFUE</v>
      </c>
      <c r="W567" s="870">
        <v>0.95</v>
      </c>
      <c r="X567" s="835">
        <v>0.95</v>
      </c>
      <c r="Y567" s="870"/>
      <c r="Z567" s="870"/>
      <c r="AA567" s="870"/>
      <c r="AB567" s="870"/>
      <c r="AC567" s="870"/>
      <c r="AD567" s="870"/>
      <c r="AE567" s="870"/>
      <c r="AF567" s="870"/>
      <c r="AG567" s="870"/>
      <c r="AK567" s="802"/>
    </row>
    <row r="568" spans="2:37" outlineLevel="1" x14ac:dyDescent="0.25">
      <c r="B568" s="1087"/>
      <c r="C568" s="1434"/>
      <c r="D568" s="2360" t="s">
        <v>598</v>
      </c>
      <c r="E568" s="867" t="s">
        <v>1386</v>
      </c>
      <c r="F568" s="868">
        <v>1</v>
      </c>
      <c r="G568" s="869"/>
      <c r="H568" s="869"/>
      <c r="V568" s="2213" t="str">
        <f t="shared" si="41"/>
        <v>HF</v>
      </c>
      <c r="W568" s="870">
        <v>1</v>
      </c>
      <c r="X568" s="835">
        <v>1</v>
      </c>
      <c r="Y568" s="870"/>
      <c r="Z568" s="870"/>
      <c r="AA568" s="870"/>
      <c r="AB568" s="870"/>
      <c r="AC568" s="870"/>
      <c r="AD568" s="870"/>
      <c r="AE568" s="870"/>
      <c r="AF568" s="870"/>
      <c r="AG568" s="870"/>
      <c r="AK568" s="802"/>
    </row>
    <row r="569" spans="2:37" outlineLevel="1" x14ac:dyDescent="0.25">
      <c r="B569" s="1087"/>
      <c r="C569" s="1434"/>
      <c r="D569" s="2354"/>
      <c r="E569" s="867" t="s">
        <v>1387</v>
      </c>
      <c r="F569" s="868">
        <v>1</v>
      </c>
      <c r="G569" s="869"/>
      <c r="H569" s="869"/>
      <c r="V569" s="2251"/>
      <c r="W569" s="870">
        <v>1</v>
      </c>
      <c r="X569" s="835">
        <v>1</v>
      </c>
      <c r="Y569" s="870"/>
      <c r="Z569" s="870"/>
      <c r="AA569" s="870"/>
      <c r="AB569" s="870"/>
      <c r="AC569" s="870"/>
      <c r="AD569" s="870"/>
      <c r="AE569" s="870"/>
      <c r="AF569" s="870"/>
      <c r="AG569" s="870"/>
      <c r="AK569" s="802"/>
    </row>
    <row r="570" spans="2:37" outlineLevel="1" x14ac:dyDescent="0.25">
      <c r="B570" s="1087"/>
      <c r="C570" s="1434"/>
      <c r="D570" s="2354"/>
      <c r="E570" s="867" t="s">
        <v>1405</v>
      </c>
      <c r="F570" s="868">
        <v>1</v>
      </c>
      <c r="G570" s="869"/>
      <c r="H570" s="869"/>
      <c r="V570" s="2251"/>
      <c r="W570" s="870">
        <v>1</v>
      </c>
      <c r="X570" s="835">
        <v>1</v>
      </c>
      <c r="Y570" s="870"/>
      <c r="Z570" s="870"/>
      <c r="AA570" s="870"/>
      <c r="AB570" s="870"/>
      <c r="AC570" s="870"/>
      <c r="AD570" s="870"/>
      <c r="AE570" s="870"/>
      <c r="AF570" s="870"/>
      <c r="AG570" s="870"/>
      <c r="AK570" s="802"/>
    </row>
    <row r="571" spans="2:37" outlineLevel="1" x14ac:dyDescent="0.25">
      <c r="B571" s="1087"/>
      <c r="C571" s="1434"/>
      <c r="D571" s="2354"/>
      <c r="E571" s="867" t="s">
        <v>1392</v>
      </c>
      <c r="F571" s="868">
        <v>1</v>
      </c>
      <c r="G571" s="869"/>
      <c r="H571" s="869"/>
      <c r="V571" s="2251"/>
      <c r="W571" s="870">
        <v>1</v>
      </c>
      <c r="X571" s="835">
        <v>1</v>
      </c>
      <c r="Y571" s="870"/>
      <c r="Z571" s="870"/>
      <c r="AA571" s="870"/>
      <c r="AB571" s="870"/>
      <c r="AC571" s="870"/>
      <c r="AD571" s="870"/>
      <c r="AE571" s="870"/>
      <c r="AF571" s="870"/>
      <c r="AG571" s="870"/>
      <c r="AK571" s="802"/>
    </row>
    <row r="572" spans="2:37" outlineLevel="1" x14ac:dyDescent="0.25">
      <c r="B572" s="1087"/>
      <c r="C572" s="1434"/>
      <c r="D572" s="2354"/>
      <c r="E572" s="867" t="s">
        <v>1393</v>
      </c>
      <c r="F572" s="868">
        <v>1</v>
      </c>
      <c r="G572" s="869"/>
      <c r="H572" s="869"/>
      <c r="V572" s="2251"/>
      <c r="W572" s="870">
        <v>1</v>
      </c>
      <c r="X572" s="835">
        <v>1</v>
      </c>
      <c r="Y572" s="870"/>
      <c r="Z572" s="870"/>
      <c r="AA572" s="870"/>
      <c r="AB572" s="870"/>
      <c r="AC572" s="870"/>
      <c r="AD572" s="870"/>
      <c r="AE572" s="870"/>
      <c r="AF572" s="870"/>
      <c r="AG572" s="870"/>
      <c r="AK572" s="802"/>
    </row>
    <row r="573" spans="2:37" outlineLevel="1" x14ac:dyDescent="0.25">
      <c r="B573" s="1087"/>
      <c r="C573" s="1434"/>
      <c r="D573" s="2355"/>
      <c r="E573" s="867" t="s">
        <v>1406</v>
      </c>
      <c r="F573" s="868">
        <v>1</v>
      </c>
      <c r="G573" s="869"/>
      <c r="H573" s="869"/>
      <c r="V573" s="2251"/>
      <c r="W573" s="870">
        <v>1</v>
      </c>
      <c r="X573" s="835">
        <v>1</v>
      </c>
      <c r="Y573" s="870"/>
      <c r="Z573" s="870"/>
      <c r="AA573" s="870"/>
      <c r="AB573" s="870"/>
      <c r="AC573" s="870"/>
      <c r="AD573" s="870"/>
      <c r="AE573" s="870"/>
      <c r="AF573" s="870"/>
      <c r="AG573" s="870"/>
      <c r="AK573" s="802"/>
    </row>
    <row r="574" spans="2:37" outlineLevel="1" x14ac:dyDescent="0.25">
      <c r="B574" s="1087"/>
      <c r="C574" s="1434"/>
      <c r="D574" s="2353" t="str">
        <f>D524</f>
        <v>EUL</v>
      </c>
      <c r="E574" s="867" t="s">
        <v>1386</v>
      </c>
      <c r="F574" s="877">
        <v>20</v>
      </c>
      <c r="G574" s="869"/>
      <c r="H574" s="869"/>
      <c r="V574" s="2213" t="str">
        <f>D574</f>
        <v>EUL</v>
      </c>
      <c r="W574" s="878">
        <v>20</v>
      </c>
      <c r="X574" s="879">
        <v>20</v>
      </c>
      <c r="Y574" s="878"/>
      <c r="Z574" s="878"/>
      <c r="AA574" s="878"/>
      <c r="AB574" s="878"/>
      <c r="AC574" s="878"/>
      <c r="AD574" s="878"/>
      <c r="AE574" s="878"/>
      <c r="AF574" s="878"/>
      <c r="AG574" s="878"/>
      <c r="AK574" s="802"/>
    </row>
    <row r="575" spans="2:37" outlineLevel="1" x14ac:dyDescent="0.25">
      <c r="B575" s="1087"/>
      <c r="C575" s="1434"/>
      <c r="D575" s="2354"/>
      <c r="E575" s="867" t="s">
        <v>1387</v>
      </c>
      <c r="F575" s="877">
        <v>6</v>
      </c>
      <c r="G575" s="869"/>
      <c r="H575" s="869"/>
      <c r="V575" s="2251"/>
      <c r="W575" s="878">
        <v>6</v>
      </c>
      <c r="X575" s="879">
        <v>6</v>
      </c>
      <c r="Y575" s="878"/>
      <c r="Z575" s="878"/>
      <c r="AA575" s="878"/>
      <c r="AB575" s="878"/>
      <c r="AC575" s="878"/>
      <c r="AD575" s="878"/>
      <c r="AE575" s="878"/>
      <c r="AF575" s="878"/>
      <c r="AG575" s="878"/>
      <c r="AK575" s="802"/>
    </row>
    <row r="576" spans="2:37" outlineLevel="1" x14ac:dyDescent="0.25">
      <c r="B576" s="1087"/>
      <c r="C576" s="1434"/>
      <c r="D576" s="2354"/>
      <c r="E576" s="867" t="s">
        <v>1405</v>
      </c>
      <c r="F576" s="877">
        <v>12</v>
      </c>
      <c r="G576" s="869"/>
      <c r="H576" s="869"/>
      <c r="V576" s="2251"/>
      <c r="W576" s="878">
        <v>12</v>
      </c>
      <c r="X576" s="879">
        <v>12</v>
      </c>
      <c r="Y576" s="878"/>
      <c r="Z576" s="878"/>
      <c r="AA576" s="878"/>
      <c r="AB576" s="878"/>
      <c r="AC576" s="878"/>
      <c r="AD576" s="878"/>
      <c r="AE576" s="878"/>
      <c r="AF576" s="878"/>
      <c r="AG576" s="878"/>
      <c r="AK576" s="802"/>
    </row>
    <row r="577" spans="2:37" outlineLevel="1" x14ac:dyDescent="0.25">
      <c r="B577" s="1087"/>
      <c r="C577" s="1434"/>
      <c r="D577" s="2354"/>
      <c r="E577" s="867" t="s">
        <v>1392</v>
      </c>
      <c r="F577" s="877">
        <v>20</v>
      </c>
      <c r="G577" s="869"/>
      <c r="H577" s="869"/>
      <c r="V577" s="2251"/>
      <c r="W577" s="878">
        <v>20</v>
      </c>
      <c r="X577" s="879">
        <v>20</v>
      </c>
      <c r="Y577" s="878"/>
      <c r="Z577" s="878"/>
      <c r="AA577" s="878"/>
      <c r="AB577" s="878"/>
      <c r="AC577" s="878"/>
      <c r="AD577" s="878"/>
      <c r="AE577" s="878"/>
      <c r="AF577" s="878"/>
      <c r="AG577" s="878"/>
      <c r="AK577" s="802"/>
    </row>
    <row r="578" spans="2:37" outlineLevel="1" x14ac:dyDescent="0.25">
      <c r="B578" s="1087"/>
      <c r="C578" s="1434"/>
      <c r="D578" s="2354"/>
      <c r="E578" s="867" t="s">
        <v>1393</v>
      </c>
      <c r="F578" s="877">
        <v>6</v>
      </c>
      <c r="G578" s="869"/>
      <c r="H578" s="869"/>
      <c r="V578" s="2251"/>
      <c r="W578" s="878">
        <v>6</v>
      </c>
      <c r="X578" s="879">
        <v>6</v>
      </c>
      <c r="Y578" s="878"/>
      <c r="Z578" s="878"/>
      <c r="AA578" s="878"/>
      <c r="AB578" s="878"/>
      <c r="AC578" s="878"/>
      <c r="AD578" s="878"/>
      <c r="AE578" s="878"/>
      <c r="AF578" s="878"/>
      <c r="AG578" s="878"/>
      <c r="AK578" s="802"/>
    </row>
    <row r="579" spans="2:37" outlineLevel="1" x14ac:dyDescent="0.25">
      <c r="B579" s="1087"/>
      <c r="C579" s="1434"/>
      <c r="D579" s="2355"/>
      <c r="E579" s="867" t="s">
        <v>1406</v>
      </c>
      <c r="F579" s="877">
        <v>12</v>
      </c>
      <c r="G579" s="869"/>
      <c r="H579" s="869"/>
      <c r="V579" s="2251"/>
      <c r="W579" s="878">
        <v>12</v>
      </c>
      <c r="X579" s="879">
        <v>12</v>
      </c>
      <c r="Y579" s="878"/>
      <c r="Z579" s="878"/>
      <c r="AA579" s="878"/>
      <c r="AB579" s="878"/>
      <c r="AC579" s="878"/>
      <c r="AD579" s="878"/>
      <c r="AE579" s="878"/>
      <c r="AF579" s="878"/>
      <c r="AG579" s="878"/>
      <c r="AK579" s="802"/>
    </row>
    <row r="580" spans="2:37" outlineLevel="1" x14ac:dyDescent="0.25">
      <c r="B580" s="1087"/>
      <c r="C580" s="1434"/>
      <c r="D580" s="2353" t="str">
        <f>D525</f>
        <v>Inc. Cost</v>
      </c>
      <c r="E580" s="867" t="s">
        <v>1386</v>
      </c>
      <c r="F580" s="526">
        <v>97</v>
      </c>
      <c r="G580" s="869"/>
      <c r="H580" s="869"/>
      <c r="V580" s="2213" t="str">
        <f>D580</f>
        <v>Inc. Cost</v>
      </c>
      <c r="W580" s="832">
        <v>97</v>
      </c>
      <c r="X580" s="812">
        <v>97</v>
      </c>
      <c r="Y580" s="832"/>
      <c r="Z580" s="832"/>
      <c r="AA580" s="832"/>
      <c r="AB580" s="832"/>
      <c r="AC580" s="832"/>
      <c r="AD580" s="832"/>
      <c r="AE580" s="832"/>
      <c r="AF580" s="832"/>
      <c r="AG580" s="832"/>
      <c r="AK580" s="802"/>
    </row>
    <row r="581" spans="2:37" outlineLevel="1" x14ac:dyDescent="0.25">
      <c r="B581" s="1087"/>
      <c r="C581" s="1434"/>
      <c r="D581" s="2354"/>
      <c r="E581" s="867" t="s">
        <v>1387</v>
      </c>
      <c r="F581" s="526">
        <v>475</v>
      </c>
      <c r="G581" s="869"/>
      <c r="H581" s="869"/>
      <c r="V581" s="2251"/>
      <c r="W581" s="832">
        <v>475</v>
      </c>
      <c r="X581" s="812">
        <v>475</v>
      </c>
      <c r="Y581" s="832"/>
      <c r="Z581" s="832"/>
      <c r="AA581" s="832"/>
      <c r="AB581" s="832"/>
      <c r="AC581" s="832"/>
      <c r="AD581" s="832"/>
      <c r="AE581" s="832"/>
      <c r="AF581" s="832"/>
      <c r="AG581" s="832"/>
      <c r="AK581" s="802"/>
    </row>
    <row r="582" spans="2:37" outlineLevel="1" x14ac:dyDescent="0.25">
      <c r="B582" s="1087"/>
      <c r="C582" s="1434"/>
      <c r="D582" s="2354"/>
      <c r="E582" s="867" t="s">
        <v>1405</v>
      </c>
      <c r="F582" s="526"/>
      <c r="G582" s="869"/>
      <c r="H582" s="869"/>
      <c r="V582" s="2251"/>
      <c r="W582" s="832"/>
      <c r="X582" s="812"/>
      <c r="Y582" s="832"/>
      <c r="Z582" s="832"/>
      <c r="AA582" s="832"/>
      <c r="AB582" s="832"/>
      <c r="AC582" s="832"/>
      <c r="AD582" s="832"/>
      <c r="AE582" s="832"/>
      <c r="AF582" s="832"/>
      <c r="AG582" s="832"/>
      <c r="AK582" s="802"/>
    </row>
    <row r="583" spans="2:37" outlineLevel="1" x14ac:dyDescent="0.25">
      <c r="B583" s="1087"/>
      <c r="C583" s="1434"/>
      <c r="D583" s="2354"/>
      <c r="E583" s="867" t="s">
        <v>1392</v>
      </c>
      <c r="F583" s="526">
        <v>97</v>
      </c>
      <c r="G583" s="869"/>
      <c r="H583" s="869"/>
      <c r="V583" s="2251"/>
      <c r="W583" s="832">
        <v>97</v>
      </c>
      <c r="X583" s="812">
        <v>97</v>
      </c>
      <c r="Y583" s="832"/>
      <c r="Z583" s="832"/>
      <c r="AA583" s="832"/>
      <c r="AB583" s="832"/>
      <c r="AC583" s="832"/>
      <c r="AD583" s="832"/>
      <c r="AE583" s="832"/>
      <c r="AF583" s="832"/>
      <c r="AG583" s="832"/>
      <c r="AK583" s="802"/>
    </row>
    <row r="584" spans="2:37" outlineLevel="1" x14ac:dyDescent="0.25">
      <c r="B584" s="1087"/>
      <c r="C584" s="1434"/>
      <c r="D584" s="2354"/>
      <c r="E584" s="867" t="s">
        <v>1393</v>
      </c>
      <c r="F584" s="526">
        <v>475</v>
      </c>
      <c r="G584" s="869"/>
      <c r="H584" s="869"/>
      <c r="V584" s="2251"/>
      <c r="W584" s="832">
        <v>475</v>
      </c>
      <c r="X584" s="812">
        <v>475</v>
      </c>
      <c r="Y584" s="832"/>
      <c r="Z584" s="832"/>
      <c r="AA584" s="832"/>
      <c r="AB584" s="832"/>
      <c r="AC584" s="832"/>
      <c r="AD584" s="832"/>
      <c r="AE584" s="832"/>
      <c r="AF584" s="832"/>
      <c r="AG584" s="832"/>
      <c r="AK584" s="802"/>
    </row>
    <row r="585" spans="2:37" outlineLevel="1" x14ac:dyDescent="0.25">
      <c r="B585" s="1087"/>
      <c r="C585" s="1434"/>
      <c r="D585" s="2355"/>
      <c r="E585" s="867" t="s">
        <v>1406</v>
      </c>
      <c r="F585" s="526"/>
      <c r="G585" s="869"/>
      <c r="H585" s="869"/>
      <c r="V585" s="2251"/>
      <c r="W585" s="832"/>
      <c r="X585" s="812"/>
      <c r="Y585" s="832"/>
      <c r="Z585" s="832"/>
      <c r="AA585" s="832"/>
      <c r="AB585" s="832"/>
      <c r="AC585" s="832"/>
      <c r="AD585" s="832"/>
      <c r="AE585" s="832"/>
      <c r="AF585" s="832"/>
      <c r="AG585" s="832"/>
      <c r="AK585" s="802"/>
    </row>
    <row r="586" spans="2:37" x14ac:dyDescent="0.25">
      <c r="AK586" s="802"/>
    </row>
    <row r="587" spans="2:37" x14ac:dyDescent="0.25">
      <c r="AK587" s="802"/>
    </row>
    <row r="588" spans="2:37" s="165" customFormat="1" x14ac:dyDescent="0.25">
      <c r="B588" s="2022" t="s">
        <v>1407</v>
      </c>
      <c r="C588" s="2023"/>
      <c r="D588" s="2023"/>
      <c r="E588" s="2023"/>
      <c r="F588" s="2023"/>
      <c r="G588" s="2023"/>
      <c r="H588" s="2023"/>
      <c r="I588" s="1992"/>
      <c r="J588" s="1992"/>
      <c r="K588" s="1992"/>
      <c r="L588" s="1992"/>
      <c r="M588" s="1992"/>
      <c r="N588" s="1992"/>
      <c r="O588" s="1993"/>
      <c r="P588" s="2022"/>
      <c r="Q588" s="2023"/>
      <c r="R588" s="2023"/>
      <c r="V588" s="2022" t="str">
        <f>B588</f>
        <v>Heat Pump (HP) Tune-up</v>
      </c>
      <c r="W588" s="2023"/>
      <c r="X588" s="2023"/>
      <c r="Y588" s="2023"/>
      <c r="Z588" s="2023"/>
      <c r="AA588" s="2023"/>
      <c r="AB588" s="2023"/>
      <c r="AC588" s="2024"/>
      <c r="AD588" s="2024"/>
      <c r="AE588" s="2024"/>
      <c r="AF588" s="2024"/>
      <c r="AG588" s="2024"/>
      <c r="AH588" s="2024"/>
      <c r="AI588" s="2025"/>
      <c r="AK588" s="802"/>
    </row>
    <row r="589" spans="2:37" s="37" customFormat="1" x14ac:dyDescent="0.25">
      <c r="B589" s="175"/>
      <c r="C589" s="1410"/>
      <c r="D589" s="1411"/>
      <c r="E589" s="1411"/>
      <c r="F589" s="175"/>
      <c r="G589" s="175"/>
      <c r="H589" s="175"/>
      <c r="I589" s="175"/>
      <c r="J589" s="175"/>
      <c r="K589" s="175"/>
      <c r="L589" s="175"/>
      <c r="M589" s="175"/>
      <c r="N589" s="175"/>
      <c r="O589" s="175"/>
      <c r="P589" s="175"/>
      <c r="Q589" s="175"/>
      <c r="R589" s="175"/>
      <c r="S589" s="175"/>
      <c r="T589" s="175"/>
      <c r="U589" s="175"/>
      <c r="V589" s="249"/>
      <c r="W589" s="249"/>
      <c r="X589" s="249"/>
      <c r="Y589" s="249"/>
      <c r="Z589" s="249"/>
      <c r="AA589" s="249"/>
      <c r="AB589" s="249"/>
      <c r="AC589" s="249"/>
      <c r="AD589" s="249"/>
      <c r="AE589" s="249"/>
      <c r="AF589" s="249"/>
      <c r="AG589" s="249"/>
      <c r="AH589" s="249"/>
      <c r="AI589" s="249"/>
      <c r="AK589" s="802"/>
    </row>
    <row r="590" spans="2:37" s="798" customFormat="1" ht="48.75" customHeight="1" x14ac:dyDescent="0.25">
      <c r="B590" s="1789"/>
      <c r="C590" s="184" t="s">
        <v>16</v>
      </c>
      <c r="D590" s="184" t="s">
        <v>509</v>
      </c>
      <c r="E590" s="184" t="s">
        <v>18</v>
      </c>
      <c r="F590" s="184" t="s">
        <v>19</v>
      </c>
      <c r="G590" s="184" t="s">
        <v>20</v>
      </c>
      <c r="H590" s="184" t="s">
        <v>21</v>
      </c>
      <c r="I590" s="184" t="s">
        <v>22</v>
      </c>
      <c r="J590" s="448" t="s">
        <v>23</v>
      </c>
      <c r="K590" s="184" t="s">
        <v>24</v>
      </c>
      <c r="L590" s="184" t="s">
        <v>25</v>
      </c>
      <c r="M590" s="1548"/>
      <c r="N590" s="1548"/>
      <c r="O590" s="1548"/>
      <c r="P590" s="1548"/>
      <c r="Q590" s="1548"/>
      <c r="R590" s="1548"/>
      <c r="S590" s="1789"/>
      <c r="T590" s="1789"/>
      <c r="U590" s="1789"/>
      <c r="V590" s="48" t="s">
        <v>26</v>
      </c>
      <c r="W590" s="49">
        <f>W$6</f>
        <v>43252</v>
      </c>
      <c r="X590" s="49">
        <f t="shared" ref="X590:AG590" si="43">X$6</f>
        <v>43465</v>
      </c>
      <c r="Y590" s="49" t="str">
        <f t="shared" si="43"/>
        <v>-</v>
      </c>
      <c r="Z590" s="49" t="str">
        <f t="shared" si="43"/>
        <v>-</v>
      </c>
      <c r="AA590" s="49" t="str">
        <f t="shared" si="43"/>
        <v>-</v>
      </c>
      <c r="AB590" s="49" t="str">
        <f t="shared" si="43"/>
        <v>-</v>
      </c>
      <c r="AC590" s="49" t="str">
        <f t="shared" si="43"/>
        <v>-</v>
      </c>
      <c r="AD590" s="49" t="str">
        <f t="shared" si="43"/>
        <v>-</v>
      </c>
      <c r="AE590" s="49" t="str">
        <f t="shared" si="43"/>
        <v>-</v>
      </c>
      <c r="AF590" s="49" t="str">
        <f t="shared" si="43"/>
        <v>-</v>
      </c>
      <c r="AG590" s="49" t="str">
        <f t="shared" si="43"/>
        <v>-</v>
      </c>
      <c r="AH590" s="249"/>
      <c r="AI590" s="249"/>
      <c r="AK590" s="802"/>
    </row>
    <row r="591" spans="2:37" s="798" customFormat="1" x14ac:dyDescent="0.25">
      <c r="B591" s="1789"/>
      <c r="C591" s="1137"/>
      <c r="D591" s="1151" t="s">
        <v>1250</v>
      </c>
      <c r="E591" s="1726" t="s">
        <v>1408</v>
      </c>
      <c r="F591" s="1702">
        <f>(G613*G614*(1/G616-1/G620)/G624)</f>
        <v>146.05813953488371</v>
      </c>
      <c r="G591" s="1660" t="s">
        <v>578</v>
      </c>
      <c r="H591" s="170">
        <f>VLOOKUP(G591,'CP FACTORS'!$A$3:$B$38, 2, FALSE)</f>
        <v>9.4741810000000004E-4</v>
      </c>
      <c r="I591" s="880">
        <f t="shared" ref="I591:I606" si="44">F591*H591</f>
        <v>0.13837812504767441</v>
      </c>
      <c r="J591" s="881">
        <f>$G$636</f>
        <v>2</v>
      </c>
      <c r="K591" s="526">
        <f>$G$637</f>
        <v>70</v>
      </c>
      <c r="L591" s="882" t="s">
        <v>31</v>
      </c>
      <c r="M591" s="1548"/>
      <c r="N591" s="1548"/>
      <c r="O591" s="1548"/>
      <c r="P591" s="1548"/>
      <c r="Q591" s="1548"/>
      <c r="R591" s="1413"/>
      <c r="S591" s="1789"/>
      <c r="T591" s="1789"/>
      <c r="U591" s="1789"/>
      <c r="V591" s="176" t="str">
        <f>$F$456</f>
        <v>kWh
Annual Savings</v>
      </c>
      <c r="W591" s="1206">
        <v>146.05813953488371</v>
      </c>
      <c r="X591" s="1207">
        <v>146.05813953488371</v>
      </c>
      <c r="Y591" s="176"/>
      <c r="Z591" s="176"/>
      <c r="AA591" s="176"/>
      <c r="AB591" s="176"/>
      <c r="AC591" s="176"/>
      <c r="AD591" s="176"/>
      <c r="AE591" s="176"/>
      <c r="AF591" s="176"/>
      <c r="AG591" s="176"/>
      <c r="AH591" s="249"/>
      <c r="AI591" s="249"/>
      <c r="AK591" s="802"/>
    </row>
    <row r="592" spans="2:37" s="798" customFormat="1" x14ac:dyDescent="0.25">
      <c r="B592" s="1789"/>
      <c r="C592" s="1137"/>
      <c r="D592" s="1151" t="s">
        <v>1250</v>
      </c>
      <c r="E592" s="1787" t="s">
        <v>1408</v>
      </c>
      <c r="F592" s="1702">
        <f>(G625*G626*(1/G628-1/G632)/G624)</f>
        <v>157.864509605661</v>
      </c>
      <c r="G592" s="1660" t="s">
        <v>579</v>
      </c>
      <c r="H592" s="170">
        <f>VLOOKUP(G592,'CP FACTORS'!$A$3:$B$38, 2, FALSE)</f>
        <v>0</v>
      </c>
      <c r="I592" s="880">
        <f t="shared" si="44"/>
        <v>0</v>
      </c>
      <c r="J592" s="881">
        <f t="shared" ref="J592:J606" si="45">$G$636</f>
        <v>2</v>
      </c>
      <c r="K592" s="526">
        <v>0</v>
      </c>
      <c r="L592" s="420" t="s">
        <v>31</v>
      </c>
      <c r="M592" s="1548"/>
      <c r="N592" s="1548"/>
      <c r="O592" s="1548"/>
      <c r="P592" s="1548"/>
      <c r="Q592" s="1548"/>
      <c r="R592" s="1413"/>
      <c r="S592" s="1789"/>
      <c r="T592" s="1789"/>
      <c r="U592" s="1789"/>
      <c r="V592" s="176" t="str">
        <f t="shared" ref="V592:V606" si="46">$F$456</f>
        <v>kWh
Annual Savings</v>
      </c>
      <c r="W592" s="1206">
        <v>157.864509605661</v>
      </c>
      <c r="X592" s="1207">
        <v>157.864509605661</v>
      </c>
      <c r="Y592" s="176"/>
      <c r="Z592" s="176"/>
      <c r="AA592" s="176"/>
      <c r="AB592" s="176"/>
      <c r="AC592" s="176"/>
      <c r="AD592" s="176"/>
      <c r="AE592" s="176"/>
      <c r="AF592" s="176"/>
      <c r="AG592" s="176"/>
      <c r="AH592" s="811"/>
      <c r="AI592" s="811"/>
      <c r="AK592" s="802"/>
    </row>
    <row r="593" spans="2:37" s="798" customFormat="1" x14ac:dyDescent="0.25">
      <c r="B593" s="1789"/>
      <c r="C593" s="1137"/>
      <c r="D593" s="1151" t="s">
        <v>1246</v>
      </c>
      <c r="E593" s="1726" t="s">
        <v>1408</v>
      </c>
      <c r="F593" s="1702">
        <f>(G613*G615*(1/G616-1/G620)/G624)</f>
        <v>94.937790697674416</v>
      </c>
      <c r="G593" s="1660" t="s">
        <v>578</v>
      </c>
      <c r="H593" s="170">
        <f>VLOOKUP(G593,'CP FACTORS'!$A$3:$B$38, 2, FALSE)</f>
        <v>9.4741810000000004E-4</v>
      </c>
      <c r="I593" s="880">
        <f t="shared" si="44"/>
        <v>8.9945781280988374E-2</v>
      </c>
      <c r="J593" s="881">
        <f t="shared" si="45"/>
        <v>2</v>
      </c>
      <c r="K593" s="526">
        <f>$G$637</f>
        <v>70</v>
      </c>
      <c r="L593" s="882" t="s">
        <v>31</v>
      </c>
      <c r="M593" s="1548"/>
      <c r="N593" s="1548"/>
      <c r="O593" s="1548"/>
      <c r="P593" s="1548"/>
      <c r="Q593" s="1548"/>
      <c r="R593" s="1413"/>
      <c r="S593" s="1789"/>
      <c r="T593" s="1789"/>
      <c r="U593" s="1789"/>
      <c r="V593" s="176" t="str">
        <f t="shared" si="46"/>
        <v>kWh
Annual Savings</v>
      </c>
      <c r="W593" s="1206">
        <v>94.937790697674416</v>
      </c>
      <c r="X593" s="1207">
        <v>94.937790697674416</v>
      </c>
      <c r="Y593" s="176"/>
      <c r="Z593" s="176"/>
      <c r="AA593" s="176"/>
      <c r="AB593" s="176"/>
      <c r="AC593" s="176"/>
      <c r="AD593" s="176"/>
      <c r="AE593" s="176"/>
      <c r="AF593" s="176"/>
      <c r="AG593" s="176"/>
      <c r="AK593" s="802"/>
    </row>
    <row r="594" spans="2:37" s="798" customFormat="1" x14ac:dyDescent="0.25">
      <c r="B594" s="1789"/>
      <c r="C594" s="1137"/>
      <c r="D594" s="1151" t="s">
        <v>1246</v>
      </c>
      <c r="E594" s="1787" t="s">
        <v>1408</v>
      </c>
      <c r="F594" s="1702">
        <f>(G625*G627*(1/G628-1/G632)/G624)</f>
        <v>102.61193124367966</v>
      </c>
      <c r="G594" s="1660" t="s">
        <v>579</v>
      </c>
      <c r="H594" s="170">
        <f>VLOOKUP(G594,'CP FACTORS'!$A$3:$B$38, 2, FALSE)</f>
        <v>0</v>
      </c>
      <c r="I594" s="880">
        <f t="shared" si="44"/>
        <v>0</v>
      </c>
      <c r="J594" s="881">
        <f t="shared" si="45"/>
        <v>2</v>
      </c>
      <c r="K594" s="526">
        <v>0</v>
      </c>
      <c r="L594" s="420" t="s">
        <v>31</v>
      </c>
      <c r="M594" s="1548"/>
      <c r="N594" s="1548"/>
      <c r="O594" s="1548"/>
      <c r="P594" s="1548"/>
      <c r="Q594" s="1548"/>
      <c r="R594" s="1413"/>
      <c r="S594" s="1789"/>
      <c r="T594" s="1789"/>
      <c r="U594" s="1789"/>
      <c r="V594" s="176" t="str">
        <f t="shared" si="46"/>
        <v>kWh
Annual Savings</v>
      </c>
      <c r="W594" s="1206">
        <v>102.61193124367966</v>
      </c>
      <c r="X594" s="1207">
        <v>102.61193124367966</v>
      </c>
      <c r="Y594" s="176"/>
      <c r="Z594" s="176"/>
      <c r="AA594" s="176"/>
      <c r="AB594" s="176"/>
      <c r="AC594" s="176"/>
      <c r="AD594" s="176"/>
      <c r="AE594" s="176"/>
      <c r="AF594" s="176"/>
      <c r="AG594" s="176"/>
      <c r="AK594" s="802"/>
    </row>
    <row r="595" spans="2:37" s="181" customFormat="1" x14ac:dyDescent="0.25">
      <c r="B595" s="1416"/>
      <c r="C595" s="1137"/>
      <c r="D595" s="1151" t="s">
        <v>1250</v>
      </c>
      <c r="E595" s="1726" t="s">
        <v>1409</v>
      </c>
      <c r="F595" s="1702">
        <f>(G613*G614*(1/G617-1/G621)/G624)</f>
        <v>609.19309466886068</v>
      </c>
      <c r="G595" s="1660" t="s">
        <v>578</v>
      </c>
      <c r="H595" s="170">
        <f>VLOOKUP(G595,'CP FACTORS'!$A$3:$B$38, 2, FALSE)</f>
        <v>9.4741810000000004E-4</v>
      </c>
      <c r="I595" s="880">
        <f t="shared" si="44"/>
        <v>0.57716056428429219</v>
      </c>
      <c r="J595" s="881">
        <f t="shared" si="45"/>
        <v>2</v>
      </c>
      <c r="K595" s="526">
        <f>$G$638</f>
        <v>81</v>
      </c>
      <c r="L595" s="882" t="s">
        <v>31</v>
      </c>
      <c r="M595" s="1548"/>
      <c r="N595" s="1548"/>
      <c r="O595" s="1548"/>
      <c r="P595" s="1548"/>
      <c r="Q595" s="1548"/>
      <c r="R595" s="1413"/>
      <c r="S595" s="1423"/>
      <c r="T595" s="1416"/>
      <c r="U595" s="1416"/>
      <c r="V595" s="176" t="str">
        <f t="shared" si="46"/>
        <v>kWh
Annual Savings</v>
      </c>
      <c r="W595" s="1206">
        <v>609.19309466886068</v>
      </c>
      <c r="X595" s="1207">
        <v>609.19309466886068</v>
      </c>
      <c r="Y595" s="176"/>
      <c r="Z595" s="176"/>
      <c r="AA595" s="176"/>
      <c r="AB595" s="176"/>
      <c r="AC595" s="176"/>
      <c r="AD595" s="176"/>
      <c r="AE595" s="176"/>
      <c r="AF595" s="176"/>
      <c r="AG595" s="176"/>
      <c r="AK595" s="802"/>
    </row>
    <row r="596" spans="2:37" s="181" customFormat="1" x14ac:dyDescent="0.25">
      <c r="B596" s="1416"/>
      <c r="C596" s="1137"/>
      <c r="D596" s="1151" t="s">
        <v>1250</v>
      </c>
      <c r="E596" s="1787" t="s">
        <v>1409</v>
      </c>
      <c r="F596" s="1702">
        <f>(G625*G626*(1/G629-1/G633)/G624)</f>
        <v>759.98528433977378</v>
      </c>
      <c r="G596" s="1660" t="s">
        <v>579</v>
      </c>
      <c r="H596" s="170">
        <f>VLOOKUP(G596,'CP FACTORS'!$A$3:$B$38, 2, FALSE)</f>
        <v>0</v>
      </c>
      <c r="I596" s="880">
        <f t="shared" si="44"/>
        <v>0</v>
      </c>
      <c r="J596" s="881">
        <f t="shared" si="45"/>
        <v>2</v>
      </c>
      <c r="K596" s="526">
        <v>0</v>
      </c>
      <c r="L596" s="420" t="s">
        <v>31</v>
      </c>
      <c r="M596" s="1790"/>
      <c r="N596" s="1791"/>
      <c r="O596" s="1791"/>
      <c r="P596" s="1791"/>
      <c r="Q596" s="1791"/>
      <c r="R596" s="1413"/>
      <c r="S596" s="1423"/>
      <c r="T596" s="1416"/>
      <c r="U596" s="1416"/>
      <c r="V596" s="176" t="str">
        <f t="shared" si="46"/>
        <v>kWh
Annual Savings</v>
      </c>
      <c r="W596" s="1206">
        <v>759.98528433977378</v>
      </c>
      <c r="X596" s="1207">
        <v>759.98528433977378</v>
      </c>
      <c r="Y596" s="176"/>
      <c r="Z596" s="176"/>
      <c r="AA596" s="176"/>
      <c r="AB596" s="176"/>
      <c r="AC596" s="176"/>
      <c r="AD596" s="176"/>
      <c r="AE596" s="176"/>
      <c r="AF596" s="176"/>
      <c r="AG596" s="176"/>
      <c r="AK596" s="802"/>
    </row>
    <row r="597" spans="2:37" s="811" customFormat="1" x14ac:dyDescent="0.25">
      <c r="B597" s="1708"/>
      <c r="C597" s="1137"/>
      <c r="D597" s="1151" t="s">
        <v>1246</v>
      </c>
      <c r="E597" s="1726" t="s">
        <v>1410</v>
      </c>
      <c r="F597" s="1702">
        <f>(G613*G615*(1/G617-1/G621)/G624)</f>
        <v>395.97551153475945</v>
      </c>
      <c r="G597" s="1660" t="s">
        <v>578</v>
      </c>
      <c r="H597" s="170">
        <f>VLOOKUP(G597,'CP FACTORS'!$A$3:$B$38, 2, FALSE)</f>
        <v>9.4741810000000004E-4</v>
      </c>
      <c r="I597" s="880">
        <f t="shared" si="44"/>
        <v>0.37515436678478992</v>
      </c>
      <c r="J597" s="881">
        <f t="shared" si="45"/>
        <v>2</v>
      </c>
      <c r="K597" s="526">
        <f>$G$638</f>
        <v>81</v>
      </c>
      <c r="L597" s="882" t="s">
        <v>31</v>
      </c>
      <c r="M597" s="1548"/>
      <c r="N597" s="1548"/>
      <c r="O597" s="1548"/>
      <c r="P597" s="1548"/>
      <c r="Q597" s="1548"/>
      <c r="R597" s="1413"/>
      <c r="S597" s="1548"/>
      <c r="T597" s="1548"/>
      <c r="U597" s="1548"/>
      <c r="V597" s="176" t="str">
        <f t="shared" si="46"/>
        <v>kWh
Annual Savings</v>
      </c>
      <c r="W597" s="1206">
        <v>395.97551153475945</v>
      </c>
      <c r="X597" s="1207">
        <v>395.97551153475945</v>
      </c>
      <c r="Y597" s="176"/>
      <c r="Z597" s="176"/>
      <c r="AA597" s="176"/>
      <c r="AB597" s="176"/>
      <c r="AC597" s="176"/>
      <c r="AD597" s="176"/>
      <c r="AE597" s="176"/>
      <c r="AF597" s="176"/>
      <c r="AG597" s="176"/>
      <c r="AK597" s="802"/>
    </row>
    <row r="598" spans="2:37" s="811" customFormat="1" x14ac:dyDescent="0.25">
      <c r="B598" s="1708"/>
      <c r="C598" s="1137"/>
      <c r="D598" s="1151" t="s">
        <v>1246</v>
      </c>
      <c r="E598" s="1787" t="s">
        <v>1410</v>
      </c>
      <c r="F598" s="1702">
        <f>(G625*G627*(1/G629-1/G633)/G624)</f>
        <v>493.99043482085307</v>
      </c>
      <c r="G598" s="1660" t="s">
        <v>579</v>
      </c>
      <c r="H598" s="170">
        <f>VLOOKUP(G598,'CP FACTORS'!$A$3:$B$38, 2, FALSE)</f>
        <v>0</v>
      </c>
      <c r="I598" s="880">
        <f t="shared" si="44"/>
        <v>0</v>
      </c>
      <c r="J598" s="881">
        <f t="shared" si="45"/>
        <v>2</v>
      </c>
      <c r="K598" s="526">
        <v>0</v>
      </c>
      <c r="L598" s="420" t="s">
        <v>31</v>
      </c>
      <c r="M598" s="1548"/>
      <c r="N598" s="1548"/>
      <c r="O598" s="1548"/>
      <c r="P598" s="1548"/>
      <c r="Q598" s="1548"/>
      <c r="R598" s="1413"/>
      <c r="S598" s="1548"/>
      <c r="T598" s="1548"/>
      <c r="U598" s="1548"/>
      <c r="V598" s="176" t="str">
        <f t="shared" si="46"/>
        <v>kWh
Annual Savings</v>
      </c>
      <c r="W598" s="1206">
        <v>493.99043482085307</v>
      </c>
      <c r="X598" s="1207">
        <v>493.99043482085307</v>
      </c>
      <c r="Y598" s="176"/>
      <c r="Z598" s="176"/>
      <c r="AA598" s="176"/>
      <c r="AB598" s="176"/>
      <c r="AC598" s="176"/>
      <c r="AD598" s="176"/>
      <c r="AE598" s="176"/>
      <c r="AF598" s="176"/>
      <c r="AG598" s="176"/>
      <c r="AK598" s="802"/>
    </row>
    <row r="599" spans="2:37" s="811" customFormat="1" x14ac:dyDescent="0.25">
      <c r="B599" s="1708"/>
      <c r="C599" s="1137"/>
      <c r="D599" s="1151" t="s">
        <v>1250</v>
      </c>
      <c r="E599" s="1726" t="s">
        <v>1411</v>
      </c>
      <c r="F599" s="1702">
        <f>(G613*G614*(1/G618-1/G622)/G624)</f>
        <v>100.82956618593137</v>
      </c>
      <c r="G599" s="1660" t="s">
        <v>578</v>
      </c>
      <c r="H599" s="170">
        <f>VLOOKUP(G599,'CP FACTORS'!$A$3:$B$38, 2, FALSE)</f>
        <v>9.4741810000000004E-4</v>
      </c>
      <c r="I599" s="880">
        <f t="shared" si="44"/>
        <v>9.5527756019699345E-2</v>
      </c>
      <c r="J599" s="881">
        <f t="shared" si="45"/>
        <v>2</v>
      </c>
      <c r="K599" s="526">
        <f>$G$639</f>
        <v>63</v>
      </c>
      <c r="L599" s="882" t="s">
        <v>31</v>
      </c>
      <c r="M599" s="1548"/>
      <c r="N599" s="1548"/>
      <c r="O599" s="1548"/>
      <c r="P599" s="1548"/>
      <c r="Q599" s="1548"/>
      <c r="R599" s="1413"/>
      <c r="S599" s="1548"/>
      <c r="T599" s="1548"/>
      <c r="U599" s="1548"/>
      <c r="V599" s="176" t="str">
        <f t="shared" si="46"/>
        <v>kWh
Annual Savings</v>
      </c>
      <c r="W599" s="1206">
        <v>100.82956618593137</v>
      </c>
      <c r="X599" s="1207">
        <v>100.82956618593137</v>
      </c>
      <c r="Y599" s="176"/>
      <c r="Z599" s="176"/>
      <c r="AA599" s="176"/>
      <c r="AB599" s="176"/>
      <c r="AC599" s="176"/>
      <c r="AD599" s="176"/>
      <c r="AE599" s="176"/>
      <c r="AF599" s="176"/>
      <c r="AG599" s="176"/>
      <c r="AK599" s="802"/>
    </row>
    <row r="600" spans="2:37" s="811" customFormat="1" x14ac:dyDescent="0.25">
      <c r="B600" s="1708"/>
      <c r="C600" s="1137"/>
      <c r="D600" s="1151" t="s">
        <v>1250</v>
      </c>
      <c r="E600" s="1787" t="s">
        <v>1411</v>
      </c>
      <c r="F600" s="1702">
        <f>(G625*G626*(1/G630-1/G634)/G624)</f>
        <v>107.57620062894772</v>
      </c>
      <c r="G600" s="1660" t="s">
        <v>579</v>
      </c>
      <c r="H600" s="170">
        <f>VLOOKUP(G600,'CP FACTORS'!$A$3:$B$38, 2, FALSE)</f>
        <v>0</v>
      </c>
      <c r="I600" s="880">
        <f t="shared" si="44"/>
        <v>0</v>
      </c>
      <c r="J600" s="881">
        <f t="shared" si="45"/>
        <v>2</v>
      </c>
      <c r="K600" s="526">
        <v>0</v>
      </c>
      <c r="L600" s="420" t="s">
        <v>31</v>
      </c>
      <c r="M600" s="1548"/>
      <c r="N600" s="1548"/>
      <c r="O600" s="1548"/>
      <c r="P600" s="1548"/>
      <c r="Q600" s="1548"/>
      <c r="R600" s="1413"/>
      <c r="S600" s="1548"/>
      <c r="T600" s="1548"/>
      <c r="U600" s="1548"/>
      <c r="V600" s="176" t="str">
        <f t="shared" si="46"/>
        <v>kWh
Annual Savings</v>
      </c>
      <c r="W600" s="1206">
        <v>107.57620062894772</v>
      </c>
      <c r="X600" s="1207">
        <v>107.57620062894772</v>
      </c>
      <c r="Y600" s="176"/>
      <c r="Z600" s="176"/>
      <c r="AA600" s="176"/>
      <c r="AB600" s="176"/>
      <c r="AC600" s="176"/>
      <c r="AD600" s="176"/>
      <c r="AE600" s="176"/>
      <c r="AF600" s="176"/>
      <c r="AG600" s="176"/>
      <c r="AK600" s="802"/>
    </row>
    <row r="601" spans="2:37" s="811" customFormat="1" x14ac:dyDescent="0.25">
      <c r="B601" s="1708"/>
      <c r="C601" s="1137"/>
      <c r="D601" s="1151" t="s">
        <v>1246</v>
      </c>
      <c r="E601" s="1726" t="s">
        <v>1412</v>
      </c>
      <c r="F601" s="1702">
        <f>(G613*G615*(1/G618-1/G622)/G624)</f>
        <v>65.539218020855401</v>
      </c>
      <c r="G601" s="1660" t="s">
        <v>578</v>
      </c>
      <c r="H601" s="170">
        <f>VLOOKUP(G601,'CP FACTORS'!$A$3:$B$38, 2, FALSE)</f>
        <v>9.4741810000000004E-4</v>
      </c>
      <c r="I601" s="880">
        <f t="shared" si="44"/>
        <v>6.2093041412804584E-2</v>
      </c>
      <c r="J601" s="881">
        <f t="shared" si="45"/>
        <v>2</v>
      </c>
      <c r="K601" s="526">
        <f>$G$639</f>
        <v>63</v>
      </c>
      <c r="L601" s="882" t="s">
        <v>31</v>
      </c>
      <c r="M601" s="1548"/>
      <c r="N601" s="1548"/>
      <c r="O601" s="1548"/>
      <c r="P601" s="1548"/>
      <c r="Q601" s="1548"/>
      <c r="R601" s="1413"/>
      <c r="S601" s="1548"/>
      <c r="T601" s="1548"/>
      <c r="U601" s="1548"/>
      <c r="V601" s="176" t="str">
        <f t="shared" si="46"/>
        <v>kWh
Annual Savings</v>
      </c>
      <c r="W601" s="1206">
        <v>65.539218020855401</v>
      </c>
      <c r="X601" s="1207">
        <v>65.539218020855401</v>
      </c>
      <c r="Y601" s="176"/>
      <c r="Z601" s="176"/>
      <c r="AA601" s="176"/>
      <c r="AB601" s="176"/>
      <c r="AC601" s="176"/>
      <c r="AD601" s="176"/>
      <c r="AE601" s="176"/>
      <c r="AF601" s="176"/>
      <c r="AG601" s="176"/>
      <c r="AK601" s="802"/>
    </row>
    <row r="602" spans="2:37" s="811" customFormat="1" x14ac:dyDescent="0.25">
      <c r="B602" s="1545"/>
      <c r="C602" s="1137"/>
      <c r="D602" s="1151" t="s">
        <v>1246</v>
      </c>
      <c r="E602" s="1787" t="s">
        <v>1412</v>
      </c>
      <c r="F602" s="1702">
        <f>(G625*G627*(1/G630-1/G634)/G624)</f>
        <v>69.924530408816025</v>
      </c>
      <c r="G602" s="1660" t="s">
        <v>579</v>
      </c>
      <c r="H602" s="170">
        <f>VLOOKUP(G602,'CP FACTORS'!$A$3:$B$38, 2, FALSE)</f>
        <v>0</v>
      </c>
      <c r="I602" s="880">
        <f t="shared" si="44"/>
        <v>0</v>
      </c>
      <c r="J602" s="881">
        <f t="shared" si="45"/>
        <v>2</v>
      </c>
      <c r="K602" s="526">
        <v>0</v>
      </c>
      <c r="L602" s="420" t="s">
        <v>31</v>
      </c>
      <c r="M602" s="1548"/>
      <c r="N602" s="1548"/>
      <c r="O602" s="1548"/>
      <c r="P602" s="1548"/>
      <c r="Q602" s="1548"/>
      <c r="R602" s="1413"/>
      <c r="S602" s="1548"/>
      <c r="T602" s="1548"/>
      <c r="U602" s="1548"/>
      <c r="V602" s="176" t="str">
        <f t="shared" si="46"/>
        <v>kWh
Annual Savings</v>
      </c>
      <c r="W602" s="1206">
        <v>69.924530408816025</v>
      </c>
      <c r="X602" s="1207">
        <v>69.924530408816025</v>
      </c>
      <c r="Y602" s="176"/>
      <c r="Z602" s="176"/>
      <c r="AA602" s="176"/>
      <c r="AB602" s="176"/>
      <c r="AC602" s="176"/>
      <c r="AD602" s="176"/>
      <c r="AE602" s="176"/>
      <c r="AF602" s="176"/>
      <c r="AG602" s="176"/>
      <c r="AK602" s="802"/>
    </row>
    <row r="603" spans="2:37" s="811" customFormat="1" x14ac:dyDescent="0.25">
      <c r="B603" s="1545"/>
      <c r="C603" s="1137"/>
      <c r="D603" s="1151" t="s">
        <v>1250</v>
      </c>
      <c r="E603" s="1726" t="s">
        <v>1413</v>
      </c>
      <c r="F603" s="1702">
        <f>(G613*G614*(1/G619-1/G623)/G624)</f>
        <v>201.65421409635425</v>
      </c>
      <c r="G603" s="1660" t="s">
        <v>578</v>
      </c>
      <c r="H603" s="170">
        <f>VLOOKUP(G603,'CP FACTORS'!$A$3:$B$38, 2, FALSE)</f>
        <v>9.4741810000000004E-4</v>
      </c>
      <c r="I603" s="880">
        <f t="shared" si="44"/>
        <v>0.19105085237616118</v>
      </c>
      <c r="J603" s="881">
        <f t="shared" si="45"/>
        <v>2</v>
      </c>
      <c r="K603" s="526">
        <f>$G$640</f>
        <v>31</v>
      </c>
      <c r="L603" s="882" t="s">
        <v>31</v>
      </c>
      <c r="M603" s="1548"/>
      <c r="N603" s="1548"/>
      <c r="O603" s="1548"/>
      <c r="P603" s="1548"/>
      <c r="Q603" s="1548"/>
      <c r="R603" s="1413"/>
      <c r="S603" s="1548"/>
      <c r="T603" s="1548"/>
      <c r="U603" s="1548"/>
      <c r="V603" s="176" t="str">
        <f t="shared" si="46"/>
        <v>kWh
Annual Savings</v>
      </c>
      <c r="W603" s="1206">
        <v>201.65421409635425</v>
      </c>
      <c r="X603" s="1207">
        <v>201.65421409635425</v>
      </c>
      <c r="Y603" s="176"/>
      <c r="Z603" s="176"/>
      <c r="AA603" s="176"/>
      <c r="AB603" s="176"/>
      <c r="AC603" s="176"/>
      <c r="AD603" s="176"/>
      <c r="AE603" s="176"/>
      <c r="AF603" s="176"/>
      <c r="AG603" s="176"/>
      <c r="AK603" s="802"/>
    </row>
    <row r="604" spans="2:37" s="811" customFormat="1" x14ac:dyDescent="0.25">
      <c r="B604" s="1545"/>
      <c r="C604" s="1137"/>
      <c r="D604" s="1151" t="s">
        <v>1250</v>
      </c>
      <c r="E604" s="1787" t="s">
        <v>1413</v>
      </c>
      <c r="F604" s="1702">
        <f>(G625*G626*(1/G631-1/G635)/G624)</f>
        <v>221.50760781464643</v>
      </c>
      <c r="G604" s="1660" t="s">
        <v>579</v>
      </c>
      <c r="H604" s="170">
        <f>VLOOKUP(G604,'CP FACTORS'!$A$3:$B$38, 2, FALSE)</f>
        <v>0</v>
      </c>
      <c r="I604" s="880">
        <f t="shared" si="44"/>
        <v>0</v>
      </c>
      <c r="J604" s="881">
        <f t="shared" si="45"/>
        <v>2</v>
      </c>
      <c r="K604" s="526">
        <v>0</v>
      </c>
      <c r="L604" s="420" t="s">
        <v>31</v>
      </c>
      <c r="M604" s="1548"/>
      <c r="N604" s="1548"/>
      <c r="O604" s="1548"/>
      <c r="P604" s="1548"/>
      <c r="Q604" s="1548"/>
      <c r="R604" s="1413"/>
      <c r="S604" s="1548"/>
      <c r="T604" s="1548"/>
      <c r="U604" s="1548"/>
      <c r="V604" s="176" t="str">
        <f t="shared" si="46"/>
        <v>kWh
Annual Savings</v>
      </c>
      <c r="W604" s="1206">
        <v>221.50760781464643</v>
      </c>
      <c r="X604" s="1207">
        <v>221.50760781464643</v>
      </c>
      <c r="Y604" s="176"/>
      <c r="Z604" s="176"/>
      <c r="AA604" s="176"/>
      <c r="AB604" s="176"/>
      <c r="AC604" s="176"/>
      <c r="AD604" s="176"/>
      <c r="AE604" s="176"/>
      <c r="AF604" s="176"/>
      <c r="AG604" s="176"/>
      <c r="AK604" s="802"/>
    </row>
    <row r="605" spans="2:37" s="811" customFormat="1" x14ac:dyDescent="0.25">
      <c r="B605" s="1545"/>
      <c r="C605" s="1137"/>
      <c r="D605" s="1151" t="s">
        <v>1246</v>
      </c>
      <c r="E605" s="1726" t="s">
        <v>1414</v>
      </c>
      <c r="F605" s="1702">
        <f>(G613*G615*(1/G619-1/G623)/G624)</f>
        <v>131.07523916263028</v>
      </c>
      <c r="G605" s="1660" t="s">
        <v>578</v>
      </c>
      <c r="H605" s="170">
        <f>VLOOKUP(G605,'CP FACTORS'!$A$3:$B$38, 2, FALSE)</f>
        <v>9.4741810000000004E-4</v>
      </c>
      <c r="I605" s="880">
        <f t="shared" si="44"/>
        <v>0.12418305404450478</v>
      </c>
      <c r="J605" s="881">
        <f t="shared" si="45"/>
        <v>2</v>
      </c>
      <c r="K605" s="526">
        <f>$G$640</f>
        <v>31</v>
      </c>
      <c r="L605" s="882" t="s">
        <v>31</v>
      </c>
      <c r="M605" s="1548"/>
      <c r="N605" s="1548"/>
      <c r="O605" s="1548"/>
      <c r="P605" s="1548"/>
      <c r="Q605" s="1548"/>
      <c r="R605" s="1413"/>
      <c r="S605" s="1548"/>
      <c r="T605" s="1548"/>
      <c r="U605" s="1548"/>
      <c r="V605" s="176" t="str">
        <f t="shared" si="46"/>
        <v>kWh
Annual Savings</v>
      </c>
      <c r="W605" s="1206">
        <v>131.07523916263028</v>
      </c>
      <c r="X605" s="1207">
        <v>131.07523916263028</v>
      </c>
      <c r="Y605" s="176"/>
      <c r="Z605" s="176"/>
      <c r="AA605" s="176"/>
      <c r="AB605" s="176"/>
      <c r="AC605" s="176"/>
      <c r="AD605" s="176"/>
      <c r="AE605" s="176"/>
      <c r="AF605" s="176"/>
      <c r="AG605" s="176"/>
      <c r="AK605" s="802"/>
    </row>
    <row r="606" spans="2:37" s="811" customFormat="1" x14ac:dyDescent="0.25">
      <c r="B606" s="1545"/>
      <c r="C606" s="1137"/>
      <c r="D606" s="1151" t="s">
        <v>1246</v>
      </c>
      <c r="E606" s="1787" t="s">
        <v>1414</v>
      </c>
      <c r="F606" s="1702">
        <f>(G625*G627*(1/G631-1/G635)/G624)</f>
        <v>143.97994507952021</v>
      </c>
      <c r="G606" s="1660" t="s">
        <v>579</v>
      </c>
      <c r="H606" s="170">
        <f>VLOOKUP(G606,'CP FACTORS'!$A$3:$B$38, 2, FALSE)</f>
        <v>0</v>
      </c>
      <c r="I606" s="880">
        <f t="shared" si="44"/>
        <v>0</v>
      </c>
      <c r="J606" s="881">
        <f t="shared" si="45"/>
        <v>2</v>
      </c>
      <c r="K606" s="526">
        <v>0</v>
      </c>
      <c r="L606" s="420" t="s">
        <v>31</v>
      </c>
      <c r="M606" s="1548"/>
      <c r="N606" s="1548"/>
      <c r="O606" s="1548"/>
      <c r="P606" s="1548"/>
      <c r="Q606" s="1548"/>
      <c r="R606" s="1413"/>
      <c r="S606" s="1548"/>
      <c r="T606" s="1548"/>
      <c r="U606" s="1548"/>
      <c r="V606" s="176" t="str">
        <f t="shared" si="46"/>
        <v>kWh
Annual Savings</v>
      </c>
      <c r="W606" s="1208">
        <v>143.97994507952021</v>
      </c>
      <c r="X606" s="1207">
        <v>143.97994507952021</v>
      </c>
      <c r="Y606" s="176"/>
      <c r="Z606" s="176"/>
      <c r="AA606" s="176"/>
      <c r="AB606" s="176"/>
      <c r="AC606" s="176"/>
      <c r="AD606" s="176"/>
      <c r="AE606" s="176"/>
      <c r="AF606" s="176"/>
      <c r="AG606" s="176"/>
      <c r="AK606" s="802"/>
    </row>
    <row r="607" spans="2:37" s="37" customFormat="1" outlineLevel="1" x14ac:dyDescent="0.25">
      <c r="B607" s="175"/>
      <c r="C607" s="1410"/>
      <c r="D607" s="1411"/>
      <c r="E607" s="1411"/>
      <c r="F607" s="1703"/>
      <c r="G607" s="175"/>
      <c r="H607" s="175"/>
      <c r="I607" s="175"/>
      <c r="J607" s="1551" t="s">
        <v>1415</v>
      </c>
      <c r="K607" s="175"/>
      <c r="L607" s="175"/>
      <c r="M607" s="175"/>
      <c r="N607" s="130"/>
      <c r="O607" s="130"/>
      <c r="P607" s="130"/>
      <c r="Q607" s="130"/>
      <c r="R607" s="175"/>
      <c r="S607" s="175"/>
      <c r="T607" s="175"/>
      <c r="U607" s="175"/>
      <c r="AK607" s="802"/>
    </row>
    <row r="608" spans="2:37" s="37" customFormat="1" outlineLevel="1" x14ac:dyDescent="0.25">
      <c r="B608" s="175"/>
      <c r="C608" s="1410"/>
      <c r="D608" s="1418" t="s">
        <v>463</v>
      </c>
      <c r="E608" s="1463"/>
      <c r="F608" s="1704"/>
      <c r="G608" s="175"/>
      <c r="H608" s="175"/>
      <c r="I608" s="175"/>
      <c r="J608" s="175"/>
      <c r="K608" s="175"/>
      <c r="L608" s="175"/>
      <c r="M608" s="175"/>
      <c r="N608" s="1233"/>
      <c r="O608" s="1233"/>
      <c r="P608" s="1233"/>
      <c r="Q608" s="1233"/>
      <c r="R608" s="1233"/>
      <c r="S608" s="1233"/>
      <c r="T608" s="1233"/>
      <c r="U608" s="1233"/>
      <c r="V608" s="36"/>
      <c r="AK608" s="802"/>
    </row>
    <row r="609" spans="2:37" s="37" customFormat="1" outlineLevel="1" x14ac:dyDescent="0.25">
      <c r="B609" s="175"/>
      <c r="C609" s="1410"/>
      <c r="D609" s="1705"/>
      <c r="E609" s="1463"/>
      <c r="F609" s="1704"/>
      <c r="G609" s="175"/>
      <c r="H609" s="175"/>
      <c r="I609" s="175"/>
      <c r="J609" s="175"/>
      <c r="K609" s="175"/>
      <c r="L609" s="175"/>
      <c r="M609" s="175"/>
      <c r="N609" s="175"/>
      <c r="O609" s="1551"/>
      <c r="P609" s="1551"/>
      <c r="Q609" s="1551"/>
      <c r="R609" s="1551"/>
      <c r="S609" s="1551"/>
      <c r="T609" s="1551"/>
      <c r="U609" s="1551"/>
      <c r="V609" s="36"/>
      <c r="AK609" s="802"/>
    </row>
    <row r="610" spans="2:37" s="37" customFormat="1" outlineLevel="1" x14ac:dyDescent="0.25">
      <c r="B610" s="175"/>
      <c r="C610" s="1410"/>
      <c r="D610" s="1705"/>
      <c r="E610" s="1463"/>
      <c r="F610" s="1704"/>
      <c r="G610" s="175"/>
      <c r="H610" s="175"/>
      <c r="I610" s="175"/>
      <c r="J610" s="175"/>
      <c r="K610" s="175"/>
      <c r="L610" s="175"/>
      <c r="M610" s="175"/>
      <c r="N610" s="175"/>
      <c r="O610" s="175"/>
      <c r="P610" s="175"/>
      <c r="Q610" s="175"/>
      <c r="R610" s="175"/>
      <c r="S610" s="175"/>
      <c r="T610" s="175"/>
      <c r="U610" s="175"/>
      <c r="V610" s="166"/>
      <c r="W610" s="166"/>
      <c r="X610" s="166"/>
      <c r="Y610" s="166"/>
      <c r="Z610" s="166"/>
      <c r="AA610" s="166"/>
      <c r="AK610" s="802"/>
    </row>
    <row r="611" spans="2:37" s="37" customFormat="1" outlineLevel="1" x14ac:dyDescent="0.25">
      <c r="B611" s="175"/>
      <c r="C611" s="1410"/>
      <c r="D611" s="1411"/>
      <c r="E611" s="1411"/>
      <c r="F611" s="175"/>
      <c r="G611" s="175"/>
      <c r="H611" s="175"/>
      <c r="I611" s="175"/>
      <c r="J611" s="175"/>
      <c r="K611" s="175"/>
      <c r="L611" s="175"/>
      <c r="M611" s="175"/>
      <c r="N611" s="175"/>
      <c r="O611" s="175"/>
      <c r="P611" s="175"/>
      <c r="Q611" s="175"/>
      <c r="R611" s="175"/>
      <c r="S611" s="175"/>
      <c r="T611" s="175"/>
      <c r="U611" s="175"/>
      <c r="AK611" s="802"/>
    </row>
    <row r="612" spans="2:37" s="61" customFormat="1" ht="15" customHeight="1" outlineLevel="1" x14ac:dyDescent="0.25">
      <c r="B612" s="1258"/>
      <c r="C612" s="1410"/>
      <c r="D612" s="1098" t="s">
        <v>465</v>
      </c>
      <c r="E612" s="1098" t="s">
        <v>466</v>
      </c>
      <c r="F612" s="1098" t="s">
        <v>514</v>
      </c>
      <c r="G612" s="604" t="s">
        <v>467</v>
      </c>
      <c r="H612" s="2050" t="s">
        <v>515</v>
      </c>
      <c r="I612" s="2050"/>
      <c r="J612" s="2050" t="s">
        <v>468</v>
      </c>
      <c r="K612" s="2050"/>
      <c r="L612" s="2050"/>
      <c r="M612" s="2050"/>
      <c r="N612" s="175"/>
      <c r="O612" s="175"/>
      <c r="P612" s="175"/>
      <c r="Q612" s="175"/>
      <c r="R612" s="1258"/>
      <c r="S612" s="1258"/>
      <c r="T612" s="1258"/>
      <c r="U612" s="1258"/>
      <c r="V612" s="48" t="s">
        <v>26</v>
      </c>
      <c r="W612" s="49">
        <f>W$6</f>
        <v>43252</v>
      </c>
      <c r="X612" s="49">
        <f t="shared" ref="X612:AG612" si="47">X$6</f>
        <v>43465</v>
      </c>
      <c r="Y612" s="49" t="str">
        <f t="shared" si="47"/>
        <v>-</v>
      </c>
      <c r="Z612" s="49" t="str">
        <f t="shared" si="47"/>
        <v>-</v>
      </c>
      <c r="AA612" s="49" t="str">
        <f t="shared" si="47"/>
        <v>-</v>
      </c>
      <c r="AB612" s="49" t="str">
        <f t="shared" si="47"/>
        <v>-</v>
      </c>
      <c r="AC612" s="49" t="str">
        <f t="shared" si="47"/>
        <v>-</v>
      </c>
      <c r="AD612" s="49" t="str">
        <f t="shared" si="47"/>
        <v>-</v>
      </c>
      <c r="AE612" s="49" t="str">
        <f t="shared" si="47"/>
        <v>-</v>
      </c>
      <c r="AF612" s="49" t="str">
        <f t="shared" si="47"/>
        <v>-</v>
      </c>
      <c r="AG612" s="49" t="str">
        <f t="shared" si="47"/>
        <v>-</v>
      </c>
      <c r="AK612" s="802"/>
    </row>
    <row r="613" spans="2:37" s="110" customFormat="1" ht="18" customHeight="1" outlineLevel="1" x14ac:dyDescent="0.25">
      <c r="B613" s="313"/>
      <c r="C613" s="1425"/>
      <c r="D613" s="807" t="s">
        <v>1416</v>
      </c>
      <c r="E613" s="807" t="s">
        <v>1041</v>
      </c>
      <c r="F613" s="797"/>
      <c r="G613" s="1146">
        <v>869</v>
      </c>
      <c r="H613" s="2285" t="s">
        <v>1222</v>
      </c>
      <c r="I613" s="2285"/>
      <c r="J613" s="2349" t="s">
        <v>1208</v>
      </c>
      <c r="K613" s="2349"/>
      <c r="L613" s="2349"/>
      <c r="M613" s="2349"/>
      <c r="N613" s="175"/>
      <c r="O613" s="175"/>
      <c r="P613" s="175"/>
      <c r="Q613" s="175"/>
      <c r="R613" s="313"/>
      <c r="S613" s="313"/>
      <c r="T613" s="313"/>
      <c r="U613" s="313"/>
      <c r="V613" s="804" t="s">
        <v>1207</v>
      </c>
      <c r="W613" s="806">
        <v>869</v>
      </c>
      <c r="X613" s="883">
        <v>1215</v>
      </c>
      <c r="Y613" s="207"/>
      <c r="Z613" s="207"/>
      <c r="AA613" s="207"/>
      <c r="AB613" s="207"/>
      <c r="AC613" s="207"/>
      <c r="AD613" s="207"/>
      <c r="AE613" s="207"/>
      <c r="AF613" s="207"/>
      <c r="AG613" s="207"/>
      <c r="AK613" s="802"/>
    </row>
    <row r="614" spans="2:37" s="110" customFormat="1" ht="15" customHeight="1" outlineLevel="1" x14ac:dyDescent="0.25">
      <c r="B614" s="313"/>
      <c r="C614" s="1425"/>
      <c r="D614" s="2339" t="s">
        <v>1417</v>
      </c>
      <c r="E614" s="2339" t="s">
        <v>1210</v>
      </c>
      <c r="F614" s="797" t="s">
        <v>612</v>
      </c>
      <c r="G614" s="1146">
        <v>37716.279069767443</v>
      </c>
      <c r="H614" s="2084" t="s">
        <v>1418</v>
      </c>
      <c r="I614" s="2085"/>
      <c r="J614" s="2345" t="s">
        <v>1211</v>
      </c>
      <c r="K614" s="2351"/>
      <c r="L614" s="2351"/>
      <c r="M614" s="2352"/>
      <c r="N614" s="175"/>
      <c r="O614" s="175"/>
      <c r="P614" s="175"/>
      <c r="Q614" s="175"/>
      <c r="R614" s="313"/>
      <c r="S614" s="313"/>
      <c r="T614" s="313"/>
      <c r="U614" s="313"/>
      <c r="V614" s="2342" t="s">
        <v>1209</v>
      </c>
      <c r="W614" s="806" t="e">
        <f>'HVAC Deemed Table'!#REF!</f>
        <v>#REF!</v>
      </c>
      <c r="X614" s="207">
        <v>37716.279069767443</v>
      </c>
      <c r="Y614" s="207"/>
      <c r="Z614" s="207"/>
      <c r="AA614" s="207"/>
      <c r="AB614" s="207"/>
      <c r="AC614" s="207"/>
      <c r="AD614" s="207"/>
      <c r="AE614" s="207"/>
      <c r="AF614" s="207"/>
      <c r="AG614" s="207"/>
      <c r="AK614" s="802"/>
    </row>
    <row r="615" spans="2:37" s="110" customFormat="1" ht="50.25" customHeight="1" outlineLevel="1" x14ac:dyDescent="0.25">
      <c r="B615" s="313"/>
      <c r="C615" s="1425"/>
      <c r="D615" s="2341"/>
      <c r="E615" s="2341"/>
      <c r="F615" s="797" t="s">
        <v>614</v>
      </c>
      <c r="G615" s="1146">
        <v>24515.58139534884</v>
      </c>
      <c r="H615" s="2084" t="s">
        <v>1802</v>
      </c>
      <c r="I615" s="2085"/>
      <c r="J615" s="2345"/>
      <c r="K615" s="2351"/>
      <c r="L615" s="2351"/>
      <c r="M615" s="2352"/>
      <c r="N615" s="175"/>
      <c r="O615" s="175"/>
      <c r="P615" s="175"/>
      <c r="Q615" s="175"/>
      <c r="R615" s="313"/>
      <c r="S615" s="313"/>
      <c r="T615" s="313"/>
      <c r="U615" s="313"/>
      <c r="V615" s="2344"/>
      <c r="W615" s="806" t="e">
        <f>W614*0.65</f>
        <v>#REF!</v>
      </c>
      <c r="X615" s="883">
        <v>22918</v>
      </c>
      <c r="Y615" s="207"/>
      <c r="Z615" s="207"/>
      <c r="AA615" s="207"/>
      <c r="AB615" s="207"/>
      <c r="AC615" s="207"/>
      <c r="AD615" s="207"/>
      <c r="AE615" s="207"/>
      <c r="AF615" s="207"/>
      <c r="AG615" s="207"/>
      <c r="AK615" s="802"/>
    </row>
    <row r="616" spans="2:37" s="110" customFormat="1" ht="30" customHeight="1" outlineLevel="1" x14ac:dyDescent="0.25">
      <c r="B616" s="313"/>
      <c r="C616" s="1425"/>
      <c r="D616" s="2339" t="s">
        <v>1242</v>
      </c>
      <c r="E616" s="2339" t="s">
        <v>1212</v>
      </c>
      <c r="F616" s="797" t="s">
        <v>1216</v>
      </c>
      <c r="G616" s="884">
        <v>11.9</v>
      </c>
      <c r="H616" s="2084" t="s">
        <v>972</v>
      </c>
      <c r="I616" s="2085"/>
      <c r="J616" s="2084"/>
      <c r="K616" s="2287"/>
      <c r="L616" s="2287"/>
      <c r="M616" s="2085"/>
      <c r="N616" s="175"/>
      <c r="O616" s="313"/>
      <c r="P616" s="313"/>
      <c r="Q616" s="313"/>
      <c r="R616" s="313"/>
      <c r="S616" s="313"/>
      <c r="T616" s="313"/>
      <c r="U616" s="313"/>
      <c r="V616" s="2342" t="s">
        <v>1242</v>
      </c>
      <c r="W616" s="885">
        <f>W24</f>
        <v>11.9</v>
      </c>
      <c r="X616" s="200">
        <v>11.9</v>
      </c>
      <c r="Y616" s="200"/>
      <c r="Z616" s="200"/>
      <c r="AA616" s="200"/>
      <c r="AB616" s="200"/>
      <c r="AC616" s="200"/>
      <c r="AD616" s="200"/>
      <c r="AE616" s="200"/>
      <c r="AF616" s="200"/>
      <c r="AG616" s="200"/>
      <c r="AK616" s="802"/>
    </row>
    <row r="617" spans="2:37" s="110" customFormat="1" ht="36" customHeight="1" outlineLevel="1" x14ac:dyDescent="0.25">
      <c r="B617" s="313"/>
      <c r="C617" s="1425"/>
      <c r="D617" s="2340"/>
      <c r="E617" s="2340"/>
      <c r="F617" s="797" t="s">
        <v>1217</v>
      </c>
      <c r="G617" s="884">
        <v>11.9</v>
      </c>
      <c r="H617" s="2084"/>
      <c r="I617" s="2085"/>
      <c r="J617" s="2084"/>
      <c r="K617" s="2287"/>
      <c r="L617" s="2287"/>
      <c r="M617" s="2085"/>
      <c r="N617" s="175"/>
      <c r="O617" s="313"/>
      <c r="P617" s="313"/>
      <c r="Q617" s="313"/>
      <c r="R617" s="313"/>
      <c r="S617" s="313"/>
      <c r="T617" s="313"/>
      <c r="U617" s="313"/>
      <c r="V617" s="2343"/>
      <c r="W617" s="885">
        <f>W25</f>
        <v>11.9</v>
      </c>
      <c r="X617" s="886">
        <v>10</v>
      </c>
      <c r="Y617" s="200"/>
      <c r="Z617" s="200"/>
      <c r="AA617" s="200"/>
      <c r="AB617" s="200"/>
      <c r="AC617" s="200"/>
      <c r="AD617" s="200"/>
      <c r="AE617" s="200"/>
      <c r="AF617" s="200"/>
      <c r="AG617" s="200"/>
      <c r="AK617" s="802"/>
    </row>
    <row r="618" spans="2:37" s="110" customFormat="1" ht="15" customHeight="1" outlineLevel="1" x14ac:dyDescent="0.25">
      <c r="B618" s="313"/>
      <c r="C618" s="1425"/>
      <c r="D618" s="2340"/>
      <c r="E618" s="2340"/>
      <c r="F618" s="797" t="s">
        <v>1218</v>
      </c>
      <c r="G618" s="884">
        <v>11.9</v>
      </c>
      <c r="H618" s="2084" t="s">
        <v>972</v>
      </c>
      <c r="I618" s="2085"/>
      <c r="J618" s="2084" t="s">
        <v>1243</v>
      </c>
      <c r="K618" s="2287"/>
      <c r="L618" s="2287"/>
      <c r="M618" s="2085"/>
      <c r="N618" s="175"/>
      <c r="O618" s="313"/>
      <c r="P618" s="313"/>
      <c r="Q618" s="313"/>
      <c r="R618" s="313"/>
      <c r="S618" s="313"/>
      <c r="T618" s="313"/>
      <c r="U618" s="313"/>
      <c r="V618" s="2343"/>
      <c r="W618" s="885">
        <f>W26</f>
        <v>11.9</v>
      </c>
      <c r="X618" s="200">
        <v>11.9</v>
      </c>
      <c r="Y618" s="200"/>
      <c r="Z618" s="200"/>
      <c r="AA618" s="200"/>
      <c r="AB618" s="200"/>
      <c r="AC618" s="200"/>
      <c r="AD618" s="200"/>
      <c r="AE618" s="200"/>
      <c r="AF618" s="200"/>
      <c r="AG618" s="200"/>
      <c r="AK618" s="802"/>
    </row>
    <row r="619" spans="2:37" s="110" customFormat="1" ht="38.25" customHeight="1" outlineLevel="1" x14ac:dyDescent="0.25">
      <c r="B619" s="313"/>
      <c r="C619" s="1425"/>
      <c r="D619" s="2341"/>
      <c r="E619" s="2341"/>
      <c r="F619" s="797" t="s">
        <v>1219</v>
      </c>
      <c r="G619" s="884">
        <v>11.9</v>
      </c>
      <c r="H619" s="2084"/>
      <c r="I619" s="2085"/>
      <c r="J619" s="2084"/>
      <c r="K619" s="2287"/>
      <c r="L619" s="2287"/>
      <c r="M619" s="2085"/>
      <c r="N619" s="313"/>
      <c r="O619" s="313"/>
      <c r="P619" s="313"/>
      <c r="Q619" s="313"/>
      <c r="R619" s="313"/>
      <c r="S619" s="313"/>
      <c r="T619" s="313"/>
      <c r="U619" s="313"/>
      <c r="V619" s="2344"/>
      <c r="W619" s="885">
        <f>W27</f>
        <v>11.9</v>
      </c>
      <c r="X619" s="203">
        <v>10</v>
      </c>
      <c r="Y619" s="200"/>
      <c r="Z619" s="200"/>
      <c r="AA619" s="200"/>
      <c r="AB619" s="200"/>
      <c r="AC619" s="200"/>
      <c r="AD619" s="200"/>
      <c r="AE619" s="200"/>
      <c r="AF619" s="200"/>
      <c r="AG619" s="200"/>
      <c r="AK619" s="802"/>
    </row>
    <row r="620" spans="2:37" s="110" customFormat="1" ht="30" customHeight="1" outlineLevel="1" x14ac:dyDescent="0.25">
      <c r="B620" s="313"/>
      <c r="C620" s="1425"/>
      <c r="D620" s="2339" t="s">
        <v>1419</v>
      </c>
      <c r="E620" s="2339" t="s">
        <v>1215</v>
      </c>
      <c r="F620" s="797" t="s">
        <v>1216</v>
      </c>
      <c r="G620" s="884">
        <v>12.566400000000002</v>
      </c>
      <c r="H620" s="2285" t="s">
        <v>972</v>
      </c>
      <c r="I620" s="2285"/>
      <c r="J620" s="2285" t="s">
        <v>1243</v>
      </c>
      <c r="K620" s="2285"/>
      <c r="L620" s="2285"/>
      <c r="M620" s="2285"/>
      <c r="N620" s="175"/>
      <c r="O620" s="313"/>
      <c r="P620" s="313"/>
      <c r="Q620" s="313"/>
      <c r="R620" s="313"/>
      <c r="S620" s="313"/>
      <c r="T620" s="313"/>
      <c r="U620" s="313"/>
      <c r="V620" s="2342" t="s">
        <v>1214</v>
      </c>
      <c r="W620" s="808">
        <f>W616*(1+0.056)</f>
        <v>12.566400000000002</v>
      </c>
      <c r="X620" s="200">
        <v>12.566400000000002</v>
      </c>
      <c r="Y620" s="200"/>
      <c r="Z620" s="200"/>
      <c r="AA620" s="200"/>
      <c r="AB620" s="200"/>
      <c r="AC620" s="200"/>
      <c r="AD620" s="200"/>
      <c r="AE620" s="200"/>
      <c r="AF620" s="200"/>
      <c r="AG620" s="200"/>
      <c r="AK620" s="802"/>
    </row>
    <row r="621" spans="2:37" s="110" customFormat="1" ht="15" customHeight="1" outlineLevel="1" x14ac:dyDescent="0.25">
      <c r="B621" s="313"/>
      <c r="C621" s="1425"/>
      <c r="D621" s="2340"/>
      <c r="E621" s="2340"/>
      <c r="F621" s="797" t="s">
        <v>1217</v>
      </c>
      <c r="G621" s="884">
        <v>15.2796</v>
      </c>
      <c r="H621" s="2285" t="s">
        <v>972</v>
      </c>
      <c r="I621" s="2285"/>
      <c r="J621" s="2285" t="s">
        <v>1243</v>
      </c>
      <c r="K621" s="2285"/>
      <c r="L621" s="2285"/>
      <c r="M621" s="2285"/>
      <c r="N621" s="175"/>
      <c r="O621" s="313"/>
      <c r="P621" s="313"/>
      <c r="Q621" s="313"/>
      <c r="R621" s="313"/>
      <c r="S621" s="313"/>
      <c r="T621" s="313"/>
      <c r="U621" s="313"/>
      <c r="V621" s="2343"/>
      <c r="W621" s="200">
        <f>W617*(1+0.284)</f>
        <v>15.2796</v>
      </c>
      <c r="X621" s="887">
        <v>11.193181926635363</v>
      </c>
      <c r="Y621" s="200"/>
      <c r="Z621" s="200"/>
      <c r="AA621" s="200"/>
      <c r="AB621" s="200"/>
      <c r="AC621" s="200"/>
      <c r="AD621" s="200"/>
      <c r="AE621" s="200"/>
      <c r="AF621" s="200"/>
      <c r="AG621" s="200"/>
      <c r="AK621" s="802"/>
    </row>
    <row r="622" spans="2:37" s="110" customFormat="1" ht="15" customHeight="1" outlineLevel="1" x14ac:dyDescent="0.25">
      <c r="B622" s="313"/>
      <c r="C622" s="1425"/>
      <c r="D622" s="2340"/>
      <c r="E622" s="2340"/>
      <c r="F622" s="797" t="s">
        <v>1218</v>
      </c>
      <c r="G622" s="884">
        <v>12.352200000000002</v>
      </c>
      <c r="H622" s="2285" t="s">
        <v>972</v>
      </c>
      <c r="I622" s="2285"/>
      <c r="J622" s="2285" t="s">
        <v>1243</v>
      </c>
      <c r="K622" s="2285"/>
      <c r="L622" s="2285"/>
      <c r="M622" s="2285"/>
      <c r="N622" s="175"/>
      <c r="O622" s="313"/>
      <c r="P622" s="313"/>
      <c r="Q622" s="313"/>
      <c r="R622" s="313"/>
      <c r="S622" s="313"/>
      <c r="T622" s="313"/>
      <c r="U622" s="313"/>
      <c r="V622" s="2343"/>
      <c r="W622" s="808">
        <f>W618*(1+0.038)</f>
        <v>12.352200000000002</v>
      </c>
      <c r="X622" s="200">
        <v>12.352200000000002</v>
      </c>
      <c r="Y622" s="200"/>
      <c r="Z622" s="200"/>
      <c r="AA622" s="200"/>
      <c r="AB622" s="200"/>
      <c r="AC622" s="200"/>
      <c r="AD622" s="200"/>
      <c r="AE622" s="200"/>
      <c r="AF622" s="200"/>
      <c r="AG622" s="200"/>
      <c r="AK622" s="802"/>
    </row>
    <row r="623" spans="2:37" s="110" customFormat="1" ht="18" customHeight="1" outlineLevel="1" x14ac:dyDescent="0.25">
      <c r="B623" s="313"/>
      <c r="C623" s="1425"/>
      <c r="D623" s="2341"/>
      <c r="E623" s="2341"/>
      <c r="F623" s="797" t="s">
        <v>1219</v>
      </c>
      <c r="G623" s="805">
        <v>12.8401</v>
      </c>
      <c r="H623" s="2285" t="s">
        <v>972</v>
      </c>
      <c r="I623" s="2285"/>
      <c r="J623" s="2285" t="s">
        <v>1243</v>
      </c>
      <c r="K623" s="2285"/>
      <c r="L623" s="2285"/>
      <c r="M623" s="2285"/>
      <c r="N623" s="313"/>
      <c r="O623" s="313"/>
      <c r="P623" s="313"/>
      <c r="Q623" s="313"/>
      <c r="R623" s="313"/>
      <c r="S623" s="313"/>
      <c r="T623" s="313"/>
      <c r="U623" s="313"/>
      <c r="V623" s="2344"/>
      <c r="W623" s="200">
        <f>W619*(1+0.079)</f>
        <v>12.8401</v>
      </c>
      <c r="X623" s="203">
        <v>12.391433248955167</v>
      </c>
      <c r="Y623" s="200"/>
      <c r="Z623" s="200"/>
      <c r="AA623" s="200"/>
      <c r="AB623" s="200"/>
      <c r="AC623" s="200"/>
      <c r="AD623" s="200"/>
      <c r="AE623" s="200"/>
      <c r="AF623" s="200"/>
      <c r="AG623" s="200"/>
      <c r="AK623" s="802"/>
    </row>
    <row r="624" spans="2:37" s="37" customFormat="1" ht="18" customHeight="1" outlineLevel="1" x14ac:dyDescent="0.25">
      <c r="B624" s="175"/>
      <c r="C624" s="1410"/>
      <c r="D624" s="888">
        <v>1000</v>
      </c>
      <c r="E624" s="889" t="s">
        <v>1220</v>
      </c>
      <c r="F624" s="797"/>
      <c r="G624" s="1146">
        <v>1000</v>
      </c>
      <c r="H624" s="2080" t="s">
        <v>1221</v>
      </c>
      <c r="I624" s="2080"/>
      <c r="J624" s="2349"/>
      <c r="K624" s="2349"/>
      <c r="L624" s="2349"/>
      <c r="M624" s="2349"/>
      <c r="N624" s="313"/>
      <c r="O624" s="313"/>
      <c r="P624" s="313"/>
      <c r="Q624" s="313"/>
      <c r="R624" s="313"/>
      <c r="S624" s="313"/>
      <c r="T624" s="313"/>
      <c r="U624" s="313"/>
      <c r="V624" s="809">
        <v>1000</v>
      </c>
      <c r="W624" s="806">
        <v>1000</v>
      </c>
      <c r="X624" s="207">
        <v>1000</v>
      </c>
      <c r="Y624" s="207"/>
      <c r="Z624" s="207"/>
      <c r="AA624" s="207"/>
      <c r="AB624" s="207"/>
      <c r="AC624" s="207"/>
      <c r="AD624" s="207"/>
      <c r="AE624" s="207"/>
      <c r="AF624" s="207"/>
      <c r="AG624" s="207"/>
      <c r="AK624" s="802"/>
    </row>
    <row r="625" spans="1:37" s="37" customFormat="1" ht="30" customHeight="1" outlineLevel="1" x14ac:dyDescent="0.25">
      <c r="B625" s="175"/>
      <c r="C625" s="1410"/>
      <c r="D625" s="807" t="s">
        <v>1420</v>
      </c>
      <c r="E625" s="807" t="s">
        <v>1032</v>
      </c>
      <c r="F625" s="797"/>
      <c r="G625" s="1146">
        <v>2009</v>
      </c>
      <c r="H625" s="2285" t="s">
        <v>1352</v>
      </c>
      <c r="I625" s="2285"/>
      <c r="J625" s="2349" t="s">
        <v>1208</v>
      </c>
      <c r="K625" s="2349"/>
      <c r="L625" s="2349"/>
      <c r="M625" s="2349"/>
      <c r="N625" s="175"/>
      <c r="O625" s="313"/>
      <c r="P625" s="313"/>
      <c r="Q625" s="313"/>
      <c r="R625" s="313"/>
      <c r="S625" s="313"/>
      <c r="T625" s="313"/>
      <c r="U625" s="313"/>
      <c r="V625" s="804" t="s">
        <v>1223</v>
      </c>
      <c r="W625" s="806">
        <v>2009</v>
      </c>
      <c r="X625" s="207">
        <v>2009</v>
      </c>
      <c r="Y625" s="207"/>
      <c r="Z625" s="207"/>
      <c r="AA625" s="207"/>
      <c r="AB625" s="207"/>
      <c r="AC625" s="207"/>
      <c r="AD625" s="207"/>
      <c r="AE625" s="207"/>
      <c r="AF625" s="207"/>
      <c r="AG625" s="207"/>
      <c r="AK625" s="802"/>
    </row>
    <row r="626" spans="1:37" s="56" customFormat="1" ht="30" customHeight="1" outlineLevel="1" x14ac:dyDescent="0.25">
      <c r="A626" s="597"/>
      <c r="B626" s="130"/>
      <c r="C626" s="616"/>
      <c r="D626" s="2339" t="s">
        <v>1421</v>
      </c>
      <c r="E626" s="2339" t="s">
        <v>1030</v>
      </c>
      <c r="F626" s="797" t="s">
        <v>612</v>
      </c>
      <c r="G626" s="1146">
        <v>37716.279069767443</v>
      </c>
      <c r="H626" s="2084" t="s">
        <v>1418</v>
      </c>
      <c r="I626" s="2085"/>
      <c r="J626" s="2345" t="s">
        <v>1211</v>
      </c>
      <c r="K626" s="2351"/>
      <c r="L626" s="2351"/>
      <c r="M626" s="2352"/>
      <c r="N626" s="130"/>
      <c r="O626" s="251"/>
      <c r="P626" s="251"/>
      <c r="Q626" s="251"/>
      <c r="R626" s="251"/>
      <c r="S626" s="251"/>
      <c r="T626" s="251"/>
      <c r="U626" s="251"/>
      <c r="V626" s="2342" t="s">
        <v>1224</v>
      </c>
      <c r="W626" s="806" t="e">
        <f>'HVAC Deemed Table'!#REF!</f>
        <v>#REF!</v>
      </c>
      <c r="X626" s="207">
        <v>37716.279069767443</v>
      </c>
      <c r="Y626" s="207"/>
      <c r="Z626" s="207"/>
      <c r="AA626" s="207"/>
      <c r="AB626" s="207"/>
      <c r="AC626" s="207"/>
      <c r="AD626" s="207"/>
      <c r="AE626" s="207"/>
      <c r="AF626" s="207"/>
      <c r="AG626" s="207"/>
      <c r="AK626" s="802"/>
    </row>
    <row r="627" spans="1:37" s="56" customFormat="1" ht="61.5" customHeight="1" outlineLevel="1" x14ac:dyDescent="0.25">
      <c r="A627" s="597"/>
      <c r="B627" s="130"/>
      <c r="C627" s="616"/>
      <c r="D627" s="2341"/>
      <c r="E627" s="2341"/>
      <c r="F627" s="797" t="s">
        <v>614</v>
      </c>
      <c r="G627" s="1146">
        <v>24515.58139534884</v>
      </c>
      <c r="H627" s="2084" t="s">
        <v>1802</v>
      </c>
      <c r="I627" s="2085"/>
      <c r="J627" s="2349"/>
      <c r="K627" s="2349"/>
      <c r="L627" s="2349"/>
      <c r="M627" s="2349"/>
      <c r="N627" s="130"/>
      <c r="O627" s="251"/>
      <c r="P627" s="251"/>
      <c r="Q627" s="251"/>
      <c r="R627" s="251"/>
      <c r="S627" s="251"/>
      <c r="T627" s="251"/>
      <c r="U627" s="251"/>
      <c r="V627" s="2344"/>
      <c r="W627" s="806" t="e">
        <f>W626*0.65</f>
        <v>#REF!</v>
      </c>
      <c r="X627" s="883">
        <v>22918</v>
      </c>
      <c r="Y627" s="207"/>
      <c r="Z627" s="207"/>
      <c r="AA627" s="207"/>
      <c r="AB627" s="207"/>
      <c r="AC627" s="207"/>
      <c r="AD627" s="207"/>
      <c r="AE627" s="207"/>
      <c r="AF627" s="207"/>
      <c r="AG627" s="207"/>
      <c r="AK627" s="802"/>
    </row>
    <row r="628" spans="1:37" s="56" customFormat="1" ht="50.1" customHeight="1" outlineLevel="1" x14ac:dyDescent="0.25">
      <c r="A628" s="597"/>
      <c r="B628" s="130"/>
      <c r="C628" s="616"/>
      <c r="D628" s="2285" t="s">
        <v>1422</v>
      </c>
      <c r="E628" s="2348" t="s">
        <v>1225</v>
      </c>
      <c r="F628" s="797" t="s">
        <v>1216</v>
      </c>
      <c r="G628" s="196">
        <v>6.3</v>
      </c>
      <c r="H628" s="2345" t="s">
        <v>1226</v>
      </c>
      <c r="I628" s="2238"/>
      <c r="J628" s="2345"/>
      <c r="K628" s="2230"/>
      <c r="L628" s="2230"/>
      <c r="M628" s="2238"/>
      <c r="N628" s="130"/>
      <c r="O628" s="251"/>
      <c r="P628" s="251"/>
      <c r="Q628" s="251"/>
      <c r="R628" s="251"/>
      <c r="S628" s="251"/>
      <c r="T628" s="251"/>
      <c r="U628" s="251"/>
      <c r="V628" s="2350" t="s">
        <v>1227</v>
      </c>
      <c r="W628" s="891">
        <v>6.3</v>
      </c>
      <c r="X628" s="194">
        <v>6.3</v>
      </c>
      <c r="Y628" s="891"/>
      <c r="Z628" s="891"/>
      <c r="AA628" s="891"/>
      <c r="AB628" s="891"/>
      <c r="AC628" s="891"/>
      <c r="AD628" s="891"/>
      <c r="AE628" s="891"/>
      <c r="AF628" s="891"/>
      <c r="AG628" s="891"/>
      <c r="AK628" s="802"/>
    </row>
    <row r="629" spans="1:37" s="56" customFormat="1" ht="63.75" customHeight="1" outlineLevel="1" x14ac:dyDescent="0.25">
      <c r="A629" s="597"/>
      <c r="B629" s="130"/>
      <c r="C629" s="616"/>
      <c r="D629" s="2285"/>
      <c r="E629" s="2348"/>
      <c r="F629" s="797" t="s">
        <v>1217</v>
      </c>
      <c r="G629" s="196">
        <v>6.3</v>
      </c>
      <c r="H629" s="2345"/>
      <c r="I629" s="2238"/>
      <c r="J629" s="2345"/>
      <c r="K629" s="2230"/>
      <c r="L629" s="2230"/>
      <c r="M629" s="2238"/>
      <c r="N629" s="130"/>
      <c r="O629" s="251"/>
      <c r="P629" s="251"/>
      <c r="Q629" s="251"/>
      <c r="R629" s="251"/>
      <c r="S629" s="251"/>
      <c r="T629" s="251"/>
      <c r="U629" s="251"/>
      <c r="V629" s="2350"/>
      <c r="W629" s="891">
        <v>6.3</v>
      </c>
      <c r="X629" s="193">
        <v>6.8</v>
      </c>
      <c r="Y629" s="891"/>
      <c r="Z629" s="891"/>
      <c r="AA629" s="891"/>
      <c r="AB629" s="891"/>
      <c r="AC629" s="891"/>
      <c r="AD629" s="891"/>
      <c r="AE629" s="891"/>
      <c r="AF629" s="891"/>
      <c r="AG629" s="891"/>
      <c r="AK629" s="802"/>
    </row>
    <row r="630" spans="1:37" s="56" customFormat="1" ht="50.1" customHeight="1" outlineLevel="1" x14ac:dyDescent="0.25">
      <c r="A630" s="597"/>
      <c r="B630" s="130"/>
      <c r="C630" s="616"/>
      <c r="D630" s="2285"/>
      <c r="E630" s="2348"/>
      <c r="F630" s="797" t="s">
        <v>1218</v>
      </c>
      <c r="G630" s="196">
        <v>6.3</v>
      </c>
      <c r="H630" s="2345" t="s">
        <v>1226</v>
      </c>
      <c r="I630" s="2238"/>
      <c r="J630" s="2345"/>
      <c r="K630" s="2230"/>
      <c r="L630" s="2230"/>
      <c r="M630" s="2238"/>
      <c r="N630" s="130"/>
      <c r="O630" s="251"/>
      <c r="P630" s="251"/>
      <c r="Q630" s="251"/>
      <c r="R630" s="251"/>
      <c r="S630" s="251"/>
      <c r="T630" s="251"/>
      <c r="U630" s="251"/>
      <c r="V630" s="2350"/>
      <c r="W630" s="891">
        <v>6.3</v>
      </c>
      <c r="X630" s="194">
        <v>6.3</v>
      </c>
      <c r="Y630" s="891"/>
      <c r="Z630" s="891"/>
      <c r="AA630" s="891"/>
      <c r="AB630" s="891"/>
      <c r="AC630" s="891"/>
      <c r="AD630" s="891"/>
      <c r="AE630" s="891"/>
      <c r="AF630" s="891"/>
      <c r="AG630" s="891"/>
      <c r="AK630" s="802"/>
    </row>
    <row r="631" spans="1:37" s="56" customFormat="1" ht="71.25" customHeight="1" outlineLevel="1" x14ac:dyDescent="0.25">
      <c r="A631" s="597"/>
      <c r="B631" s="130"/>
      <c r="C631" s="616"/>
      <c r="D631" s="2285"/>
      <c r="E631" s="2348"/>
      <c r="F631" s="797" t="s">
        <v>1219</v>
      </c>
      <c r="G631" s="196">
        <v>6.3</v>
      </c>
      <c r="H631" s="2345"/>
      <c r="I631" s="2238"/>
      <c r="J631" s="2345"/>
      <c r="K631" s="2230"/>
      <c r="L631" s="2230"/>
      <c r="M631" s="2238"/>
      <c r="N631" s="130"/>
      <c r="O631" s="251"/>
      <c r="P631" s="251"/>
      <c r="Q631" s="251"/>
      <c r="R631" s="251"/>
      <c r="S631" s="251"/>
      <c r="T631" s="251"/>
      <c r="U631" s="251"/>
      <c r="V631" s="2350"/>
      <c r="W631" s="891">
        <v>6.3</v>
      </c>
      <c r="X631" s="193">
        <v>6.8</v>
      </c>
      <c r="Y631" s="891"/>
      <c r="Z631" s="891"/>
      <c r="AA631" s="891"/>
      <c r="AB631" s="891"/>
      <c r="AC631" s="891"/>
      <c r="AD631" s="891"/>
      <c r="AE631" s="891"/>
      <c r="AF631" s="891"/>
      <c r="AG631" s="891"/>
      <c r="AK631" s="802"/>
    </row>
    <row r="632" spans="1:37" s="56" customFormat="1" ht="93" customHeight="1" outlineLevel="1" x14ac:dyDescent="0.25">
      <c r="A632" s="597"/>
      <c r="B632" s="130"/>
      <c r="C632" s="616"/>
      <c r="D632" s="2285" t="s">
        <v>1423</v>
      </c>
      <c r="E632" s="2348" t="s">
        <v>1228</v>
      </c>
      <c r="F632" s="797" t="s">
        <v>1216</v>
      </c>
      <c r="G632" s="196">
        <v>6.3837905236907728</v>
      </c>
      <c r="H632" s="2349" t="s">
        <v>1229</v>
      </c>
      <c r="I632" s="2349"/>
      <c r="J632" s="2349" t="s">
        <v>1824</v>
      </c>
      <c r="K632" s="2349"/>
      <c r="L632" s="2349"/>
      <c r="M632" s="2349"/>
      <c r="N632" s="130"/>
      <c r="O632" s="251"/>
      <c r="P632" s="251"/>
      <c r="Q632" s="251"/>
      <c r="R632" s="251"/>
      <c r="S632" s="251"/>
      <c r="T632" s="251"/>
      <c r="U632" s="251"/>
      <c r="V632" s="2350" t="s">
        <v>1227</v>
      </c>
      <c r="W632" s="891">
        <f>6.3+(6.9-6.3)*(0.056/(0.284+0.079+0.038))</f>
        <v>6.3837905236907728</v>
      </c>
      <c r="X632" s="194">
        <v>6.3837905236907728</v>
      </c>
      <c r="Y632" s="891"/>
      <c r="Z632" s="891"/>
      <c r="AA632" s="891"/>
      <c r="AB632" s="891"/>
      <c r="AC632" s="891"/>
      <c r="AD632" s="891"/>
      <c r="AE632" s="891"/>
      <c r="AF632" s="891"/>
      <c r="AG632" s="891"/>
      <c r="AK632" s="802"/>
    </row>
    <row r="633" spans="1:37" s="56" customFormat="1" ht="48.75" customHeight="1" outlineLevel="1" x14ac:dyDescent="0.25">
      <c r="A633" s="597"/>
      <c r="B633" s="130"/>
      <c r="C633" s="616"/>
      <c r="D633" s="2285"/>
      <c r="E633" s="2348"/>
      <c r="F633" s="797" t="s">
        <v>1217</v>
      </c>
      <c r="G633" s="196">
        <v>6.7249376558603498</v>
      </c>
      <c r="H633" s="2349"/>
      <c r="I633" s="2349"/>
      <c r="J633" s="2349"/>
      <c r="K633" s="2349"/>
      <c r="L633" s="2349"/>
      <c r="M633" s="2349"/>
      <c r="N633" s="130"/>
      <c r="O633" s="251"/>
      <c r="P633" s="251"/>
      <c r="Q633" s="251"/>
      <c r="R633" s="251"/>
      <c r="S633" s="251"/>
      <c r="T633" s="251"/>
      <c r="U633" s="251"/>
      <c r="V633" s="2350"/>
      <c r="W633" s="891">
        <f>6.3+(6.9-6.3)*(0.284/(0.284+0.079+0.038))</f>
        <v>6.7249376558603498</v>
      </c>
      <c r="X633" s="887">
        <v>7.6113637101120482</v>
      </c>
      <c r="Y633" s="891"/>
      <c r="Z633" s="891"/>
      <c r="AA633" s="891"/>
      <c r="AB633" s="891"/>
      <c r="AC633" s="891"/>
      <c r="AD633" s="891"/>
      <c r="AE633" s="891"/>
      <c r="AF633" s="891"/>
      <c r="AG633" s="891"/>
      <c r="AK633" s="802"/>
    </row>
    <row r="634" spans="1:37" s="56" customFormat="1" ht="108" customHeight="1" outlineLevel="1" x14ac:dyDescent="0.25">
      <c r="A634" s="597"/>
      <c r="B634" s="130"/>
      <c r="C634" s="616"/>
      <c r="D634" s="2285"/>
      <c r="E634" s="2348"/>
      <c r="F634" s="797" t="s">
        <v>1218</v>
      </c>
      <c r="G634" s="196">
        <v>6.3568578553615955</v>
      </c>
      <c r="H634" s="2349"/>
      <c r="I634" s="2349"/>
      <c r="J634" s="2349"/>
      <c r="K634" s="2349"/>
      <c r="L634" s="2349"/>
      <c r="M634" s="2349"/>
      <c r="N634" s="130"/>
      <c r="O634" s="251"/>
      <c r="P634" s="251"/>
      <c r="Q634" s="251"/>
      <c r="R634" s="251"/>
      <c r="S634" s="251"/>
      <c r="T634" s="251"/>
      <c r="U634" s="251"/>
      <c r="V634" s="2350"/>
      <c r="W634" s="891">
        <f>6.3+(6.9-6.3)*(0.038/(0.284+0.079+0.038))</f>
        <v>6.3568578553615955</v>
      </c>
      <c r="X634" s="194">
        <v>6.3568578553615955</v>
      </c>
      <c r="Y634" s="891"/>
      <c r="Z634" s="891"/>
      <c r="AA634" s="891"/>
      <c r="AB634" s="891"/>
      <c r="AC634" s="891"/>
      <c r="AD634" s="891"/>
      <c r="AE634" s="891"/>
      <c r="AF634" s="891"/>
      <c r="AG634" s="891"/>
      <c r="AK634" s="802"/>
    </row>
    <row r="635" spans="1:37" s="56" customFormat="1" ht="50.25" customHeight="1" outlineLevel="1" x14ac:dyDescent="0.25">
      <c r="A635" s="597"/>
      <c r="B635" s="130"/>
      <c r="C635" s="616"/>
      <c r="D635" s="2285"/>
      <c r="E635" s="2348"/>
      <c r="F635" s="797" t="s">
        <v>1219</v>
      </c>
      <c r="G635" s="196">
        <v>6.4182044887780547</v>
      </c>
      <c r="H635" s="2349"/>
      <c r="I635" s="2349"/>
      <c r="J635" s="2349"/>
      <c r="K635" s="2349"/>
      <c r="L635" s="2349"/>
      <c r="M635" s="2349"/>
      <c r="N635" s="130"/>
      <c r="O635" s="251"/>
      <c r="P635" s="251"/>
      <c r="Q635" s="251"/>
      <c r="R635" s="251"/>
      <c r="S635" s="251"/>
      <c r="T635" s="251"/>
      <c r="U635" s="251"/>
      <c r="V635" s="2350"/>
      <c r="W635" s="891">
        <f>6.3+(6.9-6.3)*(0.079/(0.284+0.079+0.038))</f>
        <v>6.4182044887780547</v>
      </c>
      <c r="X635" s="887">
        <v>8.4261746092895144</v>
      </c>
      <c r="Y635" s="891"/>
      <c r="Z635" s="891"/>
      <c r="AA635" s="891"/>
      <c r="AB635" s="891"/>
      <c r="AC635" s="891"/>
      <c r="AD635" s="891"/>
      <c r="AE635" s="891"/>
      <c r="AF635" s="891"/>
      <c r="AG635" s="891"/>
      <c r="AK635" s="802"/>
    </row>
    <row r="636" spans="1:37" s="56" customFormat="1" outlineLevel="1" x14ac:dyDescent="0.25">
      <c r="A636" s="597"/>
      <c r="B636" s="130"/>
      <c r="C636" s="616"/>
      <c r="D636" s="892" t="str">
        <f>D574</f>
        <v>EUL</v>
      </c>
      <c r="E636" s="893" t="str">
        <f>E524</f>
        <v>Effective Useful Life</v>
      </c>
      <c r="F636" s="797" t="s">
        <v>483</v>
      </c>
      <c r="G636" s="1147">
        <v>2</v>
      </c>
      <c r="H636" s="2285"/>
      <c r="I636" s="2285"/>
      <c r="J636" s="2285"/>
      <c r="K636" s="2285"/>
      <c r="L636" s="2285"/>
      <c r="M636" s="2285"/>
      <c r="N636" s="130"/>
      <c r="O636" s="130"/>
      <c r="P636" s="130"/>
      <c r="Q636" s="130"/>
      <c r="R636" s="130"/>
      <c r="S636" s="130"/>
      <c r="T636" s="130"/>
      <c r="U636" s="130"/>
      <c r="V636" s="852" t="str">
        <f>D636</f>
        <v>EUL</v>
      </c>
      <c r="W636" s="894">
        <v>2</v>
      </c>
      <c r="X636" s="891">
        <v>2</v>
      </c>
      <c r="Y636" s="891"/>
      <c r="Z636" s="891"/>
      <c r="AA636" s="891"/>
      <c r="AB636" s="891"/>
      <c r="AC636" s="891"/>
      <c r="AD636" s="891"/>
      <c r="AE636" s="891"/>
      <c r="AF636" s="891"/>
      <c r="AG636" s="891"/>
      <c r="AK636" s="802"/>
    </row>
    <row r="637" spans="1:37" s="110" customFormat="1" outlineLevel="1" x14ac:dyDescent="0.25">
      <c r="B637" s="313"/>
      <c r="C637" s="1425"/>
      <c r="D637" s="2339" t="str">
        <f>D525</f>
        <v>Inc. Cost</v>
      </c>
      <c r="E637" s="2339" t="str">
        <f>E525</f>
        <v>Incremental Cost</v>
      </c>
      <c r="F637" s="797" t="s">
        <v>1216</v>
      </c>
      <c r="G637" s="884">
        <v>70</v>
      </c>
      <c r="H637" s="2285"/>
      <c r="I637" s="2285"/>
      <c r="J637" s="2285"/>
      <c r="K637" s="2285"/>
      <c r="L637" s="2285"/>
      <c r="M637" s="2285"/>
      <c r="N637" s="175"/>
      <c r="O637" s="175"/>
      <c r="P637" s="175"/>
      <c r="Q637" s="175"/>
      <c r="R637" s="313"/>
      <c r="S637" s="313"/>
      <c r="T637" s="313"/>
      <c r="U637" s="313"/>
      <c r="V637" s="2342" t="str">
        <f>D637</f>
        <v>Inc. Cost</v>
      </c>
      <c r="W637" s="808">
        <v>70</v>
      </c>
      <c r="X637" s="200">
        <v>70</v>
      </c>
      <c r="Y637" s="200"/>
      <c r="Z637" s="200"/>
      <c r="AA637" s="200"/>
      <c r="AB637" s="200"/>
      <c r="AC637" s="200"/>
      <c r="AD637" s="200"/>
      <c r="AE637" s="200"/>
      <c r="AF637" s="200"/>
      <c r="AG637" s="200"/>
      <c r="AK637" s="802"/>
    </row>
    <row r="638" spans="1:37" s="110" customFormat="1" ht="15" customHeight="1" outlineLevel="1" x14ac:dyDescent="0.25">
      <c r="B638" s="313"/>
      <c r="C638" s="1425"/>
      <c r="D638" s="2340"/>
      <c r="E638" s="2340"/>
      <c r="F638" s="797" t="s">
        <v>1217</v>
      </c>
      <c r="G638" s="884">
        <v>81</v>
      </c>
      <c r="H638" s="2285"/>
      <c r="I638" s="2285"/>
      <c r="J638" s="2285"/>
      <c r="K638" s="2285"/>
      <c r="L638" s="2285"/>
      <c r="M638" s="2285"/>
      <c r="N638" s="175"/>
      <c r="O638" s="175"/>
      <c r="P638" s="175"/>
      <c r="Q638" s="175"/>
      <c r="R638" s="313"/>
      <c r="S638" s="313"/>
      <c r="T638" s="313"/>
      <c r="U638" s="313"/>
      <c r="V638" s="2343"/>
      <c r="W638" s="808">
        <v>81</v>
      </c>
      <c r="X638" s="200">
        <v>81</v>
      </c>
      <c r="Y638" s="200"/>
      <c r="Z638" s="200"/>
      <c r="AA638" s="200"/>
      <c r="AB638" s="200"/>
      <c r="AC638" s="200"/>
      <c r="AD638" s="200"/>
      <c r="AE638" s="200"/>
      <c r="AF638" s="200"/>
      <c r="AG638" s="200"/>
      <c r="AK638" s="802"/>
    </row>
    <row r="639" spans="1:37" s="110" customFormat="1" ht="15" customHeight="1" outlineLevel="1" x14ac:dyDescent="0.25">
      <c r="B639" s="313"/>
      <c r="C639" s="1425"/>
      <c r="D639" s="2340"/>
      <c r="E639" s="2340"/>
      <c r="F639" s="797" t="s">
        <v>1218</v>
      </c>
      <c r="G639" s="884">
        <v>63</v>
      </c>
      <c r="H639" s="2285"/>
      <c r="I639" s="2285"/>
      <c r="J639" s="2285"/>
      <c r="K639" s="2285"/>
      <c r="L639" s="2285"/>
      <c r="M639" s="2285"/>
      <c r="N639" s="175"/>
      <c r="O639" s="175"/>
      <c r="P639" s="175"/>
      <c r="Q639" s="175"/>
      <c r="R639" s="313"/>
      <c r="S639" s="313"/>
      <c r="T639" s="313"/>
      <c r="U639" s="313"/>
      <c r="V639" s="2343"/>
      <c r="W639" s="808">
        <v>63</v>
      </c>
      <c r="X639" s="200">
        <v>63</v>
      </c>
      <c r="Y639" s="200"/>
      <c r="Z639" s="200"/>
      <c r="AA639" s="200"/>
      <c r="AB639" s="200"/>
      <c r="AC639" s="200"/>
      <c r="AD639" s="200"/>
      <c r="AE639" s="200"/>
      <c r="AF639" s="200"/>
      <c r="AG639" s="200"/>
      <c r="AK639" s="802"/>
    </row>
    <row r="640" spans="1:37" s="110" customFormat="1" ht="18" customHeight="1" outlineLevel="1" x14ac:dyDescent="0.25">
      <c r="B640" s="313"/>
      <c r="C640" s="1425"/>
      <c r="D640" s="2341"/>
      <c r="E640" s="2341"/>
      <c r="F640" s="797" t="s">
        <v>1219</v>
      </c>
      <c r="G640" s="805">
        <v>31</v>
      </c>
      <c r="H640" s="2285"/>
      <c r="I640" s="2285"/>
      <c r="J640" s="2285"/>
      <c r="K640" s="2285"/>
      <c r="L640" s="2285"/>
      <c r="M640" s="2285"/>
      <c r="N640" s="313"/>
      <c r="O640" s="313"/>
      <c r="P640" s="313"/>
      <c r="Q640" s="313"/>
      <c r="R640" s="313"/>
      <c r="S640" s="313"/>
      <c r="T640" s="313"/>
      <c r="U640" s="313"/>
      <c r="V640" s="2344"/>
      <c r="W640" s="200">
        <v>31</v>
      </c>
      <c r="X640" s="200">
        <v>31</v>
      </c>
      <c r="Y640" s="200"/>
      <c r="Z640" s="200"/>
      <c r="AA640" s="200"/>
      <c r="AB640" s="200"/>
      <c r="AC640" s="200"/>
      <c r="AD640" s="200"/>
      <c r="AE640" s="200"/>
      <c r="AF640" s="200"/>
      <c r="AG640" s="200"/>
      <c r="AK640" s="802"/>
    </row>
    <row r="641" spans="2:37" ht="15" customHeight="1" x14ac:dyDescent="0.25">
      <c r="B641" s="1087"/>
      <c r="C641" s="1434"/>
      <c r="AK641" s="802"/>
    </row>
    <row r="642" spans="2:37" x14ac:dyDescent="0.25">
      <c r="B642" s="1087"/>
      <c r="C642" s="1434"/>
      <c r="AK642" s="802"/>
    </row>
    <row r="643" spans="2:37" ht="15" customHeight="1" x14ac:dyDescent="0.25">
      <c r="B643" s="2022" t="s">
        <v>1424</v>
      </c>
      <c r="C643" s="2023"/>
      <c r="D643" s="2023"/>
      <c r="E643" s="2023"/>
      <c r="F643" s="2023"/>
      <c r="G643" s="2023"/>
      <c r="H643" s="2023"/>
      <c r="I643" s="1992"/>
      <c r="J643" s="1992"/>
      <c r="K643" s="1992"/>
      <c r="L643" s="1992"/>
      <c r="M643" s="1992"/>
      <c r="N643" s="1992"/>
      <c r="O643" s="1992"/>
      <c r="P643" s="1992"/>
      <c r="Q643" s="1992"/>
      <c r="R643" s="1993"/>
      <c r="V643" s="2022" t="str">
        <f>B643</f>
        <v>Low Flow Faucet Aerators</v>
      </c>
      <c r="W643" s="2023"/>
      <c r="X643" s="2023"/>
      <c r="Y643" s="2023"/>
      <c r="Z643" s="2023"/>
      <c r="AA643" s="2023"/>
      <c r="AB643" s="2023"/>
      <c r="AC643" s="2024"/>
      <c r="AD643" s="2024"/>
      <c r="AE643" s="2024"/>
      <c r="AF643" s="2024"/>
      <c r="AG643" s="2024"/>
      <c r="AH643" s="2024"/>
      <c r="AI643" s="2025"/>
      <c r="AK643" s="802"/>
    </row>
    <row r="644" spans="2:37" ht="15" customHeight="1" x14ac:dyDescent="0.25">
      <c r="B644" s="1087"/>
      <c r="C644" s="1434"/>
      <c r="D644" s="1435"/>
      <c r="E644" s="1435"/>
      <c r="F644" s="1436"/>
      <c r="G644" s="1436"/>
      <c r="H644" s="1436"/>
      <c r="I644" s="1436"/>
      <c r="J644" s="1436"/>
      <c r="K644" s="1436"/>
      <c r="L644" s="1437"/>
      <c r="AK644" s="802"/>
    </row>
    <row r="645" spans="2:37" ht="45" x14ac:dyDescent="0.25">
      <c r="B645" s="1087"/>
      <c r="C645" s="184" t="s">
        <v>16</v>
      </c>
      <c r="D645" s="184" t="s">
        <v>509</v>
      </c>
      <c r="E645" s="184" t="s">
        <v>18</v>
      </c>
      <c r="F645" s="184" t="s">
        <v>1325</v>
      </c>
      <c r="G645" s="184" t="s">
        <v>20</v>
      </c>
      <c r="H645" s="184" t="s">
        <v>21</v>
      </c>
      <c r="I645" s="184" t="s">
        <v>771</v>
      </c>
      <c r="J645" s="184" t="s">
        <v>22</v>
      </c>
      <c r="K645" s="184" t="s">
        <v>23</v>
      </c>
      <c r="L645" s="184" t="s">
        <v>24</v>
      </c>
      <c r="M645" s="184" t="s">
        <v>25</v>
      </c>
      <c r="V645" s="48" t="s">
        <v>26</v>
      </c>
      <c r="W645" s="49">
        <f>W$6</f>
        <v>43252</v>
      </c>
      <c r="X645" s="49">
        <f t="shared" ref="X645:AG645" si="48">X$6</f>
        <v>43465</v>
      </c>
      <c r="Y645" s="49" t="str">
        <f t="shared" si="48"/>
        <v>-</v>
      </c>
      <c r="Z645" s="49" t="str">
        <f t="shared" si="48"/>
        <v>-</v>
      </c>
      <c r="AA645" s="49" t="str">
        <f t="shared" si="48"/>
        <v>-</v>
      </c>
      <c r="AB645" s="49" t="str">
        <f t="shared" si="48"/>
        <v>-</v>
      </c>
      <c r="AC645" s="49" t="str">
        <f t="shared" si="48"/>
        <v>-</v>
      </c>
      <c r="AD645" s="49" t="str">
        <f t="shared" si="48"/>
        <v>-</v>
      </c>
      <c r="AE645" s="49" t="str">
        <f t="shared" si="48"/>
        <v>-</v>
      </c>
      <c r="AF645" s="49" t="str">
        <f t="shared" si="48"/>
        <v>-</v>
      </c>
      <c r="AG645" s="49" t="str">
        <f t="shared" si="48"/>
        <v>-</v>
      </c>
      <c r="AK645" s="802"/>
    </row>
    <row r="646" spans="2:37" x14ac:dyDescent="0.25">
      <c r="B646" s="1087"/>
      <c r="C646" s="1438"/>
      <c r="D646" s="158" t="s">
        <v>1246</v>
      </c>
      <c r="E646" s="158" t="s">
        <v>1903</v>
      </c>
      <c r="F646" s="474">
        <f>G658*(G659*G660-G661*G662)*G663*G664*G665/G666*I646*G674*G673</f>
        <v>40.786805206808886</v>
      </c>
      <c r="G646" s="420" t="s">
        <v>1425</v>
      </c>
      <c r="H646" s="418">
        <f>VLOOKUP(G646,'CP FACTORS'!$A$3:$B$38, 2, FALSE)</f>
        <v>8.8731800000000003E-5</v>
      </c>
      <c r="I646" s="474">
        <f>G667*G668*(G669-G670)/(G671*G672)</f>
        <v>4.6571930852622331E-2</v>
      </c>
      <c r="J646" s="929">
        <f>H646*F646</f>
        <v>3.6190866422495249E-3</v>
      </c>
      <c r="K646" s="525">
        <f>$G$676</f>
        <v>10</v>
      </c>
      <c r="L646" s="526">
        <f>G677</f>
        <v>3</v>
      </c>
      <c r="M646" s="1792" t="s">
        <v>31</v>
      </c>
      <c r="P646" s="252"/>
      <c r="Q646" s="252"/>
      <c r="R646" s="1413"/>
      <c r="S646" s="252"/>
      <c r="T646" s="252"/>
      <c r="V646" s="176" t="str">
        <f>F645</f>
        <v>kWh
Annual Savings</v>
      </c>
      <c r="W646" s="1022">
        <v>38.83611813974143</v>
      </c>
      <c r="X646" s="1209">
        <v>40.786805206808886</v>
      </c>
      <c r="Y646" s="176"/>
      <c r="Z646" s="176"/>
      <c r="AA646" s="176"/>
      <c r="AB646" s="176"/>
      <c r="AC646" s="176"/>
      <c r="AD646" s="176"/>
      <c r="AE646" s="176"/>
      <c r="AF646" s="176"/>
      <c r="AG646" s="176"/>
      <c r="AK646" s="802"/>
    </row>
    <row r="647" spans="2:37" x14ac:dyDescent="0.25">
      <c r="B647" s="1087"/>
      <c r="C647" s="1438"/>
      <c r="D647" s="158" t="s">
        <v>1426</v>
      </c>
      <c r="E647" s="158" t="s">
        <v>1904</v>
      </c>
      <c r="F647" s="1793">
        <f>G658*(G659*G660-G661*G662)*G663*G664*G665/G666*I647*G675*G673</f>
        <v>40.786805206808886</v>
      </c>
      <c r="G647" s="420" t="s">
        <v>1425</v>
      </c>
      <c r="H647" s="418">
        <f>VLOOKUP(G647,'CP FACTORS'!$A$3:$B$38, 2, FALSE)</f>
        <v>8.8731800000000003E-5</v>
      </c>
      <c r="I647" s="1794">
        <f>G667*G668*(G669-G670)/(G671*G672)</f>
        <v>4.6571930852622331E-2</v>
      </c>
      <c r="J647" s="929">
        <f>H647*F647</f>
        <v>3.6190866422495249E-3</v>
      </c>
      <c r="K647" s="525">
        <f>$G$676</f>
        <v>10</v>
      </c>
      <c r="L647" s="526">
        <f>$G$678</f>
        <v>11.33</v>
      </c>
      <c r="M647" s="1792" t="s">
        <v>31</v>
      </c>
      <c r="R647" s="1413"/>
      <c r="V647" s="176" t="str">
        <f>V646</f>
        <v>kWh
Annual Savings</v>
      </c>
      <c r="W647" s="1022">
        <v>37.942887422527377</v>
      </c>
      <c r="X647" s="968">
        <v>40.786805206808886</v>
      </c>
      <c r="Y647" s="176"/>
      <c r="Z647" s="176"/>
      <c r="AA647" s="176"/>
      <c r="AB647" s="176"/>
      <c r="AC647" s="176"/>
      <c r="AD647" s="176"/>
      <c r="AE647" s="176"/>
      <c r="AF647" s="176"/>
      <c r="AG647" s="176"/>
      <c r="AK647" s="802"/>
    </row>
    <row r="648" spans="2:37" x14ac:dyDescent="0.25">
      <c r="B648" s="1087"/>
      <c r="C648" s="1438"/>
      <c r="D648" s="158" t="s">
        <v>1427</v>
      </c>
      <c r="E648" s="158" t="s">
        <v>1905</v>
      </c>
      <c r="F648" s="474">
        <f>G658*(G659*G660-G661*G662)*G663*G664*G665/G666*I648*G675*G673</f>
        <v>40.786805206808886</v>
      </c>
      <c r="G648" s="420" t="s">
        <v>1425</v>
      </c>
      <c r="H648" s="418">
        <f>VLOOKUP(G648,'CP FACTORS'!$A$3:$B$38, 2, FALSE)</f>
        <v>8.8731800000000003E-5</v>
      </c>
      <c r="I648" s="474">
        <f>G667*G668*(G669-G670)/(G671*G672)</f>
        <v>4.6571930852622331E-2</v>
      </c>
      <c r="J648" s="929">
        <f>H648*F648</f>
        <v>3.6190866422495249E-3</v>
      </c>
      <c r="K648" s="525">
        <f>$G$676</f>
        <v>10</v>
      </c>
      <c r="L648" s="526">
        <f>$G$678</f>
        <v>11.33</v>
      </c>
      <c r="M648" s="1792" t="s">
        <v>31</v>
      </c>
      <c r="R648" s="1413"/>
      <c r="V648" s="176" t="str">
        <f>V647</f>
        <v>kWh
Annual Savings</v>
      </c>
      <c r="W648" s="1022">
        <v>37.942887422527377</v>
      </c>
      <c r="X648" s="1209">
        <v>40.786805206808886</v>
      </c>
      <c r="Y648" s="176"/>
      <c r="Z648" s="176"/>
      <c r="AA648" s="176"/>
      <c r="AB648" s="176"/>
      <c r="AC648" s="176"/>
      <c r="AD648" s="176"/>
      <c r="AE648" s="176"/>
      <c r="AF648" s="176"/>
      <c r="AG648" s="176"/>
      <c r="AK648" s="802"/>
    </row>
    <row r="649" spans="2:37" outlineLevel="1" x14ac:dyDescent="0.25">
      <c r="B649" s="1087"/>
      <c r="C649" s="1434"/>
      <c r="D649" s="1795"/>
      <c r="E649" s="1795"/>
      <c r="F649" s="1796"/>
      <c r="G649" s="1797"/>
      <c r="H649" s="1798"/>
      <c r="I649" s="1799"/>
      <c r="J649" s="1799"/>
      <c r="K649" s="1799"/>
      <c r="L649" s="1800"/>
      <c r="V649"/>
      <c r="W649" s="56"/>
      <c r="X649"/>
      <c r="Y649"/>
      <c r="Z649"/>
      <c r="AA649"/>
      <c r="AB649"/>
      <c r="AC649"/>
      <c r="AD649"/>
      <c r="AE649"/>
      <c r="AF649"/>
      <c r="AG649"/>
      <c r="AK649" s="802"/>
    </row>
    <row r="650" spans="2:37" outlineLevel="1" x14ac:dyDescent="0.25">
      <c r="B650" s="1087"/>
      <c r="C650" s="1434"/>
      <c r="D650" s="1608"/>
      <c r="E650" s="1608"/>
      <c r="F650" s="1796"/>
      <c r="G650" s="1801"/>
      <c r="H650" s="1802"/>
      <c r="I650" s="1551"/>
      <c r="J650" s="1551"/>
      <c r="K650" s="1551"/>
      <c r="L650" s="1551"/>
      <c r="V650"/>
      <c r="W650"/>
      <c r="X650"/>
      <c r="Y650"/>
      <c r="Z650"/>
      <c r="AA650"/>
      <c r="AB650"/>
      <c r="AC650"/>
      <c r="AD650"/>
      <c r="AE650"/>
      <c r="AF650"/>
      <c r="AG650"/>
      <c r="AK650" s="802"/>
    </row>
    <row r="651" spans="2:37" outlineLevel="1" x14ac:dyDescent="0.25">
      <c r="B651" s="1087"/>
      <c r="C651" s="1434"/>
      <c r="D651" s="1418" t="s">
        <v>463</v>
      </c>
      <c r="E651" s="1608"/>
      <c r="F651" s="1796"/>
      <c r="G651" s="1551"/>
      <c r="H651" s="1801"/>
      <c r="I651" s="1551"/>
      <c r="J651" s="1551"/>
      <c r="K651" s="1551"/>
      <c r="L651" s="1551"/>
      <c r="V651"/>
      <c r="W651"/>
      <c r="X651"/>
      <c r="Y651"/>
      <c r="Z651"/>
      <c r="AA651"/>
      <c r="AB651"/>
      <c r="AC651"/>
      <c r="AD651"/>
      <c r="AE651"/>
      <c r="AF651"/>
      <c r="AG651"/>
      <c r="AK651" s="802"/>
    </row>
    <row r="652" spans="2:37" outlineLevel="1" x14ac:dyDescent="0.25">
      <c r="B652" s="1087"/>
      <c r="C652" s="1447"/>
      <c r="D652" s="1803"/>
      <c r="E652" s="1804"/>
      <c r="F652" s="1805"/>
      <c r="G652" s="1805"/>
      <c r="H652" s="1551"/>
      <c r="I652" s="1551"/>
      <c r="J652" s="1551"/>
      <c r="K652" s="1551"/>
      <c r="L652" s="1551"/>
      <c r="V652"/>
      <c r="W652"/>
      <c r="X652"/>
      <c r="Y652"/>
      <c r="Z652"/>
      <c r="AA652"/>
      <c r="AB652"/>
      <c r="AC652"/>
      <c r="AD652"/>
      <c r="AE652"/>
      <c r="AF652"/>
      <c r="AG652"/>
      <c r="AK652" s="802"/>
    </row>
    <row r="653" spans="2:37" outlineLevel="1" x14ac:dyDescent="0.25">
      <c r="B653" s="1087"/>
      <c r="C653" s="1454"/>
      <c r="D653" s="1806"/>
      <c r="E653" s="1807"/>
      <c r="F653" s="1808"/>
      <c r="G653" s="1808"/>
      <c r="H653" s="1551"/>
      <c r="I653" s="1551"/>
      <c r="J653" s="1551"/>
      <c r="K653" s="1551"/>
      <c r="L653" s="1551"/>
      <c r="V653"/>
      <c r="W653"/>
      <c r="X653"/>
      <c r="Y653"/>
      <c r="Z653"/>
      <c r="AA653"/>
      <c r="AB653"/>
      <c r="AC653"/>
      <c r="AD653"/>
      <c r="AE653"/>
      <c r="AF653"/>
      <c r="AG653"/>
      <c r="AK653" s="802"/>
    </row>
    <row r="654" spans="2:37" ht="15" customHeight="1" outlineLevel="1" x14ac:dyDescent="0.25">
      <c r="B654" s="1087"/>
      <c r="C654" s="1454"/>
      <c r="D654" s="1715"/>
      <c r="E654" s="1716"/>
      <c r="F654" s="1717"/>
      <c r="G654" s="1717"/>
      <c r="V654"/>
      <c r="W654"/>
      <c r="X654"/>
      <c r="Y654"/>
      <c r="Z654"/>
      <c r="AA654"/>
      <c r="AB654"/>
      <c r="AC654"/>
      <c r="AD654"/>
      <c r="AE654"/>
      <c r="AF654"/>
      <c r="AG654"/>
      <c r="AK654" s="802"/>
    </row>
    <row r="655" spans="2:37" outlineLevel="1" x14ac:dyDescent="0.25">
      <c r="B655" s="1087"/>
      <c r="C655" s="1455"/>
      <c r="D655" s="1719"/>
      <c r="E655" s="1809"/>
      <c r="F655" s="1810"/>
      <c r="G655" s="1810"/>
      <c r="V655"/>
      <c r="W655"/>
      <c r="X655"/>
      <c r="Y655"/>
      <c r="Z655"/>
      <c r="AA655"/>
      <c r="AB655"/>
      <c r="AC655"/>
      <c r="AD655"/>
      <c r="AE655"/>
      <c r="AF655"/>
      <c r="AG655"/>
      <c r="AK655" s="802"/>
    </row>
    <row r="656" spans="2:37" outlineLevel="1" x14ac:dyDescent="0.25">
      <c r="B656" s="1087"/>
      <c r="C656" s="1434"/>
      <c r="D656" s="1811"/>
      <c r="V656"/>
      <c r="W656"/>
      <c r="X656"/>
      <c r="Y656"/>
      <c r="Z656"/>
      <c r="AA656"/>
      <c r="AB656"/>
      <c r="AC656"/>
      <c r="AD656"/>
      <c r="AE656"/>
      <c r="AF656"/>
      <c r="AG656"/>
      <c r="AK656" s="802"/>
    </row>
    <row r="657" spans="2:37" ht="45.75" customHeight="1" outlineLevel="1" x14ac:dyDescent="0.25">
      <c r="B657" s="1087"/>
      <c r="C657" s="1434"/>
      <c r="D657" s="1098" t="s">
        <v>465</v>
      </c>
      <c r="E657" s="1098" t="s">
        <v>466</v>
      </c>
      <c r="F657" s="184" t="s">
        <v>1428</v>
      </c>
      <c r="G657" s="604" t="s">
        <v>467</v>
      </c>
      <c r="H657" s="2050" t="s">
        <v>515</v>
      </c>
      <c r="I657" s="2050"/>
      <c r="J657" s="2244" t="s">
        <v>468</v>
      </c>
      <c r="K657" s="2346"/>
      <c r="L657" s="2347"/>
      <c r="V657" s="48" t="s">
        <v>26</v>
      </c>
      <c r="W657" s="49">
        <f>W$6</f>
        <v>43252</v>
      </c>
      <c r="X657" s="49">
        <f t="shared" ref="X657:AG657" si="49">X$6</f>
        <v>43465</v>
      </c>
      <c r="Y657" s="49" t="str">
        <f t="shared" si="49"/>
        <v>-</v>
      </c>
      <c r="Z657" s="49" t="str">
        <f t="shared" si="49"/>
        <v>-</v>
      </c>
      <c r="AA657" s="49" t="str">
        <f t="shared" si="49"/>
        <v>-</v>
      </c>
      <c r="AB657" s="49" t="str">
        <f t="shared" si="49"/>
        <v>-</v>
      </c>
      <c r="AC657" s="49" t="str">
        <f t="shared" si="49"/>
        <v>-</v>
      </c>
      <c r="AD657" s="49" t="str">
        <f t="shared" si="49"/>
        <v>-</v>
      </c>
      <c r="AE657" s="49" t="str">
        <f t="shared" si="49"/>
        <v>-</v>
      </c>
      <c r="AF657" s="49" t="str">
        <f t="shared" si="49"/>
        <v>-</v>
      </c>
      <c r="AG657" s="49" t="str">
        <f t="shared" si="49"/>
        <v>-</v>
      </c>
      <c r="AK657" s="802"/>
    </row>
    <row r="658" spans="2:37" ht="15" customHeight="1" outlineLevel="1" x14ac:dyDescent="0.25">
      <c r="B658" s="1087"/>
      <c r="D658" s="890" t="s">
        <v>773</v>
      </c>
      <c r="E658" s="890" t="s">
        <v>774</v>
      </c>
      <c r="F658" s="890"/>
      <c r="G658" s="908">
        <v>1</v>
      </c>
      <c r="H658" s="2299" t="s">
        <v>1367</v>
      </c>
      <c r="I658" s="2300"/>
      <c r="J658" s="2337" t="s">
        <v>1368</v>
      </c>
      <c r="K658" s="2338"/>
      <c r="L658" s="2338"/>
      <c r="V658" s="428" t="s">
        <v>773</v>
      </c>
      <c r="W658" s="860">
        <v>1</v>
      </c>
      <c r="X658" s="860">
        <v>1</v>
      </c>
      <c r="Y658" s="176"/>
      <c r="Z658" s="176"/>
      <c r="AA658" s="176"/>
      <c r="AB658" s="176"/>
      <c r="AC658" s="176"/>
      <c r="AD658" s="176"/>
      <c r="AE658" s="176"/>
      <c r="AF658" s="176"/>
      <c r="AG658" s="176"/>
      <c r="AK658" s="802"/>
    </row>
    <row r="659" spans="2:37" ht="105" customHeight="1" outlineLevel="1" x14ac:dyDescent="0.25">
      <c r="B659" s="1087"/>
      <c r="D659" s="890" t="s">
        <v>775</v>
      </c>
      <c r="E659" s="890" t="s">
        <v>1853</v>
      </c>
      <c r="F659" s="890"/>
      <c r="G659" s="1812">
        <v>2.2000000000000002</v>
      </c>
      <c r="H659" s="2304" t="s">
        <v>813</v>
      </c>
      <c r="I659" s="2305"/>
      <c r="J659" s="2301" t="s">
        <v>1429</v>
      </c>
      <c r="K659" s="2302"/>
      <c r="L659" s="2303"/>
      <c r="V659" s="428" t="s">
        <v>775</v>
      </c>
      <c r="W659" s="896">
        <v>2.2000000000000002</v>
      </c>
      <c r="X659" s="895">
        <v>2.2000000000000002</v>
      </c>
      <c r="Y659" s="176"/>
      <c r="Z659" s="176"/>
      <c r="AA659" s="176"/>
      <c r="AB659" s="176"/>
      <c r="AC659" s="176"/>
      <c r="AD659" s="176"/>
      <c r="AE659" s="176"/>
      <c r="AF659" s="176"/>
      <c r="AG659" s="176"/>
      <c r="AK659" s="802"/>
    </row>
    <row r="660" spans="2:37" ht="30" customHeight="1" outlineLevel="1" x14ac:dyDescent="0.25">
      <c r="B660" s="1087"/>
      <c r="D660" s="890" t="s">
        <v>778</v>
      </c>
      <c r="E660" s="1813" t="s">
        <v>1430</v>
      </c>
      <c r="F660" s="890"/>
      <c r="G660" s="912">
        <v>3.7</v>
      </c>
      <c r="H660" s="2330" t="s">
        <v>1431</v>
      </c>
      <c r="I660" s="2331"/>
      <c r="J660" s="2301" t="s">
        <v>1429</v>
      </c>
      <c r="K660" s="2302"/>
      <c r="L660" s="2303"/>
      <c r="V660" s="428" t="s">
        <v>778</v>
      </c>
      <c r="W660" s="862">
        <v>3.7</v>
      </c>
      <c r="X660" s="862">
        <v>3.7</v>
      </c>
      <c r="Y660" s="176"/>
      <c r="Z660" s="176"/>
      <c r="AA660" s="176"/>
      <c r="AB660" s="176"/>
      <c r="AC660" s="176"/>
      <c r="AD660" s="176"/>
      <c r="AE660" s="176"/>
      <c r="AF660" s="176"/>
      <c r="AG660" s="176"/>
      <c r="AK660" s="802"/>
    </row>
    <row r="661" spans="2:37" ht="30" customHeight="1" outlineLevel="1" x14ac:dyDescent="0.25">
      <c r="B661" s="1087"/>
      <c r="D661" s="890" t="s">
        <v>782</v>
      </c>
      <c r="E661" s="890" t="s">
        <v>1853</v>
      </c>
      <c r="F661" s="890"/>
      <c r="G661" s="1585">
        <v>1.5</v>
      </c>
      <c r="H661" s="2304" t="s">
        <v>1432</v>
      </c>
      <c r="I661" s="2305"/>
      <c r="J661" s="2301" t="s">
        <v>1429</v>
      </c>
      <c r="K661" s="2302"/>
      <c r="L661" s="2303"/>
      <c r="V661" s="428" t="s">
        <v>782</v>
      </c>
      <c r="W661" s="896">
        <v>1.5</v>
      </c>
      <c r="X661" s="897">
        <v>1.5</v>
      </c>
      <c r="Y661" s="816"/>
      <c r="Z661" s="816"/>
      <c r="AA661" s="816"/>
      <c r="AB661" s="816"/>
      <c r="AC661" s="816"/>
      <c r="AD661" s="816"/>
      <c r="AE661" s="816"/>
      <c r="AF661" s="816"/>
      <c r="AG661" s="816"/>
      <c r="AK661" s="802"/>
    </row>
    <row r="662" spans="2:37" ht="30" customHeight="1" outlineLevel="1" x14ac:dyDescent="0.25">
      <c r="B662" s="1087"/>
      <c r="D662" s="890" t="s">
        <v>784</v>
      </c>
      <c r="E662" s="1813" t="s">
        <v>1430</v>
      </c>
      <c r="F662" s="890"/>
      <c r="G662" s="912">
        <v>3.7</v>
      </c>
      <c r="H662" s="2330" t="s">
        <v>1431</v>
      </c>
      <c r="I662" s="2331"/>
      <c r="J662" s="2301" t="s">
        <v>1429</v>
      </c>
      <c r="K662" s="2302"/>
      <c r="L662" s="2303"/>
      <c r="V662" s="428" t="s">
        <v>784</v>
      </c>
      <c r="W662" s="862">
        <v>3.7</v>
      </c>
      <c r="X662" s="862">
        <v>3.7</v>
      </c>
      <c r="Y662" s="816"/>
      <c r="Z662" s="816"/>
      <c r="AA662" s="816"/>
      <c r="AB662" s="816"/>
      <c r="AC662" s="816"/>
      <c r="AD662" s="816"/>
      <c r="AE662" s="816"/>
      <c r="AF662" s="816"/>
      <c r="AG662" s="816"/>
      <c r="AK662" s="802"/>
    </row>
    <row r="663" spans="2:37" ht="45" customHeight="1" outlineLevel="1" x14ac:dyDescent="0.25">
      <c r="B663" s="1087"/>
      <c r="D663" s="890" t="s">
        <v>528</v>
      </c>
      <c r="E663" s="1813" t="s">
        <v>1433</v>
      </c>
      <c r="F663" s="890"/>
      <c r="G663" s="912">
        <v>1.6639999999999999</v>
      </c>
      <c r="H663" s="2330" t="s">
        <v>1434</v>
      </c>
      <c r="I663" s="2331"/>
      <c r="J663" s="2301" t="s">
        <v>1429</v>
      </c>
      <c r="K663" s="2302"/>
      <c r="L663" s="2303"/>
      <c r="V663" s="428" t="s">
        <v>528</v>
      </c>
      <c r="W663" s="862">
        <v>2.0699999999999998</v>
      </c>
      <c r="X663" s="898">
        <v>1.6639999999999999</v>
      </c>
      <c r="Y663" s="816"/>
      <c r="Z663" s="816"/>
      <c r="AA663" s="816"/>
      <c r="AB663" s="816"/>
      <c r="AC663" s="816"/>
      <c r="AD663" s="816"/>
      <c r="AE663" s="816"/>
      <c r="AF663" s="816"/>
      <c r="AG663" s="816"/>
      <c r="AK663" s="802"/>
    </row>
    <row r="664" spans="2:37" ht="15" customHeight="1" outlineLevel="1" x14ac:dyDescent="0.25">
      <c r="B664" s="1087"/>
      <c r="D664" s="1555" t="s">
        <v>788</v>
      </c>
      <c r="E664" s="726" t="s">
        <v>789</v>
      </c>
      <c r="F664" s="890"/>
      <c r="G664" s="912">
        <v>1</v>
      </c>
      <c r="H664" s="2332" t="s">
        <v>1795</v>
      </c>
      <c r="I664" s="2333"/>
      <c r="J664" s="2334" t="s">
        <v>1435</v>
      </c>
      <c r="K664" s="2335"/>
      <c r="L664" s="2336"/>
      <c r="V664" s="415" t="s">
        <v>788</v>
      </c>
      <c r="W664" s="862">
        <v>0.75</v>
      </c>
      <c r="X664" s="898">
        <v>1</v>
      </c>
      <c r="Y664" s="816"/>
      <c r="Z664" s="816"/>
      <c r="AA664" s="816"/>
      <c r="AB664" s="816"/>
      <c r="AC664" s="816"/>
      <c r="AD664" s="816"/>
      <c r="AE664" s="816"/>
      <c r="AF664" s="816"/>
      <c r="AG664" s="816"/>
      <c r="AK664" s="802"/>
    </row>
    <row r="665" spans="2:37" ht="15" customHeight="1" outlineLevel="1" x14ac:dyDescent="0.25">
      <c r="B665" s="1087"/>
      <c r="D665" s="1555">
        <v>365.25</v>
      </c>
      <c r="E665" s="1813" t="s">
        <v>1436</v>
      </c>
      <c r="F665" s="890"/>
      <c r="G665" s="912">
        <v>365</v>
      </c>
      <c r="H665" s="2304" t="s">
        <v>760</v>
      </c>
      <c r="I665" s="2305"/>
      <c r="J665" s="2301" t="s">
        <v>1429</v>
      </c>
      <c r="K665" s="2302"/>
      <c r="L665" s="2303"/>
      <c r="V665" s="415">
        <v>365.25</v>
      </c>
      <c r="W665" s="862">
        <v>365</v>
      </c>
      <c r="X665" s="862">
        <v>365</v>
      </c>
      <c r="Y665" s="816"/>
      <c r="Z665" s="816"/>
      <c r="AA665" s="816"/>
      <c r="AB665" s="816"/>
      <c r="AC665" s="816"/>
      <c r="AD665" s="816"/>
      <c r="AE665" s="816"/>
      <c r="AF665" s="816"/>
      <c r="AG665" s="816"/>
      <c r="AK665" s="802"/>
    </row>
    <row r="666" spans="2:37" ht="15" customHeight="1" outlineLevel="1" x14ac:dyDescent="0.25">
      <c r="B666" s="1087"/>
      <c r="D666" s="1555" t="s">
        <v>791</v>
      </c>
      <c r="E666" s="1813" t="s">
        <v>1437</v>
      </c>
      <c r="F666" s="890"/>
      <c r="G666" s="912">
        <v>1.7961826857532379</v>
      </c>
      <c r="H666" s="2332" t="s">
        <v>1795</v>
      </c>
      <c r="I666" s="2333"/>
      <c r="J666" s="2301" t="s">
        <v>1438</v>
      </c>
      <c r="K666" s="2302"/>
      <c r="L666" s="2303"/>
      <c r="V666" s="415" t="s">
        <v>791</v>
      </c>
      <c r="W666" s="862">
        <v>1.76</v>
      </c>
      <c r="X666" s="898">
        <v>1.7961826857532379</v>
      </c>
      <c r="Y666" s="816"/>
      <c r="Z666" s="816"/>
      <c r="AA666" s="816"/>
      <c r="AB666" s="816"/>
      <c r="AC666" s="816"/>
      <c r="AD666" s="816"/>
      <c r="AE666" s="816"/>
      <c r="AF666" s="816"/>
      <c r="AG666" s="816"/>
      <c r="AK666" s="802"/>
    </row>
    <row r="667" spans="2:37" ht="15" customHeight="1" outlineLevel="1" x14ac:dyDescent="0.25">
      <c r="B667" s="1087"/>
      <c r="D667" s="1555">
        <v>8.33</v>
      </c>
      <c r="E667" s="1813" t="s">
        <v>793</v>
      </c>
      <c r="F667" s="890"/>
      <c r="G667" s="912">
        <v>8.33</v>
      </c>
      <c r="H667" s="2299" t="s">
        <v>794</v>
      </c>
      <c r="I667" s="2300"/>
      <c r="J667" s="2301" t="s">
        <v>1429</v>
      </c>
      <c r="K667" s="2302"/>
      <c r="L667" s="2303"/>
      <c r="V667" s="415">
        <v>8.33</v>
      </c>
      <c r="W667" s="862">
        <v>8.33</v>
      </c>
      <c r="X667" s="862">
        <v>8.33</v>
      </c>
      <c r="Y667" s="816"/>
      <c r="Z667" s="816"/>
      <c r="AA667" s="816"/>
      <c r="AB667" s="816"/>
      <c r="AC667" s="816"/>
      <c r="AD667" s="816"/>
      <c r="AE667" s="816"/>
      <c r="AF667" s="816"/>
      <c r="AG667" s="816"/>
      <c r="AK667" s="802"/>
    </row>
    <row r="668" spans="2:37" ht="15" customHeight="1" outlineLevel="1" x14ac:dyDescent="0.25">
      <c r="B668" s="1087"/>
      <c r="D668" s="1555">
        <v>1</v>
      </c>
      <c r="E668" s="1814" t="s">
        <v>1439</v>
      </c>
      <c r="F668" s="890"/>
      <c r="G668" s="912">
        <v>1</v>
      </c>
      <c r="H668" s="2304" t="s">
        <v>796</v>
      </c>
      <c r="I668" s="2305"/>
      <c r="J668" s="2301" t="s">
        <v>1429</v>
      </c>
      <c r="K668" s="2302"/>
      <c r="L668" s="2303"/>
      <c r="V668" s="415">
        <v>1</v>
      </c>
      <c r="W668" s="862">
        <v>1</v>
      </c>
      <c r="X668" s="862">
        <v>1</v>
      </c>
      <c r="Y668" s="816"/>
      <c r="Z668" s="816"/>
      <c r="AA668" s="816"/>
      <c r="AB668" s="816"/>
      <c r="AC668" s="816"/>
      <c r="AD668" s="816"/>
      <c r="AE668" s="816"/>
      <c r="AF668" s="816"/>
      <c r="AG668" s="816"/>
      <c r="AK668" s="802"/>
    </row>
    <row r="669" spans="2:37" ht="15" customHeight="1" outlineLevel="1" x14ac:dyDescent="0.25">
      <c r="B669" s="1087"/>
      <c r="D669" s="890" t="s">
        <v>797</v>
      </c>
      <c r="E669" s="1813" t="s">
        <v>1440</v>
      </c>
      <c r="F669" s="890"/>
      <c r="G669" s="912">
        <v>80</v>
      </c>
      <c r="H669" s="2330" t="s">
        <v>1441</v>
      </c>
      <c r="I669" s="2331"/>
      <c r="J669" s="2301" t="s">
        <v>1429</v>
      </c>
      <c r="K669" s="2302"/>
      <c r="L669" s="2303"/>
      <c r="V669" s="428" t="s">
        <v>797</v>
      </c>
      <c r="W669" s="862">
        <v>80</v>
      </c>
      <c r="X669" s="862">
        <v>80</v>
      </c>
      <c r="Y669" s="816"/>
      <c r="Z669" s="816"/>
      <c r="AA669" s="816"/>
      <c r="AB669" s="816"/>
      <c r="AC669" s="816"/>
      <c r="AD669" s="816"/>
      <c r="AE669" s="816"/>
      <c r="AF669" s="816"/>
      <c r="AG669" s="816"/>
      <c r="AK669" s="802"/>
    </row>
    <row r="670" spans="2:37" ht="60" customHeight="1" outlineLevel="1" x14ac:dyDescent="0.25">
      <c r="B670" s="1087"/>
      <c r="D670" s="890" t="s">
        <v>800</v>
      </c>
      <c r="E670" s="1813" t="s">
        <v>1442</v>
      </c>
      <c r="F670" s="890"/>
      <c r="G670" s="912">
        <v>61.3</v>
      </c>
      <c r="H670" s="2304" t="s">
        <v>802</v>
      </c>
      <c r="I670" s="2305"/>
      <c r="J670" s="2301" t="s">
        <v>1429</v>
      </c>
      <c r="K670" s="2302"/>
      <c r="L670" s="2303"/>
      <c r="V670" s="428" t="s">
        <v>800</v>
      </c>
      <c r="W670" s="862">
        <v>61.3</v>
      </c>
      <c r="X670" s="862">
        <v>61.3</v>
      </c>
      <c r="Y670" s="816"/>
      <c r="Z670" s="816"/>
      <c r="AA670" s="816"/>
      <c r="AB670" s="816"/>
      <c r="AC670" s="816"/>
      <c r="AD670" s="816"/>
      <c r="AE670" s="816"/>
      <c r="AF670" s="816"/>
      <c r="AG670" s="816"/>
      <c r="AK670" s="802"/>
    </row>
    <row r="671" spans="2:37" ht="30" customHeight="1" outlineLevel="1" x14ac:dyDescent="0.25">
      <c r="B671" s="1087"/>
      <c r="D671" s="890" t="s">
        <v>803</v>
      </c>
      <c r="E671" s="1813" t="s">
        <v>1443</v>
      </c>
      <c r="F671" s="890"/>
      <c r="G671" s="912">
        <v>0.98</v>
      </c>
      <c r="H671" s="2330" t="s">
        <v>1444</v>
      </c>
      <c r="I671" s="2331"/>
      <c r="J671" s="2301" t="s">
        <v>1429</v>
      </c>
      <c r="K671" s="2302"/>
      <c r="L671" s="2303"/>
      <c r="V671" s="428" t="s">
        <v>803</v>
      </c>
      <c r="W671" s="862">
        <v>0.98</v>
      </c>
      <c r="X671" s="862">
        <v>0.98</v>
      </c>
      <c r="Y671" s="816"/>
      <c r="Z671" s="816"/>
      <c r="AA671" s="816"/>
      <c r="AB671" s="816"/>
      <c r="AC671" s="816"/>
      <c r="AD671" s="816"/>
      <c r="AE671" s="816"/>
      <c r="AF671" s="816"/>
      <c r="AG671" s="816"/>
      <c r="AK671" s="802"/>
    </row>
    <row r="672" spans="2:37" ht="15" customHeight="1" outlineLevel="1" x14ac:dyDescent="0.25">
      <c r="B672" s="1087"/>
      <c r="D672" s="890">
        <v>3412</v>
      </c>
      <c r="E672" s="1813">
        <v>3413</v>
      </c>
      <c r="F672" s="890"/>
      <c r="G672" s="912">
        <v>3413</v>
      </c>
      <c r="H672" s="2299" t="s">
        <v>546</v>
      </c>
      <c r="I672" s="2300"/>
      <c r="J672" s="2301" t="s">
        <v>1429</v>
      </c>
      <c r="K672" s="2302"/>
      <c r="L672" s="2303"/>
      <c r="V672" s="428">
        <v>3412</v>
      </c>
      <c r="W672" s="862">
        <v>3413</v>
      </c>
      <c r="X672" s="862">
        <v>3413</v>
      </c>
      <c r="Y672" s="816"/>
      <c r="Z672" s="816"/>
      <c r="AA672" s="816"/>
      <c r="AB672" s="816"/>
      <c r="AC672" s="816"/>
      <c r="AD672" s="816"/>
      <c r="AE672" s="816"/>
      <c r="AF672" s="816"/>
      <c r="AG672" s="816"/>
      <c r="AK672" s="802"/>
    </row>
    <row r="673" spans="2:37" ht="15" customHeight="1" outlineLevel="1" x14ac:dyDescent="0.25">
      <c r="B673" s="1087"/>
      <c r="D673" s="890" t="s">
        <v>736</v>
      </c>
      <c r="E673" s="890" t="s">
        <v>769</v>
      </c>
      <c r="F673" s="890"/>
      <c r="G673" s="912">
        <v>1</v>
      </c>
      <c r="H673" s="2299" t="s">
        <v>1367</v>
      </c>
      <c r="I673" s="2300"/>
      <c r="J673" s="2301" t="s">
        <v>1368</v>
      </c>
      <c r="K673" s="2302"/>
      <c r="L673" s="2302"/>
      <c r="V673" s="428" t="s">
        <v>736</v>
      </c>
      <c r="W673" s="862">
        <v>1</v>
      </c>
      <c r="X673" s="862">
        <v>1</v>
      </c>
      <c r="Y673" s="816"/>
      <c r="Z673" s="816"/>
      <c r="AA673" s="816"/>
      <c r="AB673" s="816"/>
      <c r="AC673" s="816"/>
      <c r="AD673" s="816"/>
      <c r="AE673" s="816"/>
      <c r="AF673" s="816"/>
      <c r="AG673" s="816"/>
      <c r="AK673" s="802"/>
    </row>
    <row r="674" spans="2:37" ht="15" customHeight="1" outlineLevel="1" x14ac:dyDescent="0.25">
      <c r="B674" s="1087"/>
      <c r="D674" s="2080" t="s">
        <v>58</v>
      </c>
      <c r="E674" s="2329" t="s">
        <v>1369</v>
      </c>
      <c r="F674" s="890" t="s">
        <v>1445</v>
      </c>
      <c r="G674" s="1815">
        <v>1</v>
      </c>
      <c r="H674" s="2330" t="s">
        <v>1446</v>
      </c>
      <c r="I674" s="2331"/>
      <c r="J674" s="2301" t="s">
        <v>1429</v>
      </c>
      <c r="K674" s="2302"/>
      <c r="L674" s="2303"/>
      <c r="V674" s="2326" t="s">
        <v>58</v>
      </c>
      <c r="W674" s="900">
        <v>1</v>
      </c>
      <c r="X674" s="900">
        <v>1</v>
      </c>
      <c r="Y674" s="816"/>
      <c r="Z674" s="816"/>
      <c r="AA674" s="816"/>
      <c r="AB674" s="816"/>
      <c r="AC674" s="816"/>
      <c r="AD674" s="816"/>
      <c r="AE674" s="816"/>
      <c r="AF674" s="816"/>
      <c r="AG674" s="816"/>
      <c r="AK674" s="802"/>
    </row>
    <row r="675" spans="2:37" ht="15" customHeight="1" outlineLevel="1" x14ac:dyDescent="0.25">
      <c r="B675" s="1087"/>
      <c r="D675" s="2080"/>
      <c r="E675" s="2329"/>
      <c r="F675" s="890" t="s">
        <v>1447</v>
      </c>
      <c r="G675" s="908">
        <v>1</v>
      </c>
      <c r="H675" s="2332" t="s">
        <v>1795</v>
      </c>
      <c r="I675" s="2333"/>
      <c r="J675" s="2052"/>
      <c r="K675" s="2327"/>
      <c r="L675" s="2053"/>
      <c r="V675" s="2326"/>
      <c r="W675" s="860">
        <v>0.97699999999999998</v>
      </c>
      <c r="X675" s="901">
        <v>1</v>
      </c>
      <c r="Y675" s="816"/>
      <c r="Z675" s="816"/>
      <c r="AA675" s="816"/>
      <c r="AB675" s="816"/>
      <c r="AC675" s="816"/>
      <c r="AD675" s="816"/>
      <c r="AE675" s="816"/>
      <c r="AF675" s="816"/>
      <c r="AG675" s="816"/>
      <c r="AK675" s="802"/>
    </row>
    <row r="676" spans="2:37" ht="15" customHeight="1" outlineLevel="1" x14ac:dyDescent="0.25">
      <c r="B676" s="1087"/>
      <c r="D676" s="1754" t="str">
        <f>D636</f>
        <v>EUL</v>
      </c>
      <c r="E676" s="1754" t="str">
        <f>E636</f>
        <v>Effective Useful Life</v>
      </c>
      <c r="F676" s="890" t="s">
        <v>483</v>
      </c>
      <c r="G676" s="912">
        <v>10</v>
      </c>
      <c r="H676" s="2296"/>
      <c r="I676" s="2297"/>
      <c r="J676" s="2052"/>
      <c r="K676" s="2327"/>
      <c r="L676" s="2053"/>
      <c r="V676" s="902" t="str">
        <f>D676</f>
        <v>EUL</v>
      </c>
      <c r="W676" s="862">
        <v>10</v>
      </c>
      <c r="X676" s="862">
        <v>10</v>
      </c>
      <c r="Y676" s="816"/>
      <c r="Z676" s="816"/>
      <c r="AA676" s="816"/>
      <c r="AB676" s="816"/>
      <c r="AC676" s="816"/>
      <c r="AD676" s="816"/>
      <c r="AE676" s="816"/>
      <c r="AF676" s="816"/>
      <c r="AG676" s="816"/>
      <c r="AK676" s="802"/>
    </row>
    <row r="677" spans="2:37" ht="15" customHeight="1" outlineLevel="1" x14ac:dyDescent="0.25">
      <c r="B677" s="1087"/>
      <c r="D677" s="2328" t="str">
        <f>D637</f>
        <v>Inc. Cost</v>
      </c>
      <c r="E677" s="2328" t="str">
        <f>E637</f>
        <v>Incremental Cost</v>
      </c>
      <c r="F677" s="890" t="s">
        <v>1445</v>
      </c>
      <c r="G677" s="912">
        <v>3</v>
      </c>
      <c r="H677" s="2296"/>
      <c r="I677" s="2297"/>
      <c r="J677" s="2052" t="s">
        <v>1803</v>
      </c>
      <c r="K677" s="2327"/>
      <c r="L677" s="2053"/>
      <c r="V677" s="2325" t="str">
        <f>D677</f>
        <v>Inc. Cost</v>
      </c>
      <c r="W677" s="862">
        <v>11.33</v>
      </c>
      <c r="X677" s="898">
        <f>'Energy Effic. Kits Deemed Table'!L76</f>
        <v>3</v>
      </c>
      <c r="Y677" s="816"/>
      <c r="Z677" s="816"/>
      <c r="AA677" s="816"/>
      <c r="AB677" s="816"/>
      <c r="AC677" s="816"/>
      <c r="AD677" s="816"/>
      <c r="AE677" s="816"/>
      <c r="AF677" s="816"/>
      <c r="AG677" s="816"/>
      <c r="AK677" s="802"/>
    </row>
    <row r="678" spans="2:37" ht="15" customHeight="1" outlineLevel="1" x14ac:dyDescent="0.25">
      <c r="B678" s="1087"/>
      <c r="D678" s="2078"/>
      <c r="E678" s="2078"/>
      <c r="F678" s="890" t="s">
        <v>1447</v>
      </c>
      <c r="G678" s="912">
        <v>11.33</v>
      </c>
      <c r="H678" s="2296"/>
      <c r="I678" s="2297"/>
      <c r="J678" s="2052"/>
      <c r="K678" s="2327"/>
      <c r="L678" s="2053"/>
      <c r="V678" s="2326"/>
      <c r="W678" s="862">
        <v>11.33</v>
      </c>
      <c r="X678" s="862">
        <v>11.33</v>
      </c>
      <c r="Y678" s="816"/>
      <c r="Z678" s="816"/>
      <c r="AA678" s="816"/>
      <c r="AB678" s="816"/>
      <c r="AC678" s="816"/>
      <c r="AD678" s="816"/>
      <c r="AE678" s="816"/>
      <c r="AF678" s="816"/>
      <c r="AG678" s="816"/>
      <c r="AK678" s="802"/>
    </row>
    <row r="679" spans="2:37" ht="15" customHeight="1" x14ac:dyDescent="0.25">
      <c r="B679" s="1087"/>
      <c r="C679" s="305"/>
      <c r="AK679" s="802"/>
    </row>
    <row r="680" spans="2:37" ht="15" customHeight="1" x14ac:dyDescent="0.25">
      <c r="B680" s="1087"/>
      <c r="C680" s="1434"/>
      <c r="AK680" s="802"/>
    </row>
    <row r="681" spans="2:37" x14ac:dyDescent="0.25">
      <c r="B681" s="2022" t="s">
        <v>810</v>
      </c>
      <c r="C681" s="2023"/>
      <c r="D681" s="2023"/>
      <c r="E681" s="2023"/>
      <c r="F681" s="2023"/>
      <c r="G681" s="2023"/>
      <c r="H681" s="2023"/>
      <c r="I681" s="1992"/>
      <c r="J681" s="1992"/>
      <c r="K681" s="1992"/>
      <c r="L681" s="1992"/>
      <c r="M681" s="1992"/>
      <c r="N681" s="1992"/>
      <c r="O681" s="1992"/>
      <c r="P681" s="1992"/>
      <c r="Q681" s="1992"/>
      <c r="R681" s="1993"/>
      <c r="V681" s="2022" t="str">
        <f>B681</f>
        <v xml:space="preserve">Low Flow Showerheads </v>
      </c>
      <c r="W681" s="2023"/>
      <c r="X681" s="2023"/>
      <c r="Y681" s="2023"/>
      <c r="Z681" s="2023"/>
      <c r="AA681" s="2023"/>
      <c r="AB681" s="2023"/>
      <c r="AC681" s="2024"/>
      <c r="AD681" s="2024"/>
      <c r="AE681" s="2024"/>
      <c r="AF681" s="2024"/>
      <c r="AG681" s="2024"/>
      <c r="AH681" s="2024"/>
      <c r="AI681" s="2025"/>
      <c r="AK681" s="802"/>
    </row>
    <row r="682" spans="2:37" x14ac:dyDescent="0.25">
      <c r="B682" s="1816"/>
      <c r="C682" s="1817"/>
      <c r="D682" s="1435"/>
      <c r="E682" s="1435"/>
      <c r="F682" s="1436"/>
      <c r="G682" s="1436"/>
      <c r="H682" s="1436"/>
      <c r="I682" s="1436"/>
      <c r="J682" s="1436"/>
      <c r="K682" s="1436"/>
      <c r="L682" s="1437"/>
      <c r="AK682" s="802"/>
    </row>
    <row r="683" spans="2:37" ht="49.5" customHeight="1" x14ac:dyDescent="0.25">
      <c r="B683" s="1087"/>
      <c r="C683" s="184" t="s">
        <v>16</v>
      </c>
      <c r="D683" s="184" t="s">
        <v>509</v>
      </c>
      <c r="E683" s="184" t="s">
        <v>18</v>
      </c>
      <c r="F683" s="184" t="s">
        <v>1325</v>
      </c>
      <c r="G683" s="184" t="s">
        <v>20</v>
      </c>
      <c r="H683" s="184" t="s">
        <v>21</v>
      </c>
      <c r="I683" s="184" t="s">
        <v>771</v>
      </c>
      <c r="J683" s="184" t="s">
        <v>22</v>
      </c>
      <c r="K683" s="184" t="s">
        <v>23</v>
      </c>
      <c r="L683" s="184" t="s">
        <v>24</v>
      </c>
      <c r="M683" s="184" t="s">
        <v>25</v>
      </c>
      <c r="V683" s="48" t="s">
        <v>26</v>
      </c>
      <c r="W683" s="49">
        <f>W$6</f>
        <v>43252</v>
      </c>
      <c r="X683" s="49">
        <f t="shared" ref="X683:AG683" si="50">X$6</f>
        <v>43465</v>
      </c>
      <c r="Y683" s="49" t="str">
        <f t="shared" si="50"/>
        <v>-</v>
      </c>
      <c r="Z683" s="49" t="str">
        <f t="shared" si="50"/>
        <v>-</v>
      </c>
      <c r="AA683" s="49" t="str">
        <f t="shared" si="50"/>
        <v>-</v>
      </c>
      <c r="AB683" s="49" t="str">
        <f t="shared" si="50"/>
        <v>-</v>
      </c>
      <c r="AC683" s="49" t="str">
        <f t="shared" si="50"/>
        <v>-</v>
      </c>
      <c r="AD683" s="49" t="str">
        <f t="shared" si="50"/>
        <v>-</v>
      </c>
      <c r="AE683" s="49" t="str">
        <f t="shared" si="50"/>
        <v>-</v>
      </c>
      <c r="AF683" s="49" t="str">
        <f t="shared" si="50"/>
        <v>-</v>
      </c>
      <c r="AG683" s="49" t="str">
        <f t="shared" si="50"/>
        <v>-</v>
      </c>
      <c r="AK683" s="802"/>
    </row>
    <row r="684" spans="2:37" x14ac:dyDescent="0.25">
      <c r="B684" s="1087"/>
      <c r="C684" s="420"/>
      <c r="D684" s="867" t="s">
        <v>1246</v>
      </c>
      <c r="E684" s="867" t="s">
        <v>1448</v>
      </c>
      <c r="F684" s="1818">
        <f>G696*(G697*G698-G699*G700)*G702*G703*G704/G706*I684*G714*G713</f>
        <v>386.59384956558648</v>
      </c>
      <c r="G684" s="420" t="s">
        <v>1425</v>
      </c>
      <c r="H684" s="418">
        <f>VLOOKUP(G684,'CP FACTORS'!$A$3:$B$38, 2, FALSE)</f>
        <v>8.8731800000000003E-5</v>
      </c>
      <c r="I684" s="474">
        <f>G707*G708*(G709-G710)/(G711*G712)</f>
        <v>0.10883387049516556</v>
      </c>
      <c r="J684" s="1819">
        <f>F684*H684</f>
        <v>3.4303168140883709E-2</v>
      </c>
      <c r="K684" s="123">
        <f>$G$716</f>
        <v>10</v>
      </c>
      <c r="L684" s="526">
        <f>G717</f>
        <v>7</v>
      </c>
      <c r="M684" s="420" t="s">
        <v>31</v>
      </c>
      <c r="R684" s="255"/>
      <c r="S684" s="1820"/>
      <c r="V684" s="176" t="str">
        <f>F683</f>
        <v>kWh
Annual Savings</v>
      </c>
      <c r="W684" s="1022">
        <v>205.45946120574482</v>
      </c>
      <c r="X684" s="1207">
        <v>386.59384956558648</v>
      </c>
      <c r="Y684" s="176"/>
      <c r="Z684" s="176"/>
      <c r="AA684" s="176"/>
      <c r="AB684" s="176"/>
      <c r="AC684" s="176"/>
      <c r="AD684" s="176"/>
      <c r="AE684" s="176"/>
      <c r="AF684" s="176"/>
      <c r="AG684" s="176"/>
      <c r="AK684" s="802"/>
    </row>
    <row r="685" spans="2:37" x14ac:dyDescent="0.25">
      <c r="B685" s="1087"/>
      <c r="C685" s="420"/>
      <c r="D685" s="867" t="s">
        <v>1426</v>
      </c>
      <c r="E685" s="867" t="s">
        <v>1449</v>
      </c>
      <c r="F685" s="1821">
        <f>G696*(G697*G698-G699*G700)*G702*G703*G704/G706*I684*G715*G713</f>
        <v>396.76737192257565</v>
      </c>
      <c r="G685" s="420" t="s">
        <v>1425</v>
      </c>
      <c r="H685" s="418">
        <f>VLOOKUP(G685,'CP FACTORS'!$A$3:$B$38, 2, FALSE)</f>
        <v>8.8731800000000003E-5</v>
      </c>
      <c r="I685" s="1721">
        <f>G707*G708*(G709-G710)/(G711*G712)</f>
        <v>0.10883387049516556</v>
      </c>
      <c r="J685" s="1819">
        <f>F685*H685</f>
        <v>3.52058830919596E-2</v>
      </c>
      <c r="K685" s="123">
        <f>$G$716</f>
        <v>10</v>
      </c>
      <c r="L685" s="526">
        <f>$G$718</f>
        <v>7</v>
      </c>
      <c r="M685" s="420" t="s">
        <v>31</v>
      </c>
      <c r="R685" s="255"/>
      <c r="S685" s="1822"/>
      <c r="V685" s="176" t="str">
        <f>V684</f>
        <v>kWh
Annual Savings</v>
      </c>
      <c r="W685" s="1022">
        <v>219.7507887809823</v>
      </c>
      <c r="X685" s="1207">
        <v>396.76737192257565</v>
      </c>
      <c r="Y685" s="176"/>
      <c r="Z685" s="176"/>
      <c r="AA685" s="176"/>
      <c r="AB685" s="176"/>
      <c r="AC685" s="176"/>
      <c r="AD685" s="176"/>
      <c r="AE685" s="176"/>
      <c r="AF685" s="176"/>
      <c r="AG685" s="176"/>
      <c r="AK685" s="802"/>
    </row>
    <row r="686" spans="2:37" x14ac:dyDescent="0.25">
      <c r="B686" s="1087"/>
      <c r="C686" s="420"/>
      <c r="D686" s="867" t="s">
        <v>1427</v>
      </c>
      <c r="E686" s="867" t="s">
        <v>1450</v>
      </c>
      <c r="F686" s="1821">
        <f>G696*(G697*G698-G699*G700)*G701*G703*G704/G705*I684*G715*G713</f>
        <v>277.23460772356242</v>
      </c>
      <c r="G686" s="420" t="s">
        <v>1425</v>
      </c>
      <c r="H686" s="418">
        <f>VLOOKUP(G686,'CP FACTORS'!$A$3:$B$38, 2, FALSE)</f>
        <v>8.8731800000000003E-5</v>
      </c>
      <c r="I686" s="1721">
        <f>G708*G709*(G710-G711)/(G712*G713)</f>
        <v>1.8557280984471141</v>
      </c>
      <c r="J686" s="1819">
        <f>F686*H686</f>
        <v>2.4599525765605597E-2</v>
      </c>
      <c r="K686" s="123">
        <f>$G$716</f>
        <v>10</v>
      </c>
      <c r="L686" s="526">
        <f>$G$718</f>
        <v>7</v>
      </c>
      <c r="M686" s="420" t="s">
        <v>31</v>
      </c>
      <c r="R686" s="255"/>
      <c r="S686" s="1822"/>
      <c r="V686" s="176" t="str">
        <f>V685</f>
        <v>kWh
Annual Savings</v>
      </c>
      <c r="W686" s="1022">
        <v>193.57333532775112</v>
      </c>
      <c r="X686" s="1207">
        <v>277.23460772356242</v>
      </c>
      <c r="Y686" s="176"/>
      <c r="Z686" s="176"/>
      <c r="AA686" s="176"/>
      <c r="AB686" s="176"/>
      <c r="AC686" s="176"/>
      <c r="AD686" s="176"/>
      <c r="AE686" s="176"/>
      <c r="AF686" s="176"/>
      <c r="AG686" s="176"/>
      <c r="AK686" s="802"/>
    </row>
    <row r="687" spans="2:37" outlineLevel="1" x14ac:dyDescent="0.25">
      <c r="B687" s="1087"/>
      <c r="C687" s="1434"/>
      <c r="D687" s="1608"/>
      <c r="E687" s="1608"/>
      <c r="F687" s="1823"/>
      <c r="G687" s="1801"/>
      <c r="H687" s="1802"/>
      <c r="I687" s="1824"/>
      <c r="J687" s="1824"/>
      <c r="K687" s="1825"/>
      <c r="M687" s="1551"/>
      <c r="V687"/>
      <c r="W687" s="56"/>
      <c r="X687"/>
      <c r="Y687"/>
      <c r="Z687"/>
      <c r="AA687"/>
      <c r="AB687"/>
      <c r="AC687"/>
      <c r="AD687"/>
      <c r="AE687"/>
      <c r="AF687"/>
      <c r="AG687"/>
      <c r="AK687" s="802"/>
    </row>
    <row r="688" spans="2:37" outlineLevel="1" x14ac:dyDescent="0.25">
      <c r="B688" s="1087"/>
      <c r="C688" s="1434"/>
      <c r="D688" s="1608"/>
      <c r="E688" s="1608"/>
      <c r="F688" s="1823"/>
      <c r="G688" s="1801"/>
      <c r="H688" s="1802"/>
      <c r="I688" s="1824"/>
      <c r="J688" s="1824"/>
      <c r="K688" s="1825"/>
      <c r="M688" s="1551"/>
      <c r="V688"/>
      <c r="W688"/>
      <c r="X688"/>
      <c r="Y688"/>
      <c r="Z688"/>
      <c r="AA688"/>
      <c r="AB688"/>
      <c r="AC688"/>
      <c r="AD688"/>
      <c r="AE688"/>
      <c r="AF688"/>
      <c r="AG688"/>
      <c r="AK688" s="802"/>
    </row>
    <row r="689" spans="2:37" outlineLevel="1" x14ac:dyDescent="0.25">
      <c r="B689" s="1087"/>
      <c r="C689" s="1434"/>
      <c r="D689" s="1418" t="s">
        <v>463</v>
      </c>
      <c r="E689" s="1608"/>
      <c r="F689" s="1551"/>
      <c r="G689" s="1551"/>
      <c r="H689" s="1551"/>
      <c r="I689" s="1551"/>
      <c r="J689" s="1551"/>
      <c r="M689" s="1551"/>
      <c r="V689"/>
      <c r="W689"/>
      <c r="X689"/>
      <c r="Y689"/>
      <c r="Z689"/>
      <c r="AA689"/>
      <c r="AB689"/>
      <c r="AC689"/>
      <c r="AD689"/>
      <c r="AE689"/>
      <c r="AF689"/>
      <c r="AG689"/>
      <c r="AK689" s="802"/>
    </row>
    <row r="690" spans="2:37" outlineLevel="1" x14ac:dyDescent="0.25">
      <c r="B690" s="1087"/>
      <c r="C690" s="1447"/>
      <c r="D690" s="1803"/>
      <c r="E690" s="1804"/>
      <c r="F690" s="1826"/>
      <c r="G690" s="1800"/>
      <c r="H690" s="1800"/>
      <c r="I690" s="1551"/>
      <c r="J690" s="1551"/>
      <c r="V690"/>
      <c r="W690"/>
      <c r="X690"/>
      <c r="Y690"/>
      <c r="Z690"/>
      <c r="AA690"/>
      <c r="AB690"/>
      <c r="AC690"/>
      <c r="AD690"/>
      <c r="AE690"/>
      <c r="AF690"/>
      <c r="AG690"/>
      <c r="AK690" s="802"/>
    </row>
    <row r="691" spans="2:37" outlineLevel="1" x14ac:dyDescent="0.25">
      <c r="B691" s="1087"/>
      <c r="C691" s="1454"/>
      <c r="D691" s="1806"/>
      <c r="E691" s="1807"/>
      <c r="F691" s="1827"/>
      <c r="G691" s="1800"/>
      <c r="H691" s="1800"/>
      <c r="I691" s="1551"/>
      <c r="J691" s="1551"/>
      <c r="V691"/>
      <c r="W691"/>
      <c r="X691"/>
      <c r="Y691"/>
      <c r="Z691"/>
      <c r="AA691"/>
      <c r="AB691"/>
      <c r="AC691"/>
      <c r="AD691"/>
      <c r="AE691"/>
      <c r="AF691"/>
      <c r="AG691"/>
      <c r="AK691" s="802"/>
    </row>
    <row r="692" spans="2:37" outlineLevel="1" x14ac:dyDescent="0.25">
      <c r="B692" s="1087"/>
      <c r="C692" s="1454"/>
      <c r="D692" s="1806"/>
      <c r="E692" s="1807"/>
      <c r="F692" s="1827"/>
      <c r="G692" s="1800"/>
      <c r="H692" s="1800"/>
      <c r="I692" s="1551"/>
      <c r="J692" s="1551"/>
      <c r="V692"/>
      <c r="W692"/>
      <c r="X692"/>
      <c r="Y692"/>
      <c r="Z692"/>
      <c r="AA692"/>
      <c r="AB692"/>
      <c r="AC692"/>
      <c r="AD692"/>
      <c r="AE692"/>
      <c r="AF692"/>
      <c r="AG692"/>
      <c r="AK692" s="802"/>
    </row>
    <row r="693" spans="2:37" ht="15" customHeight="1" outlineLevel="1" x14ac:dyDescent="0.25">
      <c r="B693" s="1087"/>
      <c r="C693" s="1454"/>
      <c r="D693" s="1715"/>
      <c r="E693" s="1716"/>
      <c r="F693" s="1718"/>
      <c r="G693" s="905"/>
      <c r="H693" s="905"/>
      <c r="V693"/>
      <c r="W693"/>
      <c r="X693"/>
      <c r="Y693"/>
      <c r="Z693"/>
      <c r="AA693"/>
      <c r="AB693"/>
      <c r="AC693"/>
      <c r="AD693"/>
      <c r="AE693"/>
      <c r="AF693"/>
      <c r="AG693"/>
      <c r="AK693" s="802"/>
    </row>
    <row r="694" spans="2:37" ht="15" customHeight="1" outlineLevel="1" x14ac:dyDescent="0.25">
      <c r="V694"/>
      <c r="W694"/>
      <c r="X694"/>
      <c r="Y694"/>
      <c r="Z694"/>
      <c r="AA694"/>
      <c r="AB694"/>
      <c r="AC694"/>
      <c r="AD694"/>
      <c r="AE694"/>
      <c r="AF694"/>
      <c r="AG694"/>
      <c r="AK694" s="802"/>
    </row>
    <row r="695" spans="2:37" ht="15" customHeight="1" outlineLevel="1" x14ac:dyDescent="0.25">
      <c r="D695" s="1098" t="s">
        <v>465</v>
      </c>
      <c r="E695" s="1098" t="s">
        <v>466</v>
      </c>
      <c r="F695" s="184" t="s">
        <v>1428</v>
      </c>
      <c r="G695" s="604" t="s">
        <v>467</v>
      </c>
      <c r="H695" s="2050" t="s">
        <v>515</v>
      </c>
      <c r="I695" s="2050"/>
      <c r="J695" s="2050" t="s">
        <v>468</v>
      </c>
      <c r="K695" s="2050"/>
      <c r="L695" s="2050"/>
      <c r="S695" s="905"/>
      <c r="V695" s="48" t="s">
        <v>26</v>
      </c>
      <c r="W695" s="49">
        <f>W$6</f>
        <v>43252</v>
      </c>
      <c r="X695" s="49">
        <f t="shared" ref="X695:AG695" si="51">X$6</f>
        <v>43465</v>
      </c>
      <c r="Y695" s="49" t="str">
        <f t="shared" si="51"/>
        <v>-</v>
      </c>
      <c r="Z695" s="49" t="str">
        <f t="shared" si="51"/>
        <v>-</v>
      </c>
      <c r="AA695" s="49" t="str">
        <f t="shared" si="51"/>
        <v>-</v>
      </c>
      <c r="AB695" s="49" t="str">
        <f t="shared" si="51"/>
        <v>-</v>
      </c>
      <c r="AC695" s="49" t="str">
        <f t="shared" si="51"/>
        <v>-</v>
      </c>
      <c r="AD695" s="49" t="str">
        <f t="shared" si="51"/>
        <v>-</v>
      </c>
      <c r="AE695" s="49" t="str">
        <f t="shared" si="51"/>
        <v>-</v>
      </c>
      <c r="AF695" s="49" t="str">
        <f t="shared" si="51"/>
        <v>-</v>
      </c>
      <c r="AG695" s="49" t="str">
        <f t="shared" si="51"/>
        <v>-</v>
      </c>
      <c r="AK695" s="802"/>
    </row>
    <row r="696" spans="2:37" ht="30" customHeight="1" outlineLevel="1" x14ac:dyDescent="0.25">
      <c r="D696" s="890" t="s">
        <v>773</v>
      </c>
      <c r="E696" s="890" t="s">
        <v>774</v>
      </c>
      <c r="F696" s="890"/>
      <c r="G696" s="908">
        <v>1</v>
      </c>
      <c r="H696" s="2271" t="s">
        <v>1367</v>
      </c>
      <c r="I696" s="2271"/>
      <c r="J696" s="2322" t="s">
        <v>1368</v>
      </c>
      <c r="K696" s="2323"/>
      <c r="L696" s="2324"/>
      <c r="S696" s="907"/>
      <c r="V696" s="859" t="s">
        <v>773</v>
      </c>
      <c r="W696" s="860">
        <v>1</v>
      </c>
      <c r="X696" s="860">
        <v>1</v>
      </c>
      <c r="Y696" s="908"/>
      <c r="Z696" s="908"/>
      <c r="AA696" s="908"/>
      <c r="AB696" s="908"/>
      <c r="AC696" s="908"/>
      <c r="AD696" s="908"/>
      <c r="AE696" s="908"/>
      <c r="AF696" s="908"/>
      <c r="AG696" s="908"/>
      <c r="AK696" s="802"/>
    </row>
    <row r="697" spans="2:37" ht="51.75" customHeight="1" outlineLevel="1" x14ac:dyDescent="0.25">
      <c r="D697" s="890" t="s">
        <v>775</v>
      </c>
      <c r="E697" s="890" t="s">
        <v>812</v>
      </c>
      <c r="F697" s="890"/>
      <c r="G697" s="1039">
        <v>2.35</v>
      </c>
      <c r="H697" s="2080" t="s">
        <v>1804</v>
      </c>
      <c r="I697" s="2080"/>
      <c r="J697" s="2285" t="s">
        <v>1429</v>
      </c>
      <c r="K697" s="2285"/>
      <c r="L697" s="2285"/>
      <c r="S697" s="305"/>
      <c r="V697" s="859" t="str">
        <f>D697</f>
        <v>GPM_base</v>
      </c>
      <c r="W697" s="896">
        <v>2.67</v>
      </c>
      <c r="X697" s="909">
        <f>'Energy Effic. Kits Deemed Table'!F157</f>
        <v>2.35</v>
      </c>
      <c r="Y697" s="456"/>
      <c r="Z697" s="456"/>
      <c r="AA697" s="456"/>
      <c r="AB697" s="456"/>
      <c r="AC697" s="456"/>
      <c r="AD697" s="456"/>
      <c r="AE697" s="456"/>
      <c r="AF697" s="456"/>
      <c r="AG697" s="456"/>
      <c r="AK697" s="802"/>
    </row>
    <row r="698" spans="2:37" ht="75" customHeight="1" outlineLevel="1" x14ac:dyDescent="0.25">
      <c r="D698" s="890" t="s">
        <v>778</v>
      </c>
      <c r="E698" s="918" t="s">
        <v>1451</v>
      </c>
      <c r="F698" s="890"/>
      <c r="G698" s="912">
        <v>8.66</v>
      </c>
      <c r="H698" s="2272" t="s">
        <v>1452</v>
      </c>
      <c r="I698" s="2272"/>
      <c r="J698" s="2285" t="s">
        <v>1429</v>
      </c>
      <c r="K698" s="2285"/>
      <c r="L698" s="2285"/>
      <c r="S698" s="911"/>
      <c r="V698" s="859" t="str">
        <f>D698</f>
        <v>L_base</v>
      </c>
      <c r="W698" s="862">
        <v>8.66</v>
      </c>
      <c r="X698" s="862">
        <v>8.66</v>
      </c>
      <c r="Y698" s="912"/>
      <c r="Z698" s="912"/>
      <c r="AA698" s="912"/>
      <c r="AB698" s="912"/>
      <c r="AC698" s="912"/>
      <c r="AD698" s="912"/>
      <c r="AE698" s="912"/>
      <c r="AF698" s="912"/>
      <c r="AG698" s="912"/>
      <c r="AK698" s="802"/>
    </row>
    <row r="699" spans="2:37" ht="45" customHeight="1" outlineLevel="1" x14ac:dyDescent="0.25">
      <c r="D699" s="890" t="s">
        <v>782</v>
      </c>
      <c r="E699" s="890" t="s">
        <v>816</v>
      </c>
      <c r="F699" s="890"/>
      <c r="G699" s="1039">
        <v>1.35</v>
      </c>
      <c r="H699" s="2080" t="s">
        <v>1804</v>
      </c>
      <c r="I699" s="2080"/>
      <c r="J699" s="2285" t="s">
        <v>1429</v>
      </c>
      <c r="K699" s="2285"/>
      <c r="L699" s="2285"/>
      <c r="S699" s="305"/>
      <c r="V699" s="859" t="str">
        <f>D699</f>
        <v>GPM_low</v>
      </c>
      <c r="W699" s="896">
        <v>2</v>
      </c>
      <c r="X699" s="909">
        <f>X697-1</f>
        <v>1.35</v>
      </c>
      <c r="Y699" s="456"/>
      <c r="Z699" s="456"/>
      <c r="AA699" s="456"/>
      <c r="AB699" s="456"/>
      <c r="AC699" s="456"/>
      <c r="AD699" s="456"/>
      <c r="AE699" s="456"/>
      <c r="AF699" s="456"/>
      <c r="AG699" s="456"/>
      <c r="AK699" s="802"/>
    </row>
    <row r="700" spans="2:37" ht="15" customHeight="1" outlineLevel="1" x14ac:dyDescent="0.25">
      <c r="D700" s="890" t="s">
        <v>784</v>
      </c>
      <c r="E700" s="918" t="s">
        <v>1451</v>
      </c>
      <c r="F700" s="890"/>
      <c r="G700" s="912">
        <v>8.66</v>
      </c>
      <c r="H700" s="2272" t="s">
        <v>1453</v>
      </c>
      <c r="I700" s="2272"/>
      <c r="J700" s="2285" t="s">
        <v>1429</v>
      </c>
      <c r="K700" s="2285"/>
      <c r="L700" s="2285"/>
      <c r="S700" s="911"/>
      <c r="V700" s="859" t="str">
        <f>D700</f>
        <v>L_low</v>
      </c>
      <c r="W700" s="862">
        <v>8.66</v>
      </c>
      <c r="X700" s="862">
        <v>8.66</v>
      </c>
      <c r="Y700" s="912"/>
      <c r="Z700" s="912"/>
      <c r="AA700" s="912"/>
      <c r="AB700" s="912"/>
      <c r="AC700" s="912"/>
      <c r="AD700" s="912"/>
      <c r="AE700" s="912"/>
      <c r="AF700" s="912"/>
      <c r="AG700" s="912"/>
      <c r="AK700" s="802"/>
    </row>
    <row r="701" spans="2:37" outlineLevel="1" x14ac:dyDescent="0.25">
      <c r="D701" s="2279" t="s">
        <v>528</v>
      </c>
      <c r="E701" s="2320" t="s">
        <v>818</v>
      </c>
      <c r="F701" s="890" t="s">
        <v>612</v>
      </c>
      <c r="G701" s="912">
        <v>2.67</v>
      </c>
      <c r="H701" s="2272" t="s">
        <v>1454</v>
      </c>
      <c r="I701" s="2272"/>
      <c r="J701" s="2285" t="s">
        <v>1455</v>
      </c>
      <c r="K701" s="2285"/>
      <c r="L701" s="2285"/>
      <c r="S701" s="911"/>
      <c r="V701" s="2286" t="str">
        <f>D701</f>
        <v>Household</v>
      </c>
      <c r="W701" s="862">
        <v>2.67</v>
      </c>
      <c r="X701" s="862">
        <v>2.67</v>
      </c>
      <c r="Y701" s="912"/>
      <c r="Z701" s="912"/>
      <c r="AA701" s="912"/>
      <c r="AB701" s="912"/>
      <c r="AC701" s="912"/>
      <c r="AD701" s="912"/>
      <c r="AE701" s="912"/>
      <c r="AF701" s="912"/>
      <c r="AG701" s="912"/>
      <c r="AK701" s="802"/>
    </row>
    <row r="702" spans="2:37" ht="15" customHeight="1" outlineLevel="1" x14ac:dyDescent="0.25">
      <c r="D702" s="2280"/>
      <c r="E702" s="2321"/>
      <c r="F702" s="890" t="s">
        <v>614</v>
      </c>
      <c r="G702" s="912">
        <v>1.8640000000000001</v>
      </c>
      <c r="H702" s="2315" t="s">
        <v>1795</v>
      </c>
      <c r="I702" s="2316"/>
      <c r="J702" s="2285" t="s">
        <v>1455</v>
      </c>
      <c r="K702" s="2285"/>
      <c r="L702" s="2285"/>
      <c r="S702" s="911"/>
      <c r="V702" s="2240"/>
      <c r="W702" s="862">
        <v>2.0699999999999998</v>
      </c>
      <c r="X702" s="898">
        <v>1.8640000000000001</v>
      </c>
      <c r="Y702" s="912"/>
      <c r="Z702" s="912"/>
      <c r="AA702" s="912"/>
      <c r="AB702" s="912"/>
      <c r="AC702" s="912"/>
      <c r="AD702" s="912"/>
      <c r="AE702" s="912"/>
      <c r="AF702" s="912"/>
      <c r="AG702" s="912"/>
      <c r="AK702" s="802"/>
    </row>
    <row r="703" spans="2:37" ht="15" customHeight="1" outlineLevel="1" x14ac:dyDescent="0.25">
      <c r="D703" s="890" t="s">
        <v>819</v>
      </c>
      <c r="E703" s="918" t="s">
        <v>1456</v>
      </c>
      <c r="F703" s="890"/>
      <c r="G703" s="912">
        <v>0.66</v>
      </c>
      <c r="H703" s="2272" t="s">
        <v>1452</v>
      </c>
      <c r="I703" s="2272"/>
      <c r="J703" s="2285" t="s">
        <v>1457</v>
      </c>
      <c r="K703" s="2285"/>
      <c r="L703" s="2285"/>
      <c r="S703" s="911"/>
      <c r="V703" s="859" t="str">
        <f>D703</f>
        <v>SPDC</v>
      </c>
      <c r="W703" s="862">
        <v>0.66</v>
      </c>
      <c r="X703" s="862">
        <v>0.66</v>
      </c>
      <c r="Y703" s="912"/>
      <c r="Z703" s="912"/>
      <c r="AA703" s="912"/>
      <c r="AB703" s="912"/>
      <c r="AC703" s="912"/>
      <c r="AD703" s="912"/>
      <c r="AE703" s="912"/>
      <c r="AF703" s="912"/>
      <c r="AG703" s="912"/>
      <c r="AK703" s="802"/>
    </row>
    <row r="704" spans="2:37" ht="15" customHeight="1" outlineLevel="1" x14ac:dyDescent="0.25">
      <c r="D704" s="890">
        <v>365.25</v>
      </c>
      <c r="E704" s="918" t="s">
        <v>1458</v>
      </c>
      <c r="F704" s="890"/>
      <c r="G704" s="912">
        <v>365</v>
      </c>
      <c r="H704" s="2080" t="s">
        <v>760</v>
      </c>
      <c r="I704" s="2080"/>
      <c r="J704" s="2285" t="s">
        <v>1457</v>
      </c>
      <c r="K704" s="2285"/>
      <c r="L704" s="2285"/>
      <c r="S704" s="911"/>
      <c r="V704" s="859">
        <f>D704</f>
        <v>365.25</v>
      </c>
      <c r="W704" s="862">
        <v>365</v>
      </c>
      <c r="X704" s="862">
        <v>365</v>
      </c>
      <c r="Y704" s="912"/>
      <c r="Z704" s="912"/>
      <c r="AA704" s="912"/>
      <c r="AB704" s="912"/>
      <c r="AC704" s="912"/>
      <c r="AD704" s="912"/>
      <c r="AE704" s="912"/>
      <c r="AF704" s="912"/>
      <c r="AG704" s="912"/>
      <c r="AK704" s="802"/>
    </row>
    <row r="705" spans="2:37" outlineLevel="1" x14ac:dyDescent="0.25">
      <c r="D705" s="2279" t="s">
        <v>823</v>
      </c>
      <c r="E705" s="2320" t="s">
        <v>1459</v>
      </c>
      <c r="F705" s="890" t="s">
        <v>612</v>
      </c>
      <c r="G705" s="912">
        <v>2.0499999999999998</v>
      </c>
      <c r="H705" s="2272" t="s">
        <v>1454</v>
      </c>
      <c r="I705" s="2272"/>
      <c r="J705" s="2285" t="s">
        <v>1455</v>
      </c>
      <c r="K705" s="2285"/>
      <c r="L705" s="2285"/>
      <c r="S705" s="911"/>
      <c r="V705" s="2286" t="str">
        <f>D705</f>
        <v>SPH</v>
      </c>
      <c r="W705" s="862">
        <v>2.0499999999999998</v>
      </c>
      <c r="X705" s="862">
        <v>2.0499999999999998</v>
      </c>
      <c r="Y705" s="912"/>
      <c r="Z705" s="912"/>
      <c r="AA705" s="912"/>
      <c r="AB705" s="912"/>
      <c r="AC705" s="912"/>
      <c r="AD705" s="912"/>
      <c r="AE705" s="912"/>
      <c r="AF705" s="912"/>
      <c r="AG705" s="912"/>
      <c r="AK705" s="802"/>
    </row>
    <row r="706" spans="2:37" ht="15" customHeight="1" outlineLevel="1" x14ac:dyDescent="0.25">
      <c r="D706" s="2280"/>
      <c r="E706" s="2321"/>
      <c r="F706" s="890" t="s">
        <v>614</v>
      </c>
      <c r="G706" s="912">
        <v>1</v>
      </c>
      <c r="H706" s="2272" t="s">
        <v>1795</v>
      </c>
      <c r="I706" s="2272"/>
      <c r="J706" s="2285" t="s">
        <v>1455</v>
      </c>
      <c r="K706" s="2285"/>
      <c r="L706" s="2285"/>
      <c r="S706" s="911"/>
      <c r="V706" s="2240"/>
      <c r="W706" s="862">
        <v>1.4</v>
      </c>
      <c r="X706" s="898">
        <v>1</v>
      </c>
      <c r="Y706" s="912"/>
      <c r="Z706" s="912"/>
      <c r="AA706" s="912"/>
      <c r="AB706" s="912"/>
      <c r="AC706" s="912"/>
      <c r="AD706" s="912"/>
      <c r="AE706" s="912"/>
      <c r="AF706" s="912"/>
      <c r="AG706" s="912"/>
      <c r="AK706" s="802"/>
    </row>
    <row r="707" spans="2:37" ht="15" customHeight="1" outlineLevel="1" x14ac:dyDescent="0.25">
      <c r="D707" s="890">
        <v>8.33</v>
      </c>
      <c r="E707" s="918" t="s">
        <v>793</v>
      </c>
      <c r="F707" s="890"/>
      <c r="G707" s="912">
        <v>8.33</v>
      </c>
      <c r="H707" s="2271" t="s">
        <v>794</v>
      </c>
      <c r="I707" s="2271"/>
      <c r="J707" s="2285" t="s">
        <v>1457</v>
      </c>
      <c r="K707" s="2285"/>
      <c r="L707" s="2285"/>
      <c r="S707" s="911"/>
      <c r="V707" s="859">
        <f>D707</f>
        <v>8.33</v>
      </c>
      <c r="W707" s="862">
        <v>8.33</v>
      </c>
      <c r="X707" s="862">
        <v>8.33</v>
      </c>
      <c r="Y707" s="912"/>
      <c r="Z707" s="912"/>
      <c r="AA707" s="912"/>
      <c r="AB707" s="912"/>
      <c r="AC707" s="912"/>
      <c r="AD707" s="912"/>
      <c r="AE707" s="912"/>
      <c r="AF707" s="912"/>
      <c r="AG707" s="912"/>
      <c r="AK707" s="802"/>
    </row>
    <row r="708" spans="2:37" ht="15" customHeight="1" outlineLevel="1" x14ac:dyDescent="0.25">
      <c r="D708" s="890">
        <v>1</v>
      </c>
      <c r="E708" s="918" t="s">
        <v>1460</v>
      </c>
      <c r="F708" s="890"/>
      <c r="G708" s="912">
        <v>1</v>
      </c>
      <c r="H708" s="2080" t="s">
        <v>796</v>
      </c>
      <c r="I708" s="2080"/>
      <c r="J708" s="2285" t="s">
        <v>1457</v>
      </c>
      <c r="K708" s="2285"/>
      <c r="L708" s="2285"/>
      <c r="S708" s="911"/>
      <c r="V708" s="859">
        <f t="shared" ref="V708:V713" si="52">D708</f>
        <v>1</v>
      </c>
      <c r="W708" s="862">
        <v>1</v>
      </c>
      <c r="X708" s="862">
        <v>1</v>
      </c>
      <c r="Y708" s="912"/>
      <c r="Z708" s="912"/>
      <c r="AA708" s="912"/>
      <c r="AB708" s="912"/>
      <c r="AC708" s="912"/>
      <c r="AD708" s="912"/>
      <c r="AE708" s="912"/>
      <c r="AF708" s="912"/>
      <c r="AG708" s="912"/>
      <c r="AK708" s="802"/>
    </row>
    <row r="709" spans="2:37" ht="15" customHeight="1" outlineLevel="1" x14ac:dyDescent="0.25">
      <c r="D709" s="890" t="s">
        <v>825</v>
      </c>
      <c r="E709" s="918" t="s">
        <v>1461</v>
      </c>
      <c r="F709" s="890"/>
      <c r="G709" s="912">
        <v>105</v>
      </c>
      <c r="H709" s="2080" t="s">
        <v>827</v>
      </c>
      <c r="I709" s="2080"/>
      <c r="J709" s="2285" t="s">
        <v>1457</v>
      </c>
      <c r="K709" s="2285"/>
      <c r="L709" s="2285"/>
      <c r="S709" s="911"/>
      <c r="V709" s="859" t="str">
        <f t="shared" si="52"/>
        <v>ShowerTemp</v>
      </c>
      <c r="W709" s="862">
        <v>105</v>
      </c>
      <c r="X709" s="862">
        <v>105</v>
      </c>
      <c r="Y709" s="912"/>
      <c r="Z709" s="912"/>
      <c r="AA709" s="912"/>
      <c r="AB709" s="912"/>
      <c r="AC709" s="912"/>
      <c r="AD709" s="912"/>
      <c r="AE709" s="912"/>
      <c r="AF709" s="912"/>
      <c r="AG709" s="912"/>
      <c r="AK709" s="802"/>
    </row>
    <row r="710" spans="2:37" ht="15" customHeight="1" outlineLevel="1" x14ac:dyDescent="0.25">
      <c r="B710" s="1087"/>
      <c r="D710" s="890" t="s">
        <v>800</v>
      </c>
      <c r="E710" s="918" t="s">
        <v>1442</v>
      </c>
      <c r="F710" s="890"/>
      <c r="G710" s="912">
        <v>61.3</v>
      </c>
      <c r="H710" s="2080" t="s">
        <v>802</v>
      </c>
      <c r="I710" s="2080"/>
      <c r="J710" s="2285" t="s">
        <v>1457</v>
      </c>
      <c r="K710" s="2285"/>
      <c r="L710" s="2285"/>
      <c r="S710" s="911"/>
      <c r="V710" s="859" t="str">
        <f t="shared" si="52"/>
        <v>SupplyTemp</v>
      </c>
      <c r="W710" s="862">
        <v>61.3</v>
      </c>
      <c r="X710" s="862">
        <v>61.3</v>
      </c>
      <c r="Y710" s="912"/>
      <c r="Z710" s="912"/>
      <c r="AA710" s="912"/>
      <c r="AB710" s="912"/>
      <c r="AC710" s="912"/>
      <c r="AD710" s="912"/>
      <c r="AE710" s="912"/>
      <c r="AF710" s="912"/>
      <c r="AG710" s="912"/>
      <c r="AK710" s="802"/>
    </row>
    <row r="711" spans="2:37" ht="15" customHeight="1" outlineLevel="1" x14ac:dyDescent="0.25">
      <c r="B711" s="1087"/>
      <c r="D711" s="890" t="s">
        <v>803</v>
      </c>
      <c r="E711" s="918" t="s">
        <v>1443</v>
      </c>
      <c r="F711" s="890"/>
      <c r="G711" s="912">
        <v>0.98</v>
      </c>
      <c r="H711" s="2272" t="s">
        <v>1444</v>
      </c>
      <c r="I711" s="2272"/>
      <c r="J711" s="2285" t="s">
        <v>1457</v>
      </c>
      <c r="K711" s="2285"/>
      <c r="L711" s="2285"/>
      <c r="S711" s="911"/>
      <c r="V711" s="859" t="str">
        <f t="shared" si="52"/>
        <v>RE_electric</v>
      </c>
      <c r="W711" s="862">
        <v>0.98</v>
      </c>
      <c r="X711" s="862">
        <v>0.98</v>
      </c>
      <c r="Y711" s="912"/>
      <c r="Z711" s="912"/>
      <c r="AA711" s="912"/>
      <c r="AB711" s="912"/>
      <c r="AC711" s="912"/>
      <c r="AD711" s="912"/>
      <c r="AE711" s="912"/>
      <c r="AF711" s="912"/>
      <c r="AG711" s="912"/>
      <c r="AK711" s="802"/>
    </row>
    <row r="712" spans="2:37" ht="15" customHeight="1" outlineLevel="1" x14ac:dyDescent="0.25">
      <c r="B712" s="1087"/>
      <c r="D712" s="890">
        <v>3412</v>
      </c>
      <c r="E712" s="918">
        <v>3413</v>
      </c>
      <c r="F712" s="890"/>
      <c r="G712" s="917">
        <v>3413</v>
      </c>
      <c r="H712" s="2271" t="s">
        <v>546</v>
      </c>
      <c r="I712" s="2271"/>
      <c r="J712" s="2285" t="s">
        <v>1457</v>
      </c>
      <c r="K712" s="2285"/>
      <c r="L712" s="2285"/>
      <c r="S712" s="916"/>
      <c r="V712" s="859">
        <f t="shared" si="52"/>
        <v>3412</v>
      </c>
      <c r="W712" s="915">
        <v>3413</v>
      </c>
      <c r="X712" s="915">
        <v>3413</v>
      </c>
      <c r="Y712" s="917"/>
      <c r="Z712" s="917"/>
      <c r="AA712" s="917"/>
      <c r="AB712" s="917"/>
      <c r="AC712" s="917"/>
      <c r="AD712" s="917"/>
      <c r="AE712" s="917"/>
      <c r="AF712" s="917"/>
      <c r="AG712" s="917"/>
      <c r="AK712" s="802"/>
    </row>
    <row r="713" spans="2:37" ht="15" customHeight="1" outlineLevel="1" x14ac:dyDescent="0.25">
      <c r="B713" s="1087"/>
      <c r="C713" s="305"/>
      <c r="D713" s="890" t="s">
        <v>736</v>
      </c>
      <c r="E713" s="890" t="s">
        <v>769</v>
      </c>
      <c r="F713" s="890"/>
      <c r="G713" s="908">
        <v>1</v>
      </c>
      <c r="H713" s="2271" t="s">
        <v>1367</v>
      </c>
      <c r="I713" s="2271"/>
      <c r="J713" s="2317" t="s">
        <v>1368</v>
      </c>
      <c r="K713" s="2318"/>
      <c r="L713" s="2318"/>
      <c r="S713" s="907"/>
      <c r="V713" s="859" t="str">
        <f t="shared" si="52"/>
        <v>Utility Adjustment</v>
      </c>
      <c r="W713" s="860">
        <v>1</v>
      </c>
      <c r="X713" s="860">
        <v>1</v>
      </c>
      <c r="Y713" s="908"/>
      <c r="Z713" s="908"/>
      <c r="AA713" s="908"/>
      <c r="AB713" s="908"/>
      <c r="AC713" s="908"/>
      <c r="AD713" s="908"/>
      <c r="AE713" s="908"/>
      <c r="AF713" s="908"/>
      <c r="AG713" s="908"/>
      <c r="AK713" s="802"/>
    </row>
    <row r="714" spans="2:37" outlineLevel="1" x14ac:dyDescent="0.25">
      <c r="B714" s="1087"/>
      <c r="C714" s="305"/>
      <c r="D714" s="2080" t="s">
        <v>58</v>
      </c>
      <c r="E714" s="2319" t="s">
        <v>1369</v>
      </c>
      <c r="F714" s="890" t="s">
        <v>1445</v>
      </c>
      <c r="G714" s="912">
        <v>0.91346153846153844</v>
      </c>
      <c r="H714" s="2272" t="s">
        <v>1454</v>
      </c>
      <c r="I714" s="2272"/>
      <c r="J714" s="2285" t="s">
        <v>1457</v>
      </c>
      <c r="K714" s="2285"/>
      <c r="L714" s="2285"/>
      <c r="S714" s="919"/>
      <c r="V714" s="2286" t="str">
        <f>D714</f>
        <v>ISR</v>
      </c>
      <c r="W714" s="862">
        <v>0.91346153846153844</v>
      </c>
      <c r="X714" s="862">
        <v>0.91346153846153844</v>
      </c>
      <c r="Y714" s="912"/>
      <c r="Z714" s="912"/>
      <c r="AA714" s="912"/>
      <c r="AB714" s="912"/>
      <c r="AC714" s="912"/>
      <c r="AD714" s="912"/>
      <c r="AE714" s="912"/>
      <c r="AF714" s="912"/>
      <c r="AG714" s="912"/>
      <c r="AK714" s="802"/>
    </row>
    <row r="715" spans="2:37" ht="15" customHeight="1" outlineLevel="1" x14ac:dyDescent="0.25">
      <c r="B715" s="1087"/>
      <c r="C715" s="305"/>
      <c r="D715" s="2080"/>
      <c r="E715" s="2319"/>
      <c r="F715" s="890" t="s">
        <v>1447</v>
      </c>
      <c r="G715" s="922">
        <v>0.9375</v>
      </c>
      <c r="H715" s="2315" t="s">
        <v>1805</v>
      </c>
      <c r="I715" s="2316"/>
      <c r="J715" s="2285" t="s">
        <v>1457</v>
      </c>
      <c r="K715" s="2285"/>
      <c r="L715" s="2285"/>
      <c r="S715" s="919"/>
      <c r="V715" s="2240"/>
      <c r="W715" s="921">
        <v>0.97699999999999998</v>
      </c>
      <c r="X715" s="920">
        <v>0.9375</v>
      </c>
      <c r="Y715" s="922"/>
      <c r="Z715" s="922"/>
      <c r="AA715" s="922"/>
      <c r="AB715" s="922"/>
      <c r="AC715" s="922"/>
      <c r="AD715" s="922"/>
      <c r="AE715" s="922"/>
      <c r="AF715" s="922"/>
      <c r="AG715" s="922"/>
      <c r="AK715" s="802"/>
    </row>
    <row r="716" spans="2:37" outlineLevel="1" x14ac:dyDescent="0.25">
      <c r="B716" s="1087"/>
      <c r="C716" s="305"/>
      <c r="D716" s="926" t="str">
        <f>D676</f>
        <v>EUL</v>
      </c>
      <c r="E716" s="926" t="str">
        <f>E676</f>
        <v>Effective Useful Life</v>
      </c>
      <c r="F716" s="890" t="s">
        <v>483</v>
      </c>
      <c r="G716" s="1828">
        <v>10</v>
      </c>
      <c r="H716" s="2271"/>
      <c r="I716" s="2271"/>
      <c r="J716" s="2278"/>
      <c r="K716" s="2278"/>
      <c r="L716" s="2278"/>
      <c r="S716" s="907"/>
      <c r="V716" s="859" t="str">
        <f>D716</f>
        <v>EUL</v>
      </c>
      <c r="W716" s="924">
        <v>10</v>
      </c>
      <c r="X716" s="924">
        <v>10</v>
      </c>
      <c r="Y716" s="925"/>
      <c r="Z716" s="925"/>
      <c r="AA716" s="925"/>
      <c r="AB716" s="925"/>
      <c r="AC716" s="925"/>
      <c r="AD716" s="925"/>
      <c r="AE716" s="925"/>
      <c r="AF716" s="925"/>
      <c r="AG716" s="925"/>
      <c r="AK716" s="802"/>
    </row>
    <row r="717" spans="2:37" outlineLevel="1" x14ac:dyDescent="0.25">
      <c r="B717" s="1087"/>
      <c r="C717" s="305"/>
      <c r="D717" s="2248" t="str">
        <f>D677</f>
        <v>Inc. Cost</v>
      </c>
      <c r="E717" s="2248" t="str">
        <f>E677</f>
        <v>Incremental Cost</v>
      </c>
      <c r="F717" s="890" t="s">
        <v>1445</v>
      </c>
      <c r="G717" s="928">
        <v>7</v>
      </c>
      <c r="H717" s="2272"/>
      <c r="I717" s="2272"/>
      <c r="J717" s="2285"/>
      <c r="K717" s="2285"/>
      <c r="L717" s="2285"/>
      <c r="S717" s="919"/>
      <c r="V717" s="2286" t="str">
        <f>D717</f>
        <v>Inc. Cost</v>
      </c>
      <c r="W717" s="927">
        <v>7</v>
      </c>
      <c r="X717" s="927">
        <v>7</v>
      </c>
      <c r="Y717" s="928"/>
      <c r="Z717" s="928"/>
      <c r="AA717" s="928"/>
      <c r="AB717" s="928"/>
      <c r="AC717" s="928"/>
      <c r="AD717" s="928"/>
      <c r="AE717" s="928"/>
      <c r="AF717" s="928"/>
      <c r="AG717" s="928"/>
      <c r="AK717" s="802"/>
    </row>
    <row r="718" spans="2:37" outlineLevel="1" x14ac:dyDescent="0.25">
      <c r="B718" s="1087"/>
      <c r="C718" s="305"/>
      <c r="D718" s="2080"/>
      <c r="E718" s="2080"/>
      <c r="F718" s="890" t="s">
        <v>1447</v>
      </c>
      <c r="G718" s="928">
        <v>7</v>
      </c>
      <c r="H718" s="2272"/>
      <c r="I718" s="2272"/>
      <c r="J718" s="2285"/>
      <c r="K718" s="2285"/>
      <c r="L718" s="2285"/>
      <c r="S718" s="919"/>
      <c r="V718" s="2240"/>
      <c r="W718" s="927">
        <v>7</v>
      </c>
      <c r="X718" s="927">
        <v>7</v>
      </c>
      <c r="Y718" s="928"/>
      <c r="Z718" s="928"/>
      <c r="AA718" s="928"/>
      <c r="AB718" s="928"/>
      <c r="AC718" s="928"/>
      <c r="AD718" s="928"/>
      <c r="AE718" s="928"/>
      <c r="AF718" s="928"/>
      <c r="AG718" s="928"/>
      <c r="AK718" s="802"/>
    </row>
    <row r="719" spans="2:37" ht="15" customHeight="1" x14ac:dyDescent="0.25">
      <c r="B719" s="1087"/>
      <c r="C719" s="1434"/>
      <c r="AK719" s="802"/>
    </row>
    <row r="720" spans="2:37" ht="15" customHeight="1" x14ac:dyDescent="0.25">
      <c r="B720" s="1087"/>
      <c r="C720" s="1434"/>
      <c r="AK720" s="802"/>
    </row>
    <row r="721" spans="1:37" ht="15" customHeight="1" x14ac:dyDescent="0.25">
      <c r="B721" s="2022" t="s">
        <v>828</v>
      </c>
      <c r="C721" s="2023"/>
      <c r="D721" s="2023"/>
      <c r="E721" s="2023"/>
      <c r="F721" s="2023"/>
      <c r="G721" s="2023"/>
      <c r="H721" s="2023"/>
      <c r="I721" s="1992"/>
      <c r="J721" s="1992"/>
      <c r="K721" s="1992"/>
      <c r="L721" s="1992"/>
      <c r="M721" s="1992"/>
      <c r="N721" s="1992"/>
      <c r="O721" s="1992"/>
      <c r="P721" s="1992"/>
      <c r="Q721" s="1992"/>
      <c r="R721" s="1993"/>
      <c r="V721" s="2022" t="str">
        <f>B721</f>
        <v>Pipe Insulation</v>
      </c>
      <c r="W721" s="2023"/>
      <c r="X721" s="2023"/>
      <c r="Y721" s="2023"/>
      <c r="Z721" s="2023"/>
      <c r="AA721" s="2023"/>
      <c r="AB721" s="2023"/>
      <c r="AC721" s="2024"/>
      <c r="AD721" s="2024"/>
      <c r="AE721" s="2024"/>
      <c r="AF721" s="2024"/>
      <c r="AG721" s="2024"/>
      <c r="AH721" s="2024"/>
      <c r="AI721" s="2025"/>
      <c r="AK721" s="802"/>
    </row>
    <row r="722" spans="1:37" ht="15" customHeight="1" x14ac:dyDescent="0.25">
      <c r="A722" s="257"/>
      <c r="B722" s="1087"/>
      <c r="C722" s="1434"/>
      <c r="D722" s="1435"/>
      <c r="E722" s="1435"/>
      <c r="F722" s="1436"/>
      <c r="G722" s="1436"/>
      <c r="H722" s="1436"/>
      <c r="I722" s="1436"/>
      <c r="J722" s="1436"/>
      <c r="K722" s="1436"/>
      <c r="L722" s="1437"/>
      <c r="AK722" s="802"/>
    </row>
    <row r="723" spans="1:37" ht="45" x14ac:dyDescent="0.25">
      <c r="B723" s="1087"/>
      <c r="C723" s="184" t="s">
        <v>16</v>
      </c>
      <c r="D723" s="184" t="s">
        <v>509</v>
      </c>
      <c r="E723" s="184" t="s">
        <v>18</v>
      </c>
      <c r="F723" s="184" t="s">
        <v>1325</v>
      </c>
      <c r="G723" s="184" t="s">
        <v>20</v>
      </c>
      <c r="H723" s="184" t="s">
        <v>21</v>
      </c>
      <c r="I723" s="184" t="s">
        <v>22</v>
      </c>
      <c r="J723" s="184" t="s">
        <v>23</v>
      </c>
      <c r="K723" s="184" t="s">
        <v>24</v>
      </c>
      <c r="L723" s="184" t="s">
        <v>25</v>
      </c>
      <c r="V723" s="48" t="s">
        <v>26</v>
      </c>
      <c r="W723" s="49">
        <f>W$6</f>
        <v>43252</v>
      </c>
      <c r="X723" s="49">
        <f t="shared" ref="X723:AG723" si="53">X$6</f>
        <v>43465</v>
      </c>
      <c r="Y723" s="49" t="str">
        <f t="shared" si="53"/>
        <v>-</v>
      </c>
      <c r="Z723" s="49" t="str">
        <f t="shared" si="53"/>
        <v>-</v>
      </c>
      <c r="AA723" s="49" t="str">
        <f t="shared" si="53"/>
        <v>-</v>
      </c>
      <c r="AB723" s="49" t="str">
        <f t="shared" si="53"/>
        <v>-</v>
      </c>
      <c r="AC723" s="49" t="str">
        <f t="shared" si="53"/>
        <v>-</v>
      </c>
      <c r="AD723" s="49" t="str">
        <f t="shared" si="53"/>
        <v>-</v>
      </c>
      <c r="AE723" s="49" t="str">
        <f t="shared" si="53"/>
        <v>-</v>
      </c>
      <c r="AF723" s="49" t="str">
        <f t="shared" si="53"/>
        <v>-</v>
      </c>
      <c r="AG723" s="49" t="str">
        <f t="shared" si="53"/>
        <v>-</v>
      </c>
      <c r="AK723" s="802"/>
    </row>
    <row r="724" spans="1:37" ht="15" customHeight="1" x14ac:dyDescent="0.25">
      <c r="B724" s="1087"/>
      <c r="C724" s="1438"/>
      <c r="D724" s="158" t="s">
        <v>1246</v>
      </c>
      <c r="E724" s="899" t="s">
        <v>1462</v>
      </c>
      <c r="F724" s="498">
        <f>((((F732/F733)-(F734/F735))*F736*F737*F738)/(F739*F740))*F741*F742*F743</f>
        <v>4.4836485277384011</v>
      </c>
      <c r="G724" s="420" t="s">
        <v>1425</v>
      </c>
      <c r="H724" s="418">
        <f>VLOOKUP(G724,'CP FACTORS'!$A$3:$B$38, 2, FALSE)</f>
        <v>8.8731800000000003E-5</v>
      </c>
      <c r="I724" s="929">
        <f>H724*F724</f>
        <v>3.9784220443357828E-4</v>
      </c>
      <c r="J724" s="930">
        <f>$F$746</f>
        <v>12</v>
      </c>
      <c r="K724" s="526">
        <f>F747</f>
        <v>7.1</v>
      </c>
      <c r="L724" s="1438" t="s">
        <v>829</v>
      </c>
      <c r="R724" s="1413"/>
      <c r="V724" s="176" t="str">
        <f>F723</f>
        <v>kWh
Annual Savings</v>
      </c>
      <c r="W724" s="1022">
        <v>16.471996316343358</v>
      </c>
      <c r="X724" s="1207">
        <v>4.4836485277384011</v>
      </c>
      <c r="Y724" s="176"/>
      <c r="Z724" s="176"/>
      <c r="AA724" s="176"/>
      <c r="AB724" s="176"/>
      <c r="AC724" s="176"/>
      <c r="AD724" s="176"/>
      <c r="AE724" s="176"/>
      <c r="AF724" s="176"/>
      <c r="AG724" s="176"/>
      <c r="AK724" s="802"/>
    </row>
    <row r="725" spans="1:37" ht="15" customHeight="1" x14ac:dyDescent="0.25">
      <c r="B725" s="1087"/>
      <c r="C725" s="1438"/>
      <c r="D725" s="158" t="s">
        <v>1426</v>
      </c>
      <c r="E725" s="899" t="s">
        <v>1463</v>
      </c>
      <c r="F725" s="498">
        <f>((((F732/F733)-(F734/F735))*F736*F737*F738)/(F739*F740))*F741*F742*F743</f>
        <v>4.4836485277384011</v>
      </c>
      <c r="G725" s="420" t="s">
        <v>1425</v>
      </c>
      <c r="H725" s="418">
        <f>VLOOKUP(G725,'CP FACTORS'!$A$3:$B$38, 2, FALSE)</f>
        <v>8.8731800000000003E-5</v>
      </c>
      <c r="I725" s="929">
        <f>H725*F725</f>
        <v>3.9784220443357828E-4</v>
      </c>
      <c r="J725" s="930">
        <f>$F$746</f>
        <v>12</v>
      </c>
      <c r="K725" s="526">
        <f>$F$748</f>
        <v>7.1</v>
      </c>
      <c r="L725" s="1438" t="s">
        <v>829</v>
      </c>
      <c r="R725" s="1413"/>
      <c r="V725" s="176" t="str">
        <f>V724</f>
        <v>kWh
Annual Savings</v>
      </c>
      <c r="W725" s="1022">
        <v>16.471996316343358</v>
      </c>
      <c r="X725" s="1207">
        <v>4.4836485277384011</v>
      </c>
      <c r="Y725" s="176"/>
      <c r="Z725" s="176"/>
      <c r="AA725" s="176"/>
      <c r="AB725" s="176"/>
      <c r="AC725" s="176"/>
      <c r="AD725" s="176"/>
      <c r="AE725" s="176"/>
      <c r="AF725" s="176"/>
      <c r="AG725" s="176"/>
      <c r="AK725" s="802"/>
    </row>
    <row r="726" spans="1:37" ht="15" customHeight="1" x14ac:dyDescent="0.25">
      <c r="B726" s="1087"/>
      <c r="C726" s="1438"/>
      <c r="D726" s="158" t="s">
        <v>1427</v>
      </c>
      <c r="E726" s="899" t="s">
        <v>1464</v>
      </c>
      <c r="F726" s="498">
        <f>((((F732/F733)-(F734/F735))*F736*F737*F738)/(F739*F740))*F741*F742*F743</f>
        <v>4.4836485277384011</v>
      </c>
      <c r="G726" s="420" t="s">
        <v>1425</v>
      </c>
      <c r="H726" s="418">
        <f>VLOOKUP(G726,'CP FACTORS'!$A$3:$B$38, 2, FALSE)</f>
        <v>8.8731800000000003E-5</v>
      </c>
      <c r="I726" s="929">
        <f>H726*F726</f>
        <v>3.9784220443357828E-4</v>
      </c>
      <c r="J726" s="930">
        <f>$F$746</f>
        <v>12</v>
      </c>
      <c r="K726" s="526">
        <f>$F$748</f>
        <v>7.1</v>
      </c>
      <c r="L726" s="1438" t="s">
        <v>829</v>
      </c>
      <c r="R726" s="1413"/>
      <c r="V726" s="176" t="str">
        <f>V725</f>
        <v>kWh
Annual Savings</v>
      </c>
      <c r="W726" s="1022">
        <v>16.471996316343358</v>
      </c>
      <c r="X726" s="1207">
        <v>4.4836485277384011</v>
      </c>
      <c r="Y726" s="176"/>
      <c r="Z726" s="176"/>
      <c r="AA726" s="176"/>
      <c r="AB726" s="176"/>
      <c r="AC726" s="176"/>
      <c r="AD726" s="176"/>
      <c r="AE726" s="176"/>
      <c r="AF726" s="176"/>
      <c r="AG726" s="176"/>
      <c r="AK726" s="802"/>
    </row>
    <row r="727" spans="1:37" ht="15" customHeight="1" outlineLevel="1" x14ac:dyDescent="0.25">
      <c r="B727" s="1087"/>
      <c r="C727" s="1447"/>
      <c r="D727" s="1608"/>
      <c r="E727" s="1608"/>
      <c r="F727" s="1551"/>
      <c r="G727" s="1551"/>
      <c r="H727" s="1551"/>
      <c r="I727" s="1551"/>
      <c r="J727" s="1551"/>
      <c r="V727"/>
      <c r="W727" s="56"/>
      <c r="X727"/>
      <c r="Y727"/>
      <c r="Z727"/>
      <c r="AA727"/>
      <c r="AB727"/>
      <c r="AC727"/>
      <c r="AD727"/>
      <c r="AE727"/>
      <c r="AF727"/>
      <c r="AG727"/>
      <c r="AK727" s="802"/>
    </row>
    <row r="728" spans="1:37" ht="15" customHeight="1" outlineLevel="1" x14ac:dyDescent="0.25">
      <c r="B728" s="1087"/>
      <c r="C728" s="1447"/>
      <c r="D728" s="1418" t="s">
        <v>463</v>
      </c>
      <c r="E728" s="1804"/>
      <c r="F728" s="1805"/>
      <c r="G728" s="1805"/>
      <c r="H728" s="1551"/>
      <c r="I728" s="1551"/>
      <c r="J728" s="1551"/>
      <c r="V728"/>
      <c r="W728"/>
      <c r="X728"/>
      <c r="Y728"/>
      <c r="Z728"/>
      <c r="AA728"/>
      <c r="AB728"/>
      <c r="AC728"/>
      <c r="AD728"/>
      <c r="AE728"/>
      <c r="AF728"/>
      <c r="AG728"/>
      <c r="AK728" s="802"/>
    </row>
    <row r="729" spans="1:37" ht="38.25" customHeight="1" outlineLevel="1" x14ac:dyDescent="0.25">
      <c r="B729" s="1087"/>
      <c r="C729" s="1454"/>
      <c r="D729" s="1806"/>
      <c r="E729" s="1807"/>
      <c r="F729" s="1808"/>
      <c r="G729" s="1808"/>
      <c r="H729" s="1808"/>
      <c r="I729" s="1808"/>
      <c r="J729" s="1808"/>
      <c r="V729"/>
      <c r="W729"/>
      <c r="X729"/>
      <c r="Y729"/>
      <c r="Z729"/>
      <c r="AA729"/>
      <c r="AB729"/>
      <c r="AC729"/>
      <c r="AD729"/>
      <c r="AE729"/>
      <c r="AF729"/>
      <c r="AG729"/>
      <c r="AK729" s="802"/>
    </row>
    <row r="730" spans="1:37" outlineLevel="1" x14ac:dyDescent="0.25">
      <c r="B730" s="1087"/>
      <c r="C730" s="1454"/>
      <c r="D730" s="1715"/>
      <c r="E730" s="1716"/>
      <c r="F730" s="1717"/>
      <c r="G730" s="1810"/>
      <c r="H730" s="1810"/>
      <c r="I730" s="1810"/>
      <c r="J730" s="1810"/>
      <c r="V730"/>
      <c r="W730"/>
      <c r="X730"/>
      <c r="Y730"/>
      <c r="Z730"/>
      <c r="AA730"/>
      <c r="AB730"/>
      <c r="AC730"/>
      <c r="AD730"/>
      <c r="AE730"/>
      <c r="AF730"/>
      <c r="AG730"/>
      <c r="AK730" s="802"/>
    </row>
    <row r="731" spans="1:37" outlineLevel="1" x14ac:dyDescent="0.25">
      <c r="B731" s="1087"/>
      <c r="C731" s="1434"/>
      <c r="D731" s="1098" t="s">
        <v>465</v>
      </c>
      <c r="E731" s="1098" t="s">
        <v>466</v>
      </c>
      <c r="F731" s="604" t="s">
        <v>467</v>
      </c>
      <c r="G731" s="2075" t="s">
        <v>515</v>
      </c>
      <c r="H731" s="2076"/>
      <c r="I731" s="2075" t="s">
        <v>468</v>
      </c>
      <c r="J731" s="2081"/>
      <c r="K731" s="2076"/>
      <c r="V731" s="48" t="s">
        <v>26</v>
      </c>
      <c r="W731" s="49">
        <f>W$6</f>
        <v>43252</v>
      </c>
      <c r="X731" s="49">
        <f t="shared" ref="X731:AG731" si="54">X$6</f>
        <v>43465</v>
      </c>
      <c r="Y731" s="49" t="str">
        <f t="shared" si="54"/>
        <v>-</v>
      </c>
      <c r="Z731" s="49" t="str">
        <f t="shared" si="54"/>
        <v>-</v>
      </c>
      <c r="AA731" s="49" t="str">
        <f t="shared" si="54"/>
        <v>-</v>
      </c>
      <c r="AB731" s="49" t="str">
        <f t="shared" si="54"/>
        <v>-</v>
      </c>
      <c r="AC731" s="49" t="str">
        <f t="shared" si="54"/>
        <v>-</v>
      </c>
      <c r="AD731" s="49" t="str">
        <f t="shared" si="54"/>
        <v>-</v>
      </c>
      <c r="AE731" s="49" t="str">
        <f t="shared" si="54"/>
        <v>-</v>
      </c>
      <c r="AF731" s="49" t="str">
        <f t="shared" si="54"/>
        <v>-</v>
      </c>
      <c r="AG731" s="49" t="str">
        <f t="shared" si="54"/>
        <v>-</v>
      </c>
      <c r="AK731" s="802"/>
    </row>
    <row r="732" spans="1:37" ht="48.75" customHeight="1" outlineLevel="1" x14ac:dyDescent="0.25">
      <c r="B732" s="1087"/>
      <c r="C732" s="1454"/>
      <c r="D732" s="1829" t="s">
        <v>1906</v>
      </c>
      <c r="E732" s="1830" t="s">
        <v>1465</v>
      </c>
      <c r="F732" s="495">
        <f>(PI()*F744)/12</f>
        <v>0.14398966328953219</v>
      </c>
      <c r="G732" s="2313" t="s">
        <v>1795</v>
      </c>
      <c r="H732" s="2314"/>
      <c r="I732" s="2308" t="s">
        <v>1466</v>
      </c>
      <c r="J732" s="2309"/>
      <c r="K732" s="2310"/>
      <c r="P732" s="932"/>
      <c r="Q732" s="252"/>
      <c r="R732" s="252"/>
      <c r="S732" s="252"/>
      <c r="T732" s="252"/>
      <c r="U732" s="252"/>
      <c r="V732" s="931" t="str">
        <f>D732</f>
        <v>CBase</v>
      </c>
      <c r="W732" s="494">
        <f>(PI()*W744)/12</f>
        <v>0.19634954084936207</v>
      </c>
      <c r="X732" s="933">
        <f>(PI()*X744)/12</f>
        <v>0.14398966328953219</v>
      </c>
      <c r="Y732" s="494"/>
      <c r="Z732" s="494"/>
      <c r="AA732" s="494"/>
      <c r="AB732" s="494"/>
      <c r="AC732" s="494"/>
      <c r="AD732" s="494"/>
      <c r="AE732" s="494"/>
      <c r="AF732" s="494"/>
      <c r="AG732" s="494"/>
      <c r="AK732" s="802"/>
    </row>
    <row r="733" spans="1:37" ht="18" customHeight="1" outlineLevel="1" x14ac:dyDescent="0.25">
      <c r="B733" s="1087"/>
      <c r="C733" s="1454"/>
      <c r="D733" s="1829" t="s">
        <v>1907</v>
      </c>
      <c r="E733" s="1831" t="s">
        <v>1467</v>
      </c>
      <c r="F733" s="934">
        <v>1</v>
      </c>
      <c r="G733" s="2313" t="s">
        <v>1795</v>
      </c>
      <c r="H733" s="2314"/>
      <c r="I733" s="2308" t="s">
        <v>1354</v>
      </c>
      <c r="J733" s="2309"/>
      <c r="K733" s="2310"/>
      <c r="P733" s="932"/>
      <c r="Q733" s="252"/>
      <c r="R733" s="252"/>
      <c r="S733" s="252"/>
      <c r="T733" s="252"/>
      <c r="U733" s="252"/>
      <c r="V733" s="931" t="str">
        <f>D733</f>
        <v>RBase</v>
      </c>
      <c r="W733" s="935">
        <v>1</v>
      </c>
      <c r="X733" s="934">
        <v>1</v>
      </c>
      <c r="Y733" s="935"/>
      <c r="Z733" s="935"/>
      <c r="AA733" s="935"/>
      <c r="AB733" s="935"/>
      <c r="AC733" s="935"/>
      <c r="AD733" s="935"/>
      <c r="AE733" s="935"/>
      <c r="AF733" s="935"/>
      <c r="AG733" s="935"/>
      <c r="AK733" s="802"/>
    </row>
    <row r="734" spans="1:37" ht="75" customHeight="1" outlineLevel="1" x14ac:dyDescent="0.25">
      <c r="B734" s="1087"/>
      <c r="C734" s="1454"/>
      <c r="D734" s="1829" t="s">
        <v>1908</v>
      </c>
      <c r="E734" s="1831" t="s">
        <v>836</v>
      </c>
      <c r="F734" s="936">
        <f>(PI()*(F744+(2*F745))/12)</f>
        <v>0.40578905108868163</v>
      </c>
      <c r="G734" s="2311" t="s">
        <v>837</v>
      </c>
      <c r="H734" s="2312"/>
      <c r="I734" s="2308" t="s">
        <v>838</v>
      </c>
      <c r="J734" s="2309"/>
      <c r="K734" s="2310"/>
      <c r="P734" s="932"/>
      <c r="Q734" s="252"/>
      <c r="R734" s="252"/>
      <c r="S734" s="252"/>
      <c r="T734" s="252"/>
      <c r="U734" s="252"/>
      <c r="V734" s="931" t="str">
        <f>D734</f>
        <v>CEE</v>
      </c>
      <c r="W734" s="937">
        <f>(PI()*(W744+(2*W745))/12)</f>
        <v>0.45814892864851148</v>
      </c>
      <c r="X734" s="938">
        <f>(PI()*(X744+(2*X745))/12)</f>
        <v>0.40578905108868163</v>
      </c>
      <c r="Y734" s="937"/>
      <c r="Z734" s="937"/>
      <c r="AA734" s="937"/>
      <c r="AB734" s="937"/>
      <c r="AC734" s="937"/>
      <c r="AD734" s="937"/>
      <c r="AE734" s="937"/>
      <c r="AF734" s="937"/>
      <c r="AG734" s="937"/>
      <c r="AK734" s="802"/>
    </row>
    <row r="735" spans="1:37" ht="18" customHeight="1" outlineLevel="1" x14ac:dyDescent="0.25">
      <c r="B735" s="1087"/>
      <c r="C735" s="1454"/>
      <c r="D735" s="1829" t="s">
        <v>1909</v>
      </c>
      <c r="E735" s="1831" t="s">
        <v>840</v>
      </c>
      <c r="F735" s="499">
        <v>3.6</v>
      </c>
      <c r="G735" s="2306" t="s">
        <v>1468</v>
      </c>
      <c r="H735" s="2307"/>
      <c r="I735" s="2308" t="s">
        <v>1354</v>
      </c>
      <c r="J735" s="2309"/>
      <c r="K735" s="2310"/>
      <c r="P735" s="932"/>
      <c r="Q735" s="252"/>
      <c r="R735" s="252"/>
      <c r="S735" s="252"/>
      <c r="T735" s="252"/>
      <c r="U735" s="252"/>
      <c r="V735" s="931" t="str">
        <f>D735</f>
        <v>REE</v>
      </c>
      <c r="W735" s="499">
        <f>4+1</f>
        <v>5</v>
      </c>
      <c r="X735" s="499">
        <v>3.6</v>
      </c>
      <c r="Y735" s="499"/>
      <c r="Z735" s="499"/>
      <c r="AA735" s="499"/>
      <c r="AB735" s="499"/>
      <c r="AC735" s="499"/>
      <c r="AD735" s="499"/>
      <c r="AE735" s="499"/>
      <c r="AF735" s="499"/>
      <c r="AG735" s="499"/>
      <c r="AK735" s="802"/>
    </row>
    <row r="736" spans="1:37" ht="66.75" customHeight="1" outlineLevel="1" x14ac:dyDescent="0.25">
      <c r="B736" s="1087"/>
      <c r="C736" s="1454"/>
      <c r="D736" s="1832" t="s">
        <v>842</v>
      </c>
      <c r="E736" s="1831" t="s">
        <v>1469</v>
      </c>
      <c r="F736" s="934">
        <v>1</v>
      </c>
      <c r="G736" s="2311" t="s">
        <v>844</v>
      </c>
      <c r="H736" s="2312"/>
      <c r="I736" s="2308" t="s">
        <v>1354</v>
      </c>
      <c r="J736" s="2309"/>
      <c r="K736" s="2310"/>
      <c r="P736" s="932"/>
      <c r="Q736" s="252"/>
      <c r="R736" s="252"/>
      <c r="S736" s="252"/>
      <c r="T736" s="252"/>
      <c r="U736" s="252"/>
      <c r="V736" s="931" t="str">
        <f>D736</f>
        <v>L</v>
      </c>
      <c r="W736" s="935">
        <v>1</v>
      </c>
      <c r="X736" s="934">
        <v>1</v>
      </c>
      <c r="Y736" s="935"/>
      <c r="Z736" s="935"/>
      <c r="AA736" s="935"/>
      <c r="AB736" s="935"/>
      <c r="AC736" s="935"/>
      <c r="AD736" s="935"/>
      <c r="AE736" s="935"/>
      <c r="AF736" s="935"/>
      <c r="AG736" s="935"/>
      <c r="AK736" s="802"/>
    </row>
    <row r="737" spans="2:37" ht="45" customHeight="1" outlineLevel="1" x14ac:dyDescent="0.25">
      <c r="B737" s="1087"/>
      <c r="C737" s="1454"/>
      <c r="D737" s="939" t="s">
        <v>1470</v>
      </c>
      <c r="E737" s="940" t="s">
        <v>846</v>
      </c>
      <c r="F737" s="502">
        <v>58.9</v>
      </c>
      <c r="G737" s="2313" t="s">
        <v>1795</v>
      </c>
      <c r="H737" s="2314"/>
      <c r="I737" s="2298" t="s">
        <v>1354</v>
      </c>
      <c r="J737" s="2231"/>
      <c r="K737" s="2232"/>
      <c r="P737" s="932"/>
      <c r="Q737" s="252"/>
      <c r="R737" s="252"/>
      <c r="S737" s="252"/>
      <c r="T737" s="252"/>
      <c r="U737" s="252"/>
      <c r="V737" s="931" t="str">
        <f t="shared" ref="V737:V747" si="55">D737</f>
        <v>DT</v>
      </c>
      <c r="W737" s="502">
        <v>60</v>
      </c>
      <c r="X737" s="941">
        <v>58.9</v>
      </c>
      <c r="Y737" s="502"/>
      <c r="Z737" s="502"/>
      <c r="AA737" s="502"/>
      <c r="AB737" s="502"/>
      <c r="AC737" s="502"/>
      <c r="AD737" s="502"/>
      <c r="AE737" s="502"/>
      <c r="AF737" s="502"/>
      <c r="AG737" s="502"/>
      <c r="AK737" s="802"/>
    </row>
    <row r="738" spans="2:37" ht="60" customHeight="1" outlineLevel="1" x14ac:dyDescent="0.25">
      <c r="B738" s="1087"/>
      <c r="C738" s="1454"/>
      <c r="D738" s="939" t="s">
        <v>65</v>
      </c>
      <c r="E738" s="940" t="s">
        <v>848</v>
      </c>
      <c r="F738" s="52">
        <v>8766</v>
      </c>
      <c r="G738" s="2304" t="s">
        <v>834</v>
      </c>
      <c r="H738" s="2305"/>
      <c r="I738" s="2298" t="s">
        <v>1354</v>
      </c>
      <c r="J738" s="2231"/>
      <c r="K738" s="2232"/>
      <c r="P738" s="932"/>
      <c r="Q738" s="252"/>
      <c r="R738" s="252"/>
      <c r="S738" s="252"/>
      <c r="T738" s="252"/>
      <c r="U738" s="252"/>
      <c r="V738" s="931" t="str">
        <f t="shared" si="55"/>
        <v>Hours</v>
      </c>
      <c r="W738" s="52">
        <v>8766</v>
      </c>
      <c r="X738" s="52">
        <v>8766</v>
      </c>
      <c r="Y738" s="52"/>
      <c r="Z738" s="52"/>
      <c r="AA738" s="52"/>
      <c r="AB738" s="52"/>
      <c r="AC738" s="52"/>
      <c r="AD738" s="52"/>
      <c r="AE738" s="52"/>
      <c r="AF738" s="52"/>
      <c r="AG738" s="52"/>
      <c r="AK738" s="802"/>
    </row>
    <row r="739" spans="2:37" ht="45" customHeight="1" outlineLevel="1" x14ac:dyDescent="0.25">
      <c r="B739" s="1087"/>
      <c r="C739" s="1454"/>
      <c r="D739" s="939" t="s">
        <v>1471</v>
      </c>
      <c r="E739" s="940" t="s">
        <v>850</v>
      </c>
      <c r="F739" s="934">
        <v>0.98</v>
      </c>
      <c r="G739" s="2296" t="s">
        <v>1472</v>
      </c>
      <c r="H739" s="2297"/>
      <c r="I739" s="2298" t="s">
        <v>1354</v>
      </c>
      <c r="J739" s="2231"/>
      <c r="K739" s="2232"/>
      <c r="P739" s="932"/>
      <c r="Q739" s="252"/>
      <c r="R739" s="252"/>
      <c r="S739" s="252"/>
      <c r="T739" s="252"/>
      <c r="U739" s="252"/>
      <c r="V739" s="931" t="str">
        <f t="shared" si="55"/>
        <v>ȠDHWElec</v>
      </c>
      <c r="W739" s="935">
        <v>0.98</v>
      </c>
      <c r="X739" s="934">
        <v>0.98</v>
      </c>
      <c r="Y739" s="935"/>
      <c r="Z739" s="935"/>
      <c r="AA739" s="935"/>
      <c r="AB739" s="935"/>
      <c r="AC739" s="935"/>
      <c r="AD739" s="935"/>
      <c r="AE739" s="935"/>
      <c r="AF739" s="935"/>
      <c r="AG739" s="935"/>
      <c r="AK739" s="802"/>
    </row>
    <row r="740" spans="2:37" ht="27" customHeight="1" outlineLevel="1" x14ac:dyDescent="0.25">
      <c r="B740" s="1087"/>
      <c r="C740" s="1454"/>
      <c r="D740" s="939">
        <v>3412</v>
      </c>
      <c r="E740" s="942" t="s">
        <v>851</v>
      </c>
      <c r="F740" s="506">
        <v>3412</v>
      </c>
      <c r="G740" s="2304" t="s">
        <v>834</v>
      </c>
      <c r="H740" s="2305"/>
      <c r="I740" s="2298" t="s">
        <v>1354</v>
      </c>
      <c r="J740" s="2231"/>
      <c r="K740" s="2232"/>
      <c r="P740" s="932"/>
      <c r="Q740" s="252"/>
      <c r="R740" s="252"/>
      <c r="S740" s="252"/>
      <c r="T740" s="252"/>
      <c r="U740" s="252"/>
      <c r="V740" s="931">
        <f t="shared" si="55"/>
        <v>3412</v>
      </c>
      <c r="W740" s="506">
        <v>3412</v>
      </c>
      <c r="X740" s="506">
        <v>3412</v>
      </c>
      <c r="Y740" s="506"/>
      <c r="Z740" s="506"/>
      <c r="AA740" s="506"/>
      <c r="AB740" s="506"/>
      <c r="AC740" s="506"/>
      <c r="AD740" s="506"/>
      <c r="AE740" s="506"/>
      <c r="AF740" s="506"/>
      <c r="AG740" s="506"/>
      <c r="AK740" s="802"/>
    </row>
    <row r="741" spans="2:37" ht="30" customHeight="1" outlineLevel="1" x14ac:dyDescent="0.25">
      <c r="B741" s="1087"/>
      <c r="C741" s="1454"/>
      <c r="D741" s="890" t="s">
        <v>852</v>
      </c>
      <c r="E741" s="890" t="s">
        <v>774</v>
      </c>
      <c r="F741" s="908">
        <v>1</v>
      </c>
      <c r="G741" s="2299" t="s">
        <v>1367</v>
      </c>
      <c r="H741" s="2300"/>
      <c r="I741" s="2301" t="s">
        <v>1368</v>
      </c>
      <c r="J741" s="2302"/>
      <c r="K741" s="2303"/>
      <c r="P741" s="932"/>
      <c r="Q741" s="252"/>
      <c r="R741" s="252"/>
      <c r="S741" s="252"/>
      <c r="T741" s="252"/>
      <c r="U741" s="252"/>
      <c r="V741" s="931" t="str">
        <f t="shared" si="55"/>
        <v>*Electric Saturation</v>
      </c>
      <c r="W741" s="943">
        <v>1</v>
      </c>
      <c r="X741" s="908">
        <v>1</v>
      </c>
      <c r="Y741" s="943"/>
      <c r="Z741" s="943"/>
      <c r="AA741" s="943"/>
      <c r="AB741" s="943"/>
      <c r="AC741" s="943"/>
      <c r="AD741" s="943"/>
      <c r="AE741" s="943"/>
      <c r="AF741" s="943"/>
      <c r="AG741" s="943"/>
      <c r="AK741" s="802"/>
    </row>
    <row r="742" spans="2:37" ht="30" customHeight="1" outlineLevel="1" x14ac:dyDescent="0.25">
      <c r="B742" s="1087"/>
      <c r="C742" s="1454"/>
      <c r="D742" s="890" t="s">
        <v>736</v>
      </c>
      <c r="E742" s="890" t="s">
        <v>769</v>
      </c>
      <c r="F742" s="908">
        <v>1</v>
      </c>
      <c r="G742" s="2299" t="s">
        <v>1367</v>
      </c>
      <c r="H742" s="2300"/>
      <c r="I742" s="2301" t="s">
        <v>1368</v>
      </c>
      <c r="J742" s="2302"/>
      <c r="K742" s="2303"/>
      <c r="P742" s="932"/>
      <c r="Q742" s="252"/>
      <c r="R742" s="252"/>
      <c r="S742" s="252"/>
      <c r="T742" s="252"/>
      <c r="U742" s="252"/>
      <c r="V742" s="931" t="str">
        <f t="shared" si="55"/>
        <v>Utility Adjustment</v>
      </c>
      <c r="W742" s="943">
        <v>1</v>
      </c>
      <c r="X742" s="908">
        <v>1</v>
      </c>
      <c r="Y742" s="943"/>
      <c r="Z742" s="943"/>
      <c r="AA742" s="943"/>
      <c r="AB742" s="943"/>
      <c r="AC742" s="943"/>
      <c r="AD742" s="943"/>
      <c r="AE742" s="943"/>
      <c r="AF742" s="943"/>
      <c r="AG742" s="943"/>
      <c r="AK742" s="802"/>
    </row>
    <row r="743" spans="2:37" ht="15" customHeight="1" outlineLevel="1" x14ac:dyDescent="0.25">
      <c r="B743" s="1087"/>
      <c r="C743" s="1454"/>
      <c r="D743" s="286" t="s">
        <v>58</v>
      </c>
      <c r="E743" s="942" t="s">
        <v>1369</v>
      </c>
      <c r="F743" s="944">
        <v>0.92857142857142905</v>
      </c>
      <c r="G743" s="2296" t="s">
        <v>1806</v>
      </c>
      <c r="H743" s="2297"/>
      <c r="I743" s="2298" t="s">
        <v>1354</v>
      </c>
      <c r="J743" s="2231"/>
      <c r="K743" s="2232"/>
      <c r="P743" s="932"/>
      <c r="Q743" s="252"/>
      <c r="R743" s="252"/>
      <c r="S743" s="252"/>
      <c r="T743" s="252"/>
      <c r="U743" s="252"/>
      <c r="V743" s="931" t="str">
        <f t="shared" si="55"/>
        <v>ISR</v>
      </c>
      <c r="W743" s="945">
        <v>1</v>
      </c>
      <c r="X743" s="944">
        <v>0.92857142857142905</v>
      </c>
      <c r="Y743" s="945"/>
      <c r="Z743" s="945"/>
      <c r="AA743" s="945"/>
      <c r="AB743" s="945"/>
      <c r="AC743" s="945"/>
      <c r="AD743" s="945"/>
      <c r="AE743" s="945"/>
      <c r="AF743" s="945"/>
      <c r="AG743" s="945"/>
      <c r="AK743" s="802"/>
    </row>
    <row r="744" spans="2:37" ht="15" customHeight="1" outlineLevel="1" x14ac:dyDescent="0.25">
      <c r="B744" s="1087"/>
      <c r="C744" s="1434"/>
      <c r="D744" s="286" t="s">
        <v>1473</v>
      </c>
      <c r="E744" s="268" t="s">
        <v>854</v>
      </c>
      <c r="F744" s="944">
        <v>0.55000000000000004</v>
      </c>
      <c r="G744" s="2296"/>
      <c r="H744" s="2297"/>
      <c r="I744" s="2298"/>
      <c r="J744" s="2231"/>
      <c r="K744" s="2232"/>
      <c r="P744" s="932"/>
      <c r="Q744" s="252"/>
      <c r="R744" s="252"/>
      <c r="S744" s="252"/>
      <c r="T744" s="252"/>
      <c r="U744" s="252"/>
      <c r="V744" s="931" t="str">
        <f t="shared" si="55"/>
        <v>Pipe Diameter</v>
      </c>
      <c r="W744" s="945">
        <v>0.75</v>
      </c>
      <c r="X744" s="946">
        <v>0.55000000000000004</v>
      </c>
      <c r="Y744" s="945"/>
      <c r="Z744" s="945"/>
      <c r="AA744" s="945"/>
      <c r="AB744" s="945"/>
      <c r="AC744" s="945"/>
      <c r="AD744" s="945"/>
      <c r="AE744" s="945"/>
      <c r="AF744" s="945"/>
      <c r="AG744" s="945"/>
      <c r="AK744" s="802"/>
    </row>
    <row r="745" spans="2:37" ht="15" customHeight="1" outlineLevel="1" x14ac:dyDescent="0.25">
      <c r="B745" s="1087"/>
      <c r="C745" s="1434"/>
      <c r="D745" s="890" t="s">
        <v>856</v>
      </c>
      <c r="E745" s="890" t="s">
        <v>856</v>
      </c>
      <c r="F745" s="513">
        <v>0.5</v>
      </c>
      <c r="G745" s="2296"/>
      <c r="H745" s="2297"/>
      <c r="I745" s="2298"/>
      <c r="J745" s="2231"/>
      <c r="K745" s="2232"/>
      <c r="P745" s="932"/>
      <c r="Q745" s="252"/>
      <c r="R745" s="252"/>
      <c r="S745" s="252"/>
      <c r="T745" s="252"/>
      <c r="U745" s="252"/>
      <c r="V745" s="931" t="str">
        <f t="shared" si="55"/>
        <v>Pipe wrap width</v>
      </c>
      <c r="W745" s="945">
        <v>0.5</v>
      </c>
      <c r="X745" s="513">
        <v>0.5</v>
      </c>
      <c r="Y745" s="945"/>
      <c r="Z745" s="945"/>
      <c r="AA745" s="945"/>
      <c r="AB745" s="945"/>
      <c r="AC745" s="945"/>
      <c r="AD745" s="945"/>
      <c r="AE745" s="945"/>
      <c r="AF745" s="945"/>
      <c r="AG745" s="945"/>
      <c r="AK745" s="802"/>
    </row>
    <row r="746" spans="2:37" outlineLevel="1" x14ac:dyDescent="0.25">
      <c r="B746" s="1087"/>
      <c r="C746" s="305"/>
      <c r="D746" s="926" t="str">
        <f>D716</f>
        <v>EUL</v>
      </c>
      <c r="E746" s="926" t="s">
        <v>1474</v>
      </c>
      <c r="F746" s="1833">
        <v>12</v>
      </c>
      <c r="G746" s="2296"/>
      <c r="H746" s="2297"/>
      <c r="I746" s="2298"/>
      <c r="J746" s="2231"/>
      <c r="K746" s="2232"/>
      <c r="P746" s="932"/>
      <c r="Q746" s="252"/>
      <c r="R746" s="252"/>
      <c r="S746" s="252"/>
      <c r="T746" s="252"/>
      <c r="U746" s="252"/>
      <c r="V746" s="931" t="str">
        <f t="shared" si="55"/>
        <v>EUL</v>
      </c>
      <c r="W746" s="924">
        <v>12</v>
      </c>
      <c r="X746" s="863">
        <v>12</v>
      </c>
      <c r="Y746" s="925"/>
      <c r="Z746" s="925"/>
      <c r="AA746" s="925"/>
      <c r="AB746" s="925"/>
      <c r="AC746" s="925"/>
      <c r="AD746" s="925"/>
      <c r="AE746" s="925"/>
      <c r="AF746" s="925"/>
      <c r="AG746" s="925"/>
      <c r="AK746" s="802"/>
    </row>
    <row r="747" spans="2:37" outlineLevel="1" x14ac:dyDescent="0.25">
      <c r="B747" s="1087"/>
      <c r="C747" s="305"/>
      <c r="D747" s="2248" t="str">
        <f>D717</f>
        <v>Inc. Cost</v>
      </c>
      <c r="E747" s="890" t="s">
        <v>1475</v>
      </c>
      <c r="F747" s="1834">
        <v>7.1</v>
      </c>
      <c r="G747" s="2296"/>
      <c r="H747" s="2297"/>
      <c r="I747" s="2298"/>
      <c r="J747" s="2231"/>
      <c r="K747" s="2232"/>
      <c r="P747" s="932"/>
      <c r="Q747" s="252"/>
      <c r="R747" s="252"/>
      <c r="S747" s="252"/>
      <c r="T747" s="252"/>
      <c r="U747" s="252"/>
      <c r="V747" s="2239" t="str">
        <f t="shared" si="55"/>
        <v>Inc. Cost</v>
      </c>
      <c r="W747" s="927">
        <v>7.1</v>
      </c>
      <c r="X747" s="947">
        <v>7.1</v>
      </c>
      <c r="Y747" s="928"/>
      <c r="Z747" s="928"/>
      <c r="AA747" s="928"/>
      <c r="AB747" s="928"/>
      <c r="AC747" s="928"/>
      <c r="AD747" s="928"/>
      <c r="AE747" s="928"/>
      <c r="AF747" s="928"/>
      <c r="AG747" s="928"/>
      <c r="AK747" s="802"/>
    </row>
    <row r="748" spans="2:37" outlineLevel="1" x14ac:dyDescent="0.25">
      <c r="B748" s="1087"/>
      <c r="C748" s="305"/>
      <c r="D748" s="2080"/>
      <c r="E748" s="890" t="s">
        <v>1476</v>
      </c>
      <c r="F748" s="1834">
        <v>7.1</v>
      </c>
      <c r="G748" s="2296"/>
      <c r="H748" s="2297"/>
      <c r="I748" s="2298"/>
      <c r="J748" s="2231"/>
      <c r="K748" s="2232"/>
      <c r="P748" s="252"/>
      <c r="Q748" s="252"/>
      <c r="R748" s="252"/>
      <c r="S748" s="252"/>
      <c r="T748" s="252"/>
      <c r="U748" s="252"/>
      <c r="V748" s="2240"/>
      <c r="W748" s="927">
        <v>7.1</v>
      </c>
      <c r="X748" s="947">
        <v>7.1</v>
      </c>
      <c r="Y748" s="928"/>
      <c r="Z748" s="928"/>
      <c r="AA748" s="928"/>
      <c r="AB748" s="928"/>
      <c r="AC748" s="928"/>
      <c r="AD748" s="928"/>
      <c r="AE748" s="928"/>
      <c r="AF748" s="928"/>
      <c r="AG748" s="928"/>
      <c r="AK748" s="802"/>
    </row>
    <row r="749" spans="2:37" ht="15" customHeight="1" x14ac:dyDescent="0.25">
      <c r="B749" s="1087"/>
      <c r="C749" s="1434"/>
      <c r="D749" s="1458"/>
      <c r="AK749" s="802"/>
    </row>
    <row r="750" spans="2:37" ht="15" customHeight="1" x14ac:dyDescent="0.25">
      <c r="B750" s="1087"/>
      <c r="C750" s="1434"/>
      <c r="F750" s="1452"/>
      <c r="G750" s="1452"/>
      <c r="AK750" s="802"/>
    </row>
    <row r="751" spans="2:37" x14ac:dyDescent="0.25">
      <c r="B751" s="2022" t="s">
        <v>1477</v>
      </c>
      <c r="C751" s="2023"/>
      <c r="D751" s="2023"/>
      <c r="E751" s="2023"/>
      <c r="F751" s="2023"/>
      <c r="G751" s="2023"/>
      <c r="H751" s="2023"/>
      <c r="I751" s="1992"/>
      <c r="J751" s="1992"/>
      <c r="K751" s="1992"/>
      <c r="L751" s="1992"/>
      <c r="M751" s="1992"/>
      <c r="N751" s="1992"/>
      <c r="O751" s="1992"/>
      <c r="P751" s="1992"/>
      <c r="Q751" s="1992"/>
      <c r="R751" s="1993"/>
      <c r="V751" s="2022" t="str">
        <f>B751</f>
        <v>Programmable Thermostat</v>
      </c>
      <c r="W751" s="2023"/>
      <c r="X751" s="2023"/>
      <c r="Y751" s="2023"/>
      <c r="Z751" s="2023"/>
      <c r="AA751" s="2023"/>
      <c r="AB751" s="2023"/>
      <c r="AC751" s="2024"/>
      <c r="AD751" s="2024"/>
      <c r="AE751" s="2024"/>
      <c r="AF751" s="2024"/>
      <c r="AG751" s="2024"/>
      <c r="AH751" s="2024"/>
      <c r="AI751" s="2025"/>
      <c r="AK751" s="802"/>
    </row>
    <row r="752" spans="2:37" x14ac:dyDescent="0.25">
      <c r="B752" s="1087"/>
      <c r="C752" s="1434"/>
      <c r="D752" s="1435"/>
      <c r="E752" s="1435"/>
      <c r="F752" s="1436"/>
      <c r="G752" s="1436"/>
      <c r="H752" s="1436"/>
      <c r="I752" s="1436"/>
      <c r="J752" s="1436"/>
      <c r="K752" s="1436"/>
      <c r="L752" s="1437"/>
      <c r="AK752" s="802"/>
    </row>
    <row r="753" spans="2:37" ht="45" x14ac:dyDescent="0.25">
      <c r="B753" s="1087"/>
      <c r="C753" s="184" t="s">
        <v>16</v>
      </c>
      <c r="D753" s="184" t="s">
        <v>509</v>
      </c>
      <c r="E753" s="184" t="s">
        <v>18</v>
      </c>
      <c r="F753" s="184" t="s">
        <v>19</v>
      </c>
      <c r="G753" s="184" t="s">
        <v>20</v>
      </c>
      <c r="H753" s="184" t="s">
        <v>21</v>
      </c>
      <c r="I753" s="184" t="s">
        <v>22</v>
      </c>
      <c r="J753" s="448" t="s">
        <v>23</v>
      </c>
      <c r="K753" s="184" t="s">
        <v>24</v>
      </c>
      <c r="L753" s="184" t="s">
        <v>25</v>
      </c>
      <c r="V753" s="48" t="s">
        <v>26</v>
      </c>
      <c r="W753" s="49">
        <f>W$6</f>
        <v>43252</v>
      </c>
      <c r="X753" s="49">
        <f t="shared" ref="X753:AG753" si="56">X$6</f>
        <v>43465</v>
      </c>
      <c r="Y753" s="49" t="str">
        <f t="shared" si="56"/>
        <v>-</v>
      </c>
      <c r="Z753" s="49" t="str">
        <f t="shared" si="56"/>
        <v>-</v>
      </c>
      <c r="AA753" s="49" t="str">
        <f t="shared" si="56"/>
        <v>-</v>
      </c>
      <c r="AB753" s="49" t="str">
        <f t="shared" si="56"/>
        <v>-</v>
      </c>
      <c r="AC753" s="49" t="str">
        <f t="shared" si="56"/>
        <v>-</v>
      </c>
      <c r="AD753" s="49" t="str">
        <f t="shared" si="56"/>
        <v>-</v>
      </c>
      <c r="AE753" s="49" t="str">
        <f t="shared" si="56"/>
        <v>-</v>
      </c>
      <c r="AF753" s="49" t="str">
        <f t="shared" si="56"/>
        <v>-</v>
      </c>
      <c r="AG753" s="49" t="str">
        <f t="shared" si="56"/>
        <v>-</v>
      </c>
      <c r="AK753" s="802"/>
    </row>
    <row r="754" spans="2:37" x14ac:dyDescent="0.25">
      <c r="B754" s="1087"/>
      <c r="C754" s="1531"/>
      <c r="D754" s="1066" t="s">
        <v>1246</v>
      </c>
      <c r="E754" s="1726" t="s">
        <v>1478</v>
      </c>
      <c r="F754" s="1062">
        <f>F780*F788*1/F$796*F$797*F$798*F$799/1000</f>
        <v>439.92233999999996</v>
      </c>
      <c r="G754" s="1531" t="s">
        <v>578</v>
      </c>
      <c r="H754" s="170">
        <f>VLOOKUP(G754,'CP FACTORS'!$A$3:$B$38, 2, FALSE)</f>
        <v>9.4741810000000004E-4</v>
      </c>
      <c r="I754" s="1835">
        <f t="shared" ref="I754:I769" si="57">H754*F754</f>
        <v>0.41679038751035397</v>
      </c>
      <c r="J754" s="525">
        <f>$F$835</f>
        <v>10</v>
      </c>
      <c r="K754" s="526">
        <f>$F$836</f>
        <v>70</v>
      </c>
      <c r="L754" s="1531" t="s">
        <v>31</v>
      </c>
      <c r="R754" s="1413"/>
      <c r="V754" s="176" t="str">
        <f>F753</f>
        <v>kWh Annual Savings</v>
      </c>
      <c r="W754" s="1022">
        <v>102.44464690909089</v>
      </c>
      <c r="X754" s="1194">
        <v>439.92233999999996</v>
      </c>
      <c r="Y754" s="176"/>
      <c r="Z754" s="176"/>
      <c r="AA754" s="176"/>
      <c r="AB754" s="176"/>
      <c r="AC754" s="176"/>
      <c r="AD754" s="176"/>
      <c r="AE754" s="176"/>
      <c r="AF754" s="176"/>
      <c r="AG754" s="176"/>
      <c r="AK754" s="802"/>
    </row>
    <row r="755" spans="2:37" x14ac:dyDescent="0.25">
      <c r="B755" s="1087"/>
      <c r="C755" s="1531"/>
      <c r="D755" s="1066" t="s">
        <v>1246</v>
      </c>
      <c r="E755" s="1787" t="s">
        <v>1478</v>
      </c>
      <c r="F755" s="1062">
        <f>F800*F808*F816*(1/F824)*F$832*F$833*F$834/1000</f>
        <v>48.891023999999994</v>
      </c>
      <c r="G755" s="1531" t="s">
        <v>579</v>
      </c>
      <c r="H755" s="170">
        <f>VLOOKUP(G755,'CP FACTORS'!$A$3:$B$38, 2, FALSE)</f>
        <v>0</v>
      </c>
      <c r="I755" s="1835">
        <f t="shared" si="57"/>
        <v>0</v>
      </c>
      <c r="J755" s="525">
        <f t="shared" ref="J755:J769" si="58">$F$835</f>
        <v>10</v>
      </c>
      <c r="K755" s="526">
        <v>0</v>
      </c>
      <c r="L755" s="1531" t="s">
        <v>31</v>
      </c>
      <c r="R755" s="1413"/>
      <c r="V755" s="176" t="str">
        <f>V754</f>
        <v>kWh Annual Savings</v>
      </c>
      <c r="W755" s="1022">
        <v>338.97776639999995</v>
      </c>
      <c r="X755" s="1194">
        <v>48.891023999999994</v>
      </c>
      <c r="Y755" s="176"/>
      <c r="Z755" s="176"/>
      <c r="AA755" s="176"/>
      <c r="AB755" s="176"/>
      <c r="AC755" s="176"/>
      <c r="AD755" s="176"/>
      <c r="AE755" s="176"/>
      <c r="AF755" s="176"/>
      <c r="AG755" s="176"/>
      <c r="AK755" s="802"/>
    </row>
    <row r="756" spans="2:37" x14ac:dyDescent="0.25">
      <c r="B756" s="1087"/>
      <c r="C756" s="1531"/>
      <c r="D756" s="1066" t="s">
        <v>1250</v>
      </c>
      <c r="E756" s="1726" t="s">
        <v>1479</v>
      </c>
      <c r="F756" s="1062">
        <f>F781*F789*1/F$796*F$797*F$798*F$799/1000</f>
        <v>750.57839999999999</v>
      </c>
      <c r="G756" s="1531" t="s">
        <v>578</v>
      </c>
      <c r="H756" s="170">
        <f>VLOOKUP(G756,'CP FACTORS'!$A$3:$B$38, 2, FALSE)</f>
        <v>9.4741810000000004E-4</v>
      </c>
      <c r="I756" s="1835">
        <f t="shared" si="57"/>
        <v>0.71111156162903999</v>
      </c>
      <c r="J756" s="525">
        <f t="shared" si="58"/>
        <v>10</v>
      </c>
      <c r="K756" s="526">
        <f>$F$836</f>
        <v>70</v>
      </c>
      <c r="L756" s="1531" t="s">
        <v>31</v>
      </c>
      <c r="R756" s="1413"/>
      <c r="V756" s="176" t="str">
        <f t="shared" ref="V756:V769" si="59">V755</f>
        <v>kWh Annual Savings</v>
      </c>
      <c r="W756" s="1022">
        <v>157.60714909090908</v>
      </c>
      <c r="X756" s="1194">
        <v>750.57839999999999</v>
      </c>
      <c r="Y756" s="176"/>
      <c r="Z756" s="176"/>
      <c r="AA756" s="176"/>
      <c r="AB756" s="176"/>
      <c r="AC756" s="176"/>
      <c r="AD756" s="176"/>
      <c r="AE756" s="176"/>
      <c r="AF756" s="176"/>
      <c r="AG756" s="176"/>
      <c r="AK756" s="802"/>
    </row>
    <row r="757" spans="2:37" x14ac:dyDescent="0.25">
      <c r="B757" s="1087"/>
      <c r="C757" s="1531"/>
      <c r="D757" s="1066" t="s">
        <v>1250</v>
      </c>
      <c r="E757" s="1787" t="s">
        <v>1479</v>
      </c>
      <c r="F757" s="1062">
        <f>F801*F809*F817*(1/F825)*F$832*F$833*F$834/1000</f>
        <v>135.59110655999999</v>
      </c>
      <c r="G757" s="1531" t="s">
        <v>579</v>
      </c>
      <c r="H757" s="170">
        <f>VLOOKUP(G757,'CP FACTORS'!$A$3:$B$38, 2, FALSE)</f>
        <v>0</v>
      </c>
      <c r="I757" s="1835">
        <f t="shared" si="57"/>
        <v>0</v>
      </c>
      <c r="J757" s="525">
        <f t="shared" si="58"/>
        <v>10</v>
      </c>
      <c r="K757" s="526">
        <v>0</v>
      </c>
      <c r="L757" s="1531" t="s">
        <v>31</v>
      </c>
      <c r="R757" s="1413"/>
      <c r="V757" s="176" t="str">
        <f t="shared" si="59"/>
        <v>kWh Annual Savings</v>
      </c>
      <c r="W757" s="1022">
        <v>521.50425599999994</v>
      </c>
      <c r="X757" s="1194">
        <v>135.59110655999999</v>
      </c>
      <c r="Y757" s="176"/>
      <c r="Z757" s="176"/>
      <c r="AA757" s="176"/>
      <c r="AB757" s="176"/>
      <c r="AC757" s="176"/>
      <c r="AD757" s="176"/>
      <c r="AE757" s="176"/>
      <c r="AF757" s="176"/>
      <c r="AG757" s="176"/>
      <c r="AK757" s="802"/>
    </row>
    <row r="758" spans="2:37" x14ac:dyDescent="0.25">
      <c r="B758" s="1087"/>
      <c r="C758" s="1531"/>
      <c r="D758" s="1066" t="s">
        <v>1246</v>
      </c>
      <c r="E758" s="1726" t="s">
        <v>1480</v>
      </c>
      <c r="F758" s="1062">
        <f>F782*F790*1/F$796*F$797*F$798*F$799/1000</f>
        <v>439.92233999999996</v>
      </c>
      <c r="G758" s="1531" t="s">
        <v>578</v>
      </c>
      <c r="H758" s="170">
        <f>VLOOKUP(G758,'CP FACTORS'!$A$3:$B$38, 2, FALSE)</f>
        <v>9.4741810000000004E-4</v>
      </c>
      <c r="I758" s="1835">
        <f t="shared" si="57"/>
        <v>0.41679038751035397</v>
      </c>
      <c r="J758" s="525">
        <f t="shared" si="58"/>
        <v>10</v>
      </c>
      <c r="K758" s="526">
        <f>$F$836</f>
        <v>70</v>
      </c>
      <c r="L758" s="1531" t="s">
        <v>31</v>
      </c>
      <c r="R758" s="1413"/>
      <c r="V758" s="176" t="str">
        <f t="shared" si="59"/>
        <v>kWh Annual Savings</v>
      </c>
      <c r="W758" s="1022">
        <v>102.44464690909089</v>
      </c>
      <c r="X758" s="1194">
        <v>439.92233999999996</v>
      </c>
      <c r="Y758" s="176"/>
      <c r="Z758" s="176"/>
      <c r="AA758" s="176"/>
      <c r="AB758" s="176"/>
      <c r="AC758" s="176"/>
      <c r="AD758" s="176"/>
      <c r="AE758" s="176"/>
      <c r="AF758" s="176"/>
      <c r="AG758" s="176"/>
      <c r="AK758" s="802"/>
    </row>
    <row r="759" spans="2:37" x14ac:dyDescent="0.25">
      <c r="B759" s="1087"/>
      <c r="C759" s="1531"/>
      <c r="D759" s="1066" t="s">
        <v>1246</v>
      </c>
      <c r="E759" s="1787" t="s">
        <v>1480</v>
      </c>
      <c r="F759" s="1062">
        <f>F802*F810*F818*(1/F826)*F$832*F$833*F$834/1000</f>
        <v>100.36280586510264</v>
      </c>
      <c r="G759" s="1531" t="s">
        <v>579</v>
      </c>
      <c r="H759" s="170">
        <f>VLOOKUP(G759,'CP FACTORS'!$A$3:$B$38, 2, FALSE)</f>
        <v>0</v>
      </c>
      <c r="I759" s="1835">
        <f t="shared" si="57"/>
        <v>0</v>
      </c>
      <c r="J759" s="525">
        <f t="shared" si="58"/>
        <v>10</v>
      </c>
      <c r="K759" s="526">
        <v>0</v>
      </c>
      <c r="L759" s="1531" t="s">
        <v>31</v>
      </c>
      <c r="R759" s="1413"/>
      <c r="V759" s="176" t="str">
        <f t="shared" si="59"/>
        <v>kWh Annual Savings</v>
      </c>
      <c r="W759" s="1022">
        <v>576.26220288000002</v>
      </c>
      <c r="X759" s="1194">
        <v>100.36280586510264</v>
      </c>
      <c r="Y759" s="176"/>
      <c r="Z759" s="176"/>
      <c r="AA759" s="176"/>
      <c r="AB759" s="176"/>
      <c r="AC759" s="176"/>
      <c r="AD759" s="176"/>
      <c r="AE759" s="176"/>
      <c r="AF759" s="176"/>
      <c r="AG759" s="176"/>
      <c r="AK759" s="802"/>
    </row>
    <row r="760" spans="2:37" x14ac:dyDescent="0.25">
      <c r="B760" s="1087"/>
      <c r="C760" s="1531"/>
      <c r="D760" s="1066" t="s">
        <v>1250</v>
      </c>
      <c r="E760" s="1726" t="s">
        <v>1481</v>
      </c>
      <c r="F760" s="1062">
        <f>F783*F791*1/F$796*F$797*F$798*F$799/1000</f>
        <v>750.57839999999999</v>
      </c>
      <c r="G760" s="1531" t="s">
        <v>578</v>
      </c>
      <c r="H760" s="170">
        <f>VLOOKUP(G760,'CP FACTORS'!$A$3:$B$38, 2, FALSE)</f>
        <v>9.4741810000000004E-4</v>
      </c>
      <c r="I760" s="1835">
        <f t="shared" si="57"/>
        <v>0.71111156162903999</v>
      </c>
      <c r="J760" s="525">
        <f t="shared" si="58"/>
        <v>10</v>
      </c>
      <c r="K760" s="526">
        <f>$F$836</f>
        <v>70</v>
      </c>
      <c r="L760" s="1531" t="s">
        <v>31</v>
      </c>
      <c r="R760" s="1413"/>
      <c r="V760" s="176" t="str">
        <f t="shared" si="59"/>
        <v>kWh Annual Savings</v>
      </c>
      <c r="W760" s="1022">
        <v>157.60714909090908</v>
      </c>
      <c r="X760" s="1194">
        <v>750.57839999999999</v>
      </c>
      <c r="Y760" s="176"/>
      <c r="Z760" s="176"/>
      <c r="AA760" s="176"/>
      <c r="AB760" s="176"/>
      <c r="AC760" s="176"/>
      <c r="AD760" s="176"/>
      <c r="AE760" s="176"/>
      <c r="AF760" s="176"/>
      <c r="AG760" s="176"/>
      <c r="AK760" s="802"/>
    </row>
    <row r="761" spans="2:37" x14ac:dyDescent="0.25">
      <c r="B761" s="1087"/>
      <c r="C761" s="1531"/>
      <c r="D761" s="1066" t="s">
        <v>1250</v>
      </c>
      <c r="E761" s="1787" t="s">
        <v>1481</v>
      </c>
      <c r="F761" s="1062">
        <f>F803*F811*F819*(1/F827)*F$832*F$833*F$834/1000</f>
        <v>230.64007463068151</v>
      </c>
      <c r="G761" s="1531" t="s">
        <v>579</v>
      </c>
      <c r="H761" s="170">
        <f>VLOOKUP(G761,'CP FACTORS'!$A$3:$B$38, 2, FALSE)</f>
        <v>0</v>
      </c>
      <c r="I761" s="1835">
        <f t="shared" si="57"/>
        <v>0</v>
      </c>
      <c r="J761" s="525">
        <f t="shared" si="58"/>
        <v>10</v>
      </c>
      <c r="K761" s="526">
        <v>0</v>
      </c>
      <c r="L761" s="1531" t="s">
        <v>31</v>
      </c>
      <c r="R761" s="1413"/>
      <c r="V761" s="176" t="str">
        <f t="shared" si="59"/>
        <v>kWh Annual Savings</v>
      </c>
      <c r="W761" s="1022">
        <v>886.55723520000015</v>
      </c>
      <c r="X761" s="1194">
        <v>230.64007463068151</v>
      </c>
      <c r="Y761" s="176"/>
      <c r="Z761" s="176"/>
      <c r="AA761" s="176"/>
      <c r="AB761" s="176"/>
      <c r="AC761" s="176"/>
      <c r="AD761" s="176"/>
      <c r="AE761" s="176"/>
      <c r="AF761" s="176"/>
      <c r="AG761" s="176"/>
      <c r="AK761" s="802"/>
    </row>
    <row r="762" spans="2:37" x14ac:dyDescent="0.25">
      <c r="B762" s="1087"/>
      <c r="C762" s="1531"/>
      <c r="D762" s="1066" t="s">
        <v>1246</v>
      </c>
      <c r="E762" s="1726" t="s">
        <v>1482</v>
      </c>
      <c r="F762" s="1062">
        <f>F784*F792*1/F$796*F$797*F$798*F$799/1000</f>
        <v>439.92233999999996</v>
      </c>
      <c r="G762" s="1531" t="s">
        <v>578</v>
      </c>
      <c r="H762" s="170">
        <f>VLOOKUP(G762,'CP FACTORS'!$A$3:$B$38, 2, FALSE)</f>
        <v>9.4741810000000004E-4</v>
      </c>
      <c r="I762" s="1835">
        <f t="shared" si="57"/>
        <v>0.41679038751035397</v>
      </c>
      <c r="J762" s="525">
        <f t="shared" si="58"/>
        <v>10</v>
      </c>
      <c r="K762" s="526">
        <f>$F$836</f>
        <v>70</v>
      </c>
      <c r="L762" s="1531" t="s">
        <v>31</v>
      </c>
      <c r="R762" s="1413"/>
      <c r="V762" s="176" t="str">
        <f t="shared" si="59"/>
        <v>kWh Annual Savings</v>
      </c>
      <c r="W762" s="1022">
        <v>102.44464690909089</v>
      </c>
      <c r="X762" s="1194">
        <v>439.92233999999996</v>
      </c>
      <c r="Y762" s="176"/>
      <c r="Z762" s="176"/>
      <c r="AA762" s="176"/>
      <c r="AB762" s="176"/>
      <c r="AC762" s="176"/>
      <c r="AD762" s="176"/>
      <c r="AE762" s="176"/>
      <c r="AF762" s="176"/>
      <c r="AG762" s="176"/>
      <c r="AK762" s="802"/>
    </row>
    <row r="763" spans="2:37" x14ac:dyDescent="0.25">
      <c r="B763" s="1087"/>
      <c r="C763" s="1531"/>
      <c r="D763" s="1066" t="s">
        <v>1246</v>
      </c>
      <c r="E763" s="1787" t="s">
        <v>1482</v>
      </c>
      <c r="F763" s="1062">
        <v>0</v>
      </c>
      <c r="G763" s="1531" t="s">
        <v>579</v>
      </c>
      <c r="H763" s="170">
        <f>VLOOKUP(G763,'CP FACTORS'!$A$3:$B$38, 2, FALSE)</f>
        <v>0</v>
      </c>
      <c r="I763" s="1835">
        <f t="shared" si="57"/>
        <v>0</v>
      </c>
      <c r="J763" s="525">
        <f t="shared" si="58"/>
        <v>10</v>
      </c>
      <c r="K763" s="526">
        <v>0</v>
      </c>
      <c r="L763" s="1531" t="s">
        <v>31</v>
      </c>
      <c r="R763" s="1413"/>
      <c r="V763" s="176" t="str">
        <f t="shared" si="59"/>
        <v>kWh Annual Savings</v>
      </c>
      <c r="W763" s="1022">
        <v>0</v>
      </c>
      <c r="X763" s="1194">
        <v>0</v>
      </c>
      <c r="Y763" s="176"/>
      <c r="Z763" s="176"/>
      <c r="AA763" s="176"/>
      <c r="AB763" s="176"/>
      <c r="AC763" s="176"/>
      <c r="AD763" s="176"/>
      <c r="AE763" s="176"/>
      <c r="AF763" s="176"/>
      <c r="AG763" s="176"/>
      <c r="AK763" s="802"/>
    </row>
    <row r="764" spans="2:37" x14ac:dyDescent="0.25">
      <c r="B764" s="1087"/>
      <c r="C764" s="1531"/>
      <c r="D764" s="1066" t="s">
        <v>1250</v>
      </c>
      <c r="E764" s="1726" t="s">
        <v>1483</v>
      </c>
      <c r="F764" s="1062">
        <f>F785*F793*1/F$796*F$797*F$798*F$799/1000</f>
        <v>750.57839999999999</v>
      </c>
      <c r="G764" s="1531" t="s">
        <v>578</v>
      </c>
      <c r="H764" s="170">
        <f>VLOOKUP(G764,'CP FACTORS'!$A$3:$B$38, 2, FALSE)</f>
        <v>9.4741810000000004E-4</v>
      </c>
      <c r="I764" s="1835">
        <f t="shared" si="57"/>
        <v>0.71111156162903999</v>
      </c>
      <c r="J764" s="525">
        <f t="shared" si="58"/>
        <v>10</v>
      </c>
      <c r="K764" s="526">
        <f>$F$836</f>
        <v>70</v>
      </c>
      <c r="L764" s="1531" t="s">
        <v>31</v>
      </c>
      <c r="R764" s="1413"/>
      <c r="V764" s="176" t="str">
        <f t="shared" si="59"/>
        <v>kWh Annual Savings</v>
      </c>
      <c r="W764" s="1022">
        <v>157.60714909090908</v>
      </c>
      <c r="X764" s="1194">
        <v>750.57839999999999</v>
      </c>
      <c r="Y764" s="176"/>
      <c r="Z764" s="176"/>
      <c r="AA764" s="176"/>
      <c r="AB764" s="176"/>
      <c r="AC764" s="176"/>
      <c r="AD764" s="176"/>
      <c r="AE764" s="176"/>
      <c r="AF764" s="176"/>
      <c r="AG764" s="176"/>
      <c r="AK764" s="802"/>
    </row>
    <row r="765" spans="2:37" x14ac:dyDescent="0.25">
      <c r="B765" s="1087"/>
      <c r="C765" s="1531"/>
      <c r="D765" s="1066" t="s">
        <v>1250</v>
      </c>
      <c r="E765" s="1787" t="s">
        <v>1483</v>
      </c>
      <c r="F765" s="1062">
        <v>0</v>
      </c>
      <c r="G765" s="1531" t="s">
        <v>579</v>
      </c>
      <c r="H765" s="170">
        <f>VLOOKUP(G765,'CP FACTORS'!$A$3:$B$38, 2, FALSE)</f>
        <v>0</v>
      </c>
      <c r="I765" s="1835">
        <f t="shared" si="57"/>
        <v>0</v>
      </c>
      <c r="J765" s="525">
        <f t="shared" si="58"/>
        <v>10</v>
      </c>
      <c r="K765" s="526">
        <v>0</v>
      </c>
      <c r="L765" s="1531" t="s">
        <v>31</v>
      </c>
      <c r="R765" s="1413"/>
      <c r="V765" s="176" t="str">
        <f t="shared" si="59"/>
        <v>kWh Annual Savings</v>
      </c>
      <c r="W765" s="1022">
        <v>0</v>
      </c>
      <c r="X765" s="1194">
        <v>0</v>
      </c>
      <c r="Y765" s="176"/>
      <c r="Z765" s="176"/>
      <c r="AA765" s="176"/>
      <c r="AB765" s="176"/>
      <c r="AC765" s="176"/>
      <c r="AD765" s="176"/>
      <c r="AE765" s="176"/>
      <c r="AF765" s="176"/>
      <c r="AG765" s="176"/>
      <c r="AK765" s="802"/>
    </row>
    <row r="766" spans="2:37" x14ac:dyDescent="0.25">
      <c r="B766" s="1087"/>
      <c r="C766" s="1531"/>
      <c r="D766" s="1066" t="s">
        <v>1246</v>
      </c>
      <c r="E766" s="1726" t="s">
        <v>1484</v>
      </c>
      <c r="F766" s="1062">
        <f>F786*F794*1/F$796*F$797*F$798*F$799/1000</f>
        <v>439.92233999999996</v>
      </c>
      <c r="G766" s="1531" t="s">
        <v>578</v>
      </c>
      <c r="H766" s="170">
        <f>VLOOKUP(G766,'CP FACTORS'!$A$3:$B$38, 2, FALSE)</f>
        <v>9.4741810000000004E-4</v>
      </c>
      <c r="I766" s="1835">
        <f t="shared" si="57"/>
        <v>0.41679038751035397</v>
      </c>
      <c r="J766" s="525">
        <f t="shared" si="58"/>
        <v>10</v>
      </c>
      <c r="K766" s="526">
        <f>$F$836</f>
        <v>70</v>
      </c>
      <c r="L766" s="1531" t="s">
        <v>31</v>
      </c>
      <c r="R766" s="1413"/>
      <c r="V766" s="176" t="str">
        <f t="shared" si="59"/>
        <v>kWh Annual Savings</v>
      </c>
      <c r="W766" s="1022">
        <v>102.44464690909089</v>
      </c>
      <c r="X766" s="1194">
        <v>439.92233999999996</v>
      </c>
      <c r="Y766" s="176"/>
      <c r="Z766" s="176"/>
      <c r="AA766" s="176"/>
      <c r="AB766" s="176"/>
      <c r="AC766" s="176"/>
      <c r="AD766" s="176"/>
      <c r="AE766" s="176"/>
      <c r="AF766" s="176"/>
      <c r="AG766" s="176"/>
      <c r="AK766" s="802"/>
    </row>
    <row r="767" spans="2:37" x14ac:dyDescent="0.25">
      <c r="B767" s="1087"/>
      <c r="C767" s="1531"/>
      <c r="D767" s="1066" t="s">
        <v>1246</v>
      </c>
      <c r="E767" s="1787" t="s">
        <v>1484</v>
      </c>
      <c r="F767" s="1062">
        <f>F806*F814*F822*(1/F830)*F$832*F$833*F$834/1000</f>
        <v>24.940157257477999</v>
      </c>
      <c r="G767" s="1531" t="s">
        <v>579</v>
      </c>
      <c r="H767" s="170">
        <f>VLOOKUP(G767,'CP FACTORS'!$A$3:$B$38, 2, FALSE)</f>
        <v>0</v>
      </c>
      <c r="I767" s="1835">
        <f t="shared" si="57"/>
        <v>0</v>
      </c>
      <c r="J767" s="525">
        <f t="shared" si="58"/>
        <v>10</v>
      </c>
      <c r="K767" s="526">
        <v>0</v>
      </c>
      <c r="L767" s="1531" t="s">
        <v>31</v>
      </c>
      <c r="R767" s="1413"/>
      <c r="V767" s="176" t="str">
        <f t="shared" si="59"/>
        <v>kWh Annual Savings</v>
      </c>
      <c r="W767" s="1022">
        <v>125.36894234037186</v>
      </c>
      <c r="X767" s="1194">
        <v>24.940157257477999</v>
      </c>
      <c r="Y767" s="176"/>
      <c r="Z767" s="176"/>
      <c r="AA767" s="176"/>
      <c r="AB767" s="176"/>
      <c r="AC767" s="176"/>
      <c r="AD767" s="176"/>
      <c r="AE767" s="176"/>
      <c r="AF767" s="176"/>
      <c r="AG767" s="176"/>
      <c r="AK767" s="802"/>
    </row>
    <row r="768" spans="2:37" x14ac:dyDescent="0.25">
      <c r="B768" s="1087"/>
      <c r="C768" s="1531"/>
      <c r="D768" s="1066" t="s">
        <v>1250</v>
      </c>
      <c r="E768" s="1726" t="s">
        <v>1485</v>
      </c>
      <c r="F768" s="1062">
        <f>F787*F795*1/F$796*F$797*F$798*F$799/1000</f>
        <v>750.57839999999999</v>
      </c>
      <c r="G768" s="1531" t="s">
        <v>578</v>
      </c>
      <c r="H768" s="170">
        <f>VLOOKUP(G768,'CP FACTORS'!$A$3:$B$38, 2, FALSE)</f>
        <v>9.4741810000000004E-4</v>
      </c>
      <c r="I768" s="1835">
        <f t="shared" si="57"/>
        <v>0.71111156162903999</v>
      </c>
      <c r="J768" s="525">
        <f t="shared" si="58"/>
        <v>10</v>
      </c>
      <c r="K768" s="526">
        <f>$F$836</f>
        <v>70</v>
      </c>
      <c r="L768" s="1531" t="s">
        <v>31</v>
      </c>
      <c r="R768" s="1413"/>
      <c r="V768" s="176" t="str">
        <f t="shared" si="59"/>
        <v>kWh Annual Savings</v>
      </c>
      <c r="W768" s="1022">
        <v>157.60714909090908</v>
      </c>
      <c r="X768" s="1194">
        <v>750.57839999999999</v>
      </c>
      <c r="Y768" s="176"/>
      <c r="Z768" s="176"/>
      <c r="AA768" s="176"/>
      <c r="AB768" s="176"/>
      <c r="AC768" s="176"/>
      <c r="AD768" s="176"/>
      <c r="AE768" s="176"/>
      <c r="AF768" s="176"/>
      <c r="AG768" s="176"/>
      <c r="AK768" s="802"/>
    </row>
    <row r="769" spans="2:37" x14ac:dyDescent="0.25">
      <c r="B769" s="1087"/>
      <c r="C769" s="1531"/>
      <c r="D769" s="1066" t="s">
        <v>1250</v>
      </c>
      <c r="E769" s="1787" t="s">
        <v>1485</v>
      </c>
      <c r="F769" s="1062">
        <f>F807*F815*F823*(1/F831)*F$832*F$833*F$834/1000</f>
        <v>50.176989004732967</v>
      </c>
      <c r="G769" s="1531" t="s">
        <v>579</v>
      </c>
      <c r="H769" s="170">
        <f>VLOOKUP(G769,'CP FACTORS'!$A$3:$B$38, 2, FALSE)</f>
        <v>0</v>
      </c>
      <c r="I769" s="1835">
        <f t="shared" si="57"/>
        <v>0</v>
      </c>
      <c r="J769" s="525">
        <f t="shared" si="58"/>
        <v>10</v>
      </c>
      <c r="K769" s="526">
        <v>0</v>
      </c>
      <c r="L769" s="1531" t="s">
        <v>31</v>
      </c>
      <c r="R769" s="1413"/>
      <c r="V769" s="176" t="str">
        <f t="shared" si="59"/>
        <v>kWh Annual Savings</v>
      </c>
      <c r="W769" s="1022">
        <v>192.87529590826432</v>
      </c>
      <c r="X769" s="1194">
        <v>50.176989004732967</v>
      </c>
      <c r="Y769" s="176"/>
      <c r="Z769" s="176"/>
      <c r="AA769" s="176"/>
      <c r="AB769" s="176"/>
      <c r="AC769" s="176"/>
      <c r="AD769" s="176"/>
      <c r="AE769" s="176"/>
      <c r="AF769" s="176"/>
      <c r="AG769" s="176"/>
      <c r="AK769" s="802"/>
    </row>
    <row r="770" spans="2:37" outlineLevel="1" x14ac:dyDescent="0.25">
      <c r="B770" s="1087"/>
      <c r="C770" s="1434"/>
      <c r="F770" s="1445"/>
      <c r="AK770" s="802"/>
    </row>
    <row r="771" spans="2:37" ht="18" customHeight="1" outlineLevel="1" x14ac:dyDescent="0.25">
      <c r="B771" s="1087"/>
      <c r="C771" s="1447"/>
      <c r="D771" s="1418" t="s">
        <v>463</v>
      </c>
      <c r="E771" s="1549"/>
      <c r="F771" s="1550"/>
      <c r="G771" s="1550"/>
      <c r="H771" s="1550"/>
      <c r="I771" s="1836"/>
      <c r="J771" s="1836"/>
      <c r="K771" s="1836"/>
      <c r="L771" s="1836"/>
      <c r="V771" s="249" t="str">
        <f>IF(C769&gt;0,C769," ")</f>
        <v xml:space="preserve"> </v>
      </c>
      <c r="AK771" s="802"/>
    </row>
    <row r="772" spans="2:37" outlineLevel="1" x14ac:dyDescent="0.25">
      <c r="B772" s="1087"/>
      <c r="C772" s="1454"/>
      <c r="D772" s="1549"/>
      <c r="E772" s="1549"/>
      <c r="F772" s="1550"/>
      <c r="G772" s="1550"/>
      <c r="H772" s="1550"/>
      <c r="I772" s="1836"/>
      <c r="J772" s="1836"/>
      <c r="K772" s="1836"/>
      <c r="L772" s="1836"/>
      <c r="V772" s="249" t="str">
        <f t="shared" ref="V772:V778" si="60">IF(C770&gt;0,C770," ")</f>
        <v xml:space="preserve"> </v>
      </c>
      <c r="AK772" s="802"/>
    </row>
    <row r="773" spans="2:37" outlineLevel="1" x14ac:dyDescent="0.25">
      <c r="B773" s="1087"/>
      <c r="C773" s="1454"/>
      <c r="D773" s="1549"/>
      <c r="E773" s="1549"/>
      <c r="F773" s="1550"/>
      <c r="G773" s="1550"/>
      <c r="H773" s="1550"/>
      <c r="I773" s="1836"/>
      <c r="J773" s="1836"/>
      <c r="K773" s="1836"/>
      <c r="L773" s="1836"/>
      <c r="V773" s="249" t="str">
        <f t="shared" si="60"/>
        <v xml:space="preserve"> </v>
      </c>
      <c r="AK773" s="802"/>
    </row>
    <row r="774" spans="2:37" outlineLevel="1" x14ac:dyDescent="0.25">
      <c r="B774" s="1087"/>
      <c r="C774" s="1455"/>
      <c r="D774" s="1549"/>
      <c r="E774" s="1549"/>
      <c r="F774" s="1550"/>
      <c r="G774" s="1550"/>
      <c r="H774" s="1550"/>
      <c r="I774" s="1836"/>
      <c r="J774" s="1836"/>
      <c r="K774" s="1836"/>
      <c r="L774" s="1836"/>
      <c r="V774" s="249" t="str">
        <f t="shared" si="60"/>
        <v xml:space="preserve"> </v>
      </c>
      <c r="AK774" s="802"/>
    </row>
    <row r="775" spans="2:37" outlineLevel="1" x14ac:dyDescent="0.25">
      <c r="B775" s="1087"/>
      <c r="C775" s="1455"/>
      <c r="D775" s="1549"/>
      <c r="E775" s="1549"/>
      <c r="F775" s="1550"/>
      <c r="G775" s="1550"/>
      <c r="H775" s="1550"/>
      <c r="I775" s="1836"/>
      <c r="J775" s="1836"/>
      <c r="K775" s="1836"/>
      <c r="L775" s="1836"/>
      <c r="V775" s="249" t="str">
        <f t="shared" si="60"/>
        <v xml:space="preserve"> </v>
      </c>
      <c r="AK775" s="802"/>
    </row>
    <row r="776" spans="2:37" outlineLevel="1" x14ac:dyDescent="0.25">
      <c r="B776" s="1087"/>
      <c r="C776" s="1455"/>
      <c r="D776" s="1549"/>
      <c r="E776" s="1549"/>
      <c r="F776" s="1550"/>
      <c r="G776" s="1550"/>
      <c r="H776" s="1550"/>
      <c r="I776" s="1836"/>
      <c r="J776" s="1836"/>
      <c r="K776" s="1836"/>
      <c r="L776" s="1836"/>
      <c r="V776" s="249" t="str">
        <f t="shared" si="60"/>
        <v xml:space="preserve"> </v>
      </c>
      <c r="AK776" s="802"/>
    </row>
    <row r="777" spans="2:37" ht="15" customHeight="1" outlineLevel="1" x14ac:dyDescent="0.25">
      <c r="B777" s="1087"/>
      <c r="C777" s="1455"/>
      <c r="D777" s="1549"/>
      <c r="E777" s="1549"/>
      <c r="F777" s="1550"/>
      <c r="G777" s="1550"/>
      <c r="H777" s="1550"/>
      <c r="I777" s="1836"/>
      <c r="J777" s="1836"/>
      <c r="K777" s="1836"/>
      <c r="L777" s="1836"/>
      <c r="V777" s="249" t="str">
        <f t="shared" si="60"/>
        <v xml:space="preserve"> </v>
      </c>
      <c r="AK777" s="802"/>
    </row>
    <row r="778" spans="2:37" outlineLevel="1" x14ac:dyDescent="0.25">
      <c r="B778" s="1087"/>
      <c r="C778" s="1434"/>
      <c r="D778" s="1546"/>
      <c r="E778" s="1546"/>
      <c r="F778" s="1548"/>
      <c r="G778" s="1548"/>
      <c r="H778" s="1548"/>
      <c r="V778" s="249" t="str">
        <f t="shared" si="60"/>
        <v xml:space="preserve"> </v>
      </c>
      <c r="AK778" s="802"/>
    </row>
    <row r="779" spans="2:37" outlineLevel="1" x14ac:dyDescent="0.25">
      <c r="B779" s="1087"/>
      <c r="C779" s="1434"/>
      <c r="D779" s="1098" t="s">
        <v>465</v>
      </c>
      <c r="E779" s="1098" t="s">
        <v>466</v>
      </c>
      <c r="F779" s="184" t="s">
        <v>467</v>
      </c>
      <c r="G779" s="184" t="s">
        <v>515</v>
      </c>
      <c r="H779" s="184" t="s">
        <v>592</v>
      </c>
      <c r="V779" s="48" t="s">
        <v>26</v>
      </c>
      <c r="W779" s="49">
        <f>W$6</f>
        <v>43252</v>
      </c>
      <c r="X779" s="49">
        <f t="shared" ref="X779:AG779" si="61">X$6</f>
        <v>43465</v>
      </c>
      <c r="Y779" s="49" t="str">
        <f t="shared" si="61"/>
        <v>-</v>
      </c>
      <c r="Z779" s="49" t="str">
        <f t="shared" si="61"/>
        <v>-</v>
      </c>
      <c r="AA779" s="49" t="str">
        <f t="shared" si="61"/>
        <v>-</v>
      </c>
      <c r="AB779" s="49" t="str">
        <f t="shared" si="61"/>
        <v>-</v>
      </c>
      <c r="AC779" s="49" t="str">
        <f t="shared" si="61"/>
        <v>-</v>
      </c>
      <c r="AD779" s="49" t="str">
        <f t="shared" si="61"/>
        <v>-</v>
      </c>
      <c r="AE779" s="49" t="str">
        <f t="shared" si="61"/>
        <v>-</v>
      </c>
      <c r="AF779" s="49" t="str">
        <f t="shared" si="61"/>
        <v>-</v>
      </c>
      <c r="AG779" s="49" t="str">
        <f t="shared" si="61"/>
        <v>-</v>
      </c>
      <c r="AK779" s="802"/>
    </row>
    <row r="780" spans="2:37" outlineLevel="1" x14ac:dyDescent="0.25">
      <c r="B780" s="1087"/>
      <c r="C780" s="1434"/>
      <c r="D780" s="2290" t="s">
        <v>200</v>
      </c>
      <c r="E780" s="867" t="s">
        <v>1478</v>
      </c>
      <c r="F780" s="1758">
        <v>1215</v>
      </c>
      <c r="G780" s="1066" t="s">
        <v>1807</v>
      </c>
      <c r="H780" s="869"/>
      <c r="V780" s="2293" t="str">
        <f>D780</f>
        <v>EFLHCool</v>
      </c>
      <c r="W780" s="819">
        <v>1215</v>
      </c>
      <c r="X780" s="873">
        <v>1215</v>
      </c>
      <c r="Y780" s="819"/>
      <c r="Z780" s="819"/>
      <c r="AA780" s="819"/>
      <c r="AB780" s="819"/>
      <c r="AC780" s="819"/>
      <c r="AD780" s="819"/>
      <c r="AE780" s="819"/>
      <c r="AF780" s="819"/>
      <c r="AG780" s="819"/>
      <c r="AK780" s="802"/>
    </row>
    <row r="781" spans="2:37" outlineLevel="1" x14ac:dyDescent="0.25">
      <c r="B781" s="1087"/>
      <c r="C781" s="1434"/>
      <c r="D781" s="2291"/>
      <c r="E781" s="867" t="s">
        <v>1479</v>
      </c>
      <c r="F781" s="1758">
        <v>1215</v>
      </c>
      <c r="G781" s="1066" t="s">
        <v>1808</v>
      </c>
      <c r="H781" s="869"/>
      <c r="V781" s="2294"/>
      <c r="W781" s="819">
        <v>1215</v>
      </c>
      <c r="X781" s="873">
        <v>1215</v>
      </c>
      <c r="Y781" s="819"/>
      <c r="Z781" s="819"/>
      <c r="AA781" s="819"/>
      <c r="AB781" s="819"/>
      <c r="AC781" s="819"/>
      <c r="AD781" s="819"/>
      <c r="AE781" s="819"/>
      <c r="AF781" s="819"/>
      <c r="AG781" s="819"/>
      <c r="AK781" s="802"/>
    </row>
    <row r="782" spans="2:37" outlineLevel="1" x14ac:dyDescent="0.25">
      <c r="B782" s="1087"/>
      <c r="C782" s="1434"/>
      <c r="D782" s="2291"/>
      <c r="E782" s="270" t="s">
        <v>1480</v>
      </c>
      <c r="F782" s="1758">
        <v>1215</v>
      </c>
      <c r="G782" s="1066" t="s">
        <v>1809</v>
      </c>
      <c r="H782" s="869"/>
      <c r="V782" s="2294"/>
      <c r="W782" s="819">
        <v>1215</v>
      </c>
      <c r="X782" s="873">
        <v>1215</v>
      </c>
      <c r="Y782" s="819"/>
      <c r="Z782" s="819"/>
      <c r="AA782" s="819"/>
      <c r="AB782" s="819"/>
      <c r="AC782" s="819"/>
      <c r="AD782" s="819"/>
      <c r="AE782" s="819"/>
      <c r="AF782" s="819"/>
      <c r="AG782" s="819"/>
      <c r="AK782" s="802"/>
    </row>
    <row r="783" spans="2:37" outlineLevel="1" x14ac:dyDescent="0.25">
      <c r="B783" s="1087"/>
      <c r="C783" s="1434"/>
      <c r="D783" s="2291"/>
      <c r="E783" s="270" t="s">
        <v>1481</v>
      </c>
      <c r="F783" s="1758">
        <v>1215</v>
      </c>
      <c r="G783" s="1066" t="s">
        <v>1810</v>
      </c>
      <c r="H783" s="869"/>
      <c r="V783" s="2294"/>
      <c r="W783" s="819">
        <v>1215</v>
      </c>
      <c r="X783" s="873">
        <v>1215</v>
      </c>
      <c r="Y783" s="819"/>
      <c r="Z783" s="819"/>
      <c r="AA783" s="819"/>
      <c r="AB783" s="819"/>
      <c r="AC783" s="819"/>
      <c r="AD783" s="819"/>
      <c r="AE783" s="819"/>
      <c r="AF783" s="819"/>
      <c r="AG783" s="819"/>
      <c r="AK783" s="802"/>
    </row>
    <row r="784" spans="2:37" outlineLevel="1" x14ac:dyDescent="0.25">
      <c r="B784" s="1087"/>
      <c r="C784" s="1434"/>
      <c r="D784" s="2291"/>
      <c r="E784" s="270" t="s">
        <v>1482</v>
      </c>
      <c r="F784" s="1758">
        <v>1215</v>
      </c>
      <c r="G784" s="1066" t="s">
        <v>1811</v>
      </c>
      <c r="H784" s="869"/>
      <c r="V784" s="2294"/>
      <c r="W784" s="819">
        <v>1215</v>
      </c>
      <c r="X784" s="873">
        <v>1215</v>
      </c>
      <c r="Y784" s="819"/>
      <c r="Z784" s="819"/>
      <c r="AA784" s="819"/>
      <c r="AB784" s="819"/>
      <c r="AC784" s="819"/>
      <c r="AD784" s="819"/>
      <c r="AE784" s="819"/>
      <c r="AF784" s="819"/>
      <c r="AG784" s="819"/>
      <c r="AK784" s="802"/>
    </row>
    <row r="785" spans="2:37" outlineLevel="1" x14ac:dyDescent="0.25">
      <c r="B785" s="1087"/>
      <c r="C785" s="1434"/>
      <c r="D785" s="2291"/>
      <c r="E785" s="270" t="s">
        <v>1483</v>
      </c>
      <c r="F785" s="1758">
        <v>1215</v>
      </c>
      <c r="G785" s="1066" t="s">
        <v>1812</v>
      </c>
      <c r="H785" s="869"/>
      <c r="V785" s="2294"/>
      <c r="W785" s="819">
        <v>1215</v>
      </c>
      <c r="X785" s="873">
        <v>1215</v>
      </c>
      <c r="Y785" s="819"/>
      <c r="Z785" s="819"/>
      <c r="AA785" s="819"/>
      <c r="AB785" s="819"/>
      <c r="AC785" s="819"/>
      <c r="AD785" s="819"/>
      <c r="AE785" s="819"/>
      <c r="AF785" s="819"/>
      <c r="AG785" s="819"/>
      <c r="AK785" s="802"/>
    </row>
    <row r="786" spans="2:37" outlineLevel="1" x14ac:dyDescent="0.25">
      <c r="B786" s="1087"/>
      <c r="C786" s="1434"/>
      <c r="D786" s="2291"/>
      <c r="E786" s="867" t="s">
        <v>1484</v>
      </c>
      <c r="F786" s="1758">
        <v>1215</v>
      </c>
      <c r="G786" s="1066" t="s">
        <v>1813</v>
      </c>
      <c r="H786" s="869"/>
      <c r="V786" s="2294"/>
      <c r="W786" s="819">
        <v>1215</v>
      </c>
      <c r="X786" s="873">
        <v>1215</v>
      </c>
      <c r="Y786" s="819"/>
      <c r="Z786" s="819"/>
      <c r="AA786" s="819"/>
      <c r="AB786" s="819"/>
      <c r="AC786" s="819"/>
      <c r="AD786" s="819"/>
      <c r="AE786" s="819"/>
      <c r="AF786" s="819"/>
      <c r="AG786" s="819"/>
      <c r="AK786" s="802"/>
    </row>
    <row r="787" spans="2:37" outlineLevel="1" x14ac:dyDescent="0.25">
      <c r="B787" s="1087"/>
      <c r="C787" s="1434"/>
      <c r="D787" s="2292"/>
      <c r="E787" s="867" t="s">
        <v>1485</v>
      </c>
      <c r="F787" s="1758">
        <v>1215</v>
      </c>
      <c r="G787" s="1066" t="s">
        <v>1814</v>
      </c>
      <c r="H787" s="869"/>
      <c r="V787" s="2295"/>
      <c r="W787" s="819">
        <v>1215</v>
      </c>
      <c r="X787" s="873">
        <v>1215</v>
      </c>
      <c r="Y787" s="819"/>
      <c r="Z787" s="819"/>
      <c r="AA787" s="819"/>
      <c r="AB787" s="819"/>
      <c r="AC787" s="819"/>
      <c r="AD787" s="819"/>
      <c r="AE787" s="819"/>
      <c r="AF787" s="819"/>
      <c r="AG787" s="819"/>
      <c r="AK787" s="802"/>
    </row>
    <row r="788" spans="2:37" ht="30" outlineLevel="1" x14ac:dyDescent="0.25">
      <c r="B788" s="1087"/>
      <c r="C788" s="1434"/>
      <c r="D788" s="2290" t="s">
        <v>611</v>
      </c>
      <c r="E788" s="867" t="s">
        <v>1478</v>
      </c>
      <c r="F788" s="948">
        <v>21100</v>
      </c>
      <c r="G788" s="1042" t="s">
        <v>1815</v>
      </c>
      <c r="H788" s="869"/>
      <c r="V788" s="2293" t="str">
        <f>D788</f>
        <v>CapacityCool</v>
      </c>
      <c r="W788" s="825">
        <f>0.65*36000</f>
        <v>23400</v>
      </c>
      <c r="X788" s="840">
        <v>21100</v>
      </c>
      <c r="Y788" s="825"/>
      <c r="Z788" s="825"/>
      <c r="AA788" s="825"/>
      <c r="AB788" s="825"/>
      <c r="AC788" s="825"/>
      <c r="AD788" s="825"/>
      <c r="AE788" s="825"/>
      <c r="AF788" s="825"/>
      <c r="AG788" s="825"/>
      <c r="AK788" s="802"/>
    </row>
    <row r="789" spans="2:37" outlineLevel="1" x14ac:dyDescent="0.25">
      <c r="B789" s="1087"/>
      <c r="C789" s="1434"/>
      <c r="D789" s="2291"/>
      <c r="E789" s="867" t="s">
        <v>1479</v>
      </c>
      <c r="F789" s="948">
        <v>36000</v>
      </c>
      <c r="G789" s="952" t="s">
        <v>593</v>
      </c>
      <c r="H789" s="869"/>
      <c r="V789" s="2294"/>
      <c r="W789" s="825">
        <v>36000</v>
      </c>
      <c r="X789" s="875">
        <v>36000</v>
      </c>
      <c r="Y789" s="825"/>
      <c r="Z789" s="825"/>
      <c r="AA789" s="825"/>
      <c r="AB789" s="825"/>
      <c r="AC789" s="825"/>
      <c r="AD789" s="825"/>
      <c r="AE789" s="825"/>
      <c r="AF789" s="825"/>
      <c r="AG789" s="825"/>
      <c r="AK789" s="802"/>
    </row>
    <row r="790" spans="2:37" ht="30" outlineLevel="1" x14ac:dyDescent="0.25">
      <c r="B790" s="1087"/>
      <c r="C790" s="1434"/>
      <c r="D790" s="2291"/>
      <c r="E790" s="270" t="s">
        <v>1480</v>
      </c>
      <c r="F790" s="948">
        <v>21100</v>
      </c>
      <c r="G790" s="1042" t="s">
        <v>1815</v>
      </c>
      <c r="H790" s="869"/>
      <c r="V790" s="2294"/>
      <c r="W790" s="825">
        <f>0.65*36000</f>
        <v>23400</v>
      </c>
      <c r="X790" s="840">
        <v>21100</v>
      </c>
      <c r="Y790" s="825"/>
      <c r="Z790" s="825"/>
      <c r="AA790" s="825"/>
      <c r="AB790" s="825"/>
      <c r="AC790" s="825"/>
      <c r="AD790" s="825"/>
      <c r="AE790" s="825"/>
      <c r="AF790" s="825"/>
      <c r="AG790" s="825"/>
      <c r="AK790" s="802"/>
    </row>
    <row r="791" spans="2:37" outlineLevel="1" x14ac:dyDescent="0.25">
      <c r="B791" s="1087"/>
      <c r="C791" s="1434"/>
      <c r="D791" s="2291"/>
      <c r="E791" s="270" t="s">
        <v>1481</v>
      </c>
      <c r="F791" s="948">
        <v>36000</v>
      </c>
      <c r="G791" s="952" t="s">
        <v>593</v>
      </c>
      <c r="H791" s="869"/>
      <c r="V791" s="2294"/>
      <c r="W791" s="825">
        <v>36000</v>
      </c>
      <c r="X791" s="875">
        <v>36000</v>
      </c>
      <c r="Y791" s="825"/>
      <c r="Z791" s="825"/>
      <c r="AA791" s="825"/>
      <c r="AB791" s="825"/>
      <c r="AC791" s="825"/>
      <c r="AD791" s="825"/>
      <c r="AE791" s="825"/>
      <c r="AF791" s="825"/>
      <c r="AG791" s="825"/>
      <c r="AK791" s="802"/>
    </row>
    <row r="792" spans="2:37" ht="30" outlineLevel="1" x14ac:dyDescent="0.25">
      <c r="B792" s="1087"/>
      <c r="C792" s="1434"/>
      <c r="D792" s="2291"/>
      <c r="E792" s="270" t="s">
        <v>1482</v>
      </c>
      <c r="F792" s="948">
        <v>21100</v>
      </c>
      <c r="G792" s="1042" t="s">
        <v>1815</v>
      </c>
      <c r="H792" s="869"/>
      <c r="V792" s="2294"/>
      <c r="W792" s="825">
        <f>0.65*36000</f>
        <v>23400</v>
      </c>
      <c r="X792" s="840">
        <v>21100</v>
      </c>
      <c r="Y792" s="825"/>
      <c r="Z792" s="825"/>
      <c r="AA792" s="825"/>
      <c r="AB792" s="825"/>
      <c r="AC792" s="825"/>
      <c r="AD792" s="825"/>
      <c r="AE792" s="825"/>
      <c r="AF792" s="825"/>
      <c r="AG792" s="825"/>
      <c r="AK792" s="802"/>
    </row>
    <row r="793" spans="2:37" outlineLevel="1" x14ac:dyDescent="0.25">
      <c r="B793" s="1087"/>
      <c r="C793" s="1434"/>
      <c r="D793" s="2291"/>
      <c r="E793" s="270" t="s">
        <v>1483</v>
      </c>
      <c r="F793" s="948">
        <v>36000</v>
      </c>
      <c r="G793" s="952" t="s">
        <v>593</v>
      </c>
      <c r="H793" s="869"/>
      <c r="V793" s="2294"/>
      <c r="W793" s="825">
        <v>36000</v>
      </c>
      <c r="X793" s="875">
        <v>36000</v>
      </c>
      <c r="Y793" s="825"/>
      <c r="Z793" s="825"/>
      <c r="AA793" s="825"/>
      <c r="AB793" s="825"/>
      <c r="AC793" s="825"/>
      <c r="AD793" s="825"/>
      <c r="AE793" s="825"/>
      <c r="AF793" s="825"/>
      <c r="AG793" s="825"/>
      <c r="AK793" s="802"/>
    </row>
    <row r="794" spans="2:37" ht="30" outlineLevel="1" x14ac:dyDescent="0.25">
      <c r="B794" s="1087"/>
      <c r="C794" s="1434"/>
      <c r="D794" s="2291"/>
      <c r="E794" s="867" t="s">
        <v>1484</v>
      </c>
      <c r="F794" s="948">
        <v>21100</v>
      </c>
      <c r="G794" s="1042" t="s">
        <v>1815</v>
      </c>
      <c r="H794" s="869"/>
      <c r="V794" s="2294"/>
      <c r="W794" s="825">
        <f>0.65*36000</f>
        <v>23400</v>
      </c>
      <c r="X794" s="840">
        <v>21100</v>
      </c>
      <c r="Y794" s="825"/>
      <c r="Z794" s="825"/>
      <c r="AA794" s="825"/>
      <c r="AB794" s="825"/>
      <c r="AC794" s="825"/>
      <c r="AD794" s="825"/>
      <c r="AE794" s="825"/>
      <c r="AF794" s="825"/>
      <c r="AG794" s="825"/>
      <c r="AK794" s="802"/>
    </row>
    <row r="795" spans="2:37" outlineLevel="1" x14ac:dyDescent="0.25">
      <c r="B795" s="1087"/>
      <c r="C795" s="1434"/>
      <c r="D795" s="2292"/>
      <c r="E795" s="867" t="s">
        <v>1485</v>
      </c>
      <c r="F795" s="948">
        <v>36000</v>
      </c>
      <c r="G795" s="952" t="s">
        <v>593</v>
      </c>
      <c r="H795" s="869"/>
      <c r="V795" s="2295"/>
      <c r="W795" s="825">
        <v>36000</v>
      </c>
      <c r="X795" s="875">
        <v>36000</v>
      </c>
      <c r="Y795" s="825"/>
      <c r="Z795" s="825"/>
      <c r="AA795" s="825"/>
      <c r="AB795" s="825"/>
      <c r="AC795" s="825"/>
      <c r="AD795" s="825"/>
      <c r="AE795" s="825"/>
      <c r="AF795" s="825"/>
      <c r="AG795" s="825"/>
      <c r="AK795" s="802"/>
    </row>
    <row r="796" spans="2:37" outlineLevel="1" x14ac:dyDescent="0.25">
      <c r="B796" s="1087"/>
      <c r="C796" s="1434"/>
      <c r="D796" s="871" t="s">
        <v>617</v>
      </c>
      <c r="E796" s="867" t="s">
        <v>483</v>
      </c>
      <c r="F796" s="1758">
        <v>10</v>
      </c>
      <c r="G796" s="1066" t="s">
        <v>1816</v>
      </c>
      <c r="H796" s="869"/>
      <c r="V796" s="824" t="str">
        <f>D796</f>
        <v>SEER</v>
      </c>
      <c r="W796" s="819">
        <v>11</v>
      </c>
      <c r="X796" s="847">
        <v>10</v>
      </c>
      <c r="Y796" s="819"/>
      <c r="Z796" s="819"/>
      <c r="AA796" s="819"/>
      <c r="AB796" s="819"/>
      <c r="AC796" s="819"/>
      <c r="AD796" s="819"/>
      <c r="AE796" s="819"/>
      <c r="AF796" s="819"/>
      <c r="AG796" s="819"/>
      <c r="AK796" s="802"/>
    </row>
    <row r="797" spans="2:37" ht="45" outlineLevel="1" x14ac:dyDescent="0.25">
      <c r="B797" s="1087"/>
      <c r="C797" s="1434"/>
      <c r="D797" s="871" t="s">
        <v>1486</v>
      </c>
      <c r="E797" s="867" t="s">
        <v>483</v>
      </c>
      <c r="F797" s="948">
        <v>2.86</v>
      </c>
      <c r="G797" s="952" t="s">
        <v>1817</v>
      </c>
      <c r="H797" s="869"/>
      <c r="V797" s="824" t="str">
        <f>D797</f>
        <v>Sbdegrees_cooling</v>
      </c>
      <c r="W797" s="825">
        <v>3.67</v>
      </c>
      <c r="X797" s="948">
        <v>3.67</v>
      </c>
      <c r="Y797" s="825"/>
      <c r="Z797" s="825"/>
      <c r="AA797" s="825"/>
      <c r="AB797" s="825"/>
      <c r="AC797" s="825"/>
      <c r="AD797" s="825"/>
      <c r="AE797" s="825"/>
      <c r="AF797" s="825"/>
      <c r="AG797" s="825"/>
      <c r="AK797" s="802"/>
    </row>
    <row r="798" spans="2:37" ht="30" outlineLevel="1" x14ac:dyDescent="0.25">
      <c r="B798" s="1087"/>
      <c r="C798" s="1434"/>
      <c r="D798" s="871" t="s">
        <v>1487</v>
      </c>
      <c r="E798" s="867" t="s">
        <v>483</v>
      </c>
      <c r="F798" s="1564">
        <v>0.06</v>
      </c>
      <c r="G798" s="952" t="s">
        <v>1818</v>
      </c>
      <c r="H798" s="869"/>
      <c r="V798" s="824" t="str">
        <f>D798</f>
        <v>SF_cooling</v>
      </c>
      <c r="W798" s="823">
        <v>0.06</v>
      </c>
      <c r="X798" s="870">
        <v>0.06</v>
      </c>
      <c r="Y798" s="823"/>
      <c r="Z798" s="823"/>
      <c r="AA798" s="823"/>
      <c r="AB798" s="823"/>
      <c r="AC798" s="823"/>
      <c r="AD798" s="823"/>
      <c r="AE798" s="823"/>
      <c r="AF798" s="823"/>
      <c r="AG798" s="823"/>
      <c r="AK798" s="802"/>
    </row>
    <row r="799" spans="2:37" ht="30" outlineLevel="1" x14ac:dyDescent="0.25">
      <c r="B799" s="1087"/>
      <c r="C799" s="1434"/>
      <c r="D799" s="871" t="s">
        <v>1488</v>
      </c>
      <c r="E799" s="867" t="s">
        <v>483</v>
      </c>
      <c r="F799" s="1564">
        <v>1</v>
      </c>
      <c r="G799" s="1042" t="s">
        <v>1819</v>
      </c>
      <c r="H799" s="867"/>
      <c r="V799" s="824" t="str">
        <f>D799</f>
        <v>EF_cooling</v>
      </c>
      <c r="W799" s="823">
        <v>0.18</v>
      </c>
      <c r="X799" s="838">
        <v>1</v>
      </c>
      <c r="Y799" s="823"/>
      <c r="Z799" s="823"/>
      <c r="AA799" s="823"/>
      <c r="AB799" s="823"/>
      <c r="AC799" s="823"/>
      <c r="AD799" s="823"/>
      <c r="AE799" s="823"/>
      <c r="AF799" s="823"/>
      <c r="AG799" s="823"/>
      <c r="AK799" s="802"/>
    </row>
    <row r="800" spans="2:37" outlineLevel="1" x14ac:dyDescent="0.25">
      <c r="B800" s="1087"/>
      <c r="C800" s="1434"/>
      <c r="D800" s="2290" t="s">
        <v>146</v>
      </c>
      <c r="E800" s="867" t="s">
        <v>1478</v>
      </c>
      <c r="F800" s="1564">
        <v>1</v>
      </c>
      <c r="G800" s="952" t="s">
        <v>593</v>
      </c>
      <c r="H800" s="869"/>
      <c r="V800" s="2293" t="str">
        <f>D800</f>
        <v>%ElectricHeat</v>
      </c>
      <c r="W800" s="823">
        <v>1</v>
      </c>
      <c r="X800" s="870">
        <v>1</v>
      </c>
      <c r="Y800" s="823"/>
      <c r="Z800" s="823"/>
      <c r="AA800" s="823"/>
      <c r="AB800" s="823"/>
      <c r="AC800" s="823"/>
      <c r="AD800" s="823"/>
      <c r="AE800" s="823"/>
      <c r="AF800" s="823"/>
      <c r="AG800" s="823"/>
      <c r="AK800" s="802"/>
    </row>
    <row r="801" spans="2:37" outlineLevel="1" x14ac:dyDescent="0.25">
      <c r="B801" s="1087"/>
      <c r="C801" s="1434"/>
      <c r="D801" s="2291"/>
      <c r="E801" s="867" t="s">
        <v>1479</v>
      </c>
      <c r="F801" s="1564">
        <v>1</v>
      </c>
      <c r="G801" s="952" t="s">
        <v>593</v>
      </c>
      <c r="H801" s="869"/>
      <c r="V801" s="2294"/>
      <c r="W801" s="823">
        <v>1</v>
      </c>
      <c r="X801" s="870">
        <v>1</v>
      </c>
      <c r="Y801" s="823"/>
      <c r="Z801" s="823"/>
      <c r="AA801" s="823"/>
      <c r="AB801" s="823"/>
      <c r="AC801" s="823"/>
      <c r="AD801" s="823"/>
      <c r="AE801" s="823"/>
      <c r="AF801" s="823"/>
      <c r="AG801" s="823"/>
      <c r="AK801" s="802"/>
    </row>
    <row r="802" spans="2:37" outlineLevel="1" x14ac:dyDescent="0.25">
      <c r="B802" s="1087"/>
      <c r="C802" s="1434"/>
      <c r="D802" s="2291"/>
      <c r="E802" s="270" t="s">
        <v>1480</v>
      </c>
      <c r="F802" s="1564">
        <v>1</v>
      </c>
      <c r="G802" s="952" t="s">
        <v>593</v>
      </c>
      <c r="H802" s="869"/>
      <c r="V802" s="2294"/>
      <c r="W802" s="823">
        <v>1</v>
      </c>
      <c r="X802" s="870">
        <v>1</v>
      </c>
      <c r="Y802" s="823"/>
      <c r="Z802" s="823"/>
      <c r="AA802" s="823"/>
      <c r="AB802" s="823"/>
      <c r="AC802" s="823"/>
      <c r="AD802" s="823"/>
      <c r="AE802" s="823"/>
      <c r="AF802" s="823"/>
      <c r="AG802" s="823"/>
      <c r="AK802" s="802"/>
    </row>
    <row r="803" spans="2:37" outlineLevel="1" x14ac:dyDescent="0.25">
      <c r="B803" s="1087"/>
      <c r="C803" s="1434"/>
      <c r="D803" s="2291"/>
      <c r="E803" s="270" t="s">
        <v>1481</v>
      </c>
      <c r="F803" s="1564">
        <v>1</v>
      </c>
      <c r="G803" s="952" t="s">
        <v>593</v>
      </c>
      <c r="H803" s="869"/>
      <c r="V803" s="2294"/>
      <c r="W803" s="823">
        <v>1</v>
      </c>
      <c r="X803" s="870">
        <v>1</v>
      </c>
      <c r="Y803" s="823"/>
      <c r="Z803" s="823"/>
      <c r="AA803" s="823"/>
      <c r="AB803" s="823"/>
      <c r="AC803" s="823"/>
      <c r="AD803" s="823"/>
      <c r="AE803" s="823"/>
      <c r="AF803" s="823"/>
      <c r="AG803" s="823"/>
      <c r="AK803" s="802"/>
    </row>
    <row r="804" spans="2:37" outlineLevel="1" x14ac:dyDescent="0.25">
      <c r="B804" s="1087"/>
      <c r="C804" s="1434"/>
      <c r="D804" s="2291"/>
      <c r="E804" s="270" t="s">
        <v>1482</v>
      </c>
      <c r="F804" s="1564">
        <v>0</v>
      </c>
      <c r="G804" s="952" t="s">
        <v>593</v>
      </c>
      <c r="H804" s="869"/>
      <c r="V804" s="2294"/>
      <c r="W804" s="823">
        <v>0</v>
      </c>
      <c r="X804" s="870">
        <v>0</v>
      </c>
      <c r="Y804" s="823"/>
      <c r="Z804" s="823"/>
      <c r="AA804" s="823"/>
      <c r="AB804" s="823"/>
      <c r="AC804" s="823"/>
      <c r="AD804" s="823"/>
      <c r="AE804" s="823"/>
      <c r="AF804" s="823"/>
      <c r="AG804" s="823"/>
      <c r="AK804" s="802"/>
    </row>
    <row r="805" spans="2:37" outlineLevel="1" x14ac:dyDescent="0.25">
      <c r="B805" s="1087"/>
      <c r="C805" s="1434"/>
      <c r="D805" s="2291"/>
      <c r="E805" s="270" t="s">
        <v>1483</v>
      </c>
      <c r="F805" s="1564">
        <v>0</v>
      </c>
      <c r="G805" s="952" t="s">
        <v>593</v>
      </c>
      <c r="H805" s="869"/>
      <c r="V805" s="2294"/>
      <c r="W805" s="823">
        <v>0</v>
      </c>
      <c r="X805" s="870">
        <v>0</v>
      </c>
      <c r="Y805" s="823"/>
      <c r="Z805" s="823"/>
      <c r="AA805" s="823"/>
      <c r="AB805" s="823"/>
      <c r="AC805" s="823"/>
      <c r="AD805" s="823"/>
      <c r="AE805" s="823"/>
      <c r="AF805" s="823"/>
      <c r="AG805" s="823"/>
      <c r="AK805" s="802"/>
    </row>
    <row r="806" spans="2:37" outlineLevel="1" x14ac:dyDescent="0.25">
      <c r="B806" s="1087"/>
      <c r="C806" s="1434"/>
      <c r="D806" s="2291"/>
      <c r="E806" s="867" t="s">
        <v>1484</v>
      </c>
      <c r="F806" s="1564">
        <f>0.35*0.71</f>
        <v>0.24849999999999997</v>
      </c>
      <c r="G806" s="952" t="s">
        <v>593</v>
      </c>
      <c r="H806" s="869"/>
      <c r="V806" s="2294"/>
      <c r="W806" s="823">
        <f>0.35*0.71</f>
        <v>0.24849999999999997</v>
      </c>
      <c r="X806" s="870">
        <f>0.35*0.71</f>
        <v>0.24849999999999997</v>
      </c>
      <c r="Y806" s="823"/>
      <c r="Z806" s="823"/>
      <c r="AA806" s="823"/>
      <c r="AB806" s="823"/>
      <c r="AC806" s="823"/>
      <c r="AD806" s="823"/>
      <c r="AE806" s="823"/>
      <c r="AF806" s="823"/>
      <c r="AG806" s="823"/>
      <c r="AK806" s="802"/>
    </row>
    <row r="807" spans="2:37" outlineLevel="1" x14ac:dyDescent="0.25">
      <c r="B807" s="1087"/>
      <c r="C807" s="1434"/>
      <c r="D807" s="2292"/>
      <c r="E807" s="867" t="s">
        <v>1485</v>
      </c>
      <c r="F807" s="1564">
        <f>0.35*0.71</f>
        <v>0.24849999999999997</v>
      </c>
      <c r="G807" s="952" t="s">
        <v>593</v>
      </c>
      <c r="H807" s="869"/>
      <c r="V807" s="2295"/>
      <c r="W807" s="823">
        <f>0.35*0.71</f>
        <v>0.24849999999999997</v>
      </c>
      <c r="X807" s="870">
        <f>0.35*0.71</f>
        <v>0.24849999999999997</v>
      </c>
      <c r="Y807" s="823"/>
      <c r="Z807" s="823"/>
      <c r="AA807" s="823"/>
      <c r="AB807" s="823"/>
      <c r="AC807" s="823"/>
      <c r="AD807" s="823"/>
      <c r="AE807" s="823"/>
      <c r="AF807" s="823"/>
      <c r="AG807" s="823"/>
      <c r="AK807" s="802"/>
    </row>
    <row r="808" spans="2:37" outlineLevel="1" x14ac:dyDescent="0.25">
      <c r="B808" s="1087"/>
      <c r="C808" s="1434"/>
      <c r="D808" s="2290" t="s">
        <v>261</v>
      </c>
      <c r="E808" s="867" t="s">
        <v>1478</v>
      </c>
      <c r="F808" s="1758">
        <v>2009</v>
      </c>
      <c r="G808" s="1837" t="s">
        <v>1820</v>
      </c>
      <c r="H808" s="869"/>
      <c r="V808" s="2293" t="str">
        <f>D808</f>
        <v>EFLHHeat</v>
      </c>
      <c r="W808" s="819">
        <v>2009</v>
      </c>
      <c r="X808" s="873">
        <v>2009</v>
      </c>
      <c r="Y808" s="819"/>
      <c r="Z808" s="819"/>
      <c r="AA808" s="819"/>
      <c r="AB808" s="819"/>
      <c r="AC808" s="819"/>
      <c r="AD808" s="819"/>
      <c r="AE808" s="819"/>
      <c r="AF808" s="819"/>
      <c r="AG808" s="819"/>
      <c r="AK808" s="802"/>
    </row>
    <row r="809" spans="2:37" outlineLevel="1" x14ac:dyDescent="0.25">
      <c r="B809" s="1087"/>
      <c r="C809" s="1434"/>
      <c r="D809" s="2291"/>
      <c r="E809" s="867" t="s">
        <v>1479</v>
      </c>
      <c r="F809" s="1758">
        <v>2009</v>
      </c>
      <c r="G809" s="1837" t="s">
        <v>1820</v>
      </c>
      <c r="H809" s="869"/>
      <c r="V809" s="2294"/>
      <c r="W809" s="819">
        <v>2009</v>
      </c>
      <c r="X809" s="873">
        <v>2009</v>
      </c>
      <c r="Y809" s="819"/>
      <c r="Z809" s="819"/>
      <c r="AA809" s="819"/>
      <c r="AB809" s="819"/>
      <c r="AC809" s="819"/>
      <c r="AD809" s="819"/>
      <c r="AE809" s="819"/>
      <c r="AF809" s="819"/>
      <c r="AG809" s="819"/>
      <c r="AK809" s="802"/>
    </row>
    <row r="810" spans="2:37" outlineLevel="1" x14ac:dyDescent="0.25">
      <c r="B810" s="1087"/>
      <c r="C810" s="1434"/>
      <c r="D810" s="2291"/>
      <c r="E810" s="270" t="s">
        <v>1480</v>
      </c>
      <c r="F810" s="1758">
        <v>2009</v>
      </c>
      <c r="G810" s="1837" t="s">
        <v>1820</v>
      </c>
      <c r="H810" s="869"/>
      <c r="V810" s="2294"/>
      <c r="W810" s="819">
        <v>2009</v>
      </c>
      <c r="X810" s="873">
        <v>2009</v>
      </c>
      <c r="Y810" s="819"/>
      <c r="Z810" s="819"/>
      <c r="AA810" s="819"/>
      <c r="AB810" s="819"/>
      <c r="AC810" s="819"/>
      <c r="AD810" s="819"/>
      <c r="AE810" s="819"/>
      <c r="AF810" s="819"/>
      <c r="AG810" s="819"/>
      <c r="AK810" s="802"/>
    </row>
    <row r="811" spans="2:37" outlineLevel="1" x14ac:dyDescent="0.25">
      <c r="B811" s="1087"/>
      <c r="C811" s="1434"/>
      <c r="D811" s="2291"/>
      <c r="E811" s="270" t="s">
        <v>1481</v>
      </c>
      <c r="F811" s="1758">
        <v>2009</v>
      </c>
      <c r="G811" s="1837" t="s">
        <v>1820</v>
      </c>
      <c r="H811" s="869"/>
      <c r="V811" s="2294"/>
      <c r="W811" s="819">
        <v>2009</v>
      </c>
      <c r="X811" s="873">
        <v>2009</v>
      </c>
      <c r="Y811" s="819"/>
      <c r="Z811" s="819"/>
      <c r="AA811" s="819"/>
      <c r="AB811" s="819"/>
      <c r="AC811" s="819"/>
      <c r="AD811" s="819"/>
      <c r="AE811" s="819"/>
      <c r="AF811" s="819"/>
      <c r="AG811" s="819"/>
      <c r="AK811" s="802"/>
    </row>
    <row r="812" spans="2:37" outlineLevel="1" x14ac:dyDescent="0.25">
      <c r="B812" s="1087"/>
      <c r="C812" s="1434"/>
      <c r="D812" s="2291"/>
      <c r="E812" s="270" t="s">
        <v>1482</v>
      </c>
      <c r="F812" s="1758">
        <v>2009</v>
      </c>
      <c r="G812" s="1837" t="s">
        <v>1820</v>
      </c>
      <c r="H812" s="869"/>
      <c r="V812" s="2294"/>
      <c r="W812" s="819">
        <v>2009</v>
      </c>
      <c r="X812" s="873">
        <v>2009</v>
      </c>
      <c r="Y812" s="819"/>
      <c r="Z812" s="819"/>
      <c r="AA812" s="819"/>
      <c r="AB812" s="819"/>
      <c r="AC812" s="819"/>
      <c r="AD812" s="819"/>
      <c r="AE812" s="819"/>
      <c r="AF812" s="819"/>
      <c r="AG812" s="819"/>
      <c r="AK812" s="802"/>
    </row>
    <row r="813" spans="2:37" outlineLevel="1" x14ac:dyDescent="0.25">
      <c r="B813" s="1087"/>
      <c r="C813" s="1434"/>
      <c r="D813" s="2291"/>
      <c r="E813" s="270" t="s">
        <v>1483</v>
      </c>
      <c r="F813" s="1758">
        <v>2009</v>
      </c>
      <c r="G813" s="1837" t="s">
        <v>1820</v>
      </c>
      <c r="H813" s="869"/>
      <c r="V813" s="2294"/>
      <c r="W813" s="819">
        <v>2009</v>
      </c>
      <c r="X813" s="873">
        <v>2009</v>
      </c>
      <c r="Y813" s="819"/>
      <c r="Z813" s="819"/>
      <c r="AA813" s="819"/>
      <c r="AB813" s="819"/>
      <c r="AC813" s="819"/>
      <c r="AD813" s="819"/>
      <c r="AE813" s="819"/>
      <c r="AF813" s="819"/>
      <c r="AG813" s="819"/>
      <c r="AK813" s="802"/>
    </row>
    <row r="814" spans="2:37" outlineLevel="1" x14ac:dyDescent="0.25">
      <c r="B814" s="1087"/>
      <c r="C814" s="1434"/>
      <c r="D814" s="2291"/>
      <c r="E814" s="867" t="s">
        <v>1484</v>
      </c>
      <c r="F814" s="1758">
        <v>2009</v>
      </c>
      <c r="G814" s="1837" t="s">
        <v>1820</v>
      </c>
      <c r="H814" s="869"/>
      <c r="V814" s="2294"/>
      <c r="W814" s="819">
        <v>2009</v>
      </c>
      <c r="X814" s="873">
        <v>2009</v>
      </c>
      <c r="Y814" s="819"/>
      <c r="Z814" s="819"/>
      <c r="AA814" s="819"/>
      <c r="AB814" s="819"/>
      <c r="AC814" s="819"/>
      <c r="AD814" s="819"/>
      <c r="AE814" s="819"/>
      <c r="AF814" s="819"/>
      <c r="AG814" s="819"/>
      <c r="AK814" s="802"/>
    </row>
    <row r="815" spans="2:37" outlineLevel="1" x14ac:dyDescent="0.25">
      <c r="B815" s="1087"/>
      <c r="C815" s="1434"/>
      <c r="D815" s="2292"/>
      <c r="E815" s="867" t="s">
        <v>1485</v>
      </c>
      <c r="F815" s="1758">
        <v>2009</v>
      </c>
      <c r="G815" s="1837" t="s">
        <v>1820</v>
      </c>
      <c r="H815" s="869"/>
      <c r="V815" s="2295"/>
      <c r="W815" s="819">
        <v>2009</v>
      </c>
      <c r="X815" s="873">
        <v>2009</v>
      </c>
      <c r="Y815" s="819"/>
      <c r="Z815" s="819"/>
      <c r="AA815" s="819"/>
      <c r="AB815" s="819"/>
      <c r="AC815" s="819"/>
      <c r="AD815" s="819"/>
      <c r="AE815" s="819"/>
      <c r="AF815" s="819"/>
      <c r="AG815" s="819"/>
      <c r="AK815" s="802"/>
    </row>
    <row r="816" spans="2:37" ht="30" outlineLevel="1" x14ac:dyDescent="0.25">
      <c r="B816" s="1087"/>
      <c r="C816" s="1434"/>
      <c r="D816" s="2290" t="s">
        <v>1489</v>
      </c>
      <c r="E816" s="867" t="s">
        <v>1478</v>
      </c>
      <c r="F816" s="1758">
        <v>21000</v>
      </c>
      <c r="G816" s="952" t="s">
        <v>1819</v>
      </c>
      <c r="H816" s="869"/>
      <c r="V816" s="2293" t="str">
        <f>D816</f>
        <v>CapacityHeating_electric</v>
      </c>
      <c r="W816" s="873">
        <v>37856</v>
      </c>
      <c r="X816" s="847">
        <v>21000</v>
      </c>
      <c r="Y816" s="873"/>
      <c r="Z816" s="873"/>
      <c r="AA816" s="873"/>
      <c r="AB816" s="873"/>
      <c r="AC816" s="873"/>
      <c r="AD816" s="873"/>
      <c r="AE816" s="873"/>
      <c r="AF816" s="873"/>
      <c r="AG816" s="873"/>
      <c r="AK816" s="802"/>
    </row>
    <row r="817" spans="2:37" outlineLevel="1" x14ac:dyDescent="0.25">
      <c r="B817" s="1087"/>
      <c r="C817" s="1434"/>
      <c r="D817" s="2291"/>
      <c r="E817" s="867" t="s">
        <v>1479</v>
      </c>
      <c r="F817" s="1758">
        <v>58240</v>
      </c>
      <c r="G817" s="952"/>
      <c r="H817" s="869"/>
      <c r="V817" s="2294"/>
      <c r="W817" s="873">
        <v>58240</v>
      </c>
      <c r="X817" s="873">
        <v>58240</v>
      </c>
      <c r="Y817" s="873"/>
      <c r="Z817" s="873"/>
      <c r="AA817" s="873"/>
      <c r="AB817" s="873"/>
      <c r="AC817" s="873"/>
      <c r="AD817" s="873"/>
      <c r="AE817" s="873"/>
      <c r="AF817" s="873"/>
      <c r="AG817" s="873"/>
      <c r="AK817" s="802"/>
    </row>
    <row r="818" spans="2:37" ht="30" outlineLevel="1" x14ac:dyDescent="0.25">
      <c r="B818" s="1087"/>
      <c r="C818" s="1434"/>
      <c r="D818" s="2291"/>
      <c r="E818" s="270" t="s">
        <v>1480</v>
      </c>
      <c r="F818" s="1758">
        <v>21000</v>
      </c>
      <c r="G818" s="952" t="s">
        <v>1819</v>
      </c>
      <c r="H818" s="869"/>
      <c r="V818" s="2294"/>
      <c r="W818" s="873">
        <v>31368.563200000001</v>
      </c>
      <c r="X818" s="847">
        <v>21000</v>
      </c>
      <c r="Y818" s="873"/>
      <c r="Z818" s="873"/>
      <c r="AA818" s="873"/>
      <c r="AB818" s="873"/>
      <c r="AC818" s="873"/>
      <c r="AD818" s="873"/>
      <c r="AE818" s="873"/>
      <c r="AF818" s="873"/>
      <c r="AG818" s="873"/>
      <c r="AK818" s="802"/>
    </row>
    <row r="819" spans="2:37" outlineLevel="1" x14ac:dyDescent="0.25">
      <c r="B819" s="1087"/>
      <c r="C819" s="1434"/>
      <c r="D819" s="2291"/>
      <c r="E819" s="270" t="s">
        <v>1481</v>
      </c>
      <c r="F819" s="1758">
        <v>48259.328000000001</v>
      </c>
      <c r="G819" s="952"/>
      <c r="H819" s="869"/>
      <c r="V819" s="2294"/>
      <c r="W819" s="873">
        <v>48259.328000000001</v>
      </c>
      <c r="X819" s="873">
        <v>48259.328000000001</v>
      </c>
      <c r="Y819" s="873"/>
      <c r="Z819" s="873"/>
      <c r="AA819" s="873"/>
      <c r="AB819" s="873"/>
      <c r="AC819" s="873"/>
      <c r="AD819" s="873"/>
      <c r="AE819" s="873"/>
      <c r="AF819" s="873"/>
      <c r="AG819" s="873"/>
      <c r="AK819" s="802"/>
    </row>
    <row r="820" spans="2:37" outlineLevel="1" x14ac:dyDescent="0.25">
      <c r="B820" s="1087"/>
      <c r="C820" s="1434"/>
      <c r="D820" s="2291"/>
      <c r="E820" s="270" t="s">
        <v>1482</v>
      </c>
      <c r="F820" s="1758">
        <v>0</v>
      </c>
      <c r="G820" s="952"/>
      <c r="H820" s="869"/>
      <c r="V820" s="2294"/>
      <c r="W820" s="873">
        <v>0</v>
      </c>
      <c r="X820" s="873">
        <v>0</v>
      </c>
      <c r="Y820" s="873"/>
      <c r="Z820" s="873"/>
      <c r="AA820" s="873"/>
      <c r="AB820" s="873"/>
      <c r="AC820" s="873"/>
      <c r="AD820" s="873"/>
      <c r="AE820" s="873"/>
      <c r="AF820" s="873"/>
      <c r="AG820" s="873"/>
      <c r="AK820" s="802"/>
    </row>
    <row r="821" spans="2:37" outlineLevel="1" x14ac:dyDescent="0.25">
      <c r="B821" s="1087"/>
      <c r="C821" s="1434"/>
      <c r="D821" s="2291"/>
      <c r="E821" s="270" t="s">
        <v>1483</v>
      </c>
      <c r="F821" s="1758">
        <v>0</v>
      </c>
      <c r="G821" s="952"/>
      <c r="H821" s="869"/>
      <c r="V821" s="2294"/>
      <c r="W821" s="873">
        <v>0</v>
      </c>
      <c r="X821" s="873">
        <v>0</v>
      </c>
      <c r="Y821" s="873"/>
      <c r="Z821" s="873"/>
      <c r="AA821" s="873"/>
      <c r="AB821" s="873"/>
      <c r="AC821" s="873"/>
      <c r="AD821" s="873"/>
      <c r="AE821" s="873"/>
      <c r="AF821" s="873"/>
      <c r="AG821" s="873"/>
      <c r="AK821" s="802"/>
    </row>
    <row r="822" spans="2:37" ht="30" outlineLevel="1" x14ac:dyDescent="0.25">
      <c r="B822" s="1087"/>
      <c r="C822" s="1434"/>
      <c r="D822" s="2291"/>
      <c r="E822" s="867" t="s">
        <v>1484</v>
      </c>
      <c r="F822" s="1758">
        <v>21000</v>
      </c>
      <c r="G822" s="952" t="s">
        <v>1819</v>
      </c>
      <c r="H822" s="869"/>
      <c r="V822" s="2294"/>
      <c r="W822" s="873">
        <v>27462.372945112107</v>
      </c>
      <c r="X822" s="847">
        <v>21000</v>
      </c>
      <c r="Y822" s="873"/>
      <c r="Z822" s="873"/>
      <c r="AA822" s="873"/>
      <c r="AB822" s="873"/>
      <c r="AC822" s="873"/>
      <c r="AD822" s="873"/>
      <c r="AE822" s="873"/>
      <c r="AF822" s="873"/>
      <c r="AG822" s="873"/>
      <c r="AK822" s="802"/>
    </row>
    <row r="823" spans="2:37" outlineLevel="1" x14ac:dyDescent="0.25">
      <c r="B823" s="1087"/>
      <c r="C823" s="1434"/>
      <c r="D823" s="2292"/>
      <c r="E823" s="867" t="s">
        <v>1485</v>
      </c>
      <c r="F823" s="1758">
        <v>42249.804530941699</v>
      </c>
      <c r="G823" s="952"/>
      <c r="H823" s="869"/>
      <c r="V823" s="2295"/>
      <c r="W823" s="873">
        <v>42249.804530941699</v>
      </c>
      <c r="X823" s="949">
        <v>42249.804530941699</v>
      </c>
      <c r="Y823" s="873"/>
      <c r="Z823" s="873"/>
      <c r="AA823" s="873"/>
      <c r="AB823" s="873"/>
      <c r="AC823" s="873"/>
      <c r="AD823" s="873"/>
      <c r="AE823" s="873"/>
      <c r="AF823" s="873"/>
      <c r="AG823" s="873"/>
      <c r="AK823" s="802"/>
    </row>
    <row r="824" spans="2:37" outlineLevel="1" x14ac:dyDescent="0.25">
      <c r="B824" s="1087"/>
      <c r="C824" s="1434"/>
      <c r="D824" s="2290" t="s">
        <v>1490</v>
      </c>
      <c r="E824" s="867" t="s">
        <v>1478</v>
      </c>
      <c r="F824" s="1838">
        <v>7</v>
      </c>
      <c r="G824" s="1837" t="s">
        <v>1821</v>
      </c>
      <c r="H824" s="869"/>
      <c r="V824" s="2293" t="str">
        <f>D824</f>
        <v>HSPF</v>
      </c>
      <c r="W824" s="950">
        <v>7</v>
      </c>
      <c r="X824" s="950">
        <v>7</v>
      </c>
      <c r="Y824" s="950"/>
      <c r="Z824" s="950"/>
      <c r="AA824" s="950"/>
      <c r="AB824" s="950"/>
      <c r="AC824" s="950"/>
      <c r="AD824" s="950"/>
      <c r="AE824" s="950"/>
      <c r="AF824" s="950"/>
      <c r="AG824" s="950"/>
      <c r="AK824" s="802"/>
    </row>
    <row r="825" spans="2:37" outlineLevel="1" x14ac:dyDescent="0.25">
      <c r="B825" s="1087"/>
      <c r="C825" s="1434"/>
      <c r="D825" s="2291"/>
      <c r="E825" s="867" t="s">
        <v>1479</v>
      </c>
      <c r="F825" s="1838">
        <v>7</v>
      </c>
      <c r="G825" s="1837" t="s">
        <v>1821</v>
      </c>
      <c r="H825" s="869"/>
      <c r="V825" s="2294"/>
      <c r="W825" s="950">
        <v>7</v>
      </c>
      <c r="X825" s="950">
        <v>7</v>
      </c>
      <c r="Y825" s="950"/>
      <c r="Z825" s="950"/>
      <c r="AA825" s="950"/>
      <c r="AB825" s="950"/>
      <c r="AC825" s="950"/>
      <c r="AD825" s="950"/>
      <c r="AE825" s="950"/>
      <c r="AF825" s="950"/>
      <c r="AG825" s="950"/>
      <c r="AK825" s="802"/>
    </row>
    <row r="826" spans="2:37" outlineLevel="1" x14ac:dyDescent="0.25">
      <c r="B826" s="1087"/>
      <c r="C826" s="1434"/>
      <c r="D826" s="2291"/>
      <c r="E826" s="270" t="s">
        <v>1480</v>
      </c>
      <c r="F826" s="1839">
        <f>3.41*1+7*0</f>
        <v>3.41</v>
      </c>
      <c r="G826" s="1837" t="s">
        <v>1821</v>
      </c>
      <c r="H826" s="869"/>
      <c r="V826" s="2294"/>
      <c r="W826" s="950">
        <v>3.4119999999999999</v>
      </c>
      <c r="X826" s="951">
        <f>3.41*1+7*0</f>
        <v>3.41</v>
      </c>
      <c r="Y826" s="950"/>
      <c r="Z826" s="950"/>
      <c r="AA826" s="950"/>
      <c r="AB826" s="950"/>
      <c r="AC826" s="950"/>
      <c r="AD826" s="950"/>
      <c r="AE826" s="950"/>
      <c r="AF826" s="950"/>
      <c r="AG826" s="950"/>
      <c r="AK826" s="802"/>
    </row>
    <row r="827" spans="2:37" outlineLevel="1" x14ac:dyDescent="0.25">
      <c r="B827" s="1087"/>
      <c r="C827" s="1434"/>
      <c r="D827" s="2291"/>
      <c r="E827" s="270" t="s">
        <v>1481</v>
      </c>
      <c r="F827" s="1839">
        <f>3.41*1+7*0</f>
        <v>3.41</v>
      </c>
      <c r="G827" s="1837" t="s">
        <v>1821</v>
      </c>
      <c r="H827" s="869"/>
      <c r="V827" s="2294"/>
      <c r="W827" s="950">
        <v>3.4119999999999999</v>
      </c>
      <c r="X827" s="951">
        <f>3.41*1+7*0</f>
        <v>3.41</v>
      </c>
      <c r="Y827" s="950"/>
      <c r="Z827" s="950"/>
      <c r="AA827" s="950"/>
      <c r="AB827" s="950"/>
      <c r="AC827" s="950"/>
      <c r="AD827" s="950"/>
      <c r="AE827" s="950"/>
      <c r="AF827" s="950"/>
      <c r="AG827" s="950"/>
      <c r="AK827" s="802"/>
    </row>
    <row r="828" spans="2:37" outlineLevel="1" x14ac:dyDescent="0.25">
      <c r="B828" s="1087"/>
      <c r="C828" s="1434"/>
      <c r="D828" s="2291"/>
      <c r="E828" s="270" t="s">
        <v>1482</v>
      </c>
      <c r="F828" s="1838">
        <v>0</v>
      </c>
      <c r="G828" s="952"/>
      <c r="H828" s="869"/>
      <c r="V828" s="2294"/>
      <c r="W828" s="950">
        <v>0</v>
      </c>
      <c r="X828" s="950">
        <v>0</v>
      </c>
      <c r="Y828" s="950"/>
      <c r="Z828" s="950"/>
      <c r="AA828" s="950"/>
      <c r="AB828" s="950"/>
      <c r="AC828" s="950"/>
      <c r="AD828" s="950"/>
      <c r="AE828" s="950"/>
      <c r="AF828" s="950"/>
      <c r="AG828" s="950"/>
      <c r="AK828" s="802"/>
    </row>
    <row r="829" spans="2:37" outlineLevel="1" x14ac:dyDescent="0.25">
      <c r="B829" s="1087"/>
      <c r="C829" s="1434"/>
      <c r="D829" s="2291"/>
      <c r="E829" s="270" t="s">
        <v>1483</v>
      </c>
      <c r="F829" s="1838">
        <v>0</v>
      </c>
      <c r="G829" s="952"/>
      <c r="H829" s="869"/>
      <c r="V829" s="2294"/>
      <c r="W829" s="950">
        <v>0</v>
      </c>
      <c r="X829" s="950">
        <v>0</v>
      </c>
      <c r="Y829" s="950"/>
      <c r="Z829" s="950"/>
      <c r="AA829" s="950"/>
      <c r="AB829" s="950"/>
      <c r="AC829" s="950"/>
      <c r="AD829" s="950"/>
      <c r="AE829" s="950"/>
      <c r="AF829" s="950"/>
      <c r="AG829" s="950"/>
      <c r="AK829" s="802"/>
    </row>
    <row r="830" spans="2:37" outlineLevel="1" x14ac:dyDescent="0.25">
      <c r="B830" s="1087"/>
      <c r="C830" s="1434"/>
      <c r="D830" s="2291"/>
      <c r="E830" s="867" t="s">
        <v>1484</v>
      </c>
      <c r="F830" s="1839">
        <f>3.41*1+7*0</f>
        <v>3.41</v>
      </c>
      <c r="G830" s="1837" t="s">
        <v>1491</v>
      </c>
      <c r="H830" s="869"/>
      <c r="V830" s="2294"/>
      <c r="W830" s="950">
        <v>3.4119999999999999</v>
      </c>
      <c r="X830" s="951">
        <f>3.41*1+7*0</f>
        <v>3.41</v>
      </c>
      <c r="Y830" s="950"/>
      <c r="Z830" s="950"/>
      <c r="AA830" s="950"/>
      <c r="AB830" s="950"/>
      <c r="AC830" s="950"/>
      <c r="AD830" s="950"/>
      <c r="AE830" s="950"/>
      <c r="AF830" s="950"/>
      <c r="AG830" s="950"/>
      <c r="AK830" s="802"/>
    </row>
    <row r="831" spans="2:37" outlineLevel="1" x14ac:dyDescent="0.25">
      <c r="B831" s="1087"/>
      <c r="C831" s="1434"/>
      <c r="D831" s="2292"/>
      <c r="E831" s="867" t="s">
        <v>1485</v>
      </c>
      <c r="F831" s="1839">
        <f>3.41*1+7*0</f>
        <v>3.41</v>
      </c>
      <c r="G831" s="1837" t="s">
        <v>1491</v>
      </c>
      <c r="H831" s="869"/>
      <c r="V831" s="2295"/>
      <c r="W831" s="950">
        <v>3.4119999999999999</v>
      </c>
      <c r="X831" s="951">
        <f>3.41*1+7*0</f>
        <v>3.41</v>
      </c>
      <c r="Y831" s="950"/>
      <c r="Z831" s="950"/>
      <c r="AA831" s="950"/>
      <c r="AB831" s="950"/>
      <c r="AC831" s="950"/>
      <c r="AD831" s="950"/>
      <c r="AE831" s="950"/>
      <c r="AF831" s="950"/>
      <c r="AG831" s="950"/>
      <c r="AK831" s="802"/>
    </row>
    <row r="832" spans="2:37" ht="18" outlineLevel="1" x14ac:dyDescent="0.25">
      <c r="B832" s="1087"/>
      <c r="C832" s="1434"/>
      <c r="D832" s="871" t="s">
        <v>1492</v>
      </c>
      <c r="E832" s="867" t="s">
        <v>483</v>
      </c>
      <c r="F832" s="948">
        <v>2.08</v>
      </c>
      <c r="G832" s="952" t="s">
        <v>593</v>
      </c>
      <c r="H832" s="869"/>
      <c r="V832" s="824" t="str">
        <f>D832</f>
        <v>Sbdegrees_heating</v>
      </c>
      <c r="W832" s="875">
        <v>8</v>
      </c>
      <c r="X832" s="875">
        <v>8</v>
      </c>
      <c r="Y832" s="875"/>
      <c r="Z832" s="875"/>
      <c r="AA832" s="875"/>
      <c r="AB832" s="875"/>
      <c r="AC832" s="875"/>
      <c r="AD832" s="875"/>
      <c r="AE832" s="875"/>
      <c r="AF832" s="875"/>
      <c r="AG832" s="875"/>
      <c r="AK832" s="802"/>
    </row>
    <row r="833" spans="2:37" ht="18" outlineLevel="1" x14ac:dyDescent="0.25">
      <c r="B833" s="1087"/>
      <c r="C833" s="1434"/>
      <c r="D833" s="871" t="s">
        <v>1493</v>
      </c>
      <c r="E833" s="867" t="s">
        <v>483</v>
      </c>
      <c r="F833" s="1564">
        <v>0.03</v>
      </c>
      <c r="G833" s="952" t="s">
        <v>1494</v>
      </c>
      <c r="H833" s="869"/>
      <c r="V833" s="824" t="str">
        <f>D833</f>
        <v>SF_heating</v>
      </c>
      <c r="W833" s="823">
        <v>0.03</v>
      </c>
      <c r="X833" s="870">
        <v>0.03</v>
      </c>
      <c r="Y833" s="870"/>
      <c r="Z833" s="870"/>
      <c r="AA833" s="870"/>
      <c r="AB833" s="870"/>
      <c r="AC833" s="870"/>
      <c r="AD833" s="870"/>
      <c r="AE833" s="870"/>
      <c r="AF833" s="870"/>
      <c r="AG833" s="870"/>
      <c r="AK833" s="802"/>
    </row>
    <row r="834" spans="2:37" ht="18" outlineLevel="1" x14ac:dyDescent="0.25">
      <c r="B834" s="1087"/>
      <c r="C834" s="1434"/>
      <c r="D834" s="871" t="s">
        <v>1495</v>
      </c>
      <c r="E834" s="867" t="s">
        <v>483</v>
      </c>
      <c r="F834" s="1564">
        <v>0.13</v>
      </c>
      <c r="G834" s="952" t="s">
        <v>593</v>
      </c>
      <c r="H834" s="867"/>
      <c r="V834" s="824" t="str">
        <f>D834</f>
        <v>EF_heating</v>
      </c>
      <c r="W834" s="870">
        <v>0.13</v>
      </c>
      <c r="X834" s="870">
        <v>0.13</v>
      </c>
      <c r="Y834" s="870"/>
      <c r="Z834" s="870"/>
      <c r="AA834" s="870"/>
      <c r="AB834" s="870"/>
      <c r="AC834" s="870"/>
      <c r="AD834" s="870"/>
      <c r="AE834" s="870"/>
      <c r="AF834" s="870"/>
      <c r="AG834" s="870"/>
      <c r="AK834" s="802"/>
    </row>
    <row r="835" spans="2:37" outlineLevel="1" x14ac:dyDescent="0.25">
      <c r="B835" s="1087"/>
      <c r="C835" s="305"/>
      <c r="D835" s="926" t="str">
        <f>D746</f>
        <v>EUL</v>
      </c>
      <c r="E835" s="926" t="str">
        <f>E746</f>
        <v>Effective Useful Life (All)</v>
      </c>
      <c r="F835" s="1833">
        <v>10</v>
      </c>
      <c r="G835" s="910"/>
      <c r="H835" s="869"/>
      <c r="V835" s="824" t="str">
        <f>D835</f>
        <v>EUL</v>
      </c>
      <c r="W835" s="863">
        <v>10</v>
      </c>
      <c r="X835" s="863">
        <v>10</v>
      </c>
      <c r="Y835" s="925"/>
      <c r="Z835" s="925"/>
      <c r="AA835" s="925"/>
      <c r="AB835" s="925"/>
      <c r="AC835" s="925"/>
      <c r="AD835" s="925"/>
      <c r="AE835" s="925"/>
      <c r="AF835" s="925"/>
      <c r="AG835" s="925"/>
      <c r="AK835" s="802"/>
    </row>
    <row r="836" spans="2:37" outlineLevel="1" x14ac:dyDescent="0.25">
      <c r="B836" s="1087"/>
      <c r="C836" s="305"/>
      <c r="D836" s="2248" t="str">
        <f>D747</f>
        <v>Inc. Cost</v>
      </c>
      <c r="E836" s="926" t="str">
        <f>E747</f>
        <v>Incremental Cost - Non-DI</v>
      </c>
      <c r="F836" s="1834">
        <v>70</v>
      </c>
      <c r="G836" s="910"/>
      <c r="H836" s="869"/>
      <c r="V836" s="2239" t="str">
        <f>D836</f>
        <v>Inc. Cost</v>
      </c>
      <c r="W836" s="927">
        <v>70</v>
      </c>
      <c r="X836" s="947">
        <v>70</v>
      </c>
      <c r="Y836" s="928"/>
      <c r="Z836" s="928"/>
      <c r="AA836" s="928"/>
      <c r="AB836" s="928"/>
      <c r="AC836" s="928"/>
      <c r="AD836" s="928"/>
      <c r="AE836" s="928"/>
      <c r="AF836" s="928"/>
      <c r="AG836" s="928"/>
      <c r="AK836" s="802"/>
    </row>
    <row r="837" spans="2:37" outlineLevel="1" x14ac:dyDescent="0.25">
      <c r="B837" s="1087"/>
      <c r="C837" s="305"/>
      <c r="D837" s="2080"/>
      <c r="E837" s="926" t="str">
        <f>E748</f>
        <v>Incremental Cost - Direct Install (DI)</v>
      </c>
      <c r="F837" s="1834">
        <v>70</v>
      </c>
      <c r="G837" s="910"/>
      <c r="H837" s="869"/>
      <c r="V837" s="2240"/>
      <c r="W837" s="927">
        <v>70</v>
      </c>
      <c r="X837" s="947">
        <v>70</v>
      </c>
      <c r="Y837" s="928"/>
      <c r="Z837" s="928"/>
      <c r="AA837" s="928"/>
      <c r="AB837" s="928"/>
      <c r="AC837" s="928"/>
      <c r="AD837" s="928"/>
      <c r="AE837" s="928"/>
      <c r="AF837" s="928"/>
      <c r="AG837" s="928"/>
      <c r="AK837" s="802"/>
    </row>
    <row r="838" spans="2:37" x14ac:dyDescent="0.25">
      <c r="B838" s="1087"/>
      <c r="C838" s="1434"/>
      <c r="D838" s="1840"/>
      <c r="E838" s="1584"/>
      <c r="F838" s="1841"/>
      <c r="G838" s="1842"/>
      <c r="H838" s="905"/>
      <c r="V838" s="249" t="str">
        <f>IF(C833&gt;0,C833," ")</f>
        <v xml:space="preserve"> </v>
      </c>
      <c r="AK838" s="802"/>
    </row>
    <row r="839" spans="2:37" x14ac:dyDescent="0.25">
      <c r="V839" s="249" t="str">
        <f>IF(C834&gt;0,C834," ")</f>
        <v xml:space="preserve"> </v>
      </c>
      <c r="AK839" s="802"/>
    </row>
    <row r="840" spans="2:37" x14ac:dyDescent="0.25">
      <c r="B840" s="2022" t="s">
        <v>1496</v>
      </c>
      <c r="C840" s="2023"/>
      <c r="D840" s="2023"/>
      <c r="E840" s="2023"/>
      <c r="F840" s="2023"/>
      <c r="G840" s="2023"/>
      <c r="H840" s="2023"/>
      <c r="I840" s="1992"/>
      <c r="J840" s="1992"/>
      <c r="K840" s="1992"/>
      <c r="L840" s="1992"/>
      <c r="M840" s="1992"/>
      <c r="N840" s="1992"/>
      <c r="O840" s="1992"/>
      <c r="P840" s="1992"/>
      <c r="Q840" s="1992"/>
      <c r="R840" s="1993"/>
      <c r="V840" s="2022" t="str">
        <f>B840</f>
        <v>Thermostatic Restrictor Shower Valve</v>
      </c>
      <c r="W840" s="2023"/>
      <c r="X840" s="2023"/>
      <c r="Y840" s="2023"/>
      <c r="Z840" s="2023"/>
      <c r="AA840" s="2023"/>
      <c r="AB840" s="2023"/>
      <c r="AC840" s="2024"/>
      <c r="AD840" s="2024"/>
      <c r="AE840" s="2024"/>
      <c r="AF840" s="2024"/>
      <c r="AG840" s="2024"/>
      <c r="AH840" s="2024"/>
      <c r="AI840" s="2025"/>
      <c r="AK840" s="802"/>
    </row>
    <row r="841" spans="2:37" x14ac:dyDescent="0.25">
      <c r="D841" s="1435"/>
      <c r="E841" s="1435"/>
      <c r="F841" s="1436"/>
      <c r="G841" s="1436"/>
      <c r="H841" s="1436"/>
      <c r="I841" s="1436"/>
      <c r="J841" s="1436"/>
      <c r="K841" s="1436"/>
      <c r="L841" s="1437"/>
      <c r="AK841" s="802"/>
    </row>
    <row r="842" spans="2:37" ht="49.5" customHeight="1" x14ac:dyDescent="0.25">
      <c r="B842" s="1087"/>
      <c r="C842" s="184" t="s">
        <v>16</v>
      </c>
      <c r="D842" s="184" t="s">
        <v>509</v>
      </c>
      <c r="E842" s="184" t="s">
        <v>18</v>
      </c>
      <c r="F842" s="184" t="s">
        <v>1325</v>
      </c>
      <c r="G842" s="184" t="s">
        <v>20</v>
      </c>
      <c r="H842" s="184" t="s">
        <v>21</v>
      </c>
      <c r="I842" s="184" t="s">
        <v>771</v>
      </c>
      <c r="J842" s="184" t="s">
        <v>22</v>
      </c>
      <c r="K842" s="184" t="s">
        <v>23</v>
      </c>
      <c r="L842" s="184" t="s">
        <v>24</v>
      </c>
      <c r="M842" s="184" t="s">
        <v>25</v>
      </c>
      <c r="V842" s="48" t="s">
        <v>26</v>
      </c>
      <c r="W842" s="49">
        <f>W$6</f>
        <v>43252</v>
      </c>
      <c r="X842" s="49">
        <f t="shared" ref="X842:AG842" si="62">X$6</f>
        <v>43465</v>
      </c>
      <c r="Y842" s="49" t="str">
        <f t="shared" si="62"/>
        <v>-</v>
      </c>
      <c r="Z842" s="49" t="str">
        <f t="shared" si="62"/>
        <v>-</v>
      </c>
      <c r="AA842" s="49" t="str">
        <f t="shared" si="62"/>
        <v>-</v>
      </c>
      <c r="AB842" s="49" t="str">
        <f t="shared" si="62"/>
        <v>-</v>
      </c>
      <c r="AC842" s="49" t="str">
        <f t="shared" si="62"/>
        <v>-</v>
      </c>
      <c r="AD842" s="49" t="str">
        <f t="shared" si="62"/>
        <v>-</v>
      </c>
      <c r="AE842" s="49" t="str">
        <f t="shared" si="62"/>
        <v>-</v>
      </c>
      <c r="AF842" s="49" t="str">
        <f t="shared" si="62"/>
        <v>-</v>
      </c>
      <c r="AG842" s="49" t="str">
        <f t="shared" si="62"/>
        <v>-</v>
      </c>
      <c r="AK842" s="802"/>
    </row>
    <row r="843" spans="2:37" x14ac:dyDescent="0.25">
      <c r="B843" s="1087"/>
      <c r="C843" s="1531"/>
      <c r="D843" s="837" t="s">
        <v>1427</v>
      </c>
      <c r="E843" s="837" t="s">
        <v>1497</v>
      </c>
      <c r="F843" s="123">
        <f>G853*(G854*G855)*G856*G858*G859/G860*I843*G869*G868</f>
        <v>41.682564640276333</v>
      </c>
      <c r="G843" s="1531" t="s">
        <v>1425</v>
      </c>
      <c r="H843" s="170">
        <f>VLOOKUP(G843,'CP FACTORS'!$A$3:$B$38, 2, FALSE)</f>
        <v>8.8731800000000003E-5</v>
      </c>
      <c r="I843" s="474">
        <f>G862*G863*(G864-G865)/(G866*G867)</f>
        <v>0.10886576787807739</v>
      </c>
      <c r="J843" s="1781">
        <f>F843*H843</f>
        <v>3.6985689891480718E-3</v>
      </c>
      <c r="K843" s="123">
        <f>$G$870</f>
        <v>10</v>
      </c>
      <c r="L843" s="953">
        <f>$G$872</f>
        <v>50</v>
      </c>
      <c r="M843" s="1531" t="s">
        <v>31</v>
      </c>
      <c r="V843" s="176" t="str">
        <f>$F$842</f>
        <v>kWh
Annual Savings</v>
      </c>
      <c r="W843" s="1210">
        <v>41.682564640276333</v>
      </c>
      <c r="X843" s="1211">
        <v>41.682564640276333</v>
      </c>
      <c r="Y843" s="176"/>
      <c r="Z843" s="176"/>
      <c r="AA843" s="176"/>
      <c r="AB843" s="176"/>
      <c r="AC843" s="176"/>
      <c r="AD843" s="176"/>
      <c r="AE843" s="176"/>
      <c r="AF843" s="176"/>
      <c r="AG843" s="176"/>
      <c r="AK843" s="802"/>
    </row>
    <row r="844" spans="2:37" x14ac:dyDescent="0.25">
      <c r="B844" s="1087"/>
      <c r="C844" s="1531"/>
      <c r="D844" s="837" t="s">
        <v>1426</v>
      </c>
      <c r="E844" s="837" t="s">
        <v>1498</v>
      </c>
      <c r="F844" s="123">
        <f>G853*(G854*G855)*G857*G858*G859/G861*I843*G869*G868</f>
        <v>47.3194122661885</v>
      </c>
      <c r="G844" s="1531" t="s">
        <v>1425</v>
      </c>
      <c r="H844" s="170">
        <f>VLOOKUP(G844,'CP FACTORS'!$A$3:$B$38, 2, FALSE)</f>
        <v>8.8731800000000003E-5</v>
      </c>
      <c r="I844" s="474">
        <f>G863*G864*(G865-G866)/(G867*G868)</f>
        <v>1.8562719812426731</v>
      </c>
      <c r="J844" s="1781">
        <f>F844*H844</f>
        <v>4.1987366253209849E-3</v>
      </c>
      <c r="K844" s="123">
        <f>$G$870</f>
        <v>10</v>
      </c>
      <c r="L844" s="953">
        <f>$G$872</f>
        <v>50</v>
      </c>
      <c r="M844" s="1531" t="s">
        <v>31</v>
      </c>
      <c r="V844" s="176" t="str">
        <f>$F$842</f>
        <v>kWh
Annual Savings</v>
      </c>
      <c r="W844" s="1210">
        <v>47.3194122661885</v>
      </c>
      <c r="X844" s="1211">
        <v>47.3194122661885</v>
      </c>
      <c r="Y844" s="176"/>
      <c r="Z844" s="176"/>
      <c r="AA844" s="176"/>
      <c r="AB844" s="176"/>
      <c r="AC844" s="176"/>
      <c r="AD844" s="176"/>
      <c r="AE844" s="176"/>
      <c r="AF844" s="176"/>
      <c r="AG844" s="176"/>
      <c r="AK844" s="802"/>
    </row>
    <row r="845" spans="2:37" outlineLevel="1" x14ac:dyDescent="0.25">
      <c r="B845" s="1087"/>
      <c r="C845" s="1434"/>
      <c r="D845" s="1608"/>
      <c r="E845" s="1608"/>
      <c r="F845" s="1823"/>
      <c r="G845" s="1801"/>
      <c r="H845" s="1843"/>
      <c r="I845" s="1551"/>
      <c r="J845" s="1824"/>
      <c r="K845" s="1824"/>
      <c r="L845" s="1551"/>
      <c r="M845" s="1551"/>
      <c r="AK845" s="802"/>
    </row>
    <row r="846" spans="2:37" outlineLevel="1" x14ac:dyDescent="0.25">
      <c r="B846" s="1087"/>
      <c r="C846" s="1434"/>
      <c r="D846" s="1418" t="s">
        <v>463</v>
      </c>
      <c r="E846" s="1608"/>
      <c r="F846" s="1551"/>
      <c r="G846" s="1551"/>
      <c r="H846" s="1802"/>
      <c r="I846" s="1824"/>
      <c r="J846" s="1551"/>
      <c r="K846" s="1551"/>
      <c r="L846" s="1551"/>
      <c r="M846" s="1551"/>
      <c r="AK846" s="802"/>
    </row>
    <row r="847" spans="2:37" outlineLevel="1" x14ac:dyDescent="0.25">
      <c r="B847" s="1087"/>
      <c r="C847" s="1447"/>
      <c r="D847" s="1803"/>
      <c r="E847" s="1804"/>
      <c r="F847" s="1826"/>
      <c r="G847" s="1800"/>
      <c r="H847" s="1800"/>
      <c r="I847" s="1551"/>
      <c r="J847" s="1551"/>
      <c r="K847" s="1551"/>
      <c r="L847" s="1551"/>
      <c r="AK847" s="802"/>
    </row>
    <row r="848" spans="2:37" outlineLevel="1" x14ac:dyDescent="0.25">
      <c r="B848" s="1087"/>
      <c r="C848" s="1454"/>
      <c r="D848" s="1806"/>
      <c r="E848" s="1807"/>
      <c r="F848" s="1827"/>
      <c r="G848" s="1800"/>
      <c r="H848" s="1800"/>
      <c r="I848" s="1551"/>
      <c r="J848" s="1551"/>
      <c r="K848" s="1551"/>
      <c r="L848" s="1551"/>
      <c r="AK848" s="802"/>
    </row>
    <row r="849" spans="2:37" outlineLevel="1" x14ac:dyDescent="0.25">
      <c r="B849" s="1087"/>
      <c r="C849" s="1454"/>
      <c r="D849" s="1806"/>
      <c r="E849" s="1807"/>
      <c r="F849" s="1827"/>
      <c r="G849" s="1800"/>
      <c r="H849" s="1800"/>
      <c r="I849" s="1551"/>
      <c r="J849" s="1551"/>
      <c r="K849" s="1551"/>
      <c r="L849" s="1551"/>
      <c r="AK849" s="802"/>
    </row>
    <row r="850" spans="2:37" ht="15" customHeight="1" outlineLevel="1" x14ac:dyDescent="0.25">
      <c r="B850" s="1087"/>
      <c r="C850" s="1454"/>
      <c r="D850" s="1806"/>
      <c r="E850" s="1807"/>
      <c r="F850" s="1827"/>
      <c r="G850" s="1800"/>
      <c r="H850" s="1800"/>
      <c r="I850" s="1551"/>
      <c r="J850" s="1551"/>
      <c r="K850" s="1551"/>
      <c r="L850" s="1551"/>
      <c r="AK850" s="802"/>
    </row>
    <row r="851" spans="2:37" ht="15" customHeight="1" outlineLevel="1" x14ac:dyDescent="0.25">
      <c r="L851" s="1551"/>
      <c r="AK851" s="802"/>
    </row>
    <row r="852" spans="2:37" ht="15" customHeight="1" outlineLevel="1" x14ac:dyDescent="0.25">
      <c r="D852" s="1098" t="s">
        <v>465</v>
      </c>
      <c r="E852" s="1098" t="s">
        <v>466</v>
      </c>
      <c r="F852" s="604" t="s">
        <v>514</v>
      </c>
      <c r="G852" s="604" t="s">
        <v>467</v>
      </c>
      <c r="H852" s="2050" t="s">
        <v>515</v>
      </c>
      <c r="I852" s="2050"/>
      <c r="J852" s="2289" t="s">
        <v>468</v>
      </c>
      <c r="K852" s="2289"/>
      <c r="L852" s="2289"/>
      <c r="M852" s="1548"/>
      <c r="N852" s="1548"/>
      <c r="O852" s="1548"/>
      <c r="P852" s="1548"/>
      <c r="Q852" s="1548"/>
      <c r="V852" s="48" t="s">
        <v>26</v>
      </c>
      <c r="W852" s="49">
        <f>W$6</f>
        <v>43252</v>
      </c>
      <c r="X852" s="49">
        <f t="shared" ref="X852:AG852" si="63">X$6</f>
        <v>43465</v>
      </c>
      <c r="Y852" s="49" t="str">
        <f t="shared" si="63"/>
        <v>-</v>
      </c>
      <c r="Z852" s="49" t="str">
        <f t="shared" si="63"/>
        <v>-</v>
      </c>
      <c r="AA852" s="49" t="str">
        <f t="shared" si="63"/>
        <v>-</v>
      </c>
      <c r="AB852" s="49" t="str">
        <f t="shared" si="63"/>
        <v>-</v>
      </c>
      <c r="AC852" s="49" t="str">
        <f t="shared" si="63"/>
        <v>-</v>
      </c>
      <c r="AD852" s="49" t="str">
        <f t="shared" si="63"/>
        <v>-</v>
      </c>
      <c r="AE852" s="49" t="str">
        <f t="shared" si="63"/>
        <v>-</v>
      </c>
      <c r="AF852" s="49" t="str">
        <f t="shared" si="63"/>
        <v>-</v>
      </c>
      <c r="AG852" s="49" t="str">
        <f t="shared" si="63"/>
        <v>-</v>
      </c>
      <c r="AK852" s="802"/>
    </row>
    <row r="853" spans="2:37" ht="30" customHeight="1" outlineLevel="1" x14ac:dyDescent="0.25">
      <c r="D853" s="890" t="s">
        <v>773</v>
      </c>
      <c r="E853" s="890" t="s">
        <v>774</v>
      </c>
      <c r="F853" s="961"/>
      <c r="G853" s="961">
        <v>1</v>
      </c>
      <c r="H853" s="2271" t="s">
        <v>1367</v>
      </c>
      <c r="I853" s="2271"/>
      <c r="J853" s="2278" t="s">
        <v>1499</v>
      </c>
      <c r="K853" s="2278"/>
      <c r="L853" s="2278"/>
      <c r="M853" s="1548"/>
      <c r="N853" s="1548"/>
      <c r="O853" s="1548"/>
      <c r="P853" s="1548"/>
      <c r="Q853" s="1548"/>
      <c r="V853" s="859" t="str">
        <f>D853</f>
        <v>%Electric DHW</v>
      </c>
      <c r="W853" s="955">
        <v>1</v>
      </c>
      <c r="X853" s="955">
        <v>1</v>
      </c>
      <c r="Y853" s="860"/>
      <c r="Z853" s="860"/>
      <c r="AA853" s="860"/>
      <c r="AB853" s="860"/>
      <c r="AC853" s="860"/>
      <c r="AD853" s="860"/>
      <c r="AE853" s="860"/>
      <c r="AF853" s="860"/>
      <c r="AG853" s="860"/>
      <c r="AK853" s="802"/>
    </row>
    <row r="854" spans="2:37" ht="101.25" customHeight="1" outlineLevel="1" x14ac:dyDescent="0.25">
      <c r="D854" s="890" t="s">
        <v>1910</v>
      </c>
      <c r="E854" s="890" t="s">
        <v>812</v>
      </c>
      <c r="F854" s="1040"/>
      <c r="G854" s="1040">
        <v>1.5</v>
      </c>
      <c r="H854" s="2080" t="s">
        <v>813</v>
      </c>
      <c r="I854" s="2080"/>
      <c r="J854" s="2278" t="s">
        <v>1500</v>
      </c>
      <c r="K854" s="2278"/>
      <c r="L854" s="2278"/>
      <c r="M854" s="1548"/>
      <c r="N854" s="1548"/>
      <c r="O854" s="1548"/>
      <c r="P854" s="1548"/>
      <c r="Q854" s="1548"/>
      <c r="V854" s="859" t="str">
        <f>D854</f>
        <v>GPMbase</v>
      </c>
      <c r="W854" s="956">
        <v>1.5</v>
      </c>
      <c r="X854" s="956">
        <v>1.5</v>
      </c>
      <c r="Y854" s="896"/>
      <c r="Z854" s="896"/>
      <c r="AA854" s="896"/>
      <c r="AB854" s="896"/>
      <c r="AC854" s="896"/>
      <c r="AD854" s="896"/>
      <c r="AE854" s="896"/>
      <c r="AF854" s="896"/>
      <c r="AG854" s="896"/>
      <c r="AK854" s="802"/>
    </row>
    <row r="855" spans="2:37" ht="102.75" customHeight="1" outlineLevel="1" x14ac:dyDescent="0.25">
      <c r="D855" s="890" t="s">
        <v>1911</v>
      </c>
      <c r="E855" s="577" t="s">
        <v>1451</v>
      </c>
      <c r="F855" s="1844"/>
      <c r="G855" s="1844">
        <v>0.89</v>
      </c>
      <c r="H855" s="2288" t="s">
        <v>1501</v>
      </c>
      <c r="I855" s="2288"/>
      <c r="J855" s="2278" t="s">
        <v>1502</v>
      </c>
      <c r="K855" s="2278"/>
      <c r="L855" s="2278"/>
      <c r="M855" s="1548"/>
      <c r="N855" s="1548"/>
      <c r="O855" s="1548"/>
      <c r="P855" s="1548"/>
      <c r="Q855" s="1548"/>
      <c r="V855" s="859" t="str">
        <f>D855</f>
        <v>Lbase</v>
      </c>
      <c r="W855" s="957">
        <v>0.89</v>
      </c>
      <c r="X855" s="957">
        <v>0.89</v>
      </c>
      <c r="Y855" s="862"/>
      <c r="Z855" s="862"/>
      <c r="AA855" s="862"/>
      <c r="AB855" s="862"/>
      <c r="AC855" s="862"/>
      <c r="AD855" s="862"/>
      <c r="AE855" s="862"/>
      <c r="AF855" s="862"/>
      <c r="AG855" s="862"/>
      <c r="AK855" s="802"/>
    </row>
    <row r="856" spans="2:37" outlineLevel="1" x14ac:dyDescent="0.25">
      <c r="D856" s="2279" t="s">
        <v>528</v>
      </c>
      <c r="E856" s="2281" t="s">
        <v>818</v>
      </c>
      <c r="F856" s="1844" t="s">
        <v>612</v>
      </c>
      <c r="G856" s="1844">
        <v>2.67</v>
      </c>
      <c r="H856" s="2283" t="s">
        <v>972</v>
      </c>
      <c r="I856" s="2284"/>
      <c r="J856" s="2084"/>
      <c r="K856" s="2287"/>
      <c r="L856" s="2085"/>
      <c r="M856" s="1548"/>
      <c r="N856" s="1548"/>
      <c r="O856" s="1548"/>
      <c r="P856" s="1548"/>
      <c r="Q856" s="1548"/>
      <c r="V856" s="2286" t="str">
        <f>D856</f>
        <v>Household</v>
      </c>
      <c r="W856" s="957">
        <v>2.67</v>
      </c>
      <c r="X856" s="957">
        <v>2.67</v>
      </c>
      <c r="Y856" s="862"/>
      <c r="Z856" s="862"/>
      <c r="AA856" s="862"/>
      <c r="AB856" s="862"/>
      <c r="AC856" s="862"/>
      <c r="AD856" s="862"/>
      <c r="AE856" s="862"/>
      <c r="AF856" s="862"/>
      <c r="AG856" s="862"/>
      <c r="AK856" s="802"/>
    </row>
    <row r="857" spans="2:37" outlineLevel="1" x14ac:dyDescent="0.25">
      <c r="D857" s="2280"/>
      <c r="E857" s="2282"/>
      <c r="F857" s="1844" t="s">
        <v>614</v>
      </c>
      <c r="G857" s="1844">
        <v>2.0699999999999998</v>
      </c>
      <c r="H857" s="2283" t="s">
        <v>972</v>
      </c>
      <c r="I857" s="2284"/>
      <c r="J857" s="2084"/>
      <c r="K857" s="2287"/>
      <c r="L857" s="2085"/>
      <c r="M857" s="1548"/>
      <c r="N857" s="1548"/>
      <c r="O857" s="1548"/>
      <c r="P857" s="1548"/>
      <c r="Q857" s="1548"/>
      <c r="V857" s="2240"/>
      <c r="W857" s="957">
        <v>2.0699999999999998</v>
      </c>
      <c r="X857" s="957">
        <v>2.0699999999999998</v>
      </c>
      <c r="Y857" s="862"/>
      <c r="Z857" s="862"/>
      <c r="AA857" s="862"/>
      <c r="AB857" s="862"/>
      <c r="AC857" s="862"/>
      <c r="AD857" s="862"/>
      <c r="AE857" s="862"/>
      <c r="AF857" s="862"/>
      <c r="AG857" s="862"/>
      <c r="AK857" s="802"/>
    </row>
    <row r="858" spans="2:37" ht="70.5" customHeight="1" outlineLevel="1" x14ac:dyDescent="0.25">
      <c r="D858" s="890" t="s">
        <v>819</v>
      </c>
      <c r="E858" s="577" t="s">
        <v>1456</v>
      </c>
      <c r="F858" s="1844"/>
      <c r="G858" s="1844">
        <v>0.66</v>
      </c>
      <c r="H858" s="2288" t="s">
        <v>1453</v>
      </c>
      <c r="I858" s="2288"/>
      <c r="J858" s="2278" t="s">
        <v>1429</v>
      </c>
      <c r="K858" s="2278"/>
      <c r="L858" s="2278"/>
      <c r="M858" s="1548"/>
      <c r="N858" s="1548"/>
      <c r="O858" s="1548"/>
      <c r="P858" s="1548"/>
      <c r="Q858" s="1548"/>
      <c r="V858" s="859" t="str">
        <f>D858</f>
        <v>SPDC</v>
      </c>
      <c r="W858" s="957">
        <v>0.66</v>
      </c>
      <c r="X858" s="957">
        <v>0.66</v>
      </c>
      <c r="Y858" s="862"/>
      <c r="Z858" s="862"/>
      <c r="AA858" s="862"/>
      <c r="AB858" s="862"/>
      <c r="AC858" s="862"/>
      <c r="AD858" s="862"/>
      <c r="AE858" s="862"/>
      <c r="AF858" s="862"/>
      <c r="AG858" s="862"/>
      <c r="AK858" s="802"/>
    </row>
    <row r="859" spans="2:37" outlineLevel="1" x14ac:dyDescent="0.25">
      <c r="D859" s="890">
        <v>365.25</v>
      </c>
      <c r="E859" s="577" t="s">
        <v>1458</v>
      </c>
      <c r="F859" s="1844"/>
      <c r="G859" s="1844">
        <v>365.25</v>
      </c>
      <c r="H859" s="2080" t="s">
        <v>760</v>
      </c>
      <c r="I859" s="2080"/>
      <c r="J859" s="2278"/>
      <c r="K859" s="2278"/>
      <c r="L859" s="2278"/>
      <c r="M859" s="1548"/>
      <c r="N859" s="1548"/>
      <c r="O859" s="1548"/>
      <c r="P859" s="1548"/>
      <c r="Q859" s="1548"/>
      <c r="V859" s="859">
        <f>D859</f>
        <v>365.25</v>
      </c>
      <c r="W859" s="957">
        <v>365.25</v>
      </c>
      <c r="X859" s="957">
        <v>365.25</v>
      </c>
      <c r="Y859" s="862"/>
      <c r="Z859" s="862"/>
      <c r="AA859" s="862"/>
      <c r="AB859" s="862"/>
      <c r="AC859" s="862"/>
      <c r="AD859" s="862"/>
      <c r="AE859" s="862"/>
      <c r="AF859" s="862"/>
      <c r="AG859" s="862"/>
      <c r="AK859" s="802"/>
    </row>
    <row r="860" spans="2:37" outlineLevel="1" x14ac:dyDescent="0.25">
      <c r="D860" s="2279" t="s">
        <v>823</v>
      </c>
      <c r="E860" s="2281" t="s">
        <v>1459</v>
      </c>
      <c r="F860" s="1844" t="s">
        <v>612</v>
      </c>
      <c r="G860" s="1844">
        <v>2.0499999999999998</v>
      </c>
      <c r="H860" s="2283" t="s">
        <v>972</v>
      </c>
      <c r="I860" s="2284"/>
      <c r="J860" s="2285"/>
      <c r="K860" s="2285"/>
      <c r="L860" s="2285"/>
      <c r="M860" s="1548"/>
      <c r="N860" s="1548"/>
      <c r="O860" s="1548"/>
      <c r="P860" s="1548"/>
      <c r="Q860" s="1548"/>
      <c r="V860" s="2286" t="str">
        <f>D860</f>
        <v>SPH</v>
      </c>
      <c r="W860" s="957">
        <v>2.0499999999999998</v>
      </c>
      <c r="X860" s="957">
        <v>2.0499999999999998</v>
      </c>
      <c r="Y860" s="862"/>
      <c r="Z860" s="862"/>
      <c r="AA860" s="862"/>
      <c r="AB860" s="862"/>
      <c r="AC860" s="862"/>
      <c r="AD860" s="862"/>
      <c r="AE860" s="862"/>
      <c r="AF860" s="862"/>
      <c r="AG860" s="862"/>
      <c r="AK860" s="802"/>
    </row>
    <row r="861" spans="2:37" outlineLevel="1" x14ac:dyDescent="0.25">
      <c r="D861" s="2280"/>
      <c r="E861" s="2282"/>
      <c r="F861" s="1844" t="s">
        <v>614</v>
      </c>
      <c r="G861" s="1844">
        <v>1.4</v>
      </c>
      <c r="H861" s="2283" t="s">
        <v>972</v>
      </c>
      <c r="I861" s="2284"/>
      <c r="J861" s="2285"/>
      <c r="K861" s="2285"/>
      <c r="L861" s="2285"/>
      <c r="M861" s="1548"/>
      <c r="N861" s="1548"/>
      <c r="O861" s="1548"/>
      <c r="P861" s="1548"/>
      <c r="Q861" s="1548"/>
      <c r="V861" s="2240"/>
      <c r="W861" s="957">
        <v>1.4</v>
      </c>
      <c r="X861" s="957">
        <v>1.4</v>
      </c>
      <c r="Y861" s="862"/>
      <c r="Z861" s="862"/>
      <c r="AA861" s="862"/>
      <c r="AB861" s="862"/>
      <c r="AC861" s="862"/>
      <c r="AD861" s="862"/>
      <c r="AE861" s="862"/>
      <c r="AF861" s="862"/>
      <c r="AG861" s="862"/>
      <c r="AK861" s="802"/>
    </row>
    <row r="862" spans="2:37" outlineLevel="1" x14ac:dyDescent="0.25">
      <c r="D862" s="890">
        <v>8.33</v>
      </c>
      <c r="E862" s="577" t="s">
        <v>793</v>
      </c>
      <c r="F862" s="1844"/>
      <c r="G862" s="1844">
        <v>8.33</v>
      </c>
      <c r="H862" s="2271" t="s">
        <v>794</v>
      </c>
      <c r="I862" s="2271"/>
      <c r="J862" s="2278" t="s">
        <v>1429</v>
      </c>
      <c r="K862" s="2278"/>
      <c r="L862" s="2278"/>
      <c r="M862" s="1548"/>
      <c r="N862" s="1548"/>
      <c r="O862" s="1548"/>
      <c r="P862" s="1548" t="s">
        <v>1503</v>
      </c>
      <c r="Q862" s="1548"/>
      <c r="V862" s="859">
        <f>D862</f>
        <v>8.33</v>
      </c>
      <c r="W862" s="957">
        <v>8.33</v>
      </c>
      <c r="X862" s="957">
        <v>8.33</v>
      </c>
      <c r="Y862" s="862"/>
      <c r="Z862" s="862"/>
      <c r="AA862" s="862"/>
      <c r="AB862" s="862"/>
      <c r="AC862" s="862"/>
      <c r="AD862" s="862"/>
      <c r="AE862" s="862"/>
      <c r="AF862" s="862"/>
      <c r="AG862" s="862"/>
      <c r="AK862" s="802"/>
    </row>
    <row r="863" spans="2:37" outlineLevel="1" x14ac:dyDescent="0.25">
      <c r="D863" s="890">
        <v>1</v>
      </c>
      <c r="E863" s="577" t="s">
        <v>1460</v>
      </c>
      <c r="F863" s="1844"/>
      <c r="G863" s="1844">
        <v>1</v>
      </c>
      <c r="H863" s="2080" t="s">
        <v>796</v>
      </c>
      <c r="I863" s="2080"/>
      <c r="J863" s="2278" t="s">
        <v>1429</v>
      </c>
      <c r="K863" s="2278"/>
      <c r="L863" s="2278"/>
      <c r="M863" s="1548"/>
      <c r="N863" s="1548"/>
      <c r="O863" s="1548"/>
      <c r="P863" s="1548"/>
      <c r="Q863" s="1548"/>
      <c r="V863" s="859">
        <f t="shared" ref="V863:V870" si="64">D863</f>
        <v>1</v>
      </c>
      <c r="W863" s="957">
        <v>1</v>
      </c>
      <c r="X863" s="957">
        <v>1</v>
      </c>
      <c r="Y863" s="862"/>
      <c r="Z863" s="862"/>
      <c r="AA863" s="862"/>
      <c r="AB863" s="862"/>
      <c r="AC863" s="862"/>
      <c r="AD863" s="862"/>
      <c r="AE863" s="862"/>
      <c r="AF863" s="862"/>
      <c r="AG863" s="862"/>
      <c r="AK863" s="802"/>
    </row>
    <row r="864" spans="2:37" outlineLevel="1" x14ac:dyDescent="0.25">
      <c r="D864" s="890" t="s">
        <v>825</v>
      </c>
      <c r="E864" s="577" t="s">
        <v>1461</v>
      </c>
      <c r="F864" s="1844"/>
      <c r="G864" s="1844">
        <v>105</v>
      </c>
      <c r="H864" s="2080" t="s">
        <v>827</v>
      </c>
      <c r="I864" s="2080"/>
      <c r="J864" s="2278" t="s">
        <v>1429</v>
      </c>
      <c r="K864" s="2278"/>
      <c r="L864" s="2278"/>
      <c r="M864" s="1548"/>
      <c r="N864" s="1548"/>
      <c r="O864" s="1548"/>
      <c r="P864" s="1548"/>
      <c r="Q864" s="1548"/>
      <c r="V864" s="859" t="str">
        <f t="shared" si="64"/>
        <v>ShowerTemp</v>
      </c>
      <c r="W864" s="957">
        <v>105</v>
      </c>
      <c r="X864" s="957">
        <v>105</v>
      </c>
      <c r="Y864" s="862"/>
      <c r="Z864" s="862"/>
      <c r="AA864" s="862"/>
      <c r="AB864" s="862"/>
      <c r="AC864" s="862"/>
      <c r="AD864" s="862"/>
      <c r="AE864" s="862"/>
      <c r="AF864" s="862"/>
      <c r="AG864" s="862"/>
      <c r="AK864" s="802"/>
    </row>
    <row r="865" spans="1:37" outlineLevel="1" x14ac:dyDescent="0.25">
      <c r="B865" s="1087"/>
      <c r="D865" s="890" t="s">
        <v>800</v>
      </c>
      <c r="E865" s="577" t="s">
        <v>1442</v>
      </c>
      <c r="F865" s="1844"/>
      <c r="G865" s="1844">
        <v>61.3</v>
      </c>
      <c r="H865" s="2080" t="s">
        <v>802</v>
      </c>
      <c r="I865" s="2080"/>
      <c r="J865" s="2278" t="s">
        <v>1429</v>
      </c>
      <c r="K865" s="2278"/>
      <c r="L865" s="2278"/>
      <c r="M865" s="1548"/>
      <c r="N865" s="1548"/>
      <c r="O865" s="1548"/>
      <c r="P865" s="1548"/>
      <c r="Q865" s="1548"/>
      <c r="V865" s="859" t="str">
        <f t="shared" si="64"/>
        <v>SupplyTemp</v>
      </c>
      <c r="W865" s="957">
        <v>61.3</v>
      </c>
      <c r="X865" s="957">
        <v>61.3</v>
      </c>
      <c r="Y865" s="862"/>
      <c r="Z865" s="862"/>
      <c r="AA865" s="862"/>
      <c r="AB865" s="862"/>
      <c r="AC865" s="862"/>
      <c r="AD865" s="862"/>
      <c r="AE865" s="862"/>
      <c r="AF865" s="862"/>
      <c r="AG865" s="862"/>
      <c r="AK865" s="802"/>
    </row>
    <row r="866" spans="1:37" ht="18" outlineLevel="1" x14ac:dyDescent="0.25">
      <c r="B866" s="1087"/>
      <c r="D866" s="890" t="s">
        <v>1504</v>
      </c>
      <c r="E866" s="918" t="s">
        <v>1443</v>
      </c>
      <c r="F866" s="958"/>
      <c r="G866" s="958">
        <v>0.98</v>
      </c>
      <c r="H866" s="2272" t="s">
        <v>1444</v>
      </c>
      <c r="I866" s="2272"/>
      <c r="J866" s="2278" t="s">
        <v>1429</v>
      </c>
      <c r="K866" s="2278"/>
      <c r="L866" s="2278"/>
      <c r="M866" s="1548"/>
      <c r="N866" s="1548"/>
      <c r="O866" s="1548"/>
      <c r="P866" s="1548"/>
      <c r="Q866" s="1548"/>
      <c r="V866" s="859" t="str">
        <f t="shared" si="64"/>
        <v>REelectric</v>
      </c>
      <c r="W866" s="957">
        <v>0.98</v>
      </c>
      <c r="X866" s="957">
        <v>0.98</v>
      </c>
      <c r="Y866" s="862"/>
      <c r="Z866" s="862"/>
      <c r="AA866" s="862"/>
      <c r="AB866" s="862"/>
      <c r="AC866" s="862"/>
      <c r="AD866" s="862"/>
      <c r="AE866" s="862"/>
      <c r="AF866" s="862"/>
      <c r="AG866" s="862"/>
      <c r="AK866" s="802"/>
    </row>
    <row r="867" spans="1:37" outlineLevel="1" x14ac:dyDescent="0.25">
      <c r="B867" s="1087"/>
      <c r="D867" s="890">
        <v>3412</v>
      </c>
      <c r="E867" s="918">
        <v>3412</v>
      </c>
      <c r="F867" s="959"/>
      <c r="G867" s="959">
        <v>3412</v>
      </c>
      <c r="H867" s="2271" t="s">
        <v>546</v>
      </c>
      <c r="I867" s="2271"/>
      <c r="J867" s="2278" t="s">
        <v>1505</v>
      </c>
      <c r="K867" s="2278"/>
      <c r="L867" s="2278"/>
      <c r="M867" s="1548"/>
      <c r="N867" s="1548"/>
      <c r="O867" s="1548"/>
      <c r="P867" s="1548"/>
      <c r="Q867" s="1548"/>
      <c r="V867" s="859">
        <f t="shared" si="64"/>
        <v>3412</v>
      </c>
      <c r="W867" s="960">
        <v>3412</v>
      </c>
      <c r="X867" s="960">
        <v>3412</v>
      </c>
      <c r="Y867" s="915"/>
      <c r="Z867" s="915"/>
      <c r="AA867" s="915"/>
      <c r="AB867" s="915"/>
      <c r="AC867" s="915"/>
      <c r="AD867" s="915"/>
      <c r="AE867" s="915"/>
      <c r="AF867" s="915"/>
      <c r="AG867" s="915"/>
      <c r="AK867" s="802"/>
    </row>
    <row r="868" spans="1:37" outlineLevel="1" x14ac:dyDescent="0.25">
      <c r="B868" s="1087"/>
      <c r="D868" s="890" t="s">
        <v>736</v>
      </c>
      <c r="E868" s="890" t="s">
        <v>769</v>
      </c>
      <c r="F868" s="961"/>
      <c r="G868" s="961">
        <v>1</v>
      </c>
      <c r="H868" s="2271" t="s">
        <v>1367</v>
      </c>
      <c r="I868" s="2271"/>
      <c r="J868" s="2278" t="s">
        <v>1368</v>
      </c>
      <c r="K868" s="2278"/>
      <c r="L868" s="2278"/>
      <c r="M868" s="1548"/>
      <c r="N868" s="1548"/>
      <c r="O868" s="1548"/>
      <c r="P868" s="1548"/>
      <c r="Q868" s="1548"/>
      <c r="V868" s="859" t="str">
        <f t="shared" si="64"/>
        <v>Utility Adjustment</v>
      </c>
      <c r="W868" s="955">
        <v>1</v>
      </c>
      <c r="X868" s="955">
        <v>1</v>
      </c>
      <c r="Y868" s="860"/>
      <c r="Z868" s="860"/>
      <c r="AA868" s="860"/>
      <c r="AB868" s="860"/>
      <c r="AC868" s="860"/>
      <c r="AD868" s="860"/>
      <c r="AE868" s="860"/>
      <c r="AF868" s="860"/>
      <c r="AG868" s="860"/>
      <c r="AK868" s="802"/>
    </row>
    <row r="869" spans="1:37" outlineLevel="1" x14ac:dyDescent="0.25">
      <c r="B869" s="1087"/>
      <c r="C869" s="1434"/>
      <c r="D869" s="890" t="s">
        <v>58</v>
      </c>
      <c r="E869" s="918" t="s">
        <v>1369</v>
      </c>
      <c r="F869" s="958"/>
      <c r="G869" s="958">
        <v>0.91346153846153844</v>
      </c>
      <c r="H869" s="2277" t="s">
        <v>1506</v>
      </c>
      <c r="I869" s="2277"/>
      <c r="J869" s="2278" t="s">
        <v>1429</v>
      </c>
      <c r="K869" s="2278"/>
      <c r="L869" s="2278"/>
      <c r="M869" s="1548"/>
      <c r="N869" s="1548"/>
      <c r="O869" s="1548"/>
      <c r="P869" s="1548"/>
      <c r="Q869" s="1548"/>
      <c r="V869" s="859" t="str">
        <f t="shared" si="64"/>
        <v>ISR</v>
      </c>
      <c r="W869" s="957">
        <v>0.91346153846153844</v>
      </c>
      <c r="X869" s="957">
        <v>0.91346153846153844</v>
      </c>
      <c r="Y869" s="862"/>
      <c r="Z869" s="862"/>
      <c r="AA869" s="862"/>
      <c r="AB869" s="862"/>
      <c r="AC869" s="862"/>
      <c r="AD869" s="862"/>
      <c r="AE869" s="862"/>
      <c r="AF869" s="862"/>
      <c r="AG869" s="862"/>
      <c r="AK869" s="802"/>
    </row>
    <row r="870" spans="1:37" outlineLevel="1" x14ac:dyDescent="0.25">
      <c r="B870" s="1087"/>
      <c r="C870" s="305"/>
      <c r="D870" s="926" t="str">
        <f>D746</f>
        <v>EUL</v>
      </c>
      <c r="E870" s="926" t="str">
        <f>E746</f>
        <v>Effective Useful Life (All)</v>
      </c>
      <c r="F870" s="1039" t="s">
        <v>483</v>
      </c>
      <c r="G870" s="962">
        <v>10</v>
      </c>
      <c r="H870" s="2277"/>
      <c r="I870" s="2277"/>
      <c r="J870" s="2278"/>
      <c r="K870" s="2278"/>
      <c r="L870" s="2278"/>
      <c r="V870" s="859" t="str">
        <f t="shared" si="64"/>
        <v>EUL</v>
      </c>
      <c r="W870" s="863">
        <v>10</v>
      </c>
      <c r="X870" s="863">
        <v>10</v>
      </c>
      <c r="Y870" s="925"/>
      <c r="Z870" s="925"/>
      <c r="AA870" s="925"/>
      <c r="AB870" s="925"/>
      <c r="AC870" s="925"/>
      <c r="AD870" s="925"/>
      <c r="AE870" s="925"/>
      <c r="AF870" s="925"/>
      <c r="AG870" s="925"/>
      <c r="AK870" s="802"/>
    </row>
    <row r="871" spans="1:37" outlineLevel="1" x14ac:dyDescent="0.25">
      <c r="B871" s="1087"/>
      <c r="C871" s="305"/>
      <c r="D871" s="2248" t="str">
        <f>D836</f>
        <v>Inc. Cost</v>
      </c>
      <c r="E871" s="2248" t="str">
        <f>E717</f>
        <v>Incremental Cost</v>
      </c>
      <c r="F871" s="1039" t="s">
        <v>1445</v>
      </c>
      <c r="G871" s="963">
        <v>50</v>
      </c>
      <c r="H871" s="2277"/>
      <c r="I871" s="2277"/>
      <c r="J871" s="2278"/>
      <c r="K871" s="2278"/>
      <c r="L871" s="2278"/>
      <c r="V871" s="2239" t="str">
        <f>D871</f>
        <v>Inc. Cost</v>
      </c>
      <c r="W871" s="927">
        <v>50</v>
      </c>
      <c r="X871" s="927">
        <v>50</v>
      </c>
      <c r="Y871" s="928"/>
      <c r="Z871" s="928"/>
      <c r="AA871" s="928"/>
      <c r="AB871" s="928"/>
      <c r="AC871" s="928"/>
      <c r="AD871" s="928"/>
      <c r="AE871" s="928"/>
      <c r="AF871" s="928"/>
      <c r="AG871" s="928"/>
      <c r="AK871" s="802"/>
    </row>
    <row r="872" spans="1:37" outlineLevel="1" x14ac:dyDescent="0.25">
      <c r="B872" s="1087"/>
      <c r="C872" s="305"/>
      <c r="D872" s="2080"/>
      <c r="E872" s="2080"/>
      <c r="F872" s="1039" t="s">
        <v>1447</v>
      </c>
      <c r="G872" s="963">
        <v>50</v>
      </c>
      <c r="H872" s="2277"/>
      <c r="I872" s="2277"/>
      <c r="J872" s="2278"/>
      <c r="K872" s="2278"/>
      <c r="L872" s="2278"/>
      <c r="V872" s="2240"/>
      <c r="W872" s="927">
        <v>50</v>
      </c>
      <c r="X872" s="927">
        <v>50</v>
      </c>
      <c r="Y872" s="928"/>
      <c r="Z872" s="928"/>
      <c r="AA872" s="928"/>
      <c r="AB872" s="928"/>
      <c r="AC872" s="928"/>
      <c r="AD872" s="928"/>
      <c r="AE872" s="928"/>
      <c r="AF872" s="928"/>
      <c r="AG872" s="928"/>
      <c r="AK872" s="802"/>
    </row>
    <row r="873" spans="1:37" ht="15" customHeight="1" x14ac:dyDescent="0.25">
      <c r="B873" s="1087"/>
      <c r="C873" s="1434"/>
      <c r="AK873" s="802"/>
    </row>
    <row r="874" spans="1:37" ht="15" customHeight="1" x14ac:dyDescent="0.25">
      <c r="B874" s="1087"/>
      <c r="C874" s="1434"/>
      <c r="AK874" s="802"/>
    </row>
    <row r="875" spans="1:37" ht="15" customHeight="1" x14ac:dyDescent="0.25">
      <c r="B875" s="2022" t="s">
        <v>1507</v>
      </c>
      <c r="C875" s="2023"/>
      <c r="D875" s="2023"/>
      <c r="E875" s="2023"/>
      <c r="F875" s="2023"/>
      <c r="G875" s="2023"/>
      <c r="H875" s="2023"/>
      <c r="I875" s="1992"/>
      <c r="J875" s="1992"/>
      <c r="K875" s="1992"/>
      <c r="L875" s="1992"/>
      <c r="M875" s="1992"/>
      <c r="N875" s="1992"/>
      <c r="O875" s="1992"/>
      <c r="P875" s="1992"/>
      <c r="Q875" s="1992"/>
      <c r="R875" s="1993"/>
      <c r="V875" s="2022" t="str">
        <f>B875</f>
        <v>Water Heater Wrap</v>
      </c>
      <c r="W875" s="2023"/>
      <c r="X875" s="2023"/>
      <c r="Y875" s="2023"/>
      <c r="Z875" s="2023"/>
      <c r="AA875" s="2023"/>
      <c r="AB875" s="2023"/>
      <c r="AC875" s="2024"/>
      <c r="AD875" s="2024"/>
      <c r="AE875" s="2024"/>
      <c r="AF875" s="2024"/>
      <c r="AG875" s="2024"/>
      <c r="AH875" s="2024"/>
      <c r="AI875" s="2025"/>
      <c r="AK875" s="802"/>
    </row>
    <row r="876" spans="1:37" ht="15" customHeight="1" x14ac:dyDescent="0.25">
      <c r="A876" s="257"/>
      <c r="B876" s="1444"/>
      <c r="D876" s="1435"/>
      <c r="E876" s="1435"/>
      <c r="F876" s="1436"/>
      <c r="G876" s="1436"/>
      <c r="H876" s="1436"/>
      <c r="I876" s="1436"/>
      <c r="J876" s="1436"/>
      <c r="K876" s="1436"/>
      <c r="L876" s="1437"/>
      <c r="AK876" s="802"/>
    </row>
    <row r="877" spans="1:37" ht="45" x14ac:dyDescent="0.25">
      <c r="B877" s="1087"/>
      <c r="C877" s="184" t="s">
        <v>16</v>
      </c>
      <c r="D877" s="184" t="s">
        <v>509</v>
      </c>
      <c r="E877" s="184" t="s">
        <v>18</v>
      </c>
      <c r="F877" s="184" t="s">
        <v>1325</v>
      </c>
      <c r="G877" s="184" t="s">
        <v>20</v>
      </c>
      <c r="H877" s="184" t="s">
        <v>21</v>
      </c>
      <c r="I877" s="184" t="s">
        <v>22</v>
      </c>
      <c r="J877" s="184" t="s">
        <v>23</v>
      </c>
      <c r="K877" s="184" t="s">
        <v>24</v>
      </c>
      <c r="L877" s="184" t="s">
        <v>25</v>
      </c>
      <c r="V877" s="48" t="s">
        <v>26</v>
      </c>
      <c r="W877" s="49">
        <f>W$6</f>
        <v>43252</v>
      </c>
      <c r="X877" s="49">
        <f t="shared" ref="X877:AG877" si="65">X$6</f>
        <v>43465</v>
      </c>
      <c r="Y877" s="49" t="str">
        <f t="shared" si="65"/>
        <v>-</v>
      </c>
      <c r="Z877" s="49" t="str">
        <f t="shared" si="65"/>
        <v>-</v>
      </c>
      <c r="AA877" s="49" t="str">
        <f t="shared" si="65"/>
        <v>-</v>
      </c>
      <c r="AB877" s="49" t="str">
        <f t="shared" si="65"/>
        <v>-</v>
      </c>
      <c r="AC877" s="49" t="str">
        <f t="shared" si="65"/>
        <v>-</v>
      </c>
      <c r="AD877" s="49" t="str">
        <f t="shared" si="65"/>
        <v>-</v>
      </c>
      <c r="AE877" s="49" t="str">
        <f t="shared" si="65"/>
        <v>-</v>
      </c>
      <c r="AF877" s="49" t="str">
        <f t="shared" si="65"/>
        <v>-</v>
      </c>
      <c r="AG877" s="49" t="str">
        <f t="shared" si="65"/>
        <v>-</v>
      </c>
      <c r="AK877" s="802"/>
    </row>
    <row r="878" spans="1:37" ht="15" customHeight="1" x14ac:dyDescent="0.25">
      <c r="B878" s="1087"/>
      <c r="C878" s="1438"/>
      <c r="D878" s="158" t="s">
        <v>1250</v>
      </c>
      <c r="E878" s="158" t="s">
        <v>1508</v>
      </c>
      <c r="F878" s="160">
        <f>((((F885/F886)-(F887/F888))*F889*F890)/(F891*F892))*F893*F894*F895</f>
        <v>100.5495328291675</v>
      </c>
      <c r="G878" s="1531" t="s">
        <v>1425</v>
      </c>
      <c r="H878" s="170">
        <f>VLOOKUP(G878,'CP FACTORS'!$A$3:$B$38, 2, FALSE)</f>
        <v>8.8731800000000003E-5</v>
      </c>
      <c r="I878" s="1845">
        <f>H878*F878</f>
        <v>8.9219410370911263E-3</v>
      </c>
      <c r="J878" s="930">
        <f>F896</f>
        <v>12</v>
      </c>
      <c r="K878" s="953">
        <f>F897</f>
        <v>58</v>
      </c>
      <c r="L878" s="1531" t="s">
        <v>31</v>
      </c>
      <c r="V878" s="176" t="str">
        <f>$F$842</f>
        <v>kWh
Annual Savings</v>
      </c>
      <c r="W878" s="1215">
        <v>41.682564640276333</v>
      </c>
      <c r="X878" s="1205">
        <v>41.682564640276333</v>
      </c>
      <c r="Y878" s="176"/>
      <c r="Z878" s="176"/>
      <c r="AA878" s="176"/>
      <c r="AB878" s="176"/>
      <c r="AC878" s="176"/>
      <c r="AD878" s="176"/>
      <c r="AE878" s="176"/>
      <c r="AF878" s="176"/>
      <c r="AG878" s="176"/>
      <c r="AK878" s="802"/>
    </row>
    <row r="879" spans="1:37" ht="15" customHeight="1" outlineLevel="1" x14ac:dyDescent="0.25">
      <c r="B879" s="1087"/>
      <c r="C879" s="1447"/>
      <c r="D879" s="1608"/>
      <c r="E879" s="1608"/>
      <c r="AK879" s="802"/>
    </row>
    <row r="880" spans="1:37" ht="15" customHeight="1" outlineLevel="1" x14ac:dyDescent="0.25">
      <c r="B880" s="1087"/>
      <c r="C880" s="1447"/>
      <c r="D880" s="1418" t="s">
        <v>463</v>
      </c>
      <c r="E880" s="1651"/>
      <c r="F880" s="1713"/>
      <c r="G880" s="1713"/>
      <c r="AK880" s="802"/>
    </row>
    <row r="881" spans="2:37" ht="15" customHeight="1" outlineLevel="1" x14ac:dyDescent="0.25">
      <c r="B881" s="1087"/>
      <c r="C881" s="1454"/>
      <c r="D881" s="1806"/>
      <c r="E881" s="1807"/>
      <c r="F881" s="1717"/>
      <c r="G881" s="1717"/>
      <c r="H881" s="1717"/>
      <c r="I881" s="1717"/>
      <c r="J881" s="1717"/>
      <c r="AK881" s="802"/>
    </row>
    <row r="882" spans="2:37" ht="15" customHeight="1" outlineLevel="1" x14ac:dyDescent="0.25">
      <c r="B882" s="1087"/>
      <c r="C882" s="1454"/>
      <c r="D882" s="1806"/>
      <c r="E882" s="1807"/>
      <c r="F882" s="1717"/>
      <c r="G882" s="1810"/>
      <c r="H882" s="1810"/>
      <c r="I882" s="1810"/>
      <c r="J882" s="1717"/>
      <c r="AK882" s="802"/>
    </row>
    <row r="883" spans="2:37" outlineLevel="1" x14ac:dyDescent="0.25">
      <c r="B883" s="1087"/>
      <c r="C883" s="1454"/>
      <c r="D883" s="1715"/>
      <c r="E883" s="1716"/>
      <c r="F883" s="1717"/>
      <c r="G883" s="1810"/>
      <c r="H883" s="1810"/>
      <c r="I883" s="1810"/>
      <c r="J883" s="1717"/>
      <c r="AK883" s="802"/>
    </row>
    <row r="884" spans="2:37" outlineLevel="1" x14ac:dyDescent="0.25">
      <c r="B884" s="1087"/>
      <c r="C884" s="1434"/>
      <c r="D884" s="1098" t="s">
        <v>465</v>
      </c>
      <c r="E884" s="1098" t="s">
        <v>466</v>
      </c>
      <c r="F884" s="604" t="s">
        <v>467</v>
      </c>
      <c r="G884" s="2050" t="s">
        <v>515</v>
      </c>
      <c r="H884" s="2050"/>
      <c r="I884" s="954" t="s">
        <v>468</v>
      </c>
      <c r="V884" s="48" t="s">
        <v>26</v>
      </c>
      <c r="W884" s="49">
        <f>W$6</f>
        <v>43252</v>
      </c>
      <c r="X884" s="49">
        <f t="shared" ref="X884:AG884" si="66">X$6</f>
        <v>43465</v>
      </c>
      <c r="Y884" s="49" t="str">
        <f t="shared" si="66"/>
        <v>-</v>
      </c>
      <c r="Z884" s="49" t="str">
        <f t="shared" si="66"/>
        <v>-</v>
      </c>
      <c r="AA884" s="49" t="str">
        <f t="shared" si="66"/>
        <v>-</v>
      </c>
      <c r="AB884" s="49" t="str">
        <f t="shared" si="66"/>
        <v>-</v>
      </c>
      <c r="AC884" s="49" t="str">
        <f t="shared" si="66"/>
        <v>-</v>
      </c>
      <c r="AD884" s="49" t="str">
        <f t="shared" si="66"/>
        <v>-</v>
      </c>
      <c r="AE884" s="49" t="str">
        <f t="shared" si="66"/>
        <v>-</v>
      </c>
      <c r="AF884" s="49" t="str">
        <f t="shared" si="66"/>
        <v>-</v>
      </c>
      <c r="AG884" s="49" t="str">
        <f t="shared" si="66"/>
        <v>-</v>
      </c>
      <c r="AK884" s="802"/>
    </row>
    <row r="885" spans="2:37" ht="118.5" customHeight="1" outlineLevel="1" x14ac:dyDescent="0.25">
      <c r="B885" s="1087"/>
      <c r="C885" s="1454"/>
      <c r="D885" s="1829" t="s">
        <v>1912</v>
      </c>
      <c r="E885" s="1813" t="s">
        <v>1509</v>
      </c>
      <c r="F885" s="1846">
        <f>AVERAGE(19.16,23.18,24.99,31.84)</f>
        <v>24.7925</v>
      </c>
      <c r="G885" s="2276" t="s">
        <v>1510</v>
      </c>
      <c r="H885" s="2276"/>
      <c r="I885" s="965" t="s">
        <v>1511</v>
      </c>
      <c r="V885" s="859" t="str">
        <f>D885</f>
        <v>ABase</v>
      </c>
      <c r="W885" s="964">
        <f>AVERAGE(19.16,23.18,24.99,31.84)</f>
        <v>24.7925</v>
      </c>
      <c r="X885" s="964">
        <f>AVERAGE(19.16,23.18,24.99,31.84)</f>
        <v>24.7925</v>
      </c>
      <c r="Y885" s="966"/>
      <c r="Z885" s="966"/>
      <c r="AA885" s="966"/>
      <c r="AB885" s="966"/>
      <c r="AC885" s="966"/>
      <c r="AD885" s="966"/>
      <c r="AE885" s="966"/>
      <c r="AF885" s="966"/>
      <c r="AG885" s="966"/>
      <c r="AK885" s="802"/>
    </row>
    <row r="886" spans="2:37" ht="18" outlineLevel="1" x14ac:dyDescent="0.25">
      <c r="B886" s="1087"/>
      <c r="C886" s="1454"/>
      <c r="D886" s="1829" t="s">
        <v>1907</v>
      </c>
      <c r="E886" s="1814" t="s">
        <v>1512</v>
      </c>
      <c r="F886" s="974">
        <v>14</v>
      </c>
      <c r="G886" s="2276" t="s">
        <v>1468</v>
      </c>
      <c r="H886" s="2276"/>
      <c r="I886" s="965" t="s">
        <v>1513</v>
      </c>
      <c r="V886" s="859" t="str">
        <f t="shared" ref="V886:V896" si="67">D886</f>
        <v>RBase</v>
      </c>
      <c r="W886" s="967">
        <v>14</v>
      </c>
      <c r="X886" s="967">
        <v>14</v>
      </c>
      <c r="Y886" s="968"/>
      <c r="Z886" s="968"/>
      <c r="AA886" s="968"/>
      <c r="AB886" s="968"/>
      <c r="AC886" s="968"/>
      <c r="AD886" s="968"/>
      <c r="AE886" s="968"/>
      <c r="AF886" s="968"/>
      <c r="AG886" s="968"/>
      <c r="AK886" s="802"/>
    </row>
    <row r="887" spans="2:37" ht="88.5" customHeight="1" outlineLevel="1" x14ac:dyDescent="0.25">
      <c r="B887" s="1087"/>
      <c r="C887" s="1454"/>
      <c r="D887" s="1829" t="s">
        <v>1913</v>
      </c>
      <c r="E887" s="1814" t="s">
        <v>1514</v>
      </c>
      <c r="F887" s="1846">
        <f>AVERAGE(20.94,25.31,27.06,34.14)</f>
        <v>26.862500000000001</v>
      </c>
      <c r="G887" s="2134" t="s">
        <v>1914</v>
      </c>
      <c r="H887" s="2134"/>
      <c r="I887" s="965" t="s">
        <v>1515</v>
      </c>
      <c r="V887" s="859" t="str">
        <f t="shared" si="67"/>
        <v>AEE</v>
      </c>
      <c r="W887" s="964">
        <f>AVERAGE(20.94,25.31,27.06,34.14)</f>
        <v>26.862500000000001</v>
      </c>
      <c r="X887" s="964">
        <f>AVERAGE(20.94,25.31,27.06,34.14)</f>
        <v>26.862500000000001</v>
      </c>
      <c r="Y887" s="966"/>
      <c r="Z887" s="966"/>
      <c r="AA887" s="966"/>
      <c r="AB887" s="966"/>
      <c r="AC887" s="966"/>
      <c r="AD887" s="966"/>
      <c r="AE887" s="966"/>
      <c r="AF887" s="966"/>
      <c r="AG887" s="966"/>
      <c r="AK887" s="802"/>
    </row>
    <row r="888" spans="2:37" ht="18" outlineLevel="1" x14ac:dyDescent="0.25">
      <c r="B888" s="1087"/>
      <c r="C888" s="1454"/>
      <c r="D888" s="1829" t="s">
        <v>1909</v>
      </c>
      <c r="E888" s="1814" t="s">
        <v>1516</v>
      </c>
      <c r="F888" s="974">
        <v>24</v>
      </c>
      <c r="G888" s="2275" t="s">
        <v>1468</v>
      </c>
      <c r="H888" s="2275"/>
      <c r="I888" s="965" t="s">
        <v>1517</v>
      </c>
      <c r="V888" s="859" t="str">
        <f t="shared" si="67"/>
        <v>REE</v>
      </c>
      <c r="W888" s="967">
        <v>24</v>
      </c>
      <c r="X888" s="967">
        <v>24</v>
      </c>
      <c r="Y888" s="968"/>
      <c r="Z888" s="968"/>
      <c r="AA888" s="968"/>
      <c r="AB888" s="968"/>
      <c r="AC888" s="968"/>
      <c r="AD888" s="968"/>
      <c r="AE888" s="968"/>
      <c r="AF888" s="968"/>
      <c r="AG888" s="968"/>
      <c r="AK888" s="802"/>
    </row>
    <row r="889" spans="2:37" ht="75" customHeight="1" outlineLevel="1" x14ac:dyDescent="0.25">
      <c r="B889" s="1087"/>
      <c r="C889" s="1454"/>
      <c r="D889" s="939" t="s">
        <v>1470</v>
      </c>
      <c r="E889" s="1814" t="s">
        <v>846</v>
      </c>
      <c r="F889" s="974">
        <v>58.9</v>
      </c>
      <c r="G889" s="2276" t="s">
        <v>1472</v>
      </c>
      <c r="H889" s="2276"/>
      <c r="I889" s="965" t="s">
        <v>1354</v>
      </c>
      <c r="V889" s="859" t="str">
        <f t="shared" si="67"/>
        <v>DT</v>
      </c>
      <c r="W889" s="967">
        <v>58.9</v>
      </c>
      <c r="X889" s="967">
        <v>58.9</v>
      </c>
      <c r="Y889" s="968"/>
      <c r="Z889" s="968"/>
      <c r="AA889" s="968"/>
      <c r="AB889" s="968"/>
      <c r="AC889" s="968"/>
      <c r="AD889" s="968"/>
      <c r="AE889" s="968"/>
      <c r="AF889" s="968"/>
      <c r="AG889" s="968"/>
      <c r="AK889" s="802"/>
    </row>
    <row r="890" spans="2:37" ht="58.5" customHeight="1" outlineLevel="1" x14ac:dyDescent="0.25">
      <c r="B890" s="1087"/>
      <c r="C890" s="1454"/>
      <c r="D890" s="1829" t="s">
        <v>65</v>
      </c>
      <c r="E890" s="1814" t="s">
        <v>848</v>
      </c>
      <c r="F890" s="1847">
        <v>8760</v>
      </c>
      <c r="G890" s="2134" t="s">
        <v>834</v>
      </c>
      <c r="H890" s="2134"/>
      <c r="I890" s="965" t="s">
        <v>1354</v>
      </c>
      <c r="V890" s="859" t="str">
        <f t="shared" si="67"/>
        <v>Hours</v>
      </c>
      <c r="W890" s="969">
        <v>8760</v>
      </c>
      <c r="X890" s="969">
        <v>8760</v>
      </c>
      <c r="Y890" s="970"/>
      <c r="Z890" s="970"/>
      <c r="AA890" s="970"/>
      <c r="AB890" s="970"/>
      <c r="AC890" s="970"/>
      <c r="AD890" s="970"/>
      <c r="AE890" s="970"/>
      <c r="AF890" s="970"/>
      <c r="AG890" s="970"/>
      <c r="AK890" s="802"/>
    </row>
    <row r="891" spans="2:37" ht="54" customHeight="1" outlineLevel="1" x14ac:dyDescent="0.25">
      <c r="B891" s="1087"/>
      <c r="C891" s="1454"/>
      <c r="D891" s="1829" t="s">
        <v>1471</v>
      </c>
      <c r="E891" s="1814" t="s">
        <v>850</v>
      </c>
      <c r="F891" s="974">
        <v>0.98</v>
      </c>
      <c r="G891" s="2276" t="s">
        <v>1472</v>
      </c>
      <c r="H891" s="2276"/>
      <c r="I891" s="965" t="s">
        <v>1354</v>
      </c>
      <c r="V891" s="859" t="str">
        <f t="shared" si="67"/>
        <v>ȠDHWElec</v>
      </c>
      <c r="W891" s="967">
        <v>0.98</v>
      </c>
      <c r="X891" s="967">
        <v>0.98</v>
      </c>
      <c r="Y891" s="968"/>
      <c r="Z891" s="968"/>
      <c r="AA891" s="968"/>
      <c r="AB891" s="968"/>
      <c r="AC891" s="968"/>
      <c r="AD891" s="968"/>
      <c r="AE891" s="968"/>
      <c r="AF891" s="968"/>
      <c r="AG891" s="968"/>
      <c r="AK891" s="802"/>
    </row>
    <row r="892" spans="2:37" ht="48.75" customHeight="1" outlineLevel="1" x14ac:dyDescent="0.25">
      <c r="B892" s="1087"/>
      <c r="C892" s="1454"/>
      <c r="D892" s="1829">
        <v>3412</v>
      </c>
      <c r="E892" s="1813" t="s">
        <v>851</v>
      </c>
      <c r="F892" s="452">
        <v>3412</v>
      </c>
      <c r="G892" s="2134" t="s">
        <v>834</v>
      </c>
      <c r="H892" s="2134"/>
      <c r="I892" s="965" t="s">
        <v>1354</v>
      </c>
      <c r="V892" s="859">
        <f t="shared" si="67"/>
        <v>3412</v>
      </c>
      <c r="W892" s="971">
        <v>3412</v>
      </c>
      <c r="X892" s="971">
        <v>3412</v>
      </c>
      <c r="Y892" s="476"/>
      <c r="Z892" s="476"/>
      <c r="AA892" s="476"/>
      <c r="AB892" s="476"/>
      <c r="AC892" s="476"/>
      <c r="AD892" s="476"/>
      <c r="AE892" s="476"/>
      <c r="AF892" s="476"/>
      <c r="AG892" s="476"/>
      <c r="AK892" s="802"/>
    </row>
    <row r="893" spans="2:37" ht="30" customHeight="1" outlineLevel="1" x14ac:dyDescent="0.25">
      <c r="B893" s="1087"/>
      <c r="C893" s="1454"/>
      <c r="D893" s="890" t="s">
        <v>852</v>
      </c>
      <c r="E893" s="890" t="s">
        <v>774</v>
      </c>
      <c r="F893" s="961">
        <v>1</v>
      </c>
      <c r="G893" s="2271" t="s">
        <v>1367</v>
      </c>
      <c r="H893" s="2271"/>
      <c r="I893" s="972"/>
      <c r="V893" s="859" t="str">
        <f t="shared" si="67"/>
        <v>*Electric Saturation</v>
      </c>
      <c r="W893" s="973">
        <v>1</v>
      </c>
      <c r="X893" s="973">
        <v>1</v>
      </c>
      <c r="Y893" s="453"/>
      <c r="Z893" s="453"/>
      <c r="AA893" s="453"/>
      <c r="AB893" s="453"/>
      <c r="AC893" s="453"/>
      <c r="AD893" s="453"/>
      <c r="AE893" s="453"/>
      <c r="AF893" s="453"/>
      <c r="AG893" s="453"/>
      <c r="AK893" s="802"/>
    </row>
    <row r="894" spans="2:37" ht="30" customHeight="1" outlineLevel="1" x14ac:dyDescent="0.25">
      <c r="B894" s="1087"/>
      <c r="C894" s="1454"/>
      <c r="D894" s="890" t="s">
        <v>736</v>
      </c>
      <c r="E894" s="890" t="s">
        <v>769</v>
      </c>
      <c r="F894" s="961">
        <v>1</v>
      </c>
      <c r="G894" s="2271" t="s">
        <v>1367</v>
      </c>
      <c r="H894" s="2271"/>
      <c r="I894" s="972"/>
      <c r="V894" s="859" t="str">
        <f t="shared" si="67"/>
        <v>Utility Adjustment</v>
      </c>
      <c r="W894" s="973">
        <v>1</v>
      </c>
      <c r="X894" s="973">
        <v>1</v>
      </c>
      <c r="Y894" s="453"/>
      <c r="Z894" s="453"/>
      <c r="AA894" s="453"/>
      <c r="AB894" s="453"/>
      <c r="AC894" s="453"/>
      <c r="AD894" s="453"/>
      <c r="AE894" s="453"/>
      <c r="AF894" s="453"/>
      <c r="AG894" s="453"/>
      <c r="AK894" s="802"/>
    </row>
    <row r="895" spans="2:37" ht="15" customHeight="1" outlineLevel="1" x14ac:dyDescent="0.25">
      <c r="B895" s="1087"/>
      <c r="C895" s="1454"/>
      <c r="D895" s="286" t="s">
        <v>58</v>
      </c>
      <c r="E895" s="942" t="s">
        <v>1369</v>
      </c>
      <c r="F895" s="974">
        <v>1</v>
      </c>
      <c r="G895" s="2273" t="s">
        <v>1370</v>
      </c>
      <c r="H895" s="2273"/>
      <c r="I895" s="965" t="s">
        <v>1354</v>
      </c>
      <c r="V895" s="859" t="str">
        <f t="shared" si="67"/>
        <v>ISR</v>
      </c>
      <c r="W895" s="976">
        <v>1</v>
      </c>
      <c r="X895" s="976">
        <v>1</v>
      </c>
      <c r="Y895" s="977"/>
      <c r="Z895" s="977"/>
      <c r="AA895" s="977"/>
      <c r="AB895" s="977"/>
      <c r="AC895" s="977"/>
      <c r="AD895" s="977"/>
      <c r="AE895" s="977"/>
      <c r="AF895" s="977"/>
      <c r="AG895" s="977"/>
      <c r="AK895" s="802"/>
    </row>
    <row r="896" spans="2:37" outlineLevel="1" x14ac:dyDescent="0.25">
      <c r="B896" s="1087"/>
      <c r="C896" s="305"/>
      <c r="D896" s="926" t="str">
        <f>D870</f>
        <v>EUL</v>
      </c>
      <c r="E896" s="926" t="str">
        <f>E835</f>
        <v>Effective Useful Life (All)</v>
      </c>
      <c r="F896" s="962">
        <v>12</v>
      </c>
      <c r="G896" s="2273"/>
      <c r="H896" s="2273"/>
      <c r="I896" s="965"/>
      <c r="V896" s="859" t="str">
        <f t="shared" si="67"/>
        <v>EUL</v>
      </c>
      <c r="W896" s="863">
        <v>12</v>
      </c>
      <c r="X896" s="863">
        <v>12</v>
      </c>
      <c r="Y896" s="925"/>
      <c r="Z896" s="925"/>
      <c r="AA896" s="925"/>
      <c r="AB896" s="925"/>
      <c r="AC896" s="925"/>
      <c r="AD896" s="925"/>
      <c r="AE896" s="925"/>
      <c r="AF896" s="925"/>
      <c r="AG896" s="925"/>
      <c r="AK896" s="802"/>
    </row>
    <row r="897" spans="2:37" outlineLevel="1" x14ac:dyDescent="0.25">
      <c r="B897" s="1087"/>
      <c r="C897" s="305"/>
      <c r="D897" s="2248" t="str">
        <f>D871</f>
        <v>Inc. Cost</v>
      </c>
      <c r="E897" s="926" t="str">
        <f>E836</f>
        <v>Incremental Cost - Non-DI</v>
      </c>
      <c r="F897" s="963">
        <v>58</v>
      </c>
      <c r="G897" s="2273"/>
      <c r="H897" s="2273"/>
      <c r="I897" s="965"/>
      <c r="V897" s="2239" t="str">
        <f>D897</f>
        <v>Inc. Cost</v>
      </c>
      <c r="W897" s="927">
        <v>58</v>
      </c>
      <c r="X897" s="927">
        <v>58</v>
      </c>
      <c r="Y897" s="928"/>
      <c r="Z897" s="928"/>
      <c r="AA897" s="928"/>
      <c r="AB897" s="928"/>
      <c r="AC897" s="928"/>
      <c r="AD897" s="928"/>
      <c r="AE897" s="928"/>
      <c r="AF897" s="928"/>
      <c r="AG897" s="928"/>
      <c r="AK897" s="802"/>
    </row>
    <row r="898" spans="2:37" outlineLevel="1" x14ac:dyDescent="0.25">
      <c r="B898" s="1087"/>
      <c r="C898" s="305"/>
      <c r="D898" s="2080"/>
      <c r="E898" s="926" t="str">
        <f>E837</f>
        <v>Incremental Cost - Direct Install (DI)</v>
      </c>
      <c r="F898" s="963">
        <v>58</v>
      </c>
      <c r="G898" s="2273"/>
      <c r="H898" s="2273"/>
      <c r="I898" s="965"/>
      <c r="V898" s="2240"/>
      <c r="W898" s="927">
        <v>58</v>
      </c>
      <c r="X898" s="927">
        <v>58</v>
      </c>
      <c r="Y898" s="928"/>
      <c r="Z898" s="928"/>
      <c r="AA898" s="928"/>
      <c r="AB898" s="928"/>
      <c r="AC898" s="928"/>
      <c r="AD898" s="928"/>
      <c r="AE898" s="928"/>
      <c r="AF898" s="928"/>
      <c r="AG898" s="928"/>
      <c r="AK898" s="802"/>
    </row>
    <row r="899" spans="2:37" ht="15" customHeight="1" x14ac:dyDescent="0.25">
      <c r="B899" s="1087"/>
      <c r="C899" s="1434"/>
      <c r="D899" s="1458"/>
      <c r="AK899" s="802"/>
    </row>
    <row r="900" spans="2:37" ht="15" customHeight="1" x14ac:dyDescent="0.25">
      <c r="B900" s="1087"/>
      <c r="C900" s="1434"/>
      <c r="F900" s="1452"/>
      <c r="G900" s="1452"/>
      <c r="AK900" s="802"/>
    </row>
    <row r="901" spans="2:37" ht="15" customHeight="1" x14ac:dyDescent="0.25">
      <c r="B901" s="2022" t="s">
        <v>1518</v>
      </c>
      <c r="C901" s="2023"/>
      <c r="D901" s="2023"/>
      <c r="E901" s="2023"/>
      <c r="F901" s="2023"/>
      <c r="G901" s="2023"/>
      <c r="H901" s="2023"/>
      <c r="I901" s="1992"/>
      <c r="J901" s="1992"/>
      <c r="K901" s="1992"/>
      <c r="L901" s="1992"/>
      <c r="M901" s="1992"/>
      <c r="N901" s="1992"/>
      <c r="O901" s="1992"/>
      <c r="P901" s="1992"/>
      <c r="Q901" s="1992"/>
      <c r="R901" s="1993"/>
      <c r="V901" s="2022" t="str">
        <f>B901</f>
        <v>Common Area Faucet Aerators</v>
      </c>
      <c r="W901" s="2023"/>
      <c r="X901" s="2023"/>
      <c r="Y901" s="2023"/>
      <c r="Z901" s="2023"/>
      <c r="AA901" s="2023"/>
      <c r="AB901" s="2023"/>
      <c r="AC901" s="2024"/>
      <c r="AD901" s="2024"/>
      <c r="AE901" s="2024"/>
      <c r="AF901" s="2024"/>
      <c r="AG901" s="2024"/>
      <c r="AH901" s="2024"/>
      <c r="AI901" s="2025"/>
      <c r="AK901" s="802"/>
    </row>
    <row r="902" spans="2:37" ht="15" customHeight="1" x14ac:dyDescent="0.25">
      <c r="D902" s="1435"/>
      <c r="E902" s="1435"/>
      <c r="F902" s="1436"/>
      <c r="G902" s="1436"/>
      <c r="H902" s="1436"/>
      <c r="I902" s="1436"/>
      <c r="J902" s="1436"/>
      <c r="K902" s="1436"/>
      <c r="L902" s="1437"/>
      <c r="V902" s="249" t="str">
        <f>IF(C900&gt;0,C900," ")</f>
        <v xml:space="preserve"> </v>
      </c>
      <c r="AK902" s="802"/>
    </row>
    <row r="903" spans="2:37" ht="45" x14ac:dyDescent="0.25">
      <c r="B903" s="1087"/>
      <c r="C903" s="184" t="s">
        <v>16</v>
      </c>
      <c r="D903" s="184" t="s">
        <v>509</v>
      </c>
      <c r="E903" s="1098" t="s">
        <v>18</v>
      </c>
      <c r="F903" s="184" t="s">
        <v>1325</v>
      </c>
      <c r="G903" s="184" t="s">
        <v>20</v>
      </c>
      <c r="H903" s="184" t="s">
        <v>21</v>
      </c>
      <c r="I903" s="184" t="s">
        <v>771</v>
      </c>
      <c r="J903" s="184" t="s">
        <v>22</v>
      </c>
      <c r="K903" s="184" t="s">
        <v>23</v>
      </c>
      <c r="L903" s="184" t="s">
        <v>24</v>
      </c>
      <c r="M903" s="184" t="s">
        <v>25</v>
      </c>
      <c r="V903" s="48" t="s">
        <v>26</v>
      </c>
      <c r="W903" s="49">
        <f>W$6</f>
        <v>43252</v>
      </c>
      <c r="X903" s="49">
        <f t="shared" ref="X903:AG903" si="68">X$6</f>
        <v>43465</v>
      </c>
      <c r="Y903" s="49" t="str">
        <f t="shared" si="68"/>
        <v>-</v>
      </c>
      <c r="Z903" s="49" t="str">
        <f t="shared" si="68"/>
        <v>-</v>
      </c>
      <c r="AA903" s="49" t="str">
        <f t="shared" si="68"/>
        <v>-</v>
      </c>
      <c r="AB903" s="49" t="str">
        <f t="shared" si="68"/>
        <v>-</v>
      </c>
      <c r="AC903" s="49" t="str">
        <f t="shared" si="68"/>
        <v>-</v>
      </c>
      <c r="AD903" s="49" t="str">
        <f t="shared" si="68"/>
        <v>-</v>
      </c>
      <c r="AE903" s="49" t="str">
        <f t="shared" si="68"/>
        <v>-</v>
      </c>
      <c r="AF903" s="49" t="str">
        <f t="shared" si="68"/>
        <v>-</v>
      </c>
      <c r="AG903" s="49" t="str">
        <f t="shared" si="68"/>
        <v>-</v>
      </c>
      <c r="AK903" s="802"/>
    </row>
    <row r="904" spans="2:37" x14ac:dyDescent="0.25">
      <c r="B904" s="1087"/>
      <c r="C904" s="1438"/>
      <c r="D904" s="1848" t="s">
        <v>1246</v>
      </c>
      <c r="E904" s="1848" t="s">
        <v>1519</v>
      </c>
      <c r="F904" s="1849">
        <f>F915*(F916-F917)/F916*F918*I904*F926</f>
        <v>28.404855002397959</v>
      </c>
      <c r="G904" s="1531" t="s">
        <v>1425</v>
      </c>
      <c r="H904" s="170">
        <f>VLOOKUP(G904,'CP FACTORS'!$A$3:$B$38, 2, FALSE)</f>
        <v>8.8731800000000003E-5</v>
      </c>
      <c r="I904" s="1850">
        <f>F919*F920*(F921-F922)/(F923*F924)</f>
        <v>7.1497655334114896E-2</v>
      </c>
      <c r="J904" s="1845">
        <f>H904*F904</f>
        <v>2.5204139131017752E-3</v>
      </c>
      <c r="K904" s="930">
        <f>F927</f>
        <v>10</v>
      </c>
      <c r="L904" s="953">
        <f>F928</f>
        <v>11.33</v>
      </c>
      <c r="M904" s="1531" t="s">
        <v>31</v>
      </c>
      <c r="V904" s="176" t="str">
        <f>$F$842</f>
        <v>kWh
Annual Savings</v>
      </c>
      <c r="W904" s="1214">
        <v>28.404855002397959</v>
      </c>
      <c r="X904" s="1214">
        <v>28.404855002397959</v>
      </c>
      <c r="Y904" s="176"/>
      <c r="Z904" s="176"/>
      <c r="AA904" s="176"/>
      <c r="AB904" s="176"/>
      <c r="AC904" s="176"/>
      <c r="AD904" s="176"/>
      <c r="AE904" s="176"/>
      <c r="AF904" s="176"/>
      <c r="AG904" s="176"/>
      <c r="AK904" s="802"/>
    </row>
    <row r="905" spans="2:37" outlineLevel="1" x14ac:dyDescent="0.25">
      <c r="B905" s="1087"/>
      <c r="C905" s="1434"/>
      <c r="D905" s="1811"/>
      <c r="E905" s="1811"/>
      <c r="F905" s="1851"/>
      <c r="G905" s="1434"/>
      <c r="H905" s="1852"/>
      <c r="I905" s="1853"/>
      <c r="J905" s="1853"/>
      <c r="K905" s="1853"/>
      <c r="L905" s="905"/>
      <c r="AK905" s="802"/>
    </row>
    <row r="906" spans="2:37" outlineLevel="1" x14ac:dyDescent="0.25">
      <c r="B906" s="1087"/>
      <c r="C906" s="1434"/>
      <c r="F906" s="1854"/>
      <c r="G906" s="1088"/>
      <c r="H906" s="1855"/>
      <c r="AK906" s="802"/>
    </row>
    <row r="907" spans="2:37" outlineLevel="1" x14ac:dyDescent="0.25">
      <c r="B907" s="1087"/>
      <c r="C907" s="1434"/>
      <c r="D907" s="1418" t="s">
        <v>463</v>
      </c>
      <c r="F907" s="1854"/>
      <c r="H907" s="1088"/>
      <c r="AK907" s="802"/>
    </row>
    <row r="908" spans="2:37" outlineLevel="1" x14ac:dyDescent="0.25">
      <c r="B908" s="1087"/>
      <c r="C908" s="1447"/>
      <c r="D908" s="1711"/>
      <c r="E908" s="1712"/>
      <c r="F908" s="1713"/>
      <c r="G908" s="1713"/>
      <c r="AK908" s="802"/>
    </row>
    <row r="909" spans="2:37" outlineLevel="1" x14ac:dyDescent="0.25">
      <c r="B909" s="1087"/>
      <c r="C909" s="1447"/>
      <c r="D909" s="1711"/>
      <c r="E909" s="1712"/>
      <c r="F909" s="1713"/>
      <c r="G909" s="1713"/>
      <c r="AK909" s="802"/>
    </row>
    <row r="910" spans="2:37" outlineLevel="1" x14ac:dyDescent="0.25">
      <c r="B910" s="1087"/>
      <c r="C910" s="1447"/>
      <c r="D910" s="1711"/>
      <c r="E910" s="1712"/>
      <c r="F910" s="1713"/>
      <c r="G910" s="1713"/>
      <c r="AK910" s="802"/>
    </row>
    <row r="911" spans="2:37" outlineLevel="1" x14ac:dyDescent="0.25">
      <c r="B911" s="1087"/>
      <c r="C911" s="1447"/>
      <c r="D911" s="1711"/>
      <c r="E911" s="1712"/>
      <c r="F911" s="1713"/>
      <c r="G911" s="1713"/>
      <c r="AK911" s="802"/>
    </row>
    <row r="912" spans="2:37" outlineLevel="1" x14ac:dyDescent="0.25">
      <c r="B912" s="1087"/>
      <c r="C912" s="1454"/>
      <c r="D912" s="1715"/>
      <c r="E912" s="1716"/>
      <c r="F912" s="1717"/>
      <c r="G912" s="1717"/>
      <c r="AK912" s="802"/>
    </row>
    <row r="913" spans="2:37" outlineLevel="1" x14ac:dyDescent="0.25">
      <c r="B913" s="1087"/>
      <c r="C913" s="1434"/>
      <c r="D913" s="1811"/>
      <c r="AK913" s="802"/>
    </row>
    <row r="914" spans="2:37" ht="45.75" customHeight="1" outlineLevel="1" x14ac:dyDescent="0.25">
      <c r="B914" s="1087"/>
      <c r="C914" s="1434"/>
      <c r="D914" s="1098" t="s">
        <v>465</v>
      </c>
      <c r="E914" s="1098" t="s">
        <v>466</v>
      </c>
      <c r="F914" s="184" t="s">
        <v>1520</v>
      </c>
      <c r="G914" s="2075" t="s">
        <v>1521</v>
      </c>
      <c r="H914" s="2076"/>
      <c r="I914" s="184" t="s">
        <v>468</v>
      </c>
      <c r="V914" s="48" t="s">
        <v>26</v>
      </c>
      <c r="W914" s="49">
        <f>W$6</f>
        <v>43252</v>
      </c>
      <c r="X914" s="49">
        <f t="shared" ref="X914:AG914" si="69">X$6</f>
        <v>43465</v>
      </c>
      <c r="Y914" s="49" t="str">
        <f t="shared" si="69"/>
        <v>-</v>
      </c>
      <c r="Z914" s="49" t="str">
        <f t="shared" si="69"/>
        <v>-</v>
      </c>
      <c r="AA914" s="49" t="str">
        <f t="shared" si="69"/>
        <v>-</v>
      </c>
      <c r="AB914" s="49" t="str">
        <f t="shared" si="69"/>
        <v>-</v>
      </c>
      <c r="AC914" s="49" t="str">
        <f t="shared" si="69"/>
        <v>-</v>
      </c>
      <c r="AD914" s="49" t="str">
        <f t="shared" si="69"/>
        <v>-</v>
      </c>
      <c r="AE914" s="49" t="str">
        <f t="shared" si="69"/>
        <v>-</v>
      </c>
      <c r="AF914" s="49" t="str">
        <f t="shared" si="69"/>
        <v>-</v>
      </c>
      <c r="AG914" s="49" t="str">
        <f t="shared" si="69"/>
        <v>-</v>
      </c>
      <c r="AK914" s="802"/>
    </row>
    <row r="915" spans="2:37" ht="15" customHeight="1" outlineLevel="1" x14ac:dyDescent="0.25">
      <c r="B915" s="1087"/>
      <c r="D915" s="890" t="s">
        <v>773</v>
      </c>
      <c r="E915" s="890" t="s">
        <v>774</v>
      </c>
      <c r="F915" s="908">
        <v>1</v>
      </c>
      <c r="G915" s="2271" t="s">
        <v>1367</v>
      </c>
      <c r="H915" s="2271"/>
      <c r="I915" s="978" t="s">
        <v>1522</v>
      </c>
      <c r="V915" s="859" t="str">
        <f>D915</f>
        <v>%Electric DHW</v>
      </c>
      <c r="W915" s="908">
        <v>1</v>
      </c>
      <c r="X915" s="908">
        <v>1</v>
      </c>
      <c r="Y915" s="908"/>
      <c r="Z915" s="908"/>
      <c r="AA915" s="908"/>
      <c r="AB915" s="908"/>
      <c r="AC915" s="908"/>
      <c r="AD915" s="908"/>
      <c r="AE915" s="908"/>
      <c r="AF915" s="908"/>
      <c r="AG915" s="908"/>
      <c r="AK915" s="802"/>
    </row>
    <row r="916" spans="2:37" ht="146.25" customHeight="1" outlineLevel="1" x14ac:dyDescent="0.25">
      <c r="B916" s="1087"/>
      <c r="D916" s="890" t="s">
        <v>1910</v>
      </c>
      <c r="E916" s="890" t="s">
        <v>812</v>
      </c>
      <c r="F916" s="979">
        <v>2.2000000000000002</v>
      </c>
      <c r="G916" s="2080" t="s">
        <v>813</v>
      </c>
      <c r="H916" s="2080"/>
      <c r="I916" s="978" t="s">
        <v>1429</v>
      </c>
      <c r="V916" s="859" t="str">
        <f t="shared" ref="V916:V927" si="70">D916</f>
        <v>GPMbase</v>
      </c>
      <c r="W916" s="979">
        <v>2.2000000000000002</v>
      </c>
      <c r="X916" s="979">
        <v>2.2000000000000002</v>
      </c>
      <c r="Y916" s="979"/>
      <c r="Z916" s="979"/>
      <c r="AA916" s="979"/>
      <c r="AB916" s="979"/>
      <c r="AC916" s="979"/>
      <c r="AD916" s="979"/>
      <c r="AE916" s="979"/>
      <c r="AF916" s="979"/>
      <c r="AG916" s="979"/>
      <c r="AK916" s="802"/>
    </row>
    <row r="917" spans="2:37" ht="30" customHeight="1" outlineLevel="1" x14ac:dyDescent="0.25">
      <c r="B917" s="1087"/>
      <c r="D917" s="890" t="s">
        <v>1911</v>
      </c>
      <c r="E917" s="890" t="s">
        <v>816</v>
      </c>
      <c r="F917" s="979">
        <v>1.5</v>
      </c>
      <c r="G917" s="2080" t="s">
        <v>1432</v>
      </c>
      <c r="H917" s="2080"/>
      <c r="I917" s="978" t="s">
        <v>1429</v>
      </c>
      <c r="V917" s="859" t="str">
        <f t="shared" si="70"/>
        <v>Lbase</v>
      </c>
      <c r="W917" s="979">
        <v>1.5</v>
      </c>
      <c r="X917" s="979">
        <v>1.5</v>
      </c>
      <c r="Y917" s="979"/>
      <c r="Z917" s="979"/>
      <c r="AA917" s="979"/>
      <c r="AB917" s="979"/>
      <c r="AC917" s="979"/>
      <c r="AD917" s="979"/>
      <c r="AE917" s="979"/>
      <c r="AF917" s="979"/>
      <c r="AG917" s="979"/>
      <c r="AK917" s="802"/>
    </row>
    <row r="918" spans="2:37" ht="85.5" customHeight="1" outlineLevel="1" x14ac:dyDescent="0.25">
      <c r="B918" s="1087"/>
      <c r="D918" s="890" t="s">
        <v>1523</v>
      </c>
      <c r="E918" s="577" t="s">
        <v>1524</v>
      </c>
      <c r="F918" s="979">
        <v>1278</v>
      </c>
      <c r="G918" s="2272" t="s">
        <v>1454</v>
      </c>
      <c r="H918" s="2272"/>
      <c r="I918" s="978" t="s">
        <v>1525</v>
      </c>
      <c r="V918" s="859" t="str">
        <f t="shared" si="70"/>
        <v>Usage</v>
      </c>
      <c r="W918" s="979">
        <v>1278</v>
      </c>
      <c r="X918" s="979">
        <v>1278</v>
      </c>
      <c r="Y918" s="979"/>
      <c r="Z918" s="979"/>
      <c r="AA918" s="979"/>
      <c r="AB918" s="979"/>
      <c r="AC918" s="979"/>
      <c r="AD918" s="979"/>
      <c r="AE918" s="979"/>
      <c r="AF918" s="979"/>
      <c r="AG918" s="979"/>
      <c r="AK918" s="802"/>
    </row>
    <row r="919" spans="2:37" ht="15" customHeight="1" outlineLevel="1" x14ac:dyDescent="0.25">
      <c r="B919" s="1087"/>
      <c r="D919" s="1555">
        <v>8.33</v>
      </c>
      <c r="E919" s="577" t="s">
        <v>793</v>
      </c>
      <c r="F919" s="979">
        <v>8.33</v>
      </c>
      <c r="G919" s="2271" t="s">
        <v>794</v>
      </c>
      <c r="H919" s="2271"/>
      <c r="I919" s="978" t="s">
        <v>1429</v>
      </c>
      <c r="V919" s="859">
        <f t="shared" si="70"/>
        <v>8.33</v>
      </c>
      <c r="W919" s="979">
        <v>8.33</v>
      </c>
      <c r="X919" s="979">
        <v>8.33</v>
      </c>
      <c r="Y919" s="979"/>
      <c r="Z919" s="979"/>
      <c r="AA919" s="979"/>
      <c r="AB919" s="979"/>
      <c r="AC919" s="979"/>
      <c r="AD919" s="979"/>
      <c r="AE919" s="979"/>
      <c r="AF919" s="979"/>
      <c r="AG919" s="979"/>
      <c r="AK919" s="802"/>
    </row>
    <row r="920" spans="2:37" ht="15" customHeight="1" outlineLevel="1" x14ac:dyDescent="0.25">
      <c r="B920" s="1087"/>
      <c r="D920" s="1555">
        <v>1</v>
      </c>
      <c r="E920" s="1856" t="s">
        <v>1439</v>
      </c>
      <c r="F920" s="979">
        <v>1</v>
      </c>
      <c r="G920" s="2080" t="s">
        <v>796</v>
      </c>
      <c r="H920" s="2080"/>
      <c r="I920" s="978" t="s">
        <v>1429</v>
      </c>
      <c r="V920" s="859">
        <f t="shared" si="70"/>
        <v>1</v>
      </c>
      <c r="W920" s="979">
        <v>1</v>
      </c>
      <c r="X920" s="979">
        <v>1</v>
      </c>
      <c r="Y920" s="979"/>
      <c r="Z920" s="979"/>
      <c r="AA920" s="979"/>
      <c r="AB920" s="979"/>
      <c r="AC920" s="979"/>
      <c r="AD920" s="979"/>
      <c r="AE920" s="979"/>
      <c r="AF920" s="979"/>
      <c r="AG920" s="979"/>
      <c r="AK920" s="802"/>
    </row>
    <row r="921" spans="2:37" ht="15" customHeight="1" outlineLevel="1" x14ac:dyDescent="0.25">
      <c r="B921" s="1087"/>
      <c r="D921" s="890" t="s">
        <v>797</v>
      </c>
      <c r="E921" s="577" t="s">
        <v>1440</v>
      </c>
      <c r="F921" s="979">
        <v>90</v>
      </c>
      <c r="G921" s="2272" t="s">
        <v>1526</v>
      </c>
      <c r="H921" s="2272"/>
      <c r="I921" s="978" t="s">
        <v>1527</v>
      </c>
      <c r="V921" s="859" t="str">
        <f t="shared" si="70"/>
        <v>WaterTemp</v>
      </c>
      <c r="W921" s="979">
        <v>90</v>
      </c>
      <c r="X921" s="979">
        <v>90</v>
      </c>
      <c r="Y921" s="979"/>
      <c r="Z921" s="979"/>
      <c r="AA921" s="979"/>
      <c r="AB921" s="979"/>
      <c r="AC921" s="979"/>
      <c r="AD921" s="979"/>
      <c r="AE921" s="979"/>
      <c r="AF921" s="979"/>
      <c r="AG921" s="979"/>
      <c r="AK921" s="802"/>
    </row>
    <row r="922" spans="2:37" ht="60" customHeight="1" outlineLevel="1" x14ac:dyDescent="0.25">
      <c r="B922" s="1087"/>
      <c r="D922" s="890" t="s">
        <v>800</v>
      </c>
      <c r="E922" s="577" t="s">
        <v>1442</v>
      </c>
      <c r="F922" s="979">
        <v>61.3</v>
      </c>
      <c r="G922" s="2080" t="s">
        <v>802</v>
      </c>
      <c r="H922" s="2080"/>
      <c r="I922" s="978" t="s">
        <v>1429</v>
      </c>
      <c r="V922" s="859" t="str">
        <f t="shared" si="70"/>
        <v>SupplyTemp</v>
      </c>
      <c r="W922" s="979">
        <v>61.3</v>
      </c>
      <c r="X922" s="979">
        <v>61.3</v>
      </c>
      <c r="Y922" s="979"/>
      <c r="Z922" s="979"/>
      <c r="AA922" s="979"/>
      <c r="AB922" s="979"/>
      <c r="AC922" s="979"/>
      <c r="AD922" s="979"/>
      <c r="AE922" s="979"/>
      <c r="AF922" s="979"/>
      <c r="AG922" s="979"/>
      <c r="AK922" s="802"/>
    </row>
    <row r="923" spans="2:37" ht="30" customHeight="1" outlineLevel="1" x14ac:dyDescent="0.25">
      <c r="B923" s="1087"/>
      <c r="D923" s="890" t="s">
        <v>1504</v>
      </c>
      <c r="E923" s="918" t="s">
        <v>1443</v>
      </c>
      <c r="F923" s="979">
        <v>0.98</v>
      </c>
      <c r="G923" s="2272" t="s">
        <v>1444</v>
      </c>
      <c r="H923" s="2272"/>
      <c r="I923" s="978" t="s">
        <v>1429</v>
      </c>
      <c r="V923" s="859" t="str">
        <f t="shared" si="70"/>
        <v>REelectric</v>
      </c>
      <c r="W923" s="979">
        <v>0.98</v>
      </c>
      <c r="X923" s="979">
        <v>0.98</v>
      </c>
      <c r="Y923" s="979"/>
      <c r="Z923" s="979"/>
      <c r="AA923" s="979"/>
      <c r="AB923" s="979"/>
      <c r="AC923" s="979"/>
      <c r="AD923" s="979"/>
      <c r="AE923" s="979"/>
      <c r="AF923" s="979"/>
      <c r="AG923" s="979"/>
      <c r="AK923" s="802"/>
    </row>
    <row r="924" spans="2:37" ht="15" customHeight="1" outlineLevel="1" x14ac:dyDescent="0.25">
      <c r="B924" s="1087"/>
      <c r="D924" s="890">
        <v>3412</v>
      </c>
      <c r="E924" s="918">
        <v>3412</v>
      </c>
      <c r="F924" s="979">
        <v>3412</v>
      </c>
      <c r="G924" s="2271" t="s">
        <v>546</v>
      </c>
      <c r="H924" s="2271"/>
      <c r="I924" s="978" t="s">
        <v>1505</v>
      </c>
      <c r="V924" s="859">
        <f t="shared" si="70"/>
        <v>3412</v>
      </c>
      <c r="W924" s="979">
        <v>3412</v>
      </c>
      <c r="X924" s="979">
        <v>3412</v>
      </c>
      <c r="Y924" s="979"/>
      <c r="Z924" s="979"/>
      <c r="AA924" s="979"/>
      <c r="AB924" s="979"/>
      <c r="AC924" s="979"/>
      <c r="AD924" s="979"/>
      <c r="AE924" s="979"/>
      <c r="AF924" s="979"/>
      <c r="AG924" s="979"/>
      <c r="AK924" s="802"/>
    </row>
    <row r="925" spans="2:37" ht="15" customHeight="1" outlineLevel="1" x14ac:dyDescent="0.25">
      <c r="B925" s="1087"/>
      <c r="D925" s="890" t="s">
        <v>736</v>
      </c>
      <c r="E925" s="890" t="s">
        <v>769</v>
      </c>
      <c r="F925" s="908">
        <v>1</v>
      </c>
      <c r="G925" s="2271" t="s">
        <v>1367</v>
      </c>
      <c r="H925" s="2271"/>
      <c r="I925" s="978"/>
      <c r="V925" s="859" t="str">
        <f t="shared" si="70"/>
        <v>Utility Adjustment</v>
      </c>
      <c r="W925" s="908">
        <v>1</v>
      </c>
      <c r="X925" s="908">
        <v>1</v>
      </c>
      <c r="Y925" s="908"/>
      <c r="Z925" s="908"/>
      <c r="AA925" s="908"/>
      <c r="AB925" s="908"/>
      <c r="AC925" s="908"/>
      <c r="AD925" s="908"/>
      <c r="AE925" s="908"/>
      <c r="AF925" s="908"/>
      <c r="AG925" s="908"/>
      <c r="AK925" s="802"/>
    </row>
    <row r="926" spans="2:37" ht="30" customHeight="1" outlineLevel="1" x14ac:dyDescent="0.25">
      <c r="B926" s="1087"/>
      <c r="D926" s="890" t="s">
        <v>58</v>
      </c>
      <c r="E926" s="918" t="s">
        <v>1369</v>
      </c>
      <c r="F926" s="980">
        <v>0.97699999999999998</v>
      </c>
      <c r="G926" s="2272" t="s">
        <v>1454</v>
      </c>
      <c r="H926" s="2272"/>
      <c r="I926" s="807"/>
      <c r="V926" s="859" t="str">
        <f t="shared" si="70"/>
        <v>ISR</v>
      </c>
      <c r="W926" s="980">
        <v>0.97699999999999998</v>
      </c>
      <c r="X926" s="980">
        <v>0.97699999999999998</v>
      </c>
      <c r="Y926" s="980"/>
      <c r="Z926" s="980"/>
      <c r="AA926" s="980"/>
      <c r="AB926" s="980"/>
      <c r="AC926" s="980"/>
      <c r="AD926" s="980"/>
      <c r="AE926" s="980"/>
      <c r="AF926" s="980"/>
      <c r="AG926" s="980"/>
      <c r="AK926" s="802"/>
    </row>
    <row r="927" spans="2:37" outlineLevel="1" x14ac:dyDescent="0.25">
      <c r="B927" s="1087"/>
      <c r="C927" s="305"/>
      <c r="D927" s="926" t="str">
        <f>D896</f>
        <v>EUL</v>
      </c>
      <c r="E927" s="926" t="str">
        <f>E896</f>
        <v>Effective Useful Life (All)</v>
      </c>
      <c r="F927" s="962">
        <v>10</v>
      </c>
      <c r="G927" s="2273"/>
      <c r="H927" s="2273"/>
      <c r="I927" s="965"/>
      <c r="V927" s="859" t="str">
        <f t="shared" si="70"/>
        <v>EUL</v>
      </c>
      <c r="W927" s="863">
        <v>10</v>
      </c>
      <c r="X927" s="863">
        <v>10</v>
      </c>
      <c r="Y927" s="925"/>
      <c r="Z927" s="925"/>
      <c r="AA927" s="925"/>
      <c r="AB927" s="925"/>
      <c r="AC927" s="925"/>
      <c r="AD927" s="925"/>
      <c r="AE927" s="925"/>
      <c r="AF927" s="925"/>
      <c r="AG927" s="925"/>
      <c r="AK927" s="802"/>
    </row>
    <row r="928" spans="2:37" outlineLevel="1" x14ac:dyDescent="0.25">
      <c r="B928" s="1087"/>
      <c r="C928" s="305"/>
      <c r="D928" s="2233" t="str">
        <f>D897</f>
        <v>Inc. Cost</v>
      </c>
      <c r="E928" s="926" t="str">
        <f>E897</f>
        <v>Incremental Cost - Non-DI</v>
      </c>
      <c r="F928" s="963">
        <v>11.33</v>
      </c>
      <c r="G928" s="2273"/>
      <c r="H928" s="2273"/>
      <c r="I928" s="965"/>
      <c r="V928" s="2239" t="str">
        <f>D928</f>
        <v>Inc. Cost</v>
      </c>
      <c r="W928" s="927">
        <v>11.33</v>
      </c>
      <c r="X928" s="927">
        <v>11.33</v>
      </c>
      <c r="Y928" s="928"/>
      <c r="Z928" s="928"/>
      <c r="AA928" s="928"/>
      <c r="AB928" s="928"/>
      <c r="AC928" s="928"/>
      <c r="AD928" s="928"/>
      <c r="AE928" s="928"/>
      <c r="AF928" s="928"/>
      <c r="AG928" s="928"/>
      <c r="AK928" s="802"/>
    </row>
    <row r="929" spans="2:37" outlineLevel="1" x14ac:dyDescent="0.25">
      <c r="B929" s="1087"/>
      <c r="C929" s="305"/>
      <c r="D929" s="2234"/>
      <c r="E929" s="926" t="str">
        <f>E898</f>
        <v>Incremental Cost - Direct Install (DI)</v>
      </c>
      <c r="F929" s="963">
        <v>11.33</v>
      </c>
      <c r="G929" s="2273"/>
      <c r="H929" s="2273"/>
      <c r="I929" s="965"/>
      <c r="V929" s="2240"/>
      <c r="W929" s="927">
        <v>11.33</v>
      </c>
      <c r="X929" s="927">
        <v>11.33</v>
      </c>
      <c r="Y929" s="928"/>
      <c r="Z929" s="928"/>
      <c r="AA929" s="928"/>
      <c r="AB929" s="928"/>
      <c r="AC929" s="928"/>
      <c r="AD929" s="928"/>
      <c r="AE929" s="928"/>
      <c r="AF929" s="928"/>
      <c r="AG929" s="928"/>
      <c r="AK929" s="802"/>
    </row>
    <row r="930" spans="2:37" ht="15" customHeight="1" x14ac:dyDescent="0.25">
      <c r="B930" s="1087"/>
      <c r="C930" s="305"/>
      <c r="AK930" s="802"/>
    </row>
    <row r="931" spans="2:37" ht="15" customHeight="1" x14ac:dyDescent="0.25">
      <c r="B931" s="1087"/>
      <c r="C931" s="1434"/>
      <c r="AK931" s="802"/>
    </row>
    <row r="932" spans="2:37" x14ac:dyDescent="0.25">
      <c r="B932" s="2022" t="s">
        <v>1528</v>
      </c>
      <c r="C932" s="2023"/>
      <c r="D932" s="2023"/>
      <c r="E932" s="2023"/>
      <c r="F932" s="2023"/>
      <c r="G932" s="2023"/>
      <c r="H932" s="2023"/>
      <c r="I932" s="1992"/>
      <c r="J932" s="1992"/>
      <c r="K932" s="1992"/>
      <c r="L932" s="1992"/>
      <c r="M932" s="1992"/>
      <c r="N932" s="1992"/>
      <c r="O932" s="1992"/>
      <c r="P932" s="1992"/>
      <c r="Q932" s="1992"/>
      <c r="R932" s="1993"/>
      <c r="V932" s="2022" t="str">
        <f>B932</f>
        <v xml:space="preserve">Common Area Low Flow Showerheads </v>
      </c>
      <c r="W932" s="2023"/>
      <c r="X932" s="2023"/>
      <c r="Y932" s="2023"/>
      <c r="Z932" s="2023"/>
      <c r="AA932" s="2023"/>
      <c r="AB932" s="2023"/>
      <c r="AC932" s="2024"/>
      <c r="AD932" s="2024"/>
      <c r="AE932" s="2024"/>
      <c r="AF932" s="2024"/>
      <c r="AG932" s="2024"/>
      <c r="AH932" s="2024"/>
      <c r="AI932" s="2025"/>
      <c r="AK932" s="802"/>
    </row>
    <row r="933" spans="2:37" x14ac:dyDescent="0.25">
      <c r="D933" s="1435"/>
      <c r="E933" s="1435"/>
      <c r="F933" s="1436"/>
      <c r="G933" s="1436"/>
      <c r="H933" s="1436"/>
      <c r="I933" s="1436"/>
      <c r="J933" s="1436"/>
      <c r="K933" s="1436"/>
      <c r="L933" s="1437"/>
      <c r="V933" s="249" t="str">
        <f>IF(C931&gt;0,C931," ")</f>
        <v xml:space="preserve"> </v>
      </c>
      <c r="AK933" s="802"/>
    </row>
    <row r="934" spans="2:37" ht="49.5" customHeight="1" x14ac:dyDescent="0.25">
      <c r="B934" s="1087"/>
      <c r="C934" s="184" t="s">
        <v>16</v>
      </c>
      <c r="D934" s="184" t="s">
        <v>509</v>
      </c>
      <c r="E934" s="184" t="s">
        <v>18</v>
      </c>
      <c r="F934" s="184" t="s">
        <v>1325</v>
      </c>
      <c r="G934" s="184" t="s">
        <v>20</v>
      </c>
      <c r="H934" s="184" t="s">
        <v>21</v>
      </c>
      <c r="I934" s="184" t="s">
        <v>771</v>
      </c>
      <c r="J934" s="184" t="s">
        <v>22</v>
      </c>
      <c r="K934" s="184" t="s">
        <v>23</v>
      </c>
      <c r="L934" s="184" t="s">
        <v>24</v>
      </c>
      <c r="M934" s="184" t="s">
        <v>25</v>
      </c>
      <c r="V934" s="48" t="s">
        <v>26</v>
      </c>
      <c r="W934" s="49">
        <f>W$6</f>
        <v>43252</v>
      </c>
      <c r="X934" s="49">
        <f t="shared" ref="X934:AG934" si="71">X$6</f>
        <v>43465</v>
      </c>
      <c r="Y934" s="49" t="str">
        <f t="shared" si="71"/>
        <v>-</v>
      </c>
      <c r="Z934" s="49" t="str">
        <f t="shared" si="71"/>
        <v>-</v>
      </c>
      <c r="AA934" s="49" t="str">
        <f t="shared" si="71"/>
        <v>-</v>
      </c>
      <c r="AB934" s="49" t="str">
        <f t="shared" si="71"/>
        <v>-</v>
      </c>
      <c r="AC934" s="49" t="str">
        <f t="shared" si="71"/>
        <v>-</v>
      </c>
      <c r="AD934" s="49" t="str">
        <f t="shared" si="71"/>
        <v>-</v>
      </c>
      <c r="AE934" s="49" t="str">
        <f t="shared" si="71"/>
        <v>-</v>
      </c>
      <c r="AF934" s="49" t="str">
        <f t="shared" si="71"/>
        <v>-</v>
      </c>
      <c r="AG934" s="49" t="str">
        <f t="shared" si="71"/>
        <v>-</v>
      </c>
      <c r="AK934" s="802"/>
    </row>
    <row r="935" spans="2:37" x14ac:dyDescent="0.25">
      <c r="B935" s="1087"/>
      <c r="C935" s="1438"/>
      <c r="D935" s="1848" t="s">
        <v>1426</v>
      </c>
      <c r="E935" s="1848" t="s">
        <v>1529</v>
      </c>
      <c r="F935" s="1849">
        <f>F945*((F946*F947-F948*F949)*F950*F951)*I935*F959*F958</f>
        <v>213.28849188496486</v>
      </c>
      <c r="G935" s="1531" t="s">
        <v>1425</v>
      </c>
      <c r="H935" s="170">
        <f>VLOOKUP(G935,'CP FACTORS'!$A$3:$B$38, 2, FALSE)</f>
        <v>8.8731800000000003E-5</v>
      </c>
      <c r="I935" s="1850">
        <f>F952*F953*(F954-F955)/(F956*F957)</f>
        <v>0.10886576787807739</v>
      </c>
      <c r="J935" s="1845">
        <f>F935*H935</f>
        <v>1.8925471804238325E-2</v>
      </c>
      <c r="K935" s="123">
        <f>F960</f>
        <v>10</v>
      </c>
      <c r="L935" s="1857">
        <f>F961</f>
        <v>7</v>
      </c>
      <c r="M935" s="1531" t="s">
        <v>31</v>
      </c>
      <c r="V935" s="176" t="str">
        <f>$F$842</f>
        <v>kWh
Annual Savings</v>
      </c>
      <c r="W935" s="1214">
        <v>213.28849188496486</v>
      </c>
      <c r="X935" s="1214">
        <v>213.28849188496486</v>
      </c>
      <c r="Y935" s="176"/>
      <c r="Z935" s="176"/>
      <c r="AA935" s="176"/>
      <c r="AB935" s="176"/>
      <c r="AC935" s="176"/>
      <c r="AD935" s="176"/>
      <c r="AE935" s="176"/>
      <c r="AF935" s="176"/>
      <c r="AG935" s="176"/>
      <c r="AK935" s="802"/>
    </row>
    <row r="936" spans="2:37" outlineLevel="1" x14ac:dyDescent="0.25">
      <c r="B936" s="1087"/>
      <c r="C936" s="1434"/>
      <c r="F936" s="1858"/>
      <c r="G936" s="1088"/>
      <c r="H936" s="1855"/>
      <c r="I936" s="1825"/>
      <c r="J936" s="1825"/>
      <c r="K936" s="1825"/>
      <c r="M936" s="1551"/>
      <c r="V936" s="903"/>
      <c r="AK936" s="802"/>
    </row>
    <row r="937" spans="2:37" outlineLevel="1" x14ac:dyDescent="0.25">
      <c r="B937" s="1087"/>
      <c r="C937" s="1434"/>
      <c r="D937" s="1418" t="s">
        <v>463</v>
      </c>
      <c r="F937" s="1858"/>
      <c r="G937" s="1088"/>
      <c r="H937" s="1855"/>
      <c r="I937" s="1825"/>
      <c r="J937" s="1825"/>
      <c r="K937" s="1825"/>
      <c r="M937" s="1551"/>
      <c r="V937" s="903"/>
      <c r="AK937" s="802"/>
    </row>
    <row r="938" spans="2:37" outlineLevel="1" x14ac:dyDescent="0.25">
      <c r="B938" s="1087"/>
      <c r="C938" s="1434"/>
      <c r="M938" s="1551"/>
      <c r="AK938" s="802"/>
    </row>
    <row r="939" spans="2:37" outlineLevel="1" x14ac:dyDescent="0.25">
      <c r="B939" s="1087"/>
      <c r="C939" s="1447"/>
      <c r="D939" s="1711"/>
      <c r="E939" s="1712"/>
      <c r="F939" s="1714"/>
      <c r="G939" s="905"/>
      <c r="H939" s="905"/>
      <c r="AK939" s="802"/>
    </row>
    <row r="940" spans="2:37" outlineLevel="1" x14ac:dyDescent="0.25">
      <c r="B940" s="1087"/>
      <c r="C940" s="1454"/>
      <c r="D940" s="1715"/>
      <c r="E940" s="1716"/>
      <c r="F940" s="1718"/>
      <c r="G940" s="905"/>
      <c r="H940" s="905"/>
      <c r="AK940" s="802"/>
    </row>
    <row r="941" spans="2:37" outlineLevel="1" x14ac:dyDescent="0.25">
      <c r="B941" s="1087"/>
      <c r="C941" s="1454"/>
      <c r="D941" s="1715"/>
      <c r="E941" s="1716"/>
      <c r="F941" s="1718"/>
      <c r="G941" s="905"/>
      <c r="H941" s="905"/>
      <c r="AK941" s="802"/>
    </row>
    <row r="942" spans="2:37" ht="15" customHeight="1" outlineLevel="1" x14ac:dyDescent="0.25">
      <c r="B942" s="1087"/>
      <c r="C942" s="1454"/>
      <c r="D942" s="1715"/>
      <c r="E942" s="1716"/>
      <c r="F942" s="1718"/>
      <c r="G942" s="905"/>
      <c r="H942" s="905"/>
      <c r="AK942" s="802"/>
    </row>
    <row r="943" spans="2:37" ht="15" customHeight="1" outlineLevel="1" x14ac:dyDescent="0.25">
      <c r="AK943" s="802"/>
    </row>
    <row r="944" spans="2:37" ht="15" customHeight="1" outlineLevel="1" x14ac:dyDescent="0.25">
      <c r="D944" s="1098" t="s">
        <v>465</v>
      </c>
      <c r="E944" s="1098" t="s">
        <v>466</v>
      </c>
      <c r="F944" s="604" t="s">
        <v>467</v>
      </c>
      <c r="G944" s="2050" t="s">
        <v>515</v>
      </c>
      <c r="H944" s="2050"/>
      <c r="I944" s="954" t="s">
        <v>468</v>
      </c>
      <c r="V944" s="48" t="s">
        <v>26</v>
      </c>
      <c r="W944" s="49">
        <f>W$6</f>
        <v>43252</v>
      </c>
      <c r="X944" s="49">
        <f t="shared" ref="X944:AG944" si="72">X$6</f>
        <v>43465</v>
      </c>
      <c r="Y944" s="49" t="str">
        <f t="shared" si="72"/>
        <v>-</v>
      </c>
      <c r="Z944" s="49" t="str">
        <f t="shared" si="72"/>
        <v>-</v>
      </c>
      <c r="AA944" s="49" t="str">
        <f t="shared" si="72"/>
        <v>-</v>
      </c>
      <c r="AB944" s="49" t="str">
        <f t="shared" si="72"/>
        <v>-</v>
      </c>
      <c r="AC944" s="49" t="str">
        <f t="shared" si="72"/>
        <v>-</v>
      </c>
      <c r="AD944" s="49" t="str">
        <f t="shared" si="72"/>
        <v>-</v>
      </c>
      <c r="AE944" s="49" t="str">
        <f t="shared" si="72"/>
        <v>-</v>
      </c>
      <c r="AF944" s="49" t="str">
        <f t="shared" si="72"/>
        <v>-</v>
      </c>
      <c r="AG944" s="49" t="str">
        <f t="shared" si="72"/>
        <v>-</v>
      </c>
      <c r="AK944" s="802"/>
    </row>
    <row r="945" spans="2:37" ht="75" customHeight="1" outlineLevel="1" x14ac:dyDescent="0.25">
      <c r="D945" s="890" t="s">
        <v>773</v>
      </c>
      <c r="E945" s="890" t="s">
        <v>774</v>
      </c>
      <c r="F945" s="961">
        <v>1</v>
      </c>
      <c r="G945" s="2271" t="s">
        <v>1367</v>
      </c>
      <c r="H945" s="2271"/>
      <c r="I945" s="978" t="s">
        <v>1368</v>
      </c>
      <c r="V945" s="859" t="str">
        <f>D945</f>
        <v>%Electric DHW</v>
      </c>
      <c r="W945" s="955">
        <v>1</v>
      </c>
      <c r="X945" s="955">
        <v>1</v>
      </c>
      <c r="Y945" s="860"/>
      <c r="Z945" s="860"/>
      <c r="AA945" s="860"/>
      <c r="AB945" s="860"/>
      <c r="AC945" s="860"/>
      <c r="AD945" s="860"/>
      <c r="AE945" s="860"/>
      <c r="AF945" s="860"/>
      <c r="AG945" s="860"/>
      <c r="AK945" s="802"/>
    </row>
    <row r="946" spans="2:37" ht="75" customHeight="1" outlineLevel="1" x14ac:dyDescent="0.25">
      <c r="D946" s="890" t="s">
        <v>1910</v>
      </c>
      <c r="E946" s="890" t="s">
        <v>812</v>
      </c>
      <c r="F946" s="1040">
        <v>2.67</v>
      </c>
      <c r="G946" s="2080" t="s">
        <v>813</v>
      </c>
      <c r="H946" s="2080"/>
      <c r="I946" s="978" t="s">
        <v>1530</v>
      </c>
      <c r="V946" s="859" t="str">
        <f t="shared" ref="V946:V960" si="73">D946</f>
        <v>GPMbase</v>
      </c>
      <c r="W946" s="956">
        <v>2.67</v>
      </c>
      <c r="X946" s="956">
        <v>2.67</v>
      </c>
      <c r="Y946" s="896"/>
      <c r="Z946" s="896"/>
      <c r="AA946" s="896"/>
      <c r="AB946" s="896"/>
      <c r="AC946" s="896"/>
      <c r="AD946" s="896"/>
      <c r="AE946" s="896"/>
      <c r="AF946" s="896"/>
      <c r="AG946" s="896"/>
      <c r="AK946" s="802"/>
    </row>
    <row r="947" spans="2:37" ht="45" customHeight="1" outlineLevel="1" x14ac:dyDescent="0.25">
      <c r="D947" s="890" t="s">
        <v>1911</v>
      </c>
      <c r="E947" s="577" t="s">
        <v>1451</v>
      </c>
      <c r="F947" s="1844">
        <v>8.1999999999999993</v>
      </c>
      <c r="G947" s="2272" t="s">
        <v>1453</v>
      </c>
      <c r="H947" s="2272"/>
      <c r="I947" s="978" t="s">
        <v>1531</v>
      </c>
      <c r="V947" s="859" t="str">
        <f t="shared" si="73"/>
        <v>Lbase</v>
      </c>
      <c r="W947" s="957">
        <v>8.1999999999999993</v>
      </c>
      <c r="X947" s="957">
        <v>8.1999999999999993</v>
      </c>
      <c r="Y947" s="862"/>
      <c r="Z947" s="862"/>
      <c r="AA947" s="862"/>
      <c r="AB947" s="862"/>
      <c r="AC947" s="862"/>
      <c r="AD947" s="862"/>
      <c r="AE947" s="862"/>
      <c r="AF947" s="862"/>
      <c r="AG947" s="862"/>
      <c r="AK947" s="802"/>
    </row>
    <row r="948" spans="2:37" ht="30" customHeight="1" outlineLevel="1" x14ac:dyDescent="0.25">
      <c r="D948" s="890" t="s">
        <v>1915</v>
      </c>
      <c r="E948" s="890" t="s">
        <v>816</v>
      </c>
      <c r="F948" s="1040">
        <v>2</v>
      </c>
      <c r="G948" s="2080" t="s">
        <v>1432</v>
      </c>
      <c r="H948" s="2080"/>
      <c r="I948" s="978"/>
      <c r="V948" s="859" t="str">
        <f t="shared" si="73"/>
        <v>GPMlow</v>
      </c>
      <c r="W948" s="956">
        <v>2</v>
      </c>
      <c r="X948" s="956">
        <v>2</v>
      </c>
      <c r="Y948" s="896"/>
      <c r="Z948" s="896"/>
      <c r="AA948" s="896"/>
      <c r="AB948" s="896"/>
      <c r="AC948" s="896"/>
      <c r="AD948" s="896"/>
      <c r="AE948" s="896"/>
      <c r="AF948" s="896"/>
      <c r="AG948" s="896"/>
      <c r="AK948" s="802"/>
    </row>
    <row r="949" spans="2:37" ht="45" customHeight="1" outlineLevel="1" x14ac:dyDescent="0.25">
      <c r="D949" s="890" t="s">
        <v>1916</v>
      </c>
      <c r="E949" s="577" t="s">
        <v>1451</v>
      </c>
      <c r="F949" s="1844">
        <v>8.1999999999999993</v>
      </c>
      <c r="G949" s="2272" t="s">
        <v>1453</v>
      </c>
      <c r="H949" s="2272"/>
      <c r="I949" s="978" t="s">
        <v>1531</v>
      </c>
      <c r="V949" s="859" t="str">
        <f t="shared" si="73"/>
        <v>Llow</v>
      </c>
      <c r="W949" s="957">
        <v>8.1999999999999993</v>
      </c>
      <c r="X949" s="957">
        <v>8.1999999999999993</v>
      </c>
      <c r="Y949" s="862"/>
      <c r="Z949" s="862"/>
      <c r="AA949" s="862"/>
      <c r="AB949" s="862"/>
      <c r="AC949" s="862"/>
      <c r="AD949" s="862"/>
      <c r="AE949" s="862"/>
      <c r="AF949" s="862"/>
      <c r="AG949" s="862"/>
      <c r="AK949" s="802"/>
    </row>
    <row r="950" spans="2:37" ht="30" customHeight="1" outlineLevel="1" x14ac:dyDescent="0.25">
      <c r="D950" s="890" t="s">
        <v>1532</v>
      </c>
      <c r="E950" s="577" t="s">
        <v>1533</v>
      </c>
      <c r="F950" s="958">
        <v>1</v>
      </c>
      <c r="G950" s="2274" t="s">
        <v>1534</v>
      </c>
      <c r="H950" s="2274"/>
      <c r="I950" s="978" t="s">
        <v>1535</v>
      </c>
      <c r="V950" s="859" t="str">
        <f t="shared" si="73"/>
        <v>NSPD</v>
      </c>
      <c r="W950" s="981">
        <v>1</v>
      </c>
      <c r="X950" s="981">
        <v>1</v>
      </c>
      <c r="Y950" s="861"/>
      <c r="Z950" s="861"/>
      <c r="AA950" s="861"/>
      <c r="AB950" s="861"/>
      <c r="AC950" s="861"/>
      <c r="AD950" s="861"/>
      <c r="AE950" s="861"/>
      <c r="AF950" s="861"/>
      <c r="AG950" s="861"/>
      <c r="AK950" s="802"/>
    </row>
    <row r="951" spans="2:37" ht="60" customHeight="1" outlineLevel="1" x14ac:dyDescent="0.25">
      <c r="D951" s="890">
        <v>365.25</v>
      </c>
      <c r="E951" s="577" t="s">
        <v>1458</v>
      </c>
      <c r="F951" s="1844">
        <v>365</v>
      </c>
      <c r="G951" s="2080" t="s">
        <v>760</v>
      </c>
      <c r="H951" s="2080"/>
      <c r="I951" s="978" t="s">
        <v>1536</v>
      </c>
      <c r="V951" s="859">
        <f t="shared" si="73"/>
        <v>365.25</v>
      </c>
      <c r="W951" s="957">
        <v>365</v>
      </c>
      <c r="X951" s="957">
        <v>365</v>
      </c>
      <c r="Y951" s="862"/>
      <c r="Z951" s="862"/>
      <c r="AA951" s="862"/>
      <c r="AB951" s="862"/>
      <c r="AC951" s="862"/>
      <c r="AD951" s="862"/>
      <c r="AE951" s="862"/>
      <c r="AF951" s="862"/>
      <c r="AG951" s="862"/>
      <c r="AK951" s="802"/>
    </row>
    <row r="952" spans="2:37" ht="60" customHeight="1" outlineLevel="1" x14ac:dyDescent="0.25">
      <c r="D952" s="890">
        <v>8.33</v>
      </c>
      <c r="E952" s="577" t="s">
        <v>793</v>
      </c>
      <c r="F952" s="1844">
        <v>8.33</v>
      </c>
      <c r="G952" s="2271" t="s">
        <v>794</v>
      </c>
      <c r="H952" s="2271"/>
      <c r="I952" s="978" t="s">
        <v>1536</v>
      </c>
      <c r="P952" s="904" t="s">
        <v>1503</v>
      </c>
      <c r="V952" s="859">
        <f t="shared" si="73"/>
        <v>8.33</v>
      </c>
      <c r="W952" s="957">
        <v>8.33</v>
      </c>
      <c r="X952" s="957">
        <v>8.33</v>
      </c>
      <c r="Y952" s="862"/>
      <c r="Z952" s="862"/>
      <c r="AA952" s="862"/>
      <c r="AB952" s="862"/>
      <c r="AC952" s="862"/>
      <c r="AD952" s="862"/>
      <c r="AE952" s="862"/>
      <c r="AF952" s="862"/>
      <c r="AG952" s="862"/>
      <c r="AK952" s="802"/>
    </row>
    <row r="953" spans="2:37" ht="60" customHeight="1" outlineLevel="1" x14ac:dyDescent="0.25">
      <c r="D953" s="890">
        <v>1</v>
      </c>
      <c r="E953" s="577" t="s">
        <v>1460</v>
      </c>
      <c r="F953" s="1844">
        <v>1</v>
      </c>
      <c r="G953" s="2080" t="s">
        <v>796</v>
      </c>
      <c r="H953" s="2080"/>
      <c r="I953" s="978" t="s">
        <v>1536</v>
      </c>
      <c r="V953" s="859">
        <f t="shared" si="73"/>
        <v>1</v>
      </c>
      <c r="W953" s="957">
        <v>1</v>
      </c>
      <c r="X953" s="957">
        <v>1</v>
      </c>
      <c r="Y953" s="862"/>
      <c r="Z953" s="862"/>
      <c r="AA953" s="862"/>
      <c r="AB953" s="862"/>
      <c r="AC953" s="862"/>
      <c r="AD953" s="862"/>
      <c r="AE953" s="862"/>
      <c r="AF953" s="862"/>
      <c r="AG953" s="862"/>
      <c r="AK953" s="802"/>
    </row>
    <row r="954" spans="2:37" ht="75" customHeight="1" outlineLevel="1" x14ac:dyDescent="0.25">
      <c r="D954" s="890" t="s">
        <v>825</v>
      </c>
      <c r="E954" s="577" t="s">
        <v>1461</v>
      </c>
      <c r="F954" s="1844">
        <v>105</v>
      </c>
      <c r="G954" s="2080" t="s">
        <v>827</v>
      </c>
      <c r="H954" s="2080"/>
      <c r="I954" s="978" t="s">
        <v>1530</v>
      </c>
      <c r="V954" s="859" t="str">
        <f t="shared" si="73"/>
        <v>ShowerTemp</v>
      </c>
      <c r="W954" s="957">
        <v>105</v>
      </c>
      <c r="X954" s="957">
        <v>105</v>
      </c>
      <c r="Y954" s="862"/>
      <c r="Z954" s="862"/>
      <c r="AA954" s="862"/>
      <c r="AB954" s="862"/>
      <c r="AC954" s="862"/>
      <c r="AD954" s="862"/>
      <c r="AE954" s="862"/>
      <c r="AF954" s="862"/>
      <c r="AG954" s="862"/>
      <c r="AK954" s="802"/>
    </row>
    <row r="955" spans="2:37" ht="60" customHeight="1" outlineLevel="1" x14ac:dyDescent="0.25">
      <c r="D955" s="890" t="s">
        <v>800</v>
      </c>
      <c r="E955" s="577" t="s">
        <v>1442</v>
      </c>
      <c r="F955" s="1844">
        <v>61.3</v>
      </c>
      <c r="G955" s="2080" t="s">
        <v>802</v>
      </c>
      <c r="H955" s="2080"/>
      <c r="I955" s="978" t="s">
        <v>1536</v>
      </c>
      <c r="V955" s="859" t="str">
        <f t="shared" si="73"/>
        <v>SupplyTemp</v>
      </c>
      <c r="W955" s="957">
        <v>61.3</v>
      </c>
      <c r="X955" s="957">
        <v>61.3</v>
      </c>
      <c r="Y955" s="862"/>
      <c r="Z955" s="862"/>
      <c r="AA955" s="862"/>
      <c r="AB955" s="862"/>
      <c r="AC955" s="862"/>
      <c r="AD955" s="862"/>
      <c r="AE955" s="862"/>
      <c r="AF955" s="862"/>
      <c r="AG955" s="862"/>
      <c r="AK955" s="802"/>
    </row>
    <row r="956" spans="2:37" ht="30" customHeight="1" outlineLevel="1" x14ac:dyDescent="0.25">
      <c r="D956" s="890" t="s">
        <v>1504</v>
      </c>
      <c r="E956" s="577" t="s">
        <v>1443</v>
      </c>
      <c r="F956" s="1844">
        <v>0.98</v>
      </c>
      <c r="G956" s="2272" t="s">
        <v>1444</v>
      </c>
      <c r="H956" s="2272"/>
      <c r="I956" s="978" t="s">
        <v>1530</v>
      </c>
      <c r="V956" s="859" t="str">
        <f t="shared" si="73"/>
        <v>REelectric</v>
      </c>
      <c r="W956" s="957">
        <v>0.98</v>
      </c>
      <c r="X956" s="957">
        <v>0.98</v>
      </c>
      <c r="Y956" s="862"/>
      <c r="Z956" s="862"/>
      <c r="AA956" s="862"/>
      <c r="AB956" s="862"/>
      <c r="AC956" s="862"/>
      <c r="AD956" s="862"/>
      <c r="AE956" s="862"/>
      <c r="AF956" s="862"/>
      <c r="AG956" s="862"/>
      <c r="AK956" s="802"/>
    </row>
    <row r="957" spans="2:37" ht="60" customHeight="1" outlineLevel="1" x14ac:dyDescent="0.25">
      <c r="B957" s="1087"/>
      <c r="D957" s="890">
        <v>3412</v>
      </c>
      <c r="E957" s="577">
        <v>3412</v>
      </c>
      <c r="F957" s="1859">
        <v>3412</v>
      </c>
      <c r="G957" s="2271" t="s">
        <v>546</v>
      </c>
      <c r="H957" s="2271"/>
      <c r="I957" s="978" t="s">
        <v>1505</v>
      </c>
      <c r="V957" s="859">
        <f t="shared" si="73"/>
        <v>3412</v>
      </c>
      <c r="W957" s="960">
        <v>3412</v>
      </c>
      <c r="X957" s="960">
        <v>3412</v>
      </c>
      <c r="Y957" s="915"/>
      <c r="Z957" s="915"/>
      <c r="AA957" s="915"/>
      <c r="AB957" s="915"/>
      <c r="AC957" s="915"/>
      <c r="AD957" s="915"/>
      <c r="AE957" s="915"/>
      <c r="AF957" s="915"/>
      <c r="AG957" s="915"/>
      <c r="AK957" s="802"/>
    </row>
    <row r="958" spans="2:37" ht="60" customHeight="1" outlineLevel="1" x14ac:dyDescent="0.25">
      <c r="B958" s="1087"/>
      <c r="D958" s="890" t="s">
        <v>736</v>
      </c>
      <c r="E958" s="890" t="s">
        <v>769</v>
      </c>
      <c r="F958" s="961">
        <v>1</v>
      </c>
      <c r="G958" s="2271" t="s">
        <v>1367</v>
      </c>
      <c r="H958" s="2271"/>
      <c r="I958" s="978" t="s">
        <v>1368</v>
      </c>
      <c r="V958" s="859" t="str">
        <f t="shared" si="73"/>
        <v>Utility Adjustment</v>
      </c>
      <c r="W958" s="955">
        <v>1</v>
      </c>
      <c r="X958" s="955">
        <v>1</v>
      </c>
      <c r="Y958" s="860"/>
      <c r="Z958" s="860"/>
      <c r="AA958" s="860"/>
      <c r="AB958" s="860"/>
      <c r="AC958" s="860"/>
      <c r="AD958" s="860"/>
      <c r="AE958" s="860"/>
      <c r="AF958" s="860"/>
      <c r="AG958" s="860"/>
      <c r="AK958" s="802"/>
    </row>
    <row r="959" spans="2:37" ht="60" customHeight="1" outlineLevel="1" x14ac:dyDescent="0.25">
      <c r="B959" s="1087"/>
      <c r="C959" s="305"/>
      <c r="D959" s="890" t="s">
        <v>58</v>
      </c>
      <c r="E959" s="577" t="s">
        <v>1369</v>
      </c>
      <c r="F959" s="1860">
        <v>0.97699999999999998</v>
      </c>
      <c r="G959" s="2272" t="s">
        <v>1454</v>
      </c>
      <c r="H959" s="2272"/>
      <c r="I959" s="807" t="s">
        <v>1429</v>
      </c>
      <c r="V959" s="859" t="str">
        <f t="shared" si="73"/>
        <v>ISR</v>
      </c>
      <c r="W959" s="982">
        <v>0.97699999999999998</v>
      </c>
      <c r="X959" s="982">
        <v>0.97699999999999998</v>
      </c>
      <c r="Y959" s="921"/>
      <c r="Z959" s="921"/>
      <c r="AA959" s="921"/>
      <c r="AB959" s="921"/>
      <c r="AC959" s="921"/>
      <c r="AD959" s="921"/>
      <c r="AE959" s="921"/>
      <c r="AF959" s="921"/>
      <c r="AG959" s="921"/>
      <c r="AK959" s="802"/>
    </row>
    <row r="960" spans="2:37" outlineLevel="1" x14ac:dyDescent="0.25">
      <c r="B960" s="1087"/>
      <c r="C960" s="305"/>
      <c r="D960" s="926" t="str">
        <f>D927</f>
        <v>EUL</v>
      </c>
      <c r="E960" s="926" t="str">
        <f>E927</f>
        <v>Effective Useful Life (All)</v>
      </c>
      <c r="F960" s="962">
        <v>10</v>
      </c>
      <c r="G960" s="2273"/>
      <c r="H960" s="2273"/>
      <c r="I960" s="965"/>
      <c r="V960" s="859" t="str">
        <f t="shared" si="73"/>
        <v>EUL</v>
      </c>
      <c r="W960" s="863">
        <v>10</v>
      </c>
      <c r="X960" s="863">
        <v>10</v>
      </c>
      <c r="Y960" s="925"/>
      <c r="Z960" s="925"/>
      <c r="AA960" s="925"/>
      <c r="AB960" s="925"/>
      <c r="AC960" s="925"/>
      <c r="AD960" s="925"/>
      <c r="AE960" s="925"/>
      <c r="AF960" s="925"/>
      <c r="AG960" s="925"/>
      <c r="AK960" s="802"/>
    </row>
    <row r="961" spans="1:38" outlineLevel="1" x14ac:dyDescent="0.25">
      <c r="B961" s="1087"/>
      <c r="C961" s="305"/>
      <c r="D961" s="2233" t="str">
        <f>D928</f>
        <v>Inc. Cost</v>
      </c>
      <c r="E961" s="926" t="str">
        <f>E928</f>
        <v>Incremental Cost - Non-DI</v>
      </c>
      <c r="F961" s="963">
        <v>7</v>
      </c>
      <c r="G961" s="2273"/>
      <c r="H961" s="2273"/>
      <c r="I961" s="965"/>
      <c r="V961" s="2239" t="str">
        <f>D961</f>
        <v>Inc. Cost</v>
      </c>
      <c r="W961" s="927">
        <v>7</v>
      </c>
      <c r="X961" s="927">
        <v>7</v>
      </c>
      <c r="Y961" s="928"/>
      <c r="Z961" s="928"/>
      <c r="AA961" s="928"/>
      <c r="AB961" s="928"/>
      <c r="AC961" s="928"/>
      <c r="AD961" s="928"/>
      <c r="AE961" s="928"/>
      <c r="AF961" s="928"/>
      <c r="AG961" s="928"/>
      <c r="AK961" s="802"/>
    </row>
    <row r="962" spans="1:38" outlineLevel="1" x14ac:dyDescent="0.25">
      <c r="B962" s="1087"/>
      <c r="C962" s="305"/>
      <c r="D962" s="2234"/>
      <c r="E962" s="926" t="str">
        <f>E929</f>
        <v>Incremental Cost - Direct Install (DI)</v>
      </c>
      <c r="F962" s="963">
        <v>7</v>
      </c>
      <c r="G962" s="2273"/>
      <c r="H962" s="2273"/>
      <c r="I962" s="965"/>
      <c r="V962" s="2240"/>
      <c r="W962" s="927">
        <v>7</v>
      </c>
      <c r="X962" s="927">
        <v>7</v>
      </c>
      <c r="Y962" s="928"/>
      <c r="Z962" s="928"/>
      <c r="AA962" s="928"/>
      <c r="AB962" s="928"/>
      <c r="AC962" s="928"/>
      <c r="AD962" s="928"/>
      <c r="AE962" s="928"/>
      <c r="AF962" s="928"/>
      <c r="AG962" s="928"/>
      <c r="AK962" s="802"/>
    </row>
    <row r="963" spans="1:38" x14ac:dyDescent="0.25">
      <c r="B963" s="1087"/>
      <c r="C963" s="305"/>
      <c r="D963" s="1861"/>
      <c r="E963" s="1862"/>
      <c r="F963" s="1863"/>
      <c r="G963" s="1842"/>
      <c r="AK963" s="802"/>
    </row>
    <row r="964" spans="1:38" ht="15" customHeight="1" x14ac:dyDescent="0.25">
      <c r="B964" s="1087"/>
      <c r="C964" s="1434"/>
      <c r="AK964" s="802"/>
    </row>
    <row r="965" spans="1:38" ht="15" customHeight="1" x14ac:dyDescent="0.25">
      <c r="A965"/>
      <c r="B965" s="2022" t="s">
        <v>15</v>
      </c>
      <c r="C965" s="2023"/>
      <c r="D965" s="2023"/>
      <c r="E965" s="2023"/>
      <c r="F965" s="2023"/>
      <c r="G965" s="2023"/>
      <c r="H965" s="2023"/>
      <c r="I965" s="1992"/>
      <c r="J965" s="1992"/>
      <c r="K965" s="1992"/>
      <c r="L965" s="1992"/>
      <c r="M965" s="1992"/>
      <c r="N965" s="1992"/>
      <c r="O965" s="1992"/>
      <c r="P965" s="1992"/>
      <c r="Q965" s="1992"/>
      <c r="R965" s="1993"/>
      <c r="V965" s="2022" t="str">
        <f>B965</f>
        <v>Lighting</v>
      </c>
      <c r="W965" s="2023"/>
      <c r="X965" s="2023"/>
      <c r="Y965" s="2023"/>
      <c r="Z965" s="2023"/>
      <c r="AA965" s="2023"/>
      <c r="AB965" s="2023"/>
      <c r="AC965" s="2024"/>
      <c r="AD965" s="2024"/>
      <c r="AE965" s="2024"/>
      <c r="AF965" s="2024"/>
      <c r="AG965" s="2024"/>
      <c r="AH965" s="2024"/>
      <c r="AI965" s="2025"/>
      <c r="AK965" s="802"/>
    </row>
    <row r="966" spans="1:38" x14ac:dyDescent="0.25">
      <c r="B966" s="130"/>
      <c r="C966" s="616"/>
      <c r="D966" s="658"/>
      <c r="E966" s="658"/>
      <c r="F966" s="130" t="s">
        <v>426</v>
      </c>
      <c r="G966" s="130"/>
      <c r="H966" s="130"/>
      <c r="I966" s="130"/>
      <c r="J966" s="130"/>
      <c r="K966" s="130"/>
      <c r="L966" s="130"/>
      <c r="M966" s="130"/>
      <c r="N966" s="130"/>
      <c r="O966" s="130"/>
      <c r="AK966" s="802"/>
    </row>
    <row r="967" spans="1:38" s="811" customFormat="1" x14ac:dyDescent="0.25">
      <c r="A967" s="182"/>
      <c r="B967" s="130"/>
      <c r="C967" s="2122" t="s">
        <v>16</v>
      </c>
      <c r="D967" s="2122" t="s">
        <v>509</v>
      </c>
      <c r="E967" s="2122" t="s">
        <v>18</v>
      </c>
      <c r="F967" s="2122" t="s">
        <v>19</v>
      </c>
      <c r="G967" s="2122" t="s">
        <v>427</v>
      </c>
      <c r="H967" s="2122" t="s">
        <v>428</v>
      </c>
      <c r="I967" s="2122" t="s">
        <v>429</v>
      </c>
      <c r="J967" s="2122" t="s">
        <v>430</v>
      </c>
      <c r="K967" s="2122" t="s">
        <v>431</v>
      </c>
      <c r="L967" s="2122" t="s">
        <v>432</v>
      </c>
      <c r="M967" s="2122" t="s">
        <v>22</v>
      </c>
      <c r="N967" s="2122" t="s">
        <v>435</v>
      </c>
      <c r="O967" s="2122" t="s">
        <v>436</v>
      </c>
      <c r="P967" s="2075" t="s">
        <v>437</v>
      </c>
      <c r="Q967" s="2200"/>
      <c r="R967" s="2122" t="s">
        <v>25</v>
      </c>
      <c r="S967" s="1548"/>
      <c r="T967" s="1548"/>
      <c r="U967" s="1548"/>
      <c r="V967" s="249"/>
      <c r="W967" s="249"/>
      <c r="X967" s="249"/>
      <c r="Y967" s="249"/>
      <c r="Z967" s="249"/>
      <c r="AA967" s="249"/>
      <c r="AB967" s="249"/>
      <c r="AC967" s="249"/>
      <c r="AD967" s="249"/>
      <c r="AE967" s="249"/>
      <c r="AF967" s="249"/>
      <c r="AG967" s="249"/>
      <c r="AH967" s="249"/>
      <c r="AI967" s="249"/>
      <c r="AJ967" s="249"/>
      <c r="AK967" s="802"/>
      <c r="AL967" s="249"/>
    </row>
    <row r="968" spans="1:38" s="811" customFormat="1" x14ac:dyDescent="0.25">
      <c r="A968" s="182"/>
      <c r="B968" s="130"/>
      <c r="C968" s="2270"/>
      <c r="D968" s="2270"/>
      <c r="E968" s="2270"/>
      <c r="F968" s="2270"/>
      <c r="G968" s="2270"/>
      <c r="H968" s="2270"/>
      <c r="I968" s="2270"/>
      <c r="J968" s="2270"/>
      <c r="K968" s="2270"/>
      <c r="L968" s="2270"/>
      <c r="M968" s="2270"/>
      <c r="N968" s="2270"/>
      <c r="O968" s="2270"/>
      <c r="P968" s="534" t="s">
        <v>612</v>
      </c>
      <c r="Q968" s="534" t="s">
        <v>614</v>
      </c>
      <c r="R968" s="2270"/>
      <c r="S968" s="1548"/>
      <c r="T968" s="1548"/>
      <c r="U968" s="1548"/>
      <c r="V968" s="48" t="s">
        <v>26</v>
      </c>
      <c r="W968" s="49">
        <v>43252</v>
      </c>
      <c r="X968" s="49">
        <f>X$6</f>
        <v>43465</v>
      </c>
      <c r="Y968" s="49" t="s">
        <v>27</v>
      </c>
      <c r="Z968" s="49" t="s">
        <v>27</v>
      </c>
      <c r="AA968" s="49" t="s">
        <v>27</v>
      </c>
      <c r="AB968" s="49" t="s">
        <v>27</v>
      </c>
      <c r="AC968" s="49" t="s">
        <v>27</v>
      </c>
      <c r="AD968" s="49" t="s">
        <v>27</v>
      </c>
      <c r="AE968" s="49" t="s">
        <v>27</v>
      </c>
      <c r="AF968" s="49" t="s">
        <v>27</v>
      </c>
      <c r="AG968" s="49" t="s">
        <v>27</v>
      </c>
      <c r="AH968" s="249"/>
      <c r="AI968" s="249"/>
      <c r="AK968" s="802"/>
    </row>
    <row r="969" spans="1:38" s="811" customFormat="1" x14ac:dyDescent="0.25">
      <c r="A969" s="182"/>
      <c r="B969" s="130"/>
      <c r="C969" s="115"/>
      <c r="D969" s="726" t="s">
        <v>1837</v>
      </c>
      <c r="E969" s="321" t="s">
        <v>1537</v>
      </c>
      <c r="F969" s="160">
        <f t="shared" ref="F969:F987" si="74">K969+L969</f>
        <v>23.769345599999998</v>
      </c>
      <c r="G969" s="311" t="s">
        <v>439</v>
      </c>
      <c r="H969" s="170">
        <f>VLOOKUP(G969,'CP FACTORS'!$A$3:$B$38, 2, FALSE)</f>
        <v>1.4925290000000001E-4</v>
      </c>
      <c r="I969" s="311" t="s">
        <v>30</v>
      </c>
      <c r="J969" s="170">
        <f>VLOOKUP(I969,'CP FACTORS'!$A$3:$B$38, 2, FALSE)</f>
        <v>1.899635E-4</v>
      </c>
      <c r="K969" s="122">
        <f>((F1001-F1021)*$F$1047*$F$1041*(1-$F$1042)*($F$1043*$F$1044)/1000)</f>
        <v>23.769345599999998</v>
      </c>
      <c r="L969" s="1398">
        <f>((F1001-F1021)*(1-$F$1047)*$F$1041*(1-$F$1042)*($F$1045*$F$1046)/1000)</f>
        <v>0</v>
      </c>
      <c r="M969" s="1397">
        <f t="shared" ref="M969:M987" si="75">((K969/F969)*H969+(L969/F969)*J969)*F969</f>
        <v>3.5476437619022397E-3</v>
      </c>
      <c r="N969" s="122">
        <v>19</v>
      </c>
      <c r="O969" s="123">
        <f t="shared" ref="O969:O988" si="76">20000/3351</f>
        <v>5.9683676514473287</v>
      </c>
      <c r="P969" s="983">
        <f t="shared" ref="P969:Q988" si="77">F1056</f>
        <v>6</v>
      </c>
      <c r="Q969" s="984">
        <f t="shared" si="77"/>
        <v>3.3</v>
      </c>
      <c r="R969" s="1531" t="s">
        <v>31</v>
      </c>
      <c r="S969" s="1548"/>
      <c r="T969" s="1548"/>
      <c r="U969" s="1548"/>
      <c r="V969" s="176" t="str">
        <f>F967</f>
        <v>kWh Annual Savings</v>
      </c>
      <c r="W969" s="1186">
        <v>23.12165583413233</v>
      </c>
      <c r="X969" s="1213">
        <v>23.769345599999998</v>
      </c>
      <c r="Y969" s="176"/>
      <c r="Z969" s="176"/>
      <c r="AA969" s="176"/>
      <c r="AB969" s="176"/>
      <c r="AC969" s="176"/>
      <c r="AD969" s="176"/>
      <c r="AE969" s="176"/>
      <c r="AF969" s="176"/>
      <c r="AG969" s="176"/>
      <c r="AK969" s="802"/>
    </row>
    <row r="970" spans="1:38" s="811" customFormat="1" x14ac:dyDescent="0.25">
      <c r="A970" s="182"/>
      <c r="B970" s="130"/>
      <c r="C970" s="115"/>
      <c r="D970" s="726" t="s">
        <v>1837</v>
      </c>
      <c r="E970" s="321" t="s">
        <v>1538</v>
      </c>
      <c r="F970" s="160">
        <f t="shared" si="74"/>
        <v>22.524950447999998</v>
      </c>
      <c r="G970" s="311" t="s">
        <v>439</v>
      </c>
      <c r="H970" s="170">
        <f>VLOOKUP(G970,'CP FACTORS'!$A$3:$B$38, 2, FALSE)</f>
        <v>1.4925290000000001E-4</v>
      </c>
      <c r="I970" s="311" t="s">
        <v>30</v>
      </c>
      <c r="J970" s="170">
        <f>VLOOKUP(I970,'CP FACTORS'!$A$3:$B$38, 2, FALSE)</f>
        <v>1.899635E-4</v>
      </c>
      <c r="K970" s="122">
        <f>((F1002-F1022)*$F$1047*$F$1041*(1-$F$1042)*($F$1043*$F$1044)/1000)</f>
        <v>22.524950447999998</v>
      </c>
      <c r="L970" s="1398">
        <f t="shared" ref="L970:L988" si="78">((F1002-F1022)*(1-$F$1047)*$F$1041*(1-$F$1042)*($F$1045*$F$1046)/1000)</f>
        <v>0</v>
      </c>
      <c r="M970" s="1397">
        <f t="shared" si="75"/>
        <v>3.3619141767202991E-3</v>
      </c>
      <c r="N970" s="122">
        <v>19</v>
      </c>
      <c r="O970" s="123">
        <f t="shared" si="76"/>
        <v>5.9683676514473287</v>
      </c>
      <c r="P970" s="983">
        <f t="shared" si="77"/>
        <v>6</v>
      </c>
      <c r="Q970" s="984">
        <f t="shared" si="77"/>
        <v>3.68</v>
      </c>
      <c r="R970" s="1531" t="s">
        <v>31</v>
      </c>
      <c r="S970" s="1548"/>
      <c r="T970" s="1548"/>
      <c r="U970" s="1548"/>
      <c r="V970" s="176" t="str">
        <f>V969</f>
        <v>kWh Annual Savings</v>
      </c>
      <c r="W970" s="1186">
        <v>20.693881971548436</v>
      </c>
      <c r="X970" s="1213">
        <v>22.524950447999998</v>
      </c>
      <c r="Y970" s="176"/>
      <c r="Z970" s="176"/>
      <c r="AA970" s="176"/>
      <c r="AB970" s="176"/>
      <c r="AC970" s="176"/>
      <c r="AD970" s="176"/>
      <c r="AE970" s="176"/>
      <c r="AF970" s="176"/>
      <c r="AG970" s="176"/>
      <c r="AK970" s="802"/>
    </row>
    <row r="971" spans="1:38" s="811" customFormat="1" x14ac:dyDescent="0.25">
      <c r="A971" s="182"/>
      <c r="B971" s="130"/>
      <c r="C971" s="115"/>
      <c r="D971" s="726" t="s">
        <v>1837</v>
      </c>
      <c r="E971" s="321" t="s">
        <v>1539</v>
      </c>
      <c r="F971" s="160">
        <f t="shared" si="74"/>
        <v>24.482425967999998</v>
      </c>
      <c r="G971" s="311" t="s">
        <v>439</v>
      </c>
      <c r="H971" s="170">
        <f>VLOOKUP(G971,'CP FACTORS'!$A$3:$B$38, 2, FALSE)</f>
        <v>1.4925290000000001E-4</v>
      </c>
      <c r="I971" s="311" t="s">
        <v>30</v>
      </c>
      <c r="J971" s="170">
        <f>VLOOKUP(I971,'CP FACTORS'!$A$3:$B$38, 2, FALSE)</f>
        <v>1.899635E-4</v>
      </c>
      <c r="K971" s="122">
        <f>((F1003-F1023)*$F$1047*$F$1041*(1-$F$1042)*($F$1043*$F$1044)/1000)</f>
        <v>24.482425967999998</v>
      </c>
      <c r="L971" s="1398">
        <f t="shared" si="78"/>
        <v>0</v>
      </c>
      <c r="M971" s="1397">
        <f t="shared" si="75"/>
        <v>3.6540730747593071E-3</v>
      </c>
      <c r="N971" s="122">
        <v>19</v>
      </c>
      <c r="O971" s="123">
        <f t="shared" si="76"/>
        <v>5.9683676514473287</v>
      </c>
      <c r="P971" s="983">
        <f t="shared" si="77"/>
        <v>6</v>
      </c>
      <c r="Q971" s="984">
        <f t="shared" si="77"/>
        <v>4.72</v>
      </c>
      <c r="R971" s="1531" t="s">
        <v>31</v>
      </c>
      <c r="S971" s="1548"/>
      <c r="T971" s="1548"/>
      <c r="U971" s="1548"/>
      <c r="V971" s="176" t="str">
        <f t="shared" ref="V971:V988" si="79">V970</f>
        <v>kWh Annual Savings</v>
      </c>
      <c r="W971" s="1186">
        <v>27.938667466243238</v>
      </c>
      <c r="X971" s="1213">
        <v>24.482425967999998</v>
      </c>
      <c r="Y971" s="176"/>
      <c r="Z971" s="176"/>
      <c r="AA971" s="176"/>
      <c r="AB971" s="176"/>
      <c r="AC971" s="176"/>
      <c r="AD971" s="176"/>
      <c r="AE971" s="176"/>
      <c r="AF971" s="176"/>
      <c r="AG971" s="176"/>
      <c r="AK971" s="802"/>
    </row>
    <row r="972" spans="1:38" s="811" customFormat="1" x14ac:dyDescent="0.25">
      <c r="A972" s="182"/>
      <c r="B972" s="130"/>
      <c r="C972" s="115"/>
      <c r="D972" s="726" t="s">
        <v>1837</v>
      </c>
      <c r="E972" s="321" t="s">
        <v>445</v>
      </c>
      <c r="F972" s="160">
        <f t="shared" si="74"/>
        <v>30.599536967999999</v>
      </c>
      <c r="G972" s="311" t="s">
        <v>439</v>
      </c>
      <c r="H972" s="170">
        <f>VLOOKUP(G972,'CP FACTORS'!$A$3:$B$38, 2, FALSE)</f>
        <v>1.4925290000000001E-4</v>
      </c>
      <c r="I972" s="311" t="s">
        <v>30</v>
      </c>
      <c r="J972" s="170">
        <f>VLOOKUP(I972,'CP FACTORS'!$A$3:$B$38, 2, FALSE)</f>
        <v>1.899635E-4</v>
      </c>
      <c r="K972" s="122">
        <f>((F1004-F1024)*$F$1047*$F$1041*(1-$F$1042)*($F$1043*$F$1044)/1000)</f>
        <v>30.599536967999999</v>
      </c>
      <c r="L972" s="1398">
        <f t="shared" si="78"/>
        <v>0</v>
      </c>
      <c r="M972" s="1397">
        <f t="shared" si="75"/>
        <v>4.5670696311312072E-3</v>
      </c>
      <c r="N972" s="122">
        <v>19</v>
      </c>
      <c r="O972" s="123">
        <f t="shared" si="76"/>
        <v>5.9683676514473287</v>
      </c>
      <c r="P972" s="983">
        <f t="shared" si="77"/>
        <v>6</v>
      </c>
      <c r="Q972" s="984">
        <f t="shared" si="77"/>
        <v>3.53</v>
      </c>
      <c r="R972" s="1531" t="s">
        <v>31</v>
      </c>
      <c r="S972" s="1548"/>
      <c r="T972" s="1548"/>
      <c r="U972" s="1548"/>
      <c r="V972" s="176" t="str">
        <f t="shared" si="79"/>
        <v>kWh Annual Savings</v>
      </c>
      <c r="W972" s="1186">
        <v>42.871403525787038</v>
      </c>
      <c r="X972" s="1213">
        <v>30.599536967999999</v>
      </c>
      <c r="Y972" s="176"/>
      <c r="Z972" s="176"/>
      <c r="AA972" s="176"/>
      <c r="AB972" s="176"/>
      <c r="AC972" s="176"/>
      <c r="AD972" s="176"/>
      <c r="AE972" s="176"/>
      <c r="AF972" s="176"/>
      <c r="AG972" s="176"/>
      <c r="AK972" s="802"/>
    </row>
    <row r="973" spans="1:38" s="811" customFormat="1" x14ac:dyDescent="0.25">
      <c r="A973" s="182"/>
      <c r="B973" s="130"/>
      <c r="C973" s="115"/>
      <c r="D973" s="726" t="s">
        <v>1837</v>
      </c>
      <c r="E973" s="321" t="s">
        <v>1540</v>
      </c>
      <c r="F973" s="160">
        <f t="shared" si="74"/>
        <v>29.641772160000002</v>
      </c>
      <c r="G973" s="311" t="s">
        <v>439</v>
      </c>
      <c r="H973" s="170">
        <f>VLOOKUP(G973,'CP FACTORS'!$A$3:$B$38, 2, FALSE)</f>
        <v>1.4925290000000001E-4</v>
      </c>
      <c r="I973" s="311" t="s">
        <v>30</v>
      </c>
      <c r="J973" s="170">
        <f>VLOOKUP(I973,'CP FACTORS'!$A$3:$B$38, 2, FALSE)</f>
        <v>1.899635E-4</v>
      </c>
      <c r="K973" s="122">
        <f t="shared" ref="K973:K988" si="80">((F1005-F1025)*$F$1047*$F$1041*(1-$F$1042)*($F$1043*$F$1044)/1000)</f>
        <v>29.641772160000002</v>
      </c>
      <c r="L973" s="1398">
        <f t="shared" si="78"/>
        <v>0</v>
      </c>
      <c r="M973" s="1397">
        <f t="shared" si="75"/>
        <v>4.4241204560192642E-3</v>
      </c>
      <c r="N973" s="122">
        <v>19</v>
      </c>
      <c r="O973" s="123">
        <f t="shared" si="76"/>
        <v>5.9683676514473287</v>
      </c>
      <c r="P973" s="983">
        <f t="shared" si="77"/>
        <v>8</v>
      </c>
      <c r="Q973" s="984">
        <f t="shared" si="77"/>
        <v>6.27</v>
      </c>
      <c r="R973" s="1531" t="s">
        <v>31</v>
      </c>
      <c r="S973" s="1548"/>
      <c r="T973" s="1548"/>
      <c r="U973" s="1548"/>
      <c r="V973" s="176" t="str">
        <f t="shared" si="79"/>
        <v>kWh Annual Savings</v>
      </c>
      <c r="W973" s="1186">
        <v>27.232172426866967</v>
      </c>
      <c r="X973" s="1213">
        <v>29.641772160000002</v>
      </c>
      <c r="Y973" s="176"/>
      <c r="Z973" s="176"/>
      <c r="AA973" s="176"/>
      <c r="AB973" s="176"/>
      <c r="AC973" s="176"/>
      <c r="AD973" s="176"/>
      <c r="AE973" s="176"/>
      <c r="AF973" s="176"/>
      <c r="AG973" s="176"/>
      <c r="AK973" s="802"/>
    </row>
    <row r="974" spans="1:38" s="811" customFormat="1" x14ac:dyDescent="0.25">
      <c r="A974" s="182"/>
      <c r="B974" s="130"/>
      <c r="C974" s="115"/>
      <c r="D974" s="726" t="s">
        <v>1837</v>
      </c>
      <c r="E974" s="321" t="s">
        <v>1541</v>
      </c>
      <c r="F974" s="160">
        <f t="shared" si="74"/>
        <v>28.663034399999997</v>
      </c>
      <c r="G974" s="311" t="s">
        <v>439</v>
      </c>
      <c r="H974" s="170">
        <f>VLOOKUP(G974,'CP FACTORS'!$A$3:$B$38, 2, FALSE)</f>
        <v>1.4925290000000001E-4</v>
      </c>
      <c r="I974" s="311" t="s">
        <v>30</v>
      </c>
      <c r="J974" s="170">
        <f>VLOOKUP(I974,'CP FACTORS'!$A$3:$B$38, 2, FALSE)</f>
        <v>1.899635E-4</v>
      </c>
      <c r="K974" s="122">
        <f t="shared" si="80"/>
        <v>28.663034399999997</v>
      </c>
      <c r="L974" s="1398">
        <f t="shared" si="78"/>
        <v>0</v>
      </c>
      <c r="M974" s="1397">
        <f t="shared" si="75"/>
        <v>4.2780410069997599E-3</v>
      </c>
      <c r="N974" s="122">
        <v>19</v>
      </c>
      <c r="O974" s="123">
        <f t="shared" si="76"/>
        <v>5.9683676514473287</v>
      </c>
      <c r="P974" s="983">
        <f t="shared" si="77"/>
        <v>10</v>
      </c>
      <c r="Q974" s="984">
        <f t="shared" si="77"/>
        <v>4.92</v>
      </c>
      <c r="R974" s="1531" t="s">
        <v>31</v>
      </c>
      <c r="S974" s="1548"/>
      <c r="T974" s="1548"/>
      <c r="U974" s="1548"/>
      <c r="V974" s="176" t="str">
        <f t="shared" si="79"/>
        <v>kWh Annual Savings</v>
      </c>
      <c r="W974" s="1186">
        <v>32.691452276592656</v>
      </c>
      <c r="X974" s="1213">
        <v>28.663034399999997</v>
      </c>
      <c r="Y974" s="176"/>
      <c r="Z974" s="176"/>
      <c r="AA974" s="176"/>
      <c r="AB974" s="176"/>
      <c r="AC974" s="176"/>
      <c r="AD974" s="176"/>
      <c r="AE974" s="176"/>
      <c r="AF974" s="176"/>
      <c r="AG974" s="176"/>
      <c r="AK974" s="802"/>
    </row>
    <row r="975" spans="1:38" s="811" customFormat="1" x14ac:dyDescent="0.25">
      <c r="A975" s="182"/>
      <c r="B975" s="130"/>
      <c r="C975" s="115"/>
      <c r="D975" s="726" t="s">
        <v>1837</v>
      </c>
      <c r="E975" s="321" t="s">
        <v>1542</v>
      </c>
      <c r="F975" s="160">
        <f t="shared" si="74"/>
        <v>37.052215199999999</v>
      </c>
      <c r="G975" s="311" t="s">
        <v>439</v>
      </c>
      <c r="H975" s="170">
        <f>VLOOKUP(G975,'CP FACTORS'!$A$3:$B$38, 2, FALSE)</f>
        <v>1.4925290000000001E-4</v>
      </c>
      <c r="I975" s="311" t="s">
        <v>30</v>
      </c>
      <c r="J975" s="170">
        <f>VLOOKUP(I975,'CP FACTORS'!$A$3:$B$38, 2, FALSE)</f>
        <v>1.899635E-4</v>
      </c>
      <c r="K975" s="122">
        <f t="shared" si="80"/>
        <v>37.052215199999999</v>
      </c>
      <c r="L975" s="1398">
        <f t="shared" si="78"/>
        <v>0</v>
      </c>
      <c r="M975" s="1397">
        <f t="shared" si="75"/>
        <v>5.5301505700240802E-3</v>
      </c>
      <c r="N975" s="122">
        <v>19</v>
      </c>
      <c r="O975" s="123">
        <f t="shared" si="76"/>
        <v>5.9683676514473287</v>
      </c>
      <c r="P975" s="983">
        <f t="shared" si="77"/>
        <v>15</v>
      </c>
      <c r="Q975" s="984">
        <f t="shared" si="77"/>
        <v>4.92</v>
      </c>
      <c r="R975" s="1531" t="s">
        <v>31</v>
      </c>
      <c r="S975" s="1548"/>
      <c r="T975" s="1548"/>
      <c r="U975" s="1548"/>
      <c r="V975" s="176" t="str">
        <f t="shared" si="79"/>
        <v>kWh Annual Savings</v>
      </c>
      <c r="W975" s="1186">
        <v>52.66599384441254</v>
      </c>
      <c r="X975" s="1213">
        <v>37.052215199999999</v>
      </c>
      <c r="Y975" s="176"/>
      <c r="Z975" s="176"/>
      <c r="AA975" s="176"/>
      <c r="AB975" s="176"/>
      <c r="AC975" s="176"/>
      <c r="AD975" s="176"/>
      <c r="AE975" s="176"/>
      <c r="AF975" s="176"/>
      <c r="AG975" s="176"/>
      <c r="AK975" s="802"/>
    </row>
    <row r="976" spans="1:38" s="811" customFormat="1" x14ac:dyDescent="0.25">
      <c r="A976" s="182"/>
      <c r="B976" s="130"/>
      <c r="C976" s="115"/>
      <c r="D976" s="726" t="s">
        <v>1837</v>
      </c>
      <c r="E976" s="321" t="s">
        <v>1543</v>
      </c>
      <c r="F976" s="160">
        <f t="shared" si="74"/>
        <v>39.848608800000001</v>
      </c>
      <c r="G976" s="985" t="s">
        <v>439</v>
      </c>
      <c r="H976" s="170">
        <f>VLOOKUP(G976,'CP FACTORS'!$A$3:$B$38, 2, FALSE)</f>
        <v>1.4925290000000001E-4</v>
      </c>
      <c r="I976" s="985" t="s">
        <v>30</v>
      </c>
      <c r="J976" s="170">
        <f>VLOOKUP(I976,'CP FACTORS'!$A$3:$B$38, 2, FALSE)</f>
        <v>1.899635E-4</v>
      </c>
      <c r="K976" s="160">
        <f t="shared" si="80"/>
        <v>39.848608800000001</v>
      </c>
      <c r="L976" s="1864">
        <f t="shared" si="78"/>
        <v>0</v>
      </c>
      <c r="M976" s="1672">
        <f t="shared" si="75"/>
        <v>5.9475204243655206E-3</v>
      </c>
      <c r="N976" s="160">
        <v>19</v>
      </c>
      <c r="O976" s="160">
        <f t="shared" si="76"/>
        <v>5.9683676514473287</v>
      </c>
      <c r="P976" s="983">
        <f t="shared" si="77"/>
        <v>8</v>
      </c>
      <c r="Q976" s="984">
        <f t="shared" si="77"/>
        <v>7.83</v>
      </c>
      <c r="R976" s="1531" t="s">
        <v>31</v>
      </c>
      <c r="S976" s="1548"/>
      <c r="T976" s="1548"/>
      <c r="U976" s="1548"/>
      <c r="V976" s="176" t="str">
        <f t="shared" si="79"/>
        <v>kWh Annual Savings</v>
      </c>
      <c r="W976" s="1186">
        <v>36.609288404042864</v>
      </c>
      <c r="X976" s="1213">
        <v>39.848608800000001</v>
      </c>
      <c r="Y976" s="176"/>
      <c r="Z976" s="176"/>
      <c r="AA976" s="176"/>
      <c r="AB976" s="176"/>
      <c r="AC976" s="176"/>
      <c r="AD976" s="176"/>
      <c r="AE976" s="176"/>
      <c r="AF976" s="176"/>
      <c r="AG976" s="176"/>
      <c r="AK976" s="802"/>
    </row>
    <row r="977" spans="1:38" s="811" customFormat="1" x14ac:dyDescent="0.25">
      <c r="A977" s="182"/>
      <c r="B977" s="130"/>
      <c r="C977" s="115"/>
      <c r="D977" s="726" t="s">
        <v>1837</v>
      </c>
      <c r="E977" s="321" t="s">
        <v>1544</v>
      </c>
      <c r="F977" s="160">
        <f t="shared" si="74"/>
        <v>25.104623543999999</v>
      </c>
      <c r="G977" s="985" t="s">
        <v>439</v>
      </c>
      <c r="H977" s="170">
        <f>VLOOKUP(G977,'CP FACTORS'!$A$3:$B$38, 2, FALSE)</f>
        <v>1.4925290000000001E-4</v>
      </c>
      <c r="I977" s="985" t="s">
        <v>30</v>
      </c>
      <c r="J977" s="170">
        <f>VLOOKUP(I977,'CP FACTORS'!$A$3:$B$38, 2, FALSE)</f>
        <v>1.899635E-4</v>
      </c>
      <c r="K977" s="160">
        <f t="shared" si="80"/>
        <v>25.104623543999999</v>
      </c>
      <c r="L977" s="1864">
        <f t="shared" si="78"/>
        <v>0</v>
      </c>
      <c r="M977" s="1672">
        <f t="shared" si="75"/>
        <v>3.7469378673502776E-3</v>
      </c>
      <c r="N977" s="160">
        <v>19</v>
      </c>
      <c r="O977" s="160">
        <f t="shared" si="76"/>
        <v>5.9683676514473287</v>
      </c>
      <c r="P977" s="983">
        <f t="shared" si="77"/>
        <v>7</v>
      </c>
      <c r="Q977" s="984">
        <f t="shared" si="77"/>
        <v>3.27</v>
      </c>
      <c r="R977" s="1531" t="s">
        <v>31</v>
      </c>
      <c r="S977" s="1548"/>
      <c r="T977" s="1548"/>
      <c r="U977" s="1548"/>
      <c r="V977" s="176" t="str">
        <f t="shared" si="79"/>
        <v>kWh Annual Savings</v>
      </c>
      <c r="W977" s="1186">
        <v>23.063851694547001</v>
      </c>
      <c r="X977" s="1213">
        <v>25.104623543999999</v>
      </c>
      <c r="Y977" s="176"/>
      <c r="Z977" s="176"/>
      <c r="AA977" s="176"/>
      <c r="AB977" s="176"/>
      <c r="AC977" s="176"/>
      <c r="AD977" s="176"/>
      <c r="AE977" s="176"/>
      <c r="AF977" s="176"/>
      <c r="AG977" s="176"/>
      <c r="AK977" s="802"/>
    </row>
    <row r="978" spans="1:38" s="811" customFormat="1" x14ac:dyDescent="0.25">
      <c r="A978" s="182"/>
      <c r="B978" s="130"/>
      <c r="C978" s="115"/>
      <c r="D978" s="726" t="s">
        <v>1837</v>
      </c>
      <c r="E978" s="321" t="s">
        <v>1545</v>
      </c>
      <c r="F978" s="160">
        <f>K978+L978</f>
        <v>3.1459428000000003</v>
      </c>
      <c r="G978" s="985" t="s">
        <v>439</v>
      </c>
      <c r="H978" s="170">
        <f>VLOOKUP(G978,'CP FACTORS'!$A$3:$B$38, 2, FALSE)</f>
        <v>1.4925290000000001E-4</v>
      </c>
      <c r="I978" s="985" t="s">
        <v>30</v>
      </c>
      <c r="J978" s="170">
        <f>VLOOKUP(I978,'CP FACTORS'!$A$3:$B$38, 2, FALSE)</f>
        <v>1.899635E-4</v>
      </c>
      <c r="K978" s="160">
        <f t="shared" si="80"/>
        <v>3.1459428000000003</v>
      </c>
      <c r="L978" s="1864">
        <f t="shared" si="78"/>
        <v>0</v>
      </c>
      <c r="M978" s="1672">
        <f>((K978/F978)*H978+(L978/F978)*J978)*F978</f>
        <v>4.6954108613412004E-4</v>
      </c>
      <c r="N978" s="160">
        <v>19</v>
      </c>
      <c r="O978" s="160">
        <f t="shared" si="76"/>
        <v>5.9683676514473287</v>
      </c>
      <c r="P978" s="983">
        <f t="shared" si="77"/>
        <v>7</v>
      </c>
      <c r="Q978" s="984">
        <f t="shared" si="77"/>
        <v>3.27</v>
      </c>
      <c r="R978" s="1531" t="s">
        <v>31</v>
      </c>
      <c r="S978" s="1548"/>
      <c r="T978" s="1548"/>
      <c r="U978" s="1548"/>
      <c r="V978" s="176" t="str">
        <f t="shared" si="79"/>
        <v>kWh Annual Savings</v>
      </c>
      <c r="W978" s="1186">
        <v>2.8902069792665412</v>
      </c>
      <c r="X978" s="1213">
        <v>3.1459428000000003</v>
      </c>
      <c r="Y978" s="176"/>
      <c r="Z978" s="176"/>
      <c r="AA978" s="176"/>
      <c r="AB978" s="176"/>
      <c r="AC978" s="176"/>
      <c r="AD978" s="176"/>
      <c r="AE978" s="176"/>
      <c r="AF978" s="176"/>
      <c r="AG978" s="176"/>
      <c r="AK978" s="802"/>
    </row>
    <row r="979" spans="1:38" s="811" customFormat="1" x14ac:dyDescent="0.25">
      <c r="A979" s="182"/>
      <c r="B979" s="130"/>
      <c r="C979" s="115"/>
      <c r="D979" s="726" t="s">
        <v>1837</v>
      </c>
      <c r="E979" s="321" t="s">
        <v>1546</v>
      </c>
      <c r="F979" s="160">
        <f>K979+L979</f>
        <v>14.681066400000002</v>
      </c>
      <c r="G979" s="985" t="s">
        <v>439</v>
      </c>
      <c r="H979" s="170">
        <f>VLOOKUP(G979,'CP FACTORS'!$A$3:$B$38, 2, FALSE)</f>
        <v>1.4925290000000001E-4</v>
      </c>
      <c r="I979" s="985" t="s">
        <v>30</v>
      </c>
      <c r="J979" s="170">
        <f>VLOOKUP(I979,'CP FACTORS'!$A$3:$B$38, 2, FALSE)</f>
        <v>1.899635E-4</v>
      </c>
      <c r="K979" s="160">
        <f t="shared" si="80"/>
        <v>14.681066400000002</v>
      </c>
      <c r="L979" s="1864">
        <f t="shared" si="78"/>
        <v>0</v>
      </c>
      <c r="M979" s="1672">
        <f>((K979/F979)*H979+(L979/F979)*J979)*F979</f>
        <v>2.1911917352925607E-3</v>
      </c>
      <c r="N979" s="160">
        <v>19</v>
      </c>
      <c r="O979" s="160">
        <f t="shared" si="76"/>
        <v>5.9683676514473287</v>
      </c>
      <c r="P979" s="983">
        <f t="shared" si="77"/>
        <v>7</v>
      </c>
      <c r="Q979" s="984">
        <f t="shared" si="77"/>
        <v>3.27</v>
      </c>
      <c r="R979" s="1531" t="s">
        <v>31</v>
      </c>
      <c r="S979" s="1548"/>
      <c r="T979" s="1548"/>
      <c r="U979" s="1548"/>
      <c r="V979" s="176" t="str">
        <f t="shared" si="79"/>
        <v>kWh Annual Savings</v>
      </c>
      <c r="W979" s="1186">
        <v>23.211573384598399</v>
      </c>
      <c r="X979" s="1213">
        <v>14.681066400000002</v>
      </c>
      <c r="Y979" s="176"/>
      <c r="Z979" s="176"/>
      <c r="AA979" s="176"/>
      <c r="AB979" s="176"/>
      <c r="AC979" s="176"/>
      <c r="AD979" s="176"/>
      <c r="AE979" s="176"/>
      <c r="AF979" s="176"/>
      <c r="AG979" s="176"/>
      <c r="AK979" s="802"/>
    </row>
    <row r="980" spans="1:38" s="811" customFormat="1" x14ac:dyDescent="0.25">
      <c r="A980" s="182"/>
      <c r="B980" s="130"/>
      <c r="C980" s="115"/>
      <c r="D980" s="726" t="s">
        <v>1837</v>
      </c>
      <c r="E980" s="321" t="s">
        <v>1547</v>
      </c>
      <c r="F980" s="160">
        <f>K980+L980</f>
        <v>2.0972952</v>
      </c>
      <c r="G980" s="985" t="s">
        <v>439</v>
      </c>
      <c r="H980" s="170">
        <f>VLOOKUP(G980,'CP FACTORS'!$A$3:$B$38, 2, FALSE)</f>
        <v>1.4925290000000001E-4</v>
      </c>
      <c r="I980" s="985" t="s">
        <v>30</v>
      </c>
      <c r="J980" s="170">
        <f>VLOOKUP(I980,'CP FACTORS'!$A$3:$B$38, 2, FALSE)</f>
        <v>1.899635E-4</v>
      </c>
      <c r="K980" s="160">
        <f t="shared" si="80"/>
        <v>2.0972952</v>
      </c>
      <c r="L980" s="1864">
        <f t="shared" si="78"/>
        <v>0</v>
      </c>
      <c r="M980" s="1672">
        <f>((K980/F980)*H980+(L980/F980)*J980)*F980</f>
        <v>3.1302739075608001E-4</v>
      </c>
      <c r="N980" s="160">
        <v>19</v>
      </c>
      <c r="O980" s="160">
        <f t="shared" si="76"/>
        <v>5.9683676514473287</v>
      </c>
      <c r="P980" s="983">
        <f t="shared" si="77"/>
        <v>7</v>
      </c>
      <c r="Q980" s="984">
        <f t="shared" si="77"/>
        <v>3.27</v>
      </c>
      <c r="R980" s="1531" t="s">
        <v>31</v>
      </c>
      <c r="S980" s="1548"/>
      <c r="T980" s="1548"/>
      <c r="U980" s="1548"/>
      <c r="V980" s="176" t="str">
        <f t="shared" si="79"/>
        <v>kWh Annual Savings</v>
      </c>
      <c r="W980" s="1186">
        <v>3.3397947315968928</v>
      </c>
      <c r="X980" s="1213">
        <v>2.0972952</v>
      </c>
      <c r="Y980" s="176"/>
      <c r="Z980" s="176"/>
      <c r="AA980" s="176"/>
      <c r="AB980" s="176"/>
      <c r="AC980" s="176"/>
      <c r="AD980" s="176"/>
      <c r="AE980" s="176"/>
      <c r="AF980" s="176"/>
      <c r="AG980" s="176"/>
      <c r="AK980" s="802"/>
    </row>
    <row r="981" spans="1:38" s="811" customFormat="1" x14ac:dyDescent="0.25">
      <c r="A981" s="182"/>
      <c r="B981" s="130"/>
      <c r="C981" s="115"/>
      <c r="D981" s="726" t="s">
        <v>1837</v>
      </c>
      <c r="E981" s="321" t="s">
        <v>1548</v>
      </c>
      <c r="F981" s="160">
        <f t="shared" si="74"/>
        <v>3.0061231200000003</v>
      </c>
      <c r="G981" s="985" t="s">
        <v>439</v>
      </c>
      <c r="H981" s="170">
        <f>VLOOKUP(G981,'CP FACTORS'!$A$3:$B$38, 2, FALSE)</f>
        <v>1.4925290000000001E-4</v>
      </c>
      <c r="I981" s="985" t="s">
        <v>30</v>
      </c>
      <c r="J981" s="170">
        <f>VLOOKUP(I981,'CP FACTORS'!$A$3:$B$38, 2, FALSE)</f>
        <v>1.899635E-4</v>
      </c>
      <c r="K981" s="160">
        <f t="shared" si="80"/>
        <v>3.0061231200000003</v>
      </c>
      <c r="L981" s="1864">
        <f t="shared" si="78"/>
        <v>0</v>
      </c>
      <c r="M981" s="1672">
        <f t="shared" si="75"/>
        <v>4.4867259341704809E-4</v>
      </c>
      <c r="N981" s="160">
        <v>19</v>
      </c>
      <c r="O981" s="160">
        <f t="shared" si="76"/>
        <v>5.9683676514473287</v>
      </c>
      <c r="P981" s="983">
        <f t="shared" si="77"/>
        <v>6</v>
      </c>
      <c r="Q981" s="984">
        <f t="shared" si="77"/>
        <v>3.68</v>
      </c>
      <c r="R981" s="1531" t="s">
        <v>31</v>
      </c>
      <c r="S981" s="1548"/>
      <c r="T981" s="1548"/>
      <c r="U981" s="1548"/>
      <c r="V981" s="176" t="str">
        <f t="shared" si="79"/>
        <v>kWh Annual Savings</v>
      </c>
      <c r="W981" s="1186">
        <v>2.7617533357435846</v>
      </c>
      <c r="X981" s="1213">
        <v>3.0061231200000003</v>
      </c>
      <c r="Y981" s="176"/>
      <c r="Z981" s="176"/>
      <c r="AA981" s="176"/>
      <c r="AB981" s="176"/>
      <c r="AC981" s="176"/>
      <c r="AD981" s="176"/>
      <c r="AE981" s="176"/>
      <c r="AF981" s="176"/>
      <c r="AG981" s="176"/>
      <c r="AK981" s="802"/>
    </row>
    <row r="982" spans="1:38" s="811" customFormat="1" x14ac:dyDescent="0.25">
      <c r="A982" s="182"/>
      <c r="B982" s="130"/>
      <c r="C982" s="115"/>
      <c r="D982" s="726" t="s">
        <v>1837</v>
      </c>
      <c r="E982" s="321" t="s">
        <v>1549</v>
      </c>
      <c r="F982" s="160">
        <f t="shared" si="74"/>
        <v>9.0882791999999988</v>
      </c>
      <c r="G982" s="985" t="s">
        <v>439</v>
      </c>
      <c r="H982" s="170">
        <f>VLOOKUP(G982,'CP FACTORS'!$A$3:$B$38, 2, FALSE)</f>
        <v>1.4925290000000001E-4</v>
      </c>
      <c r="I982" s="985" t="s">
        <v>30</v>
      </c>
      <c r="J982" s="170">
        <f>VLOOKUP(I982,'CP FACTORS'!$A$3:$B$38, 2, FALSE)</f>
        <v>1.899635E-4</v>
      </c>
      <c r="K982" s="160">
        <f t="shared" si="80"/>
        <v>9.0882791999999988</v>
      </c>
      <c r="L982" s="1864">
        <f t="shared" si="78"/>
        <v>0</v>
      </c>
      <c r="M982" s="1672">
        <f t="shared" si="75"/>
        <v>1.3564520266096799E-3</v>
      </c>
      <c r="N982" s="160">
        <v>19</v>
      </c>
      <c r="O982" s="160">
        <f t="shared" si="76"/>
        <v>5.9683676514473287</v>
      </c>
      <c r="P982" s="983">
        <f t="shared" si="77"/>
        <v>6</v>
      </c>
      <c r="Q982" s="984">
        <f t="shared" si="77"/>
        <v>3.3</v>
      </c>
      <c r="R982" s="1531" t="s">
        <v>31</v>
      </c>
      <c r="S982" s="1548"/>
      <c r="T982" s="1548"/>
      <c r="U982" s="1548"/>
      <c r="V982" s="176" t="str">
        <f t="shared" si="79"/>
        <v>kWh Annual Savings</v>
      </c>
      <c r="W982" s="1186">
        <v>8.3494868289922302</v>
      </c>
      <c r="X982" s="1213">
        <v>9.0882791999999988</v>
      </c>
      <c r="Y982" s="176"/>
      <c r="Z982" s="176"/>
      <c r="AA982" s="176"/>
      <c r="AB982" s="176"/>
      <c r="AC982" s="176"/>
      <c r="AD982" s="176"/>
      <c r="AE982" s="176"/>
      <c r="AF982" s="176"/>
      <c r="AG982" s="176"/>
      <c r="AK982" s="802"/>
    </row>
    <row r="983" spans="1:38" s="811" customFormat="1" x14ac:dyDescent="0.25">
      <c r="A983" s="182"/>
      <c r="B983" s="130"/>
      <c r="C983" s="115"/>
      <c r="D983" s="726" t="s">
        <v>1837</v>
      </c>
      <c r="E983" s="321" t="s">
        <v>1550</v>
      </c>
      <c r="F983" s="160">
        <f t="shared" si="74"/>
        <v>5.9423363999999994</v>
      </c>
      <c r="G983" s="985" t="s">
        <v>439</v>
      </c>
      <c r="H983" s="170">
        <f>VLOOKUP(G983,'CP FACTORS'!$A$3:$B$38, 2, FALSE)</f>
        <v>1.4925290000000001E-4</v>
      </c>
      <c r="I983" s="985" t="s">
        <v>30</v>
      </c>
      <c r="J983" s="170">
        <f>VLOOKUP(I983,'CP FACTORS'!$A$3:$B$38, 2, FALSE)</f>
        <v>1.899635E-4</v>
      </c>
      <c r="K983" s="160">
        <f t="shared" si="80"/>
        <v>5.9423363999999994</v>
      </c>
      <c r="L983" s="1864">
        <f t="shared" si="78"/>
        <v>0</v>
      </c>
      <c r="M983" s="1672">
        <f t="shared" si="75"/>
        <v>8.8691094047555993E-4</v>
      </c>
      <c r="N983" s="160">
        <v>19</v>
      </c>
      <c r="O983" s="160">
        <f t="shared" si="76"/>
        <v>5.9683676514473287</v>
      </c>
      <c r="P983" s="983">
        <f t="shared" si="77"/>
        <v>6</v>
      </c>
      <c r="Q983" s="984">
        <f t="shared" si="77"/>
        <v>3.53</v>
      </c>
      <c r="R983" s="1531" t="s">
        <v>31</v>
      </c>
      <c r="S983" s="1548"/>
      <c r="T983" s="1548"/>
      <c r="U983" s="1548"/>
      <c r="V983" s="176" t="str">
        <f t="shared" si="79"/>
        <v>kWh Annual Savings</v>
      </c>
      <c r="W983" s="1186">
        <v>5.4592798497256902</v>
      </c>
      <c r="X983" s="1213">
        <v>5.9423363999999994</v>
      </c>
      <c r="Y983" s="176"/>
      <c r="Z983" s="176"/>
      <c r="AA983" s="176"/>
      <c r="AB983" s="176"/>
      <c r="AC983" s="176"/>
      <c r="AD983" s="176"/>
      <c r="AE983" s="176"/>
      <c r="AF983" s="176"/>
      <c r="AG983" s="176"/>
      <c r="AK983" s="802"/>
    </row>
    <row r="984" spans="1:38" s="811" customFormat="1" x14ac:dyDescent="0.25">
      <c r="A984" s="182"/>
      <c r="B984" s="130"/>
      <c r="C984" s="115"/>
      <c r="D984" s="726" t="s">
        <v>1837</v>
      </c>
      <c r="E984" s="321" t="s">
        <v>1551</v>
      </c>
      <c r="F984" s="160">
        <f>K984+L984</f>
        <v>5.9423363999999994</v>
      </c>
      <c r="G984" s="985" t="s">
        <v>439</v>
      </c>
      <c r="H984" s="170">
        <f>VLOOKUP(G984,'CP FACTORS'!$A$3:$B$38, 2, FALSE)</f>
        <v>1.4925290000000001E-4</v>
      </c>
      <c r="I984" s="985" t="s">
        <v>30</v>
      </c>
      <c r="J984" s="170">
        <f>VLOOKUP(I984,'CP FACTORS'!$A$3:$B$38, 2, FALSE)</f>
        <v>1.899635E-4</v>
      </c>
      <c r="K984" s="160">
        <f t="shared" si="80"/>
        <v>5.9423363999999994</v>
      </c>
      <c r="L984" s="1864">
        <f t="shared" si="78"/>
        <v>0</v>
      </c>
      <c r="M984" s="1672">
        <f>((K984/F984)*H984+(L984/F984)*J984)*F984</f>
        <v>8.8691094047555993E-4</v>
      </c>
      <c r="N984" s="160">
        <v>19</v>
      </c>
      <c r="O984" s="160">
        <f t="shared" si="76"/>
        <v>5.9683676514473287</v>
      </c>
      <c r="P984" s="983">
        <f t="shared" si="77"/>
        <v>6</v>
      </c>
      <c r="Q984" s="984">
        <f t="shared" si="77"/>
        <v>4.72</v>
      </c>
      <c r="R984" s="1531" t="s">
        <v>31</v>
      </c>
      <c r="S984" s="1548"/>
      <c r="T984" s="1548"/>
      <c r="U984" s="1548"/>
      <c r="V984" s="176" t="str">
        <f t="shared" si="79"/>
        <v>kWh Annual Savings</v>
      </c>
      <c r="W984" s="1186">
        <v>5.4592798497256902</v>
      </c>
      <c r="X984" s="1213">
        <v>5.9423363999999994</v>
      </c>
      <c r="Y984" s="176"/>
      <c r="Z984" s="176"/>
      <c r="AA984" s="176"/>
      <c r="AB984" s="176"/>
      <c r="AC984" s="176"/>
      <c r="AD984" s="176"/>
      <c r="AE984" s="176"/>
      <c r="AF984" s="176"/>
      <c r="AG984" s="176"/>
      <c r="AK984" s="802"/>
    </row>
    <row r="985" spans="1:38" s="811" customFormat="1" x14ac:dyDescent="0.25">
      <c r="A985" s="182"/>
      <c r="B985" s="130"/>
      <c r="C985" s="115"/>
      <c r="D985" s="726" t="s">
        <v>1837</v>
      </c>
      <c r="E985" s="321" t="s">
        <v>1552</v>
      </c>
      <c r="F985" s="160">
        <f>K985+L985</f>
        <v>5.802516719999999</v>
      </c>
      <c r="G985" s="985" t="s">
        <v>439</v>
      </c>
      <c r="H985" s="170">
        <f>VLOOKUP(G985,'CP FACTORS'!$A$3:$B$38, 2, FALSE)</f>
        <v>1.4925290000000001E-4</v>
      </c>
      <c r="I985" s="985" t="s">
        <v>30</v>
      </c>
      <c r="J985" s="170">
        <f>VLOOKUP(I985,'CP FACTORS'!$A$3:$B$38, 2, FALSE)</f>
        <v>1.899635E-4</v>
      </c>
      <c r="K985" s="160">
        <f t="shared" si="80"/>
        <v>5.802516719999999</v>
      </c>
      <c r="L985" s="1864">
        <f t="shared" si="78"/>
        <v>0</v>
      </c>
      <c r="M985" s="1672">
        <f>((K985/F985)*H985+(L985/F985)*J985)*F985</f>
        <v>8.6604244775848787E-4</v>
      </c>
      <c r="N985" s="160">
        <v>19</v>
      </c>
      <c r="O985" s="160">
        <f t="shared" si="76"/>
        <v>5.9683676514473287</v>
      </c>
      <c r="P985" s="983">
        <f t="shared" si="77"/>
        <v>8</v>
      </c>
      <c r="Q985" s="984">
        <f t="shared" si="77"/>
        <v>6.27</v>
      </c>
      <c r="R985" s="1531" t="s">
        <v>31</v>
      </c>
      <c r="S985" s="1548"/>
      <c r="T985" s="1548"/>
      <c r="U985" s="1548"/>
      <c r="V985" s="176" t="str">
        <f t="shared" si="79"/>
        <v>kWh Annual Savings</v>
      </c>
      <c r="W985" s="1186">
        <v>5.3308262062027314</v>
      </c>
      <c r="X985" s="1213">
        <v>5.802516719999999</v>
      </c>
      <c r="Y985" s="176"/>
      <c r="Z985" s="176"/>
      <c r="AA985" s="176"/>
      <c r="AB985" s="176"/>
      <c r="AC985" s="176"/>
      <c r="AD985" s="176"/>
      <c r="AE985" s="176"/>
      <c r="AF985" s="176"/>
      <c r="AG985" s="176"/>
      <c r="AK985" s="802"/>
    </row>
    <row r="986" spans="1:38" s="811" customFormat="1" x14ac:dyDescent="0.25">
      <c r="A986" s="182"/>
      <c r="B986" s="130"/>
      <c r="C986" s="115"/>
      <c r="D986" s="726" t="s">
        <v>1837</v>
      </c>
      <c r="E986" s="321" t="s">
        <v>1553</v>
      </c>
      <c r="F986" s="160">
        <f t="shared" si="74"/>
        <v>3.3556723200000005</v>
      </c>
      <c r="G986" s="985" t="s">
        <v>439</v>
      </c>
      <c r="H986" s="170">
        <f>VLOOKUP(G986,'CP FACTORS'!$A$3:$B$38, 2, FALSE)</f>
        <v>1.4925290000000001E-4</v>
      </c>
      <c r="I986" s="985" t="s">
        <v>30</v>
      </c>
      <c r="J986" s="170">
        <f>VLOOKUP(I986,'CP FACTORS'!$A$3:$B$38, 2, FALSE)</f>
        <v>1.899635E-4</v>
      </c>
      <c r="K986" s="160">
        <f t="shared" si="80"/>
        <v>3.3556723200000005</v>
      </c>
      <c r="L986" s="1864">
        <f t="shared" si="78"/>
        <v>0</v>
      </c>
      <c r="M986" s="1672">
        <f t="shared" si="75"/>
        <v>5.0084382520972808E-4</v>
      </c>
      <c r="N986" s="160">
        <v>19</v>
      </c>
      <c r="O986" s="160">
        <f t="shared" si="76"/>
        <v>5.9683676514473287</v>
      </c>
      <c r="P986" s="983">
        <f t="shared" si="77"/>
        <v>10</v>
      </c>
      <c r="Q986" s="984">
        <f t="shared" si="77"/>
        <v>4.92</v>
      </c>
      <c r="R986" s="1531" t="s">
        <v>31</v>
      </c>
      <c r="S986" s="1548"/>
      <c r="T986" s="1548"/>
      <c r="U986" s="1548"/>
      <c r="V986" s="176" t="str">
        <f t="shared" si="79"/>
        <v>kWh Annual Savings</v>
      </c>
      <c r="W986" s="1186">
        <v>3.0828874445509782</v>
      </c>
      <c r="X986" s="1213">
        <v>3.3556723200000005</v>
      </c>
      <c r="Y986" s="176"/>
      <c r="Z986" s="176"/>
      <c r="AA986" s="176"/>
      <c r="AB986" s="176"/>
      <c r="AC986" s="176"/>
      <c r="AD986" s="176"/>
      <c r="AE986" s="176"/>
      <c r="AF986" s="176"/>
      <c r="AG986" s="176"/>
      <c r="AK986" s="802"/>
    </row>
    <row r="987" spans="1:38" s="811" customFormat="1" x14ac:dyDescent="0.25">
      <c r="A987" s="182"/>
      <c r="B987" s="130"/>
      <c r="C987" s="115"/>
      <c r="D987" s="726" t="s">
        <v>1837</v>
      </c>
      <c r="E987" s="321" t="s">
        <v>1554</v>
      </c>
      <c r="F987" s="160">
        <f t="shared" si="74"/>
        <v>3.4954919999999996</v>
      </c>
      <c r="G987" s="985" t="s">
        <v>439</v>
      </c>
      <c r="H987" s="170">
        <f>VLOOKUP(G987,'CP FACTORS'!$A$3:$B$38, 2, FALSE)</f>
        <v>1.4925290000000001E-4</v>
      </c>
      <c r="I987" s="985" t="s">
        <v>30</v>
      </c>
      <c r="J987" s="170">
        <f>VLOOKUP(I987,'CP FACTORS'!$A$3:$B$38, 2, FALSE)</f>
        <v>1.899635E-4</v>
      </c>
      <c r="K987" s="160">
        <f t="shared" si="80"/>
        <v>3.4954919999999996</v>
      </c>
      <c r="L987" s="1864">
        <f t="shared" si="78"/>
        <v>0</v>
      </c>
      <c r="M987" s="1672">
        <f t="shared" si="75"/>
        <v>5.2171231792679993E-4</v>
      </c>
      <c r="N987" s="160">
        <v>19</v>
      </c>
      <c r="O987" s="160">
        <f t="shared" si="76"/>
        <v>5.9683676514473287</v>
      </c>
      <c r="P987" s="983">
        <f t="shared" si="77"/>
        <v>15</v>
      </c>
      <c r="Q987" s="984">
        <f t="shared" si="77"/>
        <v>4.92</v>
      </c>
      <c r="R987" s="1531" t="s">
        <v>31</v>
      </c>
      <c r="S987" s="1548"/>
      <c r="T987" s="1548"/>
      <c r="U987" s="1548"/>
      <c r="V987" s="176" t="str">
        <f t="shared" si="79"/>
        <v>kWh Annual Savings</v>
      </c>
      <c r="W987" s="1186">
        <v>3.2113410880739353</v>
      </c>
      <c r="X987" s="1213">
        <v>3.4954919999999996</v>
      </c>
      <c r="Y987" s="176"/>
      <c r="Z987" s="176"/>
      <c r="AA987" s="176"/>
      <c r="AB987" s="176"/>
      <c r="AC987" s="176"/>
      <c r="AD987" s="176"/>
      <c r="AE987" s="176"/>
      <c r="AF987" s="176"/>
      <c r="AG987" s="176"/>
      <c r="AK987" s="802"/>
    </row>
    <row r="988" spans="1:38" s="811" customFormat="1" x14ac:dyDescent="0.25">
      <c r="A988" s="182"/>
      <c r="B988" s="130"/>
      <c r="C988" s="115"/>
      <c r="D988" s="726" t="s">
        <v>1837</v>
      </c>
      <c r="E988" s="321" t="s">
        <v>1555</v>
      </c>
      <c r="F988" s="160">
        <f>K988+L988</f>
        <v>6.8511643200000005</v>
      </c>
      <c r="G988" s="985" t="s">
        <v>439</v>
      </c>
      <c r="H988" s="170">
        <f>VLOOKUP(G988,'CP FACTORS'!$A$3:$B$38, 2, FALSE)</f>
        <v>1.4925290000000001E-4</v>
      </c>
      <c r="I988" s="985" t="s">
        <v>30</v>
      </c>
      <c r="J988" s="170">
        <f>VLOOKUP(I988,'CP FACTORS'!$A$3:$B$38, 2, FALSE)</f>
        <v>1.899635E-4</v>
      </c>
      <c r="K988" s="160">
        <f t="shared" si="80"/>
        <v>6.8511643200000005</v>
      </c>
      <c r="L988" s="1864">
        <f t="shared" si="78"/>
        <v>0</v>
      </c>
      <c r="M988" s="1672">
        <f>((K988/F988)*H988+(L988/F988)*J988)*F988</f>
        <v>1.0225561431365282E-3</v>
      </c>
      <c r="N988" s="160">
        <v>19</v>
      </c>
      <c r="O988" s="160">
        <f t="shared" si="76"/>
        <v>5.9683676514473287</v>
      </c>
      <c r="P988" s="1171">
        <f t="shared" si="77"/>
        <v>8</v>
      </c>
      <c r="Q988" s="1172">
        <f t="shared" si="77"/>
        <v>7.83</v>
      </c>
      <c r="R988" s="1531" t="s">
        <v>31</v>
      </c>
      <c r="S988" s="1548"/>
      <c r="T988" s="1548"/>
      <c r="U988" s="1548"/>
      <c r="V988" s="176" t="str">
        <f t="shared" si="79"/>
        <v>kWh Annual Savings</v>
      </c>
      <c r="W988" s="1186">
        <v>6.2942285326249126</v>
      </c>
      <c r="X988" s="1213">
        <v>6.8511643200000005</v>
      </c>
      <c r="Y988" s="176"/>
      <c r="Z988" s="176"/>
      <c r="AA988" s="176"/>
      <c r="AB988" s="176"/>
      <c r="AC988" s="176"/>
      <c r="AD988" s="176"/>
      <c r="AE988" s="176"/>
      <c r="AF988" s="176"/>
      <c r="AG988" s="176"/>
      <c r="AK988" s="802"/>
    </row>
    <row r="989" spans="1:38" s="811" customFormat="1" x14ac:dyDescent="0.25">
      <c r="A989" s="182"/>
      <c r="B989" s="130"/>
      <c r="C989" s="124"/>
      <c r="D989" s="986"/>
      <c r="E989" s="988"/>
      <c r="F989" s="1865"/>
      <c r="G989" s="987"/>
      <c r="H989" s="1539"/>
      <c r="I989" s="987"/>
      <c r="J989" s="1539"/>
      <c r="K989" s="1865"/>
      <c r="L989" s="1866"/>
      <c r="M989" s="1867"/>
      <c r="N989" s="1865"/>
      <c r="O989" s="1868"/>
      <c r="P989" s="1869"/>
      <c r="Q989" s="1870"/>
      <c r="R989" s="1594"/>
      <c r="S989" s="1548"/>
      <c r="T989" s="1548"/>
      <c r="U989" s="1548"/>
      <c r="V989" s="249" t="str">
        <f>IF(C987&gt;0,C987," ")</f>
        <v xml:space="preserve"> </v>
      </c>
      <c r="W989" s="249"/>
      <c r="X989" s="249"/>
      <c r="Y989" s="249"/>
      <c r="Z989" s="249"/>
      <c r="AA989" s="249"/>
      <c r="AB989" s="249"/>
      <c r="AC989" s="249"/>
      <c r="AD989" s="249"/>
      <c r="AE989" s="249"/>
      <c r="AF989" s="249"/>
      <c r="AG989" s="249"/>
      <c r="AK989" s="802"/>
    </row>
    <row r="990" spans="1:38" s="811" customFormat="1" x14ac:dyDescent="0.25">
      <c r="A990" s="182"/>
      <c r="B990" s="130"/>
      <c r="C990" s="124"/>
      <c r="D990" s="986"/>
      <c r="E990" s="988"/>
      <c r="F990" s="1865"/>
      <c r="G990" s="987"/>
      <c r="H990" s="1539"/>
      <c r="I990" s="987"/>
      <c r="J990" s="1539"/>
      <c r="K990" s="1865"/>
      <c r="L990" s="1866"/>
      <c r="M990" s="1871"/>
      <c r="N990" s="1872"/>
      <c r="O990" s="1873"/>
      <c r="P990" s="1874"/>
      <c r="Q990" s="1874"/>
      <c r="R990" s="1594"/>
      <c r="S990" s="1548"/>
      <c r="T990" s="1548"/>
      <c r="U990" s="1548"/>
      <c r="V990" s="249" t="str">
        <f>IF(C988&gt;0,C988," ")</f>
        <v xml:space="preserve"> </v>
      </c>
      <c r="W990" s="249"/>
      <c r="X990" s="249"/>
      <c r="Y990" s="249"/>
      <c r="Z990" s="249"/>
      <c r="AA990" s="249"/>
      <c r="AB990" s="249"/>
      <c r="AC990" s="249"/>
      <c r="AD990" s="249"/>
      <c r="AE990" s="249"/>
      <c r="AF990" s="249"/>
      <c r="AG990" s="249"/>
      <c r="AK990" s="802"/>
    </row>
    <row r="991" spans="1:38" outlineLevel="1" x14ac:dyDescent="0.25">
      <c r="B991" s="130"/>
      <c r="C991" s="124"/>
      <c r="D991" s="988"/>
      <c r="E991" s="988"/>
      <c r="F991" s="485"/>
      <c r="G991" s="989"/>
      <c r="H991" s="1875"/>
      <c r="I991" s="529"/>
      <c r="J991" s="1872"/>
      <c r="K991" s="1871"/>
      <c r="L991" s="1594"/>
      <c r="M991" s="130"/>
      <c r="N991" s="130"/>
      <c r="V991" s="249" t="str">
        <f>IF(C989&gt;0,C989," ")</f>
        <v xml:space="preserve"> </v>
      </c>
      <c r="AH991" s="811"/>
      <c r="AI991" s="811"/>
      <c r="AJ991" s="811"/>
      <c r="AK991" s="802"/>
      <c r="AL991" s="811"/>
    </row>
    <row r="992" spans="1:38" outlineLevel="1" x14ac:dyDescent="0.25">
      <c r="B992" s="130"/>
      <c r="C992" s="616"/>
      <c r="D992" s="1418" t="s">
        <v>463</v>
      </c>
      <c r="E992" s="1651"/>
      <c r="F992" s="529"/>
      <c r="G992" s="529"/>
      <c r="H992" s="529"/>
      <c r="I992" s="529"/>
      <c r="J992" s="1872"/>
      <c r="K992" s="1871"/>
      <c r="L992" s="1594"/>
      <c r="M992" s="130"/>
      <c r="N992" s="130"/>
      <c r="V992" s="249" t="str">
        <f>IF(C990&gt;0,C990," ")</f>
        <v xml:space="preserve"> </v>
      </c>
      <c r="AH992" s="811"/>
      <c r="AI992" s="811"/>
      <c r="AK992" s="802"/>
    </row>
    <row r="993" spans="1:37" outlineLevel="1" x14ac:dyDescent="0.25">
      <c r="B993" s="130"/>
      <c r="C993" s="616"/>
      <c r="D993" s="658"/>
      <c r="E993" s="658"/>
      <c r="F993" s="130"/>
      <c r="G993" s="130"/>
      <c r="H993" s="130"/>
      <c r="I993" s="130"/>
      <c r="J993" s="1872"/>
      <c r="K993" s="1871"/>
      <c r="L993" s="1594"/>
      <c r="M993" s="130"/>
      <c r="N993" s="130"/>
      <c r="V993" s="249" t="str">
        <f>IF(C991&gt;0,C991," ")</f>
        <v xml:space="preserve"> </v>
      </c>
      <c r="AK993" s="802"/>
    </row>
    <row r="994" spans="1:37" outlineLevel="1" x14ac:dyDescent="0.25">
      <c r="B994" s="130"/>
      <c r="C994" s="616"/>
      <c r="D994" s="658"/>
      <c r="E994" s="658"/>
      <c r="F994" s="130"/>
      <c r="G994" s="130"/>
      <c r="H994" s="130"/>
      <c r="I994" s="130"/>
      <c r="J994" s="1872"/>
      <c r="K994" s="1871"/>
      <c r="L994" s="1594"/>
      <c r="M994" s="130"/>
      <c r="N994" s="130"/>
      <c r="AK994" s="802"/>
    </row>
    <row r="995" spans="1:37" outlineLevel="1" x14ac:dyDescent="0.25">
      <c r="B995" s="130"/>
      <c r="C995" s="616"/>
      <c r="D995" s="658"/>
      <c r="E995" s="658"/>
      <c r="F995" s="130"/>
      <c r="G995" s="130"/>
      <c r="H995" s="130"/>
      <c r="I995" s="130"/>
      <c r="J995" s="1872"/>
      <c r="K995" s="1871"/>
      <c r="L995" s="1594"/>
      <c r="M995" s="130"/>
      <c r="N995" s="130"/>
      <c r="AK995" s="802"/>
    </row>
    <row r="996" spans="1:37" outlineLevel="1" x14ac:dyDescent="0.25">
      <c r="B996" s="130"/>
      <c r="C996" s="616"/>
      <c r="D996" s="658"/>
      <c r="E996" s="658"/>
      <c r="F996" s="130"/>
      <c r="G996" s="130"/>
      <c r="H996" s="130"/>
      <c r="I996" s="130"/>
      <c r="J996" s="1872"/>
      <c r="K996" s="1871"/>
      <c r="L996" s="1594"/>
      <c r="M996" s="130"/>
      <c r="N996" s="130"/>
      <c r="AK996" s="802"/>
    </row>
    <row r="997" spans="1:37" outlineLevel="1" x14ac:dyDescent="0.25">
      <c r="B997" s="130"/>
      <c r="C997" s="616"/>
      <c r="D997" s="658"/>
      <c r="E997" s="658"/>
      <c r="F997" s="130"/>
      <c r="G997" s="130"/>
      <c r="H997" s="130"/>
      <c r="I997" s="130"/>
      <c r="J997" s="1872"/>
      <c r="K997" s="1871"/>
      <c r="L997" s="1594"/>
      <c r="M997" s="130"/>
      <c r="N997" s="130"/>
      <c r="AK997" s="802"/>
    </row>
    <row r="998" spans="1:37" outlineLevel="1" x14ac:dyDescent="0.25">
      <c r="B998" s="130"/>
      <c r="C998" s="616"/>
      <c r="D998" s="658"/>
      <c r="E998" s="658"/>
      <c r="F998" s="130"/>
      <c r="G998" s="130"/>
      <c r="H998" s="130"/>
      <c r="I998" s="130"/>
      <c r="J998" s="1872"/>
      <c r="K998" s="1871"/>
      <c r="L998" s="1594"/>
      <c r="M998" s="130"/>
      <c r="N998" s="130"/>
      <c r="AK998" s="802"/>
    </row>
    <row r="999" spans="1:37" outlineLevel="1" x14ac:dyDescent="0.25">
      <c r="B999" s="130"/>
      <c r="C999" s="616"/>
      <c r="D999" s="658"/>
      <c r="E999" s="658"/>
      <c r="F999" s="130"/>
      <c r="G999" s="130"/>
      <c r="H999" s="130"/>
      <c r="I999" s="130"/>
      <c r="J999" s="1872"/>
      <c r="K999" s="1871"/>
      <c r="L999" s="1594"/>
      <c r="M999" s="130"/>
      <c r="N999" s="130"/>
      <c r="AK999" s="802"/>
    </row>
    <row r="1000" spans="1:37" outlineLevel="1" x14ac:dyDescent="0.25">
      <c r="A1000"/>
      <c r="B1000" s="130"/>
      <c r="C1000" s="1876"/>
      <c r="D1000" s="991" t="s">
        <v>466</v>
      </c>
      <c r="E1000" s="991" t="s">
        <v>53</v>
      </c>
      <c r="F1000" s="2026" t="s">
        <v>467</v>
      </c>
      <c r="G1000" s="2269"/>
      <c r="H1000" s="2026" t="s">
        <v>468</v>
      </c>
      <c r="I1000" s="2269"/>
      <c r="J1000" s="130"/>
      <c r="K1000" s="130"/>
      <c r="L1000" s="130"/>
      <c r="M1000" s="130"/>
      <c r="N1000" s="130"/>
      <c r="V1000" s="48" t="s">
        <v>26</v>
      </c>
      <c r="W1000" s="49">
        <f>$W$6</f>
        <v>43252</v>
      </c>
      <c r="X1000" s="49">
        <f>$X$6</f>
        <v>43465</v>
      </c>
      <c r="Y1000" s="49" t="str">
        <f>$Y$6</f>
        <v>-</v>
      </c>
      <c r="Z1000" s="49" t="str">
        <f>$Z$6</f>
        <v>-</v>
      </c>
      <c r="AA1000" s="49" t="str">
        <f>$AA$6</f>
        <v>-</v>
      </c>
      <c r="AB1000" s="49" t="str">
        <f>$AB$6</f>
        <v>-</v>
      </c>
      <c r="AC1000" s="49" t="str">
        <f>$AC$6</f>
        <v>-</v>
      </c>
      <c r="AD1000" s="49" t="str">
        <f>$AD$6</f>
        <v>-</v>
      </c>
      <c r="AE1000" s="49" t="str">
        <f>$AE$6</f>
        <v>-</v>
      </c>
      <c r="AF1000" s="49" t="str">
        <f>$AF$6</f>
        <v>-</v>
      </c>
      <c r="AG1000" s="49" t="str">
        <f>$AG$6</f>
        <v>-</v>
      </c>
      <c r="AK1000" s="802"/>
    </row>
    <row r="1001" spans="1:37" ht="15" customHeight="1" outlineLevel="1" x14ac:dyDescent="0.25">
      <c r="A1001"/>
      <c r="B1001" s="130"/>
      <c r="C1001" s="1876"/>
      <c r="D1001" s="992" t="s">
        <v>1556</v>
      </c>
      <c r="E1001" s="270" t="str">
        <f t="shared" ref="E1001:E1020" si="81">E969</f>
        <v>LED - 10.5W Downlight E26 (EISA baseline) LI DI</v>
      </c>
      <c r="F1001" s="1877">
        <v>43</v>
      </c>
      <c r="G1001" s="994"/>
      <c r="H1001" s="2247" t="s">
        <v>1795</v>
      </c>
      <c r="I1001" s="2078"/>
      <c r="J1001" s="130"/>
      <c r="K1001" s="130"/>
      <c r="L1001" s="130"/>
      <c r="M1001" s="130"/>
      <c r="N1001" s="130"/>
      <c r="U1001" s="1878" t="str">
        <f>D1001</f>
        <v>Watts Base EISA</v>
      </c>
      <c r="V1001" s="814" t="str">
        <f>E1001</f>
        <v>LED - 10.5W Downlight E26 (EISA baseline) LI DI</v>
      </c>
      <c r="W1001" s="995">
        <v>43</v>
      </c>
      <c r="X1001" s="993">
        <v>43</v>
      </c>
      <c r="Y1001" s="996"/>
      <c r="Z1001" s="494"/>
      <c r="AA1001" s="494"/>
      <c r="AB1001" s="494"/>
      <c r="AC1001" s="494"/>
      <c r="AD1001" s="494"/>
      <c r="AE1001" s="494"/>
      <c r="AF1001" s="494"/>
      <c r="AG1001" s="494"/>
      <c r="AK1001" s="802"/>
    </row>
    <row r="1002" spans="1:37" outlineLevel="1" x14ac:dyDescent="0.25">
      <c r="A1002"/>
      <c r="B1002" s="130"/>
      <c r="C1002" s="1876"/>
      <c r="D1002" s="992" t="s">
        <v>1556</v>
      </c>
      <c r="E1002" s="270" t="str">
        <f t="shared" si="81"/>
        <v>LED - 10W (Halogen baseline) LIDI</v>
      </c>
      <c r="F1002" s="81">
        <v>41.32</v>
      </c>
      <c r="G1002" s="994"/>
      <c r="H1002" s="2247" t="s">
        <v>473</v>
      </c>
      <c r="I1002" s="2078"/>
      <c r="J1002" s="130"/>
      <c r="K1002" s="130"/>
      <c r="L1002" s="130"/>
      <c r="M1002" s="130"/>
      <c r="N1002" s="130"/>
      <c r="U1002" s="1878" t="str">
        <f t="shared" ref="U1002:V1051" si="82">D1002</f>
        <v>Watts Base EISA</v>
      </c>
      <c r="V1002" s="814" t="str">
        <f t="shared" si="82"/>
        <v>LED - 10W (Halogen baseline) LIDI</v>
      </c>
      <c r="W1002" s="995">
        <v>41.32</v>
      </c>
      <c r="X1002" s="995">
        <v>41.32</v>
      </c>
      <c r="Y1002" s="816"/>
      <c r="Z1002" s="816"/>
      <c r="AA1002" s="816"/>
      <c r="AB1002" s="816"/>
      <c r="AC1002" s="816"/>
      <c r="AD1002" s="816"/>
      <c r="AE1002" s="816"/>
      <c r="AF1002" s="816"/>
      <c r="AG1002" s="816"/>
      <c r="AK1002" s="802"/>
    </row>
    <row r="1003" spans="1:37" ht="15" customHeight="1" outlineLevel="1" x14ac:dyDescent="0.25">
      <c r="A1003"/>
      <c r="B1003" s="130"/>
      <c r="C1003" s="1876"/>
      <c r="D1003" s="992" t="s">
        <v>1556</v>
      </c>
      <c r="E1003" s="270" t="str">
        <f t="shared" si="81"/>
        <v>LED - 12W (Halogen baseline) LI DI</v>
      </c>
      <c r="F1003" s="1877">
        <v>44.25</v>
      </c>
      <c r="G1003" s="994"/>
      <c r="H1003" s="2247" t="s">
        <v>1795</v>
      </c>
      <c r="I1003" s="2078"/>
      <c r="J1003" s="130"/>
      <c r="K1003" s="130"/>
      <c r="L1003" s="130"/>
      <c r="M1003" s="130"/>
      <c r="N1003" s="130"/>
      <c r="U1003" s="1878" t="str">
        <f t="shared" si="82"/>
        <v>Watts Base EISA</v>
      </c>
      <c r="V1003" s="814" t="str">
        <f t="shared" si="82"/>
        <v>LED - 12W (Halogen baseline) LI DI</v>
      </c>
      <c r="W1003" s="995">
        <v>53</v>
      </c>
      <c r="X1003" s="993">
        <v>44.25</v>
      </c>
      <c r="Y1003" s="997"/>
      <c r="Z1003" s="816"/>
      <c r="AA1003" s="816"/>
      <c r="AB1003" s="816"/>
      <c r="AC1003" s="816"/>
      <c r="AD1003" s="816"/>
      <c r="AE1003" s="816"/>
      <c r="AF1003" s="816"/>
      <c r="AG1003" s="816"/>
      <c r="AK1003" s="802"/>
    </row>
    <row r="1004" spans="1:37" ht="15" customHeight="1" outlineLevel="1" x14ac:dyDescent="0.25">
      <c r="A1004"/>
      <c r="B1004" s="130"/>
      <c r="C1004" s="1876"/>
      <c r="D1004" s="998" t="s">
        <v>1557</v>
      </c>
      <c r="E1004" s="270" t="str">
        <f t="shared" si="81"/>
        <v>LED - 12W Dimmable Light Bulb (Replacing Specialty Incandescent) LI DI</v>
      </c>
      <c r="F1004" s="81">
        <v>53</v>
      </c>
      <c r="G1004" s="994"/>
      <c r="H1004" s="2247" t="s">
        <v>1795</v>
      </c>
      <c r="I1004" s="2078"/>
      <c r="J1004" s="130"/>
      <c r="K1004" s="130"/>
      <c r="L1004" s="130"/>
      <c r="M1004" s="130"/>
      <c r="N1004" s="130"/>
      <c r="U1004" s="1878" t="str">
        <f t="shared" si="82"/>
        <v>Watts Base Specialty</v>
      </c>
      <c r="V1004" s="814" t="str">
        <f t="shared" si="82"/>
        <v>LED - 12W Dimmable Light Bulb (Replacing Specialty Incandescent) LI DI</v>
      </c>
      <c r="W1004" s="995">
        <v>76.25</v>
      </c>
      <c r="X1004" s="995">
        <v>76.25</v>
      </c>
      <c r="Y1004" s="816"/>
      <c r="Z1004" s="816"/>
      <c r="AA1004" s="816"/>
      <c r="AB1004" s="816"/>
      <c r="AC1004" s="816"/>
      <c r="AD1004" s="816"/>
      <c r="AE1004" s="816"/>
      <c r="AF1004" s="816"/>
      <c r="AG1004" s="816"/>
      <c r="AK1004" s="802"/>
    </row>
    <row r="1005" spans="1:37" outlineLevel="1" x14ac:dyDescent="0.25">
      <c r="A1005"/>
      <c r="B1005" s="130"/>
      <c r="C1005" s="1876"/>
      <c r="D1005" s="998" t="s">
        <v>1556</v>
      </c>
      <c r="E1005" s="270" t="str">
        <f t="shared" si="81"/>
        <v>LED - 15W (Halogen baseline) LIDI</v>
      </c>
      <c r="F1005" s="81">
        <v>53</v>
      </c>
      <c r="G1005" s="994"/>
      <c r="H1005" s="2247" t="s">
        <v>473</v>
      </c>
      <c r="I1005" s="2078"/>
      <c r="J1005" s="130"/>
      <c r="K1005" s="130"/>
      <c r="L1005" s="130"/>
      <c r="M1005" s="130"/>
      <c r="N1005" s="130"/>
      <c r="U1005" s="1878" t="str">
        <f t="shared" si="82"/>
        <v>Watts Base EISA</v>
      </c>
      <c r="V1005" s="814" t="str">
        <f t="shared" si="82"/>
        <v>LED - 15W (Halogen baseline) LIDI</v>
      </c>
      <c r="W1005" s="81">
        <v>53</v>
      </c>
      <c r="X1005" s="81">
        <v>53</v>
      </c>
      <c r="Y1005" s="816"/>
      <c r="Z1005" s="816"/>
      <c r="AA1005" s="816"/>
      <c r="AB1005" s="816"/>
      <c r="AC1005" s="816"/>
      <c r="AD1005" s="816"/>
      <c r="AE1005" s="816"/>
      <c r="AF1005" s="816"/>
      <c r="AG1005" s="816"/>
      <c r="AK1005" s="802"/>
    </row>
    <row r="1006" spans="1:37" ht="15" customHeight="1" outlineLevel="1" x14ac:dyDescent="0.25">
      <c r="A1006"/>
      <c r="B1006" s="130"/>
      <c r="C1006" s="1876"/>
      <c r="D1006" s="992" t="s">
        <v>1556</v>
      </c>
      <c r="E1006" s="270" t="str">
        <f t="shared" si="81"/>
        <v>LED - 15W Flood Light PAR30 Bulb (Halogen baseline) LI DI</v>
      </c>
      <c r="F1006" s="1877">
        <v>55</v>
      </c>
      <c r="G1006" s="994"/>
      <c r="H1006" s="2247" t="s">
        <v>1795</v>
      </c>
      <c r="I1006" s="2078"/>
      <c r="J1006" s="130"/>
      <c r="K1006" s="130"/>
      <c r="L1006" s="130"/>
      <c r="M1006" s="130"/>
      <c r="N1006" s="130"/>
      <c r="U1006" s="1878" t="str">
        <f t="shared" si="82"/>
        <v>Watts Base EISA</v>
      </c>
      <c r="V1006" s="814" t="str">
        <f t="shared" si="82"/>
        <v>LED - 15W Flood Light PAR30 Bulb (Halogen baseline) LI DI</v>
      </c>
      <c r="W1006" s="995">
        <v>62.1</v>
      </c>
      <c r="X1006" s="993">
        <v>55</v>
      </c>
      <c r="Y1006" s="816"/>
      <c r="Z1006" s="816"/>
      <c r="AA1006" s="816"/>
      <c r="AB1006" s="816"/>
      <c r="AC1006" s="816"/>
      <c r="AD1006" s="816"/>
      <c r="AE1006" s="816"/>
      <c r="AF1006" s="816"/>
      <c r="AG1006" s="816"/>
      <c r="AK1006" s="802"/>
    </row>
    <row r="1007" spans="1:37" ht="15" customHeight="1" outlineLevel="1" x14ac:dyDescent="0.25">
      <c r="A1007"/>
      <c r="B1007" s="130"/>
      <c r="C1007" s="1876"/>
      <c r="D1007" s="992" t="s">
        <v>1556</v>
      </c>
      <c r="E1007" s="270" t="str">
        <f t="shared" si="81"/>
        <v>LED - 18W Flood Light PAR38 Bulb (Halogen baseline) LI DI</v>
      </c>
      <c r="F1007" s="1877">
        <v>70</v>
      </c>
      <c r="G1007" s="994"/>
      <c r="H1007" s="2247" t="s">
        <v>1795</v>
      </c>
      <c r="I1007" s="2078"/>
      <c r="J1007" s="130"/>
      <c r="K1007" s="130"/>
      <c r="L1007" s="130"/>
      <c r="M1007" s="130"/>
      <c r="N1007" s="130"/>
      <c r="U1007" s="1878" t="str">
        <f t="shared" si="82"/>
        <v>Watts Base EISA</v>
      </c>
      <c r="V1007" s="814" t="str">
        <f t="shared" si="82"/>
        <v>LED - 18W Flood Light PAR38 Bulb (Halogen baseline) LI DI</v>
      </c>
      <c r="W1007" s="995">
        <v>100</v>
      </c>
      <c r="X1007" s="993">
        <v>70</v>
      </c>
      <c r="Y1007" s="816"/>
      <c r="Z1007" s="816"/>
      <c r="AA1007" s="816"/>
      <c r="AB1007" s="816"/>
      <c r="AC1007" s="816"/>
      <c r="AD1007" s="816"/>
      <c r="AE1007" s="816"/>
      <c r="AF1007" s="816"/>
      <c r="AG1007" s="816"/>
      <c r="AK1007" s="802"/>
    </row>
    <row r="1008" spans="1:37" outlineLevel="1" x14ac:dyDescent="0.25">
      <c r="A1008"/>
      <c r="B1008" s="130"/>
      <c r="C1008" s="1876"/>
      <c r="D1008" s="992" t="s">
        <v>1556</v>
      </c>
      <c r="E1008" s="270" t="str">
        <f t="shared" si="81"/>
        <v>LED - 20W (Halogen baseline) LIDI</v>
      </c>
      <c r="F1008" s="81">
        <v>72</v>
      </c>
      <c r="G1008" s="994"/>
      <c r="H1008" s="2247" t="s">
        <v>473</v>
      </c>
      <c r="I1008" s="2078"/>
      <c r="J1008" s="130"/>
      <c r="K1008" s="130"/>
      <c r="L1008" s="130"/>
      <c r="M1008" s="130"/>
      <c r="N1008" s="130"/>
      <c r="U1008" s="1878" t="str">
        <f t="shared" si="82"/>
        <v>Watts Base EISA</v>
      </c>
      <c r="V1008" s="814" t="str">
        <f t="shared" si="82"/>
        <v>LED - 20W (Halogen baseline) LIDI</v>
      </c>
      <c r="W1008" s="995">
        <v>72</v>
      </c>
      <c r="X1008" s="995">
        <v>72</v>
      </c>
      <c r="Y1008" s="816"/>
      <c r="Z1008" s="816"/>
      <c r="AA1008" s="816"/>
      <c r="AB1008" s="816"/>
      <c r="AC1008" s="816"/>
      <c r="AD1008" s="816"/>
      <c r="AE1008" s="816"/>
      <c r="AF1008" s="816"/>
      <c r="AG1008" s="816"/>
      <c r="AK1008" s="802"/>
    </row>
    <row r="1009" spans="1:37" outlineLevel="1" x14ac:dyDescent="0.25">
      <c r="A1009"/>
      <c r="B1009" s="130"/>
      <c r="C1009" s="1876"/>
      <c r="D1009" s="992" t="s">
        <v>1557</v>
      </c>
      <c r="E1009" s="270" t="str">
        <f t="shared" si="81"/>
        <v>LED - 4W Candelabra (Replacing Specialty Incandescent) LI DI</v>
      </c>
      <c r="F1009" s="76">
        <v>40.409999999999997</v>
      </c>
      <c r="G1009" s="994"/>
      <c r="H1009" s="2247" t="s">
        <v>471</v>
      </c>
      <c r="I1009" s="2078"/>
      <c r="J1009" s="130"/>
      <c r="K1009" s="130"/>
      <c r="L1009" s="130"/>
      <c r="M1009" s="130"/>
      <c r="N1009" s="130"/>
      <c r="U1009" s="1878" t="str">
        <f t="shared" si="82"/>
        <v>Watts Base Specialty</v>
      </c>
      <c r="V1009" s="814" t="str">
        <f t="shared" si="82"/>
        <v>LED - 4W Candelabra (Replacing Specialty Incandescent) LI DI</v>
      </c>
      <c r="W1009" s="999">
        <v>40.409999999999997</v>
      </c>
      <c r="X1009" s="999">
        <v>40.409999999999997</v>
      </c>
      <c r="Y1009" s="816"/>
      <c r="Z1009" s="816"/>
      <c r="AA1009" s="816"/>
      <c r="AB1009" s="816"/>
      <c r="AC1009" s="816"/>
      <c r="AD1009" s="816"/>
      <c r="AE1009" s="816"/>
      <c r="AF1009" s="816"/>
      <c r="AG1009" s="816"/>
      <c r="AK1009" s="802"/>
    </row>
    <row r="1010" spans="1:37" outlineLevel="1" x14ac:dyDescent="0.25">
      <c r="A1010"/>
      <c r="B1010" s="130"/>
      <c r="C1010" s="1876"/>
      <c r="D1010" s="992" t="s">
        <v>1558</v>
      </c>
      <c r="E1010" s="270" t="str">
        <f t="shared" si="81"/>
        <v>LED - 4W Candelabra (CFL baseline) LIDI</v>
      </c>
      <c r="F1010" s="76">
        <v>9</v>
      </c>
      <c r="G1010" s="994"/>
      <c r="H1010" s="2247" t="str">
        <f>'Lighting Deemed Table'!I53</f>
        <v>Based on 4W EE</v>
      </c>
      <c r="I1010" s="2078"/>
      <c r="J1010" s="130"/>
      <c r="K1010" s="130"/>
      <c r="L1010" s="130"/>
      <c r="M1010" s="130"/>
      <c r="N1010" s="130"/>
      <c r="U1010" s="1878" t="str">
        <f t="shared" si="82"/>
        <v>Watts Base CFL</v>
      </c>
      <c r="V1010" s="814" t="str">
        <f t="shared" si="82"/>
        <v>LED - 4W Candelabra (CFL baseline) LIDI</v>
      </c>
      <c r="W1010" s="999">
        <v>9</v>
      </c>
      <c r="X1010" s="999">
        <v>9</v>
      </c>
      <c r="Y1010" s="816"/>
      <c r="Z1010" s="816"/>
      <c r="AA1010" s="816"/>
      <c r="AB1010" s="816"/>
      <c r="AC1010" s="816"/>
      <c r="AD1010" s="816"/>
      <c r="AE1010" s="816"/>
      <c r="AF1010" s="816"/>
      <c r="AG1010" s="816"/>
      <c r="AK1010" s="802"/>
    </row>
    <row r="1011" spans="1:37" ht="15" customHeight="1" outlineLevel="1" x14ac:dyDescent="0.25">
      <c r="A1011"/>
      <c r="B1011" s="130"/>
      <c r="C1011" s="1876"/>
      <c r="D1011" s="992" t="s">
        <v>1557</v>
      </c>
      <c r="E1011" s="270" t="str">
        <f t="shared" si="81"/>
        <v>LED - 8W Globe Light G25 Bulb (Replacing Specialty Incandescent) LI DI</v>
      </c>
      <c r="F1011" s="1877">
        <v>29</v>
      </c>
      <c r="G1011" s="994"/>
      <c r="H1011" s="2247" t="s">
        <v>1795</v>
      </c>
      <c r="I1011" s="2078"/>
      <c r="J1011" s="130"/>
      <c r="K1011" s="130"/>
      <c r="L1011" s="130"/>
      <c r="M1011" s="130"/>
      <c r="N1011" s="130"/>
      <c r="U1011" s="1878" t="str">
        <f t="shared" si="82"/>
        <v>Watts Base Specialty</v>
      </c>
      <c r="V1011" s="814" t="str">
        <f t="shared" si="82"/>
        <v>LED - 8W Globe Light G25 Bulb (Replacing Specialty Incandescent) LI DI</v>
      </c>
      <c r="W1011" s="999">
        <v>42.04</v>
      </c>
      <c r="X1011" s="993">
        <v>29</v>
      </c>
      <c r="Y1011" s="816"/>
      <c r="Z1011" s="816"/>
      <c r="AA1011" s="816"/>
      <c r="AB1011" s="816"/>
      <c r="AC1011" s="816"/>
      <c r="AD1011" s="816"/>
      <c r="AE1011" s="816"/>
      <c r="AF1011" s="816"/>
      <c r="AG1011" s="816"/>
      <c r="AK1011" s="802"/>
    </row>
    <row r="1012" spans="1:37" outlineLevel="1" x14ac:dyDescent="0.25">
      <c r="A1012"/>
      <c r="B1012" s="130"/>
      <c r="C1012" s="1876"/>
      <c r="D1012" s="992" t="s">
        <v>1558</v>
      </c>
      <c r="E1012" s="270" t="str">
        <f t="shared" si="81"/>
        <v>LED - 8W Globe Light G25 Bulb (Replacing CFL) LIDI</v>
      </c>
      <c r="F1012" s="76">
        <v>11</v>
      </c>
      <c r="G1012" s="994"/>
      <c r="H1012" s="2247" t="str">
        <f>'Lighting Deemed Table'!I55</f>
        <v>Compared to 43W (nearest) pre-EISA baseline</v>
      </c>
      <c r="I1012" s="2078"/>
      <c r="J1012" s="130"/>
      <c r="K1012" s="130"/>
      <c r="L1012" s="130"/>
      <c r="M1012" s="130"/>
      <c r="N1012" s="130"/>
      <c r="U1012" s="1878" t="str">
        <f t="shared" si="82"/>
        <v>Watts Base CFL</v>
      </c>
      <c r="V1012" s="814" t="str">
        <f t="shared" si="82"/>
        <v>LED - 8W Globe Light G25 Bulb (Replacing CFL) LIDI</v>
      </c>
      <c r="W1012" s="999">
        <v>11</v>
      </c>
      <c r="X1012" s="999">
        <v>11</v>
      </c>
      <c r="Y1012" s="816"/>
      <c r="Z1012" s="816"/>
      <c r="AA1012" s="816"/>
      <c r="AB1012" s="816"/>
      <c r="AC1012" s="816"/>
      <c r="AD1012" s="816"/>
      <c r="AE1012" s="816"/>
      <c r="AF1012" s="816"/>
      <c r="AG1012" s="816"/>
      <c r="AK1012" s="802"/>
    </row>
    <row r="1013" spans="1:37" outlineLevel="1" x14ac:dyDescent="0.25">
      <c r="A1013"/>
      <c r="B1013" s="130"/>
      <c r="C1013" s="1876"/>
      <c r="D1013" s="992" t="s">
        <v>1558</v>
      </c>
      <c r="E1013" s="270" t="str">
        <f t="shared" si="81"/>
        <v>LED - 10W (CFL baseline) LIDI</v>
      </c>
      <c r="F1013" s="76">
        <v>13.4</v>
      </c>
      <c r="G1013" s="994"/>
      <c r="H1013" s="2247" t="s">
        <v>472</v>
      </c>
      <c r="I1013" s="2078"/>
      <c r="J1013" s="130"/>
      <c r="K1013" s="130"/>
      <c r="L1013" s="130"/>
      <c r="M1013" s="130"/>
      <c r="N1013" s="130"/>
      <c r="U1013" s="1878" t="str">
        <f t="shared" si="82"/>
        <v>Watts Base CFL</v>
      </c>
      <c r="V1013" s="814" t="str">
        <f t="shared" si="82"/>
        <v>LED - 10W (CFL baseline) LIDI</v>
      </c>
      <c r="W1013" s="999">
        <v>13.4</v>
      </c>
      <c r="X1013" s="999">
        <v>13.4</v>
      </c>
      <c r="Y1013" s="816"/>
      <c r="Z1013" s="816"/>
      <c r="AA1013" s="816"/>
      <c r="AB1013" s="816"/>
      <c r="AC1013" s="816"/>
      <c r="AD1013" s="816"/>
      <c r="AE1013" s="816"/>
      <c r="AF1013" s="816"/>
      <c r="AG1013" s="816"/>
      <c r="AK1013" s="802"/>
    </row>
    <row r="1014" spans="1:37" outlineLevel="1" x14ac:dyDescent="0.25">
      <c r="A1014"/>
      <c r="B1014" s="130"/>
      <c r="C1014" s="1876"/>
      <c r="D1014" s="992" t="s">
        <v>1558</v>
      </c>
      <c r="E1014" s="270" t="str">
        <f t="shared" si="81"/>
        <v>LED - 10.5W Downlight E26 (CFL baseline) LIDI</v>
      </c>
      <c r="F1014" s="76">
        <v>21</v>
      </c>
      <c r="G1014" s="994"/>
      <c r="H1014" s="2247"/>
      <c r="I1014" s="2078"/>
      <c r="J1014" s="130"/>
      <c r="K1014" s="130"/>
      <c r="L1014" s="130"/>
      <c r="M1014" s="130"/>
      <c r="N1014" s="130"/>
      <c r="U1014" s="1878" t="str">
        <f t="shared" si="82"/>
        <v>Watts Base CFL</v>
      </c>
      <c r="V1014" s="814" t="str">
        <f t="shared" si="82"/>
        <v>LED - 10.5W Downlight E26 (CFL baseline) LIDI</v>
      </c>
      <c r="W1014" s="999">
        <v>21</v>
      </c>
      <c r="X1014" s="999">
        <v>21</v>
      </c>
      <c r="Y1014" s="816"/>
      <c r="Z1014" s="816"/>
      <c r="AA1014" s="816"/>
      <c r="AB1014" s="816"/>
      <c r="AC1014" s="816"/>
      <c r="AD1014" s="816"/>
      <c r="AE1014" s="816"/>
      <c r="AF1014" s="816"/>
      <c r="AG1014" s="816"/>
      <c r="AK1014" s="802"/>
    </row>
    <row r="1015" spans="1:37" outlineLevel="1" x14ac:dyDescent="0.25">
      <c r="A1015"/>
      <c r="B1015" s="130"/>
      <c r="C1015" s="1876"/>
      <c r="D1015" s="992" t="s">
        <v>1558</v>
      </c>
      <c r="E1015" s="270" t="str">
        <f t="shared" si="81"/>
        <v>LED - 12W Dimmable Light Bulb (Replacing CFL) LIDI</v>
      </c>
      <c r="F1015" s="76">
        <v>18</v>
      </c>
      <c r="G1015" s="994"/>
      <c r="H1015" s="2247"/>
      <c r="I1015" s="2078"/>
      <c r="J1015" s="130"/>
      <c r="K1015" s="130"/>
      <c r="L1015" s="130"/>
      <c r="M1015" s="130"/>
      <c r="N1015" s="130"/>
      <c r="U1015" s="1878" t="str">
        <f t="shared" si="82"/>
        <v>Watts Base CFL</v>
      </c>
      <c r="V1015" s="814" t="str">
        <f t="shared" si="82"/>
        <v>LED - 12W Dimmable Light Bulb (Replacing CFL) LIDI</v>
      </c>
      <c r="W1015" s="999">
        <v>18</v>
      </c>
      <c r="X1015" s="999">
        <v>18</v>
      </c>
      <c r="Y1015" s="816"/>
      <c r="Z1015" s="816"/>
      <c r="AA1015" s="816"/>
      <c r="AB1015" s="816"/>
      <c r="AC1015" s="816"/>
      <c r="AD1015" s="816"/>
      <c r="AE1015" s="816"/>
      <c r="AF1015" s="816"/>
      <c r="AG1015" s="816"/>
      <c r="AK1015" s="802"/>
    </row>
    <row r="1016" spans="1:37" outlineLevel="1" x14ac:dyDescent="0.25">
      <c r="A1016"/>
      <c r="B1016" s="130"/>
      <c r="C1016" s="1876"/>
      <c r="D1016" s="992" t="s">
        <v>1558</v>
      </c>
      <c r="E1016" s="270" t="str">
        <f t="shared" si="81"/>
        <v>LED - 12W (Replacing CFL) LIDI</v>
      </c>
      <c r="F1016" s="76">
        <v>18</v>
      </c>
      <c r="G1016" s="994"/>
      <c r="H1016" s="2247"/>
      <c r="I1016" s="2078"/>
      <c r="J1016" s="130"/>
      <c r="K1016" s="130"/>
      <c r="L1016" s="130"/>
      <c r="M1016" s="130"/>
      <c r="N1016" s="130"/>
      <c r="U1016" s="1878" t="str">
        <f t="shared" si="82"/>
        <v>Watts Base CFL</v>
      </c>
      <c r="V1016" s="814" t="str">
        <f t="shared" si="82"/>
        <v>LED - 12W (Replacing CFL) LIDI</v>
      </c>
      <c r="W1016" s="999">
        <v>18</v>
      </c>
      <c r="X1016" s="999">
        <v>18</v>
      </c>
      <c r="Y1016" s="816"/>
      <c r="Z1016" s="816"/>
      <c r="AA1016" s="816"/>
      <c r="AB1016" s="816"/>
      <c r="AC1016" s="816"/>
      <c r="AD1016" s="816"/>
      <c r="AE1016" s="816"/>
      <c r="AF1016" s="816"/>
      <c r="AG1016" s="816"/>
      <c r="AK1016" s="802"/>
    </row>
    <row r="1017" spans="1:37" outlineLevel="1" x14ac:dyDescent="0.25">
      <c r="A1017"/>
      <c r="B1017" s="130"/>
      <c r="C1017" s="1876"/>
      <c r="D1017" s="992" t="s">
        <v>1558</v>
      </c>
      <c r="E1017" s="270" t="str">
        <f t="shared" si="81"/>
        <v>LED - 15W (CFL baseline) LIDI</v>
      </c>
      <c r="F1017" s="76">
        <v>18.899999999999999</v>
      </c>
      <c r="G1017" s="994"/>
      <c r="H1017" s="2247" t="s">
        <v>474</v>
      </c>
      <c r="I1017" s="2078"/>
      <c r="J1017" s="130"/>
      <c r="K1017" s="130"/>
      <c r="L1017" s="130"/>
      <c r="M1017" s="130"/>
      <c r="N1017" s="130"/>
      <c r="U1017" s="1878" t="str">
        <f t="shared" si="82"/>
        <v>Watts Base CFL</v>
      </c>
      <c r="V1017" s="814" t="str">
        <f t="shared" si="82"/>
        <v>LED - 15W (CFL baseline) LIDI</v>
      </c>
      <c r="W1017" s="999">
        <v>18.899999999999999</v>
      </c>
      <c r="X1017" s="999">
        <v>18.899999999999999</v>
      </c>
      <c r="Y1017" s="816"/>
      <c r="Z1017" s="816"/>
      <c r="AA1017" s="816"/>
      <c r="AB1017" s="816"/>
      <c r="AC1017" s="816"/>
      <c r="AD1017" s="816"/>
      <c r="AE1017" s="816"/>
      <c r="AF1017" s="816"/>
      <c r="AG1017" s="816"/>
      <c r="AK1017" s="802"/>
    </row>
    <row r="1018" spans="1:37" outlineLevel="1" x14ac:dyDescent="0.25">
      <c r="A1018"/>
      <c r="B1018" s="130"/>
      <c r="C1018" s="1876"/>
      <c r="D1018" s="992" t="s">
        <v>1558</v>
      </c>
      <c r="E1018" s="270" t="str">
        <f t="shared" si="81"/>
        <v>LED - 15W Flood Light PAR30 Bulb (CFL baseline) LIDI</v>
      </c>
      <c r="F1018" s="76">
        <v>16</v>
      </c>
      <c r="G1018" s="994"/>
      <c r="H1018" s="2247"/>
      <c r="I1018" s="2078"/>
      <c r="J1018" s="130"/>
      <c r="K1018" s="130"/>
      <c r="L1018" s="130"/>
      <c r="M1018" s="130"/>
      <c r="N1018" s="130"/>
      <c r="U1018" s="1878" t="str">
        <f t="shared" si="82"/>
        <v>Watts Base CFL</v>
      </c>
      <c r="V1018" s="814" t="str">
        <f t="shared" si="82"/>
        <v>LED - 15W Flood Light PAR30 Bulb (CFL baseline) LIDI</v>
      </c>
      <c r="W1018" s="999">
        <v>16</v>
      </c>
      <c r="X1018" s="999">
        <v>16</v>
      </c>
      <c r="Y1018" s="816"/>
      <c r="Z1018" s="816"/>
      <c r="AA1018" s="816"/>
      <c r="AB1018" s="816"/>
      <c r="AC1018" s="816"/>
      <c r="AD1018" s="816"/>
      <c r="AE1018" s="816"/>
      <c r="AF1018" s="816"/>
      <c r="AG1018" s="816"/>
      <c r="AK1018" s="802"/>
    </row>
    <row r="1019" spans="1:37" outlineLevel="1" x14ac:dyDescent="0.25">
      <c r="A1019"/>
      <c r="B1019" s="130"/>
      <c r="C1019" s="1876"/>
      <c r="D1019" s="1000" t="s">
        <v>1558</v>
      </c>
      <c r="E1019" s="270" t="str">
        <f t="shared" si="81"/>
        <v>LED - 18W Flood Light PAR30 Bulb (CFL baseline) LIDI</v>
      </c>
      <c r="F1019" s="76">
        <v>23</v>
      </c>
      <c r="G1019" s="994"/>
      <c r="H1019" s="2247" t="str">
        <f>'Lighting Deemed Table'!I49</f>
        <v>Table in TRM WattsBase after EISA 2020 = WattsBase before EISA 2020 over 2600 Lumens. Lumens are &gt;2600 based off 18W flood EISA compliant baseline of 100W</v>
      </c>
      <c r="I1019" s="2078"/>
      <c r="J1019" s="130"/>
      <c r="K1019" s="130"/>
      <c r="L1019" s="130"/>
      <c r="M1019" s="130"/>
      <c r="N1019" s="130"/>
      <c r="U1019" s="1878" t="str">
        <f t="shared" si="82"/>
        <v>Watts Base CFL</v>
      </c>
      <c r="V1019" s="814" t="str">
        <f t="shared" si="82"/>
        <v>LED - 18W Flood Light PAR30 Bulb (CFL baseline) LIDI</v>
      </c>
      <c r="W1019" s="1001">
        <v>23</v>
      </c>
      <c r="X1019" s="1001">
        <v>23</v>
      </c>
      <c r="Y1019" s="1002"/>
      <c r="Z1019" s="1002"/>
      <c r="AA1019" s="816"/>
      <c r="AB1019" s="816"/>
      <c r="AC1019" s="816"/>
      <c r="AD1019" s="816"/>
      <c r="AE1019" s="816"/>
      <c r="AF1019" s="816"/>
      <c r="AG1019" s="816"/>
      <c r="AK1019" s="802"/>
    </row>
    <row r="1020" spans="1:37" ht="15.75" outlineLevel="1" thickBot="1" x14ac:dyDescent="0.3">
      <c r="A1020"/>
      <c r="B1020" s="130"/>
      <c r="C1020" s="1876"/>
      <c r="D1020" s="1000" t="s">
        <v>1558</v>
      </c>
      <c r="E1020" s="1173" t="str">
        <f t="shared" si="81"/>
        <v>LED - 20W (CFL baseline) LIDI</v>
      </c>
      <c r="F1020" s="1879">
        <v>24.8</v>
      </c>
      <c r="G1020" s="1174"/>
      <c r="H1020" s="2265"/>
      <c r="I1020" s="2266"/>
      <c r="J1020" s="130"/>
      <c r="K1020" s="130"/>
      <c r="L1020" s="130"/>
      <c r="M1020" s="130"/>
      <c r="N1020" s="130"/>
      <c r="U1020" s="1878" t="str">
        <f t="shared" si="82"/>
        <v>Watts Base CFL</v>
      </c>
      <c r="V1020" s="814" t="str">
        <f t="shared" si="82"/>
        <v>LED - 20W (CFL baseline) LIDI</v>
      </c>
      <c r="W1020" s="1003">
        <v>24.8</v>
      </c>
      <c r="X1020" s="1003">
        <v>24.8</v>
      </c>
      <c r="Y1020" s="816"/>
      <c r="Z1020" s="816"/>
      <c r="AA1020" s="816"/>
      <c r="AB1020" s="816"/>
      <c r="AC1020" s="816"/>
      <c r="AD1020" s="816"/>
      <c r="AE1020" s="816"/>
      <c r="AF1020" s="816"/>
      <c r="AG1020" s="816"/>
      <c r="AK1020" s="802"/>
    </row>
    <row r="1021" spans="1:37" ht="15" customHeight="1" outlineLevel="1" x14ac:dyDescent="0.25">
      <c r="A1021"/>
      <c r="B1021" s="130"/>
      <c r="C1021" s="1876"/>
      <c r="D1021" s="1004" t="s">
        <v>1559</v>
      </c>
      <c r="E1021" s="1005" t="str">
        <f t="shared" ref="E1021:E1035" si="83">E969</f>
        <v>LED - 10.5W Downlight E26 (EISA baseline) LI DI</v>
      </c>
      <c r="F1021" s="1880">
        <v>9</v>
      </c>
      <c r="G1021" s="1175"/>
      <c r="H1021" s="2267" t="s">
        <v>1827</v>
      </c>
      <c r="I1021" s="2268"/>
      <c r="J1021" s="130"/>
      <c r="K1021" s="130"/>
      <c r="L1021" s="130"/>
      <c r="M1021" s="130"/>
      <c r="N1021" s="130"/>
      <c r="U1021" s="1878" t="str">
        <f t="shared" si="82"/>
        <v>Watts EE EISA</v>
      </c>
      <c r="V1021" s="814" t="str">
        <f t="shared" si="82"/>
        <v>LED - 10.5W Downlight E26 (EISA baseline) LI DI</v>
      </c>
      <c r="W1021" s="995">
        <v>7</v>
      </c>
      <c r="X1021" s="1006">
        <v>9</v>
      </c>
      <c r="Y1021" s="1007"/>
      <c r="Z1021" s="1008"/>
      <c r="AA1021" s="816"/>
      <c r="AB1021" s="816"/>
      <c r="AC1021" s="816"/>
      <c r="AD1021" s="816"/>
      <c r="AE1021" s="816"/>
      <c r="AF1021" s="816"/>
      <c r="AG1021" s="816"/>
      <c r="AK1021" s="802"/>
    </row>
    <row r="1022" spans="1:37" outlineLevel="1" x14ac:dyDescent="0.25">
      <c r="A1022"/>
      <c r="B1022" s="130"/>
      <c r="C1022" s="1876"/>
      <c r="D1022" s="992" t="s">
        <v>1559</v>
      </c>
      <c r="E1022" s="270" t="str">
        <f t="shared" si="83"/>
        <v>LED - 10W (Halogen baseline) LIDI</v>
      </c>
      <c r="F1022" s="81">
        <v>9.1</v>
      </c>
      <c r="G1022" s="994"/>
      <c r="H1022" s="2247" t="s">
        <v>481</v>
      </c>
      <c r="I1022" s="2078"/>
      <c r="J1022" s="130"/>
      <c r="K1022" s="130"/>
      <c r="L1022" s="130"/>
      <c r="M1022" s="130"/>
      <c r="N1022" s="130"/>
      <c r="U1022" s="1878" t="str">
        <f t="shared" si="82"/>
        <v>Watts EE EISA</v>
      </c>
      <c r="V1022" s="814" t="str">
        <f t="shared" si="82"/>
        <v>LED - 10W (Halogen baseline) LIDI</v>
      </c>
      <c r="W1022" s="995">
        <v>9.1</v>
      </c>
      <c r="X1022" s="995">
        <v>9.1</v>
      </c>
      <c r="Y1022" s="816"/>
      <c r="Z1022" s="1009"/>
      <c r="AA1022" s="816"/>
      <c r="AB1022" s="816"/>
      <c r="AC1022" s="816"/>
      <c r="AD1022" s="816"/>
      <c r="AE1022" s="816"/>
      <c r="AF1022" s="816"/>
      <c r="AG1022" s="816"/>
      <c r="AK1022" s="802"/>
    </row>
    <row r="1023" spans="1:37" outlineLevel="1" x14ac:dyDescent="0.25">
      <c r="A1023"/>
      <c r="B1023" s="130"/>
      <c r="C1023" s="1876"/>
      <c r="D1023" s="998" t="s">
        <v>1559</v>
      </c>
      <c r="E1023" s="270" t="str">
        <f t="shared" si="83"/>
        <v>LED - 12W (Halogen baseline) LI DI</v>
      </c>
      <c r="F1023" s="1877">
        <v>9.23</v>
      </c>
      <c r="G1023" s="994"/>
      <c r="H1023" s="2247" t="s">
        <v>1827</v>
      </c>
      <c r="I1023" s="2078"/>
      <c r="J1023" s="130"/>
      <c r="K1023" s="130"/>
      <c r="L1023" s="130"/>
      <c r="M1023" s="130"/>
      <c r="N1023" s="130"/>
      <c r="U1023" s="1878" t="str">
        <f t="shared" si="82"/>
        <v>Watts EE EISA</v>
      </c>
      <c r="V1023" s="814" t="str">
        <f t="shared" si="82"/>
        <v>LED - 12W (Halogen baseline) LI DI</v>
      </c>
      <c r="W1023" s="995">
        <v>9.5</v>
      </c>
      <c r="X1023" s="993">
        <v>9.23</v>
      </c>
      <c r="Y1023" s="997"/>
      <c r="Z1023" s="76"/>
      <c r="AA1023" s="816"/>
      <c r="AB1023" s="816"/>
      <c r="AC1023" s="816"/>
      <c r="AD1023" s="816"/>
      <c r="AE1023" s="816"/>
      <c r="AF1023" s="816"/>
      <c r="AG1023" s="816"/>
      <c r="AK1023" s="802"/>
    </row>
    <row r="1024" spans="1:37" outlineLevel="1" x14ac:dyDescent="0.25">
      <c r="A1024"/>
      <c r="B1024" s="130"/>
      <c r="C1024" s="1876"/>
      <c r="D1024" s="998" t="s">
        <v>1559</v>
      </c>
      <c r="E1024" s="270" t="str">
        <f t="shared" si="83"/>
        <v>LED - 12W Dimmable Light Bulb (Replacing Specialty Incandescent) LI DI</v>
      </c>
      <c r="F1024" s="1877">
        <v>9.23</v>
      </c>
      <c r="G1024" s="994"/>
      <c r="H1024" s="2247" t="s">
        <v>1827</v>
      </c>
      <c r="I1024" s="2078"/>
      <c r="J1024" s="130"/>
      <c r="K1024" s="130"/>
      <c r="L1024" s="130"/>
      <c r="M1024" s="130"/>
      <c r="N1024" s="130"/>
      <c r="U1024" s="1878" t="str">
        <f t="shared" si="82"/>
        <v>Watts EE EISA</v>
      </c>
      <c r="V1024" s="814" t="str">
        <f t="shared" si="82"/>
        <v>LED - 12W Dimmable Light Bulb (Replacing Specialty Incandescent) LI DI</v>
      </c>
      <c r="W1024" s="995">
        <v>9.5</v>
      </c>
      <c r="X1024" s="993">
        <v>9.23</v>
      </c>
      <c r="Y1024" s="816"/>
      <c r="Z1024" s="76"/>
      <c r="AA1024" s="816"/>
      <c r="AB1024" s="816"/>
      <c r="AC1024" s="816"/>
      <c r="AD1024" s="816"/>
      <c r="AE1024" s="816"/>
      <c r="AF1024" s="816"/>
      <c r="AG1024" s="816"/>
      <c r="AK1024" s="802"/>
    </row>
    <row r="1025" spans="1:37" outlineLevel="1" x14ac:dyDescent="0.25">
      <c r="A1025"/>
      <c r="B1025" s="130"/>
      <c r="C1025" s="1876"/>
      <c r="D1025" s="992" t="s">
        <v>1559</v>
      </c>
      <c r="E1025" s="270" t="str">
        <f t="shared" si="83"/>
        <v>LED - 15W (Halogen baseline) LIDI</v>
      </c>
      <c r="F1025" s="81">
        <v>10.6</v>
      </c>
      <c r="G1025" s="994"/>
      <c r="H1025" s="2247" t="s">
        <v>481</v>
      </c>
      <c r="I1025" s="2078"/>
      <c r="J1025" s="130"/>
      <c r="K1025" s="130"/>
      <c r="L1025" s="130"/>
      <c r="M1025" s="130"/>
      <c r="N1025" s="130"/>
      <c r="U1025" s="1878" t="str">
        <f t="shared" si="82"/>
        <v>Watts EE EISA</v>
      </c>
      <c r="V1025" s="814" t="str">
        <f t="shared" si="82"/>
        <v>LED - 15W (Halogen baseline) LIDI</v>
      </c>
      <c r="W1025" s="995">
        <v>10.6</v>
      </c>
      <c r="X1025" s="995">
        <v>10.6</v>
      </c>
      <c r="Y1025" s="816"/>
      <c r="Z1025" s="1009"/>
      <c r="AA1025" s="816"/>
      <c r="AB1025" s="816"/>
      <c r="AC1025" s="816"/>
      <c r="AD1025" s="816"/>
      <c r="AE1025" s="816"/>
      <c r="AF1025" s="816"/>
      <c r="AG1025" s="816"/>
      <c r="AK1025" s="802"/>
    </row>
    <row r="1026" spans="1:37" outlineLevel="1" x14ac:dyDescent="0.25">
      <c r="A1026"/>
      <c r="B1026" s="130"/>
      <c r="C1026" s="1876"/>
      <c r="D1026" s="992" t="s">
        <v>1559</v>
      </c>
      <c r="E1026" s="270" t="str">
        <f t="shared" si="83"/>
        <v>LED - 15W Flood Light PAR30 Bulb (Halogen baseline) LI DI</v>
      </c>
      <c r="F1026" s="1877">
        <v>14</v>
      </c>
      <c r="G1026" s="994"/>
      <c r="H1026" s="2247" t="s">
        <v>1827</v>
      </c>
      <c r="I1026" s="2078"/>
      <c r="J1026" s="130"/>
      <c r="K1026" s="130"/>
      <c r="L1026" s="130"/>
      <c r="M1026" s="130"/>
      <c r="N1026" s="130"/>
      <c r="U1026" s="1878" t="str">
        <f t="shared" si="82"/>
        <v>Watts EE EISA</v>
      </c>
      <c r="V1026" s="814" t="str">
        <f t="shared" si="82"/>
        <v>LED - 15W Flood Light PAR30 Bulb (Halogen baseline) LI DI</v>
      </c>
      <c r="W1026" s="995">
        <v>11.2</v>
      </c>
      <c r="X1026" s="993">
        <v>14</v>
      </c>
      <c r="Y1026" s="816"/>
      <c r="Z1026" s="76"/>
      <c r="AA1026" s="816"/>
      <c r="AB1026" s="816"/>
      <c r="AC1026" s="816"/>
      <c r="AD1026" s="816"/>
      <c r="AE1026" s="816"/>
      <c r="AF1026" s="816"/>
      <c r="AG1026" s="816"/>
      <c r="AK1026" s="802"/>
    </row>
    <row r="1027" spans="1:37" ht="15" customHeight="1" outlineLevel="1" x14ac:dyDescent="0.25">
      <c r="A1027"/>
      <c r="B1027" s="130"/>
      <c r="C1027" s="1876"/>
      <c r="D1027" s="992" t="s">
        <v>1559</v>
      </c>
      <c r="E1027" s="270" t="str">
        <f t="shared" si="83"/>
        <v>LED - 18W Flood Light PAR38 Bulb (Halogen baseline) LI DI</v>
      </c>
      <c r="F1027" s="1877">
        <v>17</v>
      </c>
      <c r="G1027" s="994"/>
      <c r="H1027" s="2247" t="s">
        <v>1827</v>
      </c>
      <c r="I1027" s="2078"/>
      <c r="J1027" s="130"/>
      <c r="K1027" s="130"/>
      <c r="L1027" s="130"/>
      <c r="M1027" s="130"/>
      <c r="N1027" s="130"/>
      <c r="U1027" s="1878" t="str">
        <f t="shared" si="82"/>
        <v>Watts EE EISA</v>
      </c>
      <c r="V1027" s="814" t="str">
        <f t="shared" si="82"/>
        <v>LED - 18W Flood Light PAR38 Bulb (Halogen baseline) LI DI</v>
      </c>
      <c r="W1027" s="76">
        <v>18</v>
      </c>
      <c r="X1027" s="993">
        <v>17</v>
      </c>
      <c r="Y1027" s="816"/>
      <c r="Z1027" s="816"/>
      <c r="AA1027" s="816"/>
      <c r="AB1027" s="816"/>
      <c r="AC1027" s="816"/>
      <c r="AD1027" s="816"/>
      <c r="AE1027" s="816"/>
      <c r="AF1027" s="816"/>
      <c r="AG1027" s="816"/>
      <c r="AK1027" s="802"/>
    </row>
    <row r="1028" spans="1:37" outlineLevel="1" x14ac:dyDescent="0.25">
      <c r="A1028"/>
      <c r="B1028" s="130"/>
      <c r="C1028" s="1876"/>
      <c r="D1028" s="992" t="s">
        <v>1559</v>
      </c>
      <c r="E1028" s="270" t="str">
        <f t="shared" si="83"/>
        <v>LED - 20W (Halogen baseline) LIDI</v>
      </c>
      <c r="F1028" s="76">
        <v>15</v>
      </c>
      <c r="G1028" s="994"/>
      <c r="H1028" s="2247" t="s">
        <v>481</v>
      </c>
      <c r="I1028" s="2078"/>
      <c r="J1028" s="130"/>
      <c r="K1028" s="130"/>
      <c r="L1028" s="130"/>
      <c r="M1028" s="130"/>
      <c r="N1028" s="130"/>
      <c r="U1028" s="1878" t="str">
        <f t="shared" si="82"/>
        <v>Watts EE EISA</v>
      </c>
      <c r="V1028" s="814" t="str">
        <f t="shared" si="82"/>
        <v>LED - 20W (Halogen baseline) LIDI</v>
      </c>
      <c r="W1028" s="76">
        <v>15</v>
      </c>
      <c r="X1028" s="76">
        <v>15</v>
      </c>
      <c r="Y1028" s="816"/>
      <c r="Z1028" s="816"/>
      <c r="AA1028" s="816"/>
      <c r="AB1028" s="816"/>
      <c r="AC1028" s="816"/>
      <c r="AD1028" s="816"/>
      <c r="AE1028" s="816"/>
      <c r="AF1028" s="816"/>
      <c r="AG1028" s="816"/>
      <c r="AK1028" s="802"/>
    </row>
    <row r="1029" spans="1:37" outlineLevel="1" x14ac:dyDescent="0.25">
      <c r="A1029"/>
      <c r="B1029" s="130"/>
      <c r="C1029" s="1876"/>
      <c r="D1029" s="992" t="s">
        <v>1560</v>
      </c>
      <c r="E1029" s="270" t="str">
        <f t="shared" si="83"/>
        <v>LED - 4W Candelabra (Replacing Specialty Incandescent) LI DI</v>
      </c>
      <c r="F1029" s="76">
        <v>4.5</v>
      </c>
      <c r="G1029" s="994"/>
      <c r="H1029" s="2247" t="s">
        <v>481</v>
      </c>
      <c r="I1029" s="2078"/>
      <c r="J1029" s="130"/>
      <c r="K1029" s="130"/>
      <c r="L1029" s="130"/>
      <c r="M1029" s="130"/>
      <c r="N1029" s="130"/>
      <c r="U1029" s="1878" t="str">
        <f t="shared" si="82"/>
        <v>Watts EE Specialty</v>
      </c>
      <c r="V1029" s="814" t="str">
        <f t="shared" si="82"/>
        <v>LED - 4W Candelabra (Replacing Specialty Incandescent) LI DI</v>
      </c>
      <c r="W1029" s="76">
        <v>4.5</v>
      </c>
      <c r="X1029" s="76">
        <v>4.5</v>
      </c>
      <c r="Y1029" s="816"/>
      <c r="Z1029" s="816"/>
      <c r="AA1029" s="816"/>
      <c r="AB1029" s="816"/>
      <c r="AC1029" s="816"/>
      <c r="AD1029" s="816"/>
      <c r="AE1029" s="816"/>
      <c r="AF1029" s="816"/>
      <c r="AG1029" s="816"/>
      <c r="AK1029" s="802"/>
    </row>
    <row r="1030" spans="1:37" outlineLevel="1" x14ac:dyDescent="0.25">
      <c r="A1030"/>
      <c r="B1030" s="130"/>
      <c r="C1030" s="1876"/>
      <c r="D1030" s="992" t="s">
        <v>1561</v>
      </c>
      <c r="E1030" s="270" t="str">
        <f t="shared" si="83"/>
        <v>LED - 4W Candelabra (CFL baseline) LIDI</v>
      </c>
      <c r="F1030" s="76">
        <v>4.5</v>
      </c>
      <c r="G1030" s="994"/>
      <c r="H1030" s="2247" t="str">
        <f>'Lighting Deemed Table'!I74</f>
        <v>Program Wattage</v>
      </c>
      <c r="I1030" s="2078"/>
      <c r="J1030" s="130"/>
      <c r="K1030" s="130"/>
      <c r="L1030" s="130"/>
      <c r="M1030" s="130"/>
      <c r="N1030" s="130"/>
      <c r="U1030" s="1878" t="str">
        <f t="shared" si="82"/>
        <v>Watts EE CFL</v>
      </c>
      <c r="V1030" s="814" t="str">
        <f t="shared" si="82"/>
        <v>LED - 4W Candelabra (CFL baseline) LIDI</v>
      </c>
      <c r="W1030" s="76">
        <v>4.5</v>
      </c>
      <c r="X1030" s="76">
        <v>4.5</v>
      </c>
      <c r="Y1030" s="816"/>
      <c r="Z1030" s="816"/>
      <c r="AA1030" s="816"/>
      <c r="AB1030" s="816"/>
      <c r="AC1030" s="816"/>
      <c r="AD1030" s="816"/>
      <c r="AE1030" s="816"/>
      <c r="AF1030" s="816"/>
      <c r="AG1030" s="816"/>
      <c r="AK1030" s="802"/>
    </row>
    <row r="1031" spans="1:37" outlineLevel="1" x14ac:dyDescent="0.25">
      <c r="A1031"/>
      <c r="B1031" s="130"/>
      <c r="C1031" s="1876"/>
      <c r="D1031" s="992" t="s">
        <v>1560</v>
      </c>
      <c r="E1031" s="270" t="str">
        <f t="shared" si="83"/>
        <v>LED - 8W Globe Light G25 Bulb (Replacing Specialty Incandescent) LI DI</v>
      </c>
      <c r="F1031" s="1877">
        <v>8</v>
      </c>
      <c r="G1031" s="994"/>
      <c r="H1031" s="2247" t="s">
        <v>1827</v>
      </c>
      <c r="I1031" s="2078"/>
      <c r="J1031" s="130"/>
      <c r="K1031" s="130"/>
      <c r="L1031" s="130"/>
      <c r="M1031" s="130"/>
      <c r="N1031" s="130"/>
      <c r="U1031" s="1878" t="str">
        <f t="shared" si="82"/>
        <v>Watts EE Specialty</v>
      </c>
      <c r="V1031" s="814" t="str">
        <f t="shared" si="82"/>
        <v>LED - 8W Globe Light G25 Bulb (Replacing Specialty Incandescent) LI DI</v>
      </c>
      <c r="W1031" s="76">
        <v>5.9</v>
      </c>
      <c r="X1031" s="993">
        <v>8</v>
      </c>
      <c r="Y1031" s="816"/>
      <c r="Z1031" s="816"/>
      <c r="AA1031" s="816"/>
      <c r="AB1031" s="816"/>
      <c r="AC1031" s="816"/>
      <c r="AD1031" s="816"/>
      <c r="AE1031" s="816"/>
      <c r="AF1031" s="816"/>
      <c r="AG1031" s="816"/>
      <c r="AK1031" s="802"/>
    </row>
    <row r="1032" spans="1:37" outlineLevel="1" x14ac:dyDescent="0.25">
      <c r="A1032"/>
      <c r="B1032" s="130"/>
      <c r="C1032" s="1876"/>
      <c r="D1032" s="992" t="s">
        <v>1561</v>
      </c>
      <c r="E1032" s="270" t="str">
        <f t="shared" si="83"/>
        <v>LED - 8W Globe Light G25 Bulb (Replacing CFL) LIDI</v>
      </c>
      <c r="F1032" s="1877">
        <v>8</v>
      </c>
      <c r="G1032" s="994"/>
      <c r="H1032" s="2247" t="s">
        <v>1827</v>
      </c>
      <c r="I1032" s="2078"/>
      <c r="J1032" s="130"/>
      <c r="K1032" s="130"/>
      <c r="L1032" s="130"/>
      <c r="M1032" s="130"/>
      <c r="N1032" s="130"/>
      <c r="U1032" s="1878" t="str">
        <f t="shared" si="82"/>
        <v>Watts EE CFL</v>
      </c>
      <c r="V1032" s="814" t="str">
        <f t="shared" si="82"/>
        <v>LED - 8W Globe Light G25 Bulb (Replacing CFL) LIDI</v>
      </c>
      <c r="W1032" s="76">
        <v>5.8</v>
      </c>
      <c r="X1032" s="993">
        <v>8</v>
      </c>
      <c r="Y1032" s="816"/>
      <c r="Z1032" s="816"/>
      <c r="AA1032" s="816"/>
      <c r="AB1032" s="816"/>
      <c r="AC1032" s="816"/>
      <c r="AD1032" s="816"/>
      <c r="AE1032" s="816"/>
      <c r="AF1032" s="816"/>
      <c r="AG1032" s="816"/>
      <c r="AK1032" s="802"/>
    </row>
    <row r="1033" spans="1:37" outlineLevel="1" x14ac:dyDescent="0.25">
      <c r="A1033"/>
      <c r="B1033" s="130"/>
      <c r="C1033" s="1876"/>
      <c r="D1033" s="992" t="s">
        <v>1561</v>
      </c>
      <c r="E1033" s="270" t="str">
        <f t="shared" si="83"/>
        <v>LED - 10W (CFL baseline) LIDI</v>
      </c>
      <c r="F1033" s="76">
        <v>9.1</v>
      </c>
      <c r="G1033" s="994"/>
      <c r="H1033" s="2247" t="s">
        <v>481</v>
      </c>
      <c r="I1033" s="2078"/>
      <c r="J1033" s="130"/>
      <c r="K1033" s="130"/>
      <c r="L1033" s="130"/>
      <c r="M1033" s="130"/>
      <c r="N1033" s="130"/>
      <c r="U1033" s="1878" t="str">
        <f t="shared" si="82"/>
        <v>Watts EE CFL</v>
      </c>
      <c r="V1033" s="814" t="str">
        <f t="shared" si="82"/>
        <v>LED - 10W (CFL baseline) LIDI</v>
      </c>
      <c r="W1033" s="76">
        <v>9.1</v>
      </c>
      <c r="X1033" s="76">
        <v>9.1</v>
      </c>
      <c r="Y1033" s="816"/>
      <c r="Z1033" s="816"/>
      <c r="AA1033" s="816"/>
      <c r="AB1033" s="816"/>
      <c r="AC1033" s="816"/>
      <c r="AD1033" s="816"/>
      <c r="AE1033" s="816"/>
      <c r="AF1033" s="816"/>
      <c r="AG1033" s="816"/>
      <c r="AK1033" s="802"/>
    </row>
    <row r="1034" spans="1:37" outlineLevel="1" x14ac:dyDescent="0.25">
      <c r="A1034"/>
      <c r="B1034" s="130"/>
      <c r="C1034" s="1876"/>
      <c r="D1034" s="992" t="s">
        <v>1561</v>
      </c>
      <c r="E1034" s="270" t="str">
        <f t="shared" si="83"/>
        <v>LED - 10.5W Downlight E26 (CFL baseline) LIDI</v>
      </c>
      <c r="F1034" s="76">
        <v>8</v>
      </c>
      <c r="G1034" s="994"/>
      <c r="H1034" s="2247" t="s">
        <v>481</v>
      </c>
      <c r="I1034" s="2078"/>
      <c r="J1034" s="130"/>
      <c r="K1034" s="130"/>
      <c r="L1034" s="130"/>
      <c r="M1034" s="130"/>
      <c r="N1034" s="130"/>
      <c r="U1034" s="1878" t="str">
        <f t="shared" si="82"/>
        <v>Watts EE CFL</v>
      </c>
      <c r="V1034" s="814" t="str">
        <f t="shared" si="82"/>
        <v>LED - 10.5W Downlight E26 (CFL baseline) LIDI</v>
      </c>
      <c r="W1034" s="76">
        <v>8</v>
      </c>
      <c r="X1034" s="76">
        <v>8</v>
      </c>
      <c r="Y1034" s="816"/>
      <c r="Z1034" s="816"/>
      <c r="AA1034" s="816"/>
      <c r="AB1034" s="816"/>
      <c r="AC1034" s="816"/>
      <c r="AD1034" s="816"/>
      <c r="AE1034" s="816"/>
      <c r="AF1034" s="816"/>
      <c r="AG1034" s="816"/>
      <c r="AK1034" s="802"/>
    </row>
    <row r="1035" spans="1:37" outlineLevel="1" x14ac:dyDescent="0.25">
      <c r="A1035"/>
      <c r="B1035" s="130"/>
      <c r="C1035" s="1876"/>
      <c r="D1035" s="992" t="s">
        <v>1561</v>
      </c>
      <c r="E1035" s="270" t="str">
        <f t="shared" si="83"/>
        <v>LED - 12W Dimmable Light Bulb (Replacing CFL) LIDI</v>
      </c>
      <c r="F1035" s="76">
        <v>9.5</v>
      </c>
      <c r="G1035" s="994"/>
      <c r="H1035" s="2247" t="s">
        <v>481</v>
      </c>
      <c r="I1035" s="2078"/>
      <c r="J1035" s="130"/>
      <c r="K1035" s="130"/>
      <c r="L1035" s="130"/>
      <c r="M1035" s="130"/>
      <c r="N1035" s="130"/>
      <c r="U1035" s="1878" t="str">
        <f t="shared" si="82"/>
        <v>Watts EE CFL</v>
      </c>
      <c r="V1035" s="814" t="str">
        <f t="shared" si="82"/>
        <v>LED - 12W Dimmable Light Bulb (Replacing CFL) LIDI</v>
      </c>
      <c r="W1035" s="76">
        <v>9.5</v>
      </c>
      <c r="X1035" s="76">
        <v>9.5</v>
      </c>
      <c r="Y1035" s="816"/>
      <c r="Z1035" s="816"/>
      <c r="AA1035" s="816"/>
      <c r="AB1035" s="816"/>
      <c r="AC1035" s="816"/>
      <c r="AD1035" s="816"/>
      <c r="AE1035" s="816"/>
      <c r="AF1035" s="816"/>
      <c r="AG1035" s="816"/>
      <c r="AK1035" s="802"/>
    </row>
    <row r="1036" spans="1:37" outlineLevel="1" x14ac:dyDescent="0.25">
      <c r="A1036"/>
      <c r="B1036" s="130"/>
      <c r="C1036" s="1876"/>
      <c r="D1036" s="992" t="s">
        <v>1561</v>
      </c>
      <c r="E1036" s="270" t="str">
        <f>E1016</f>
        <v>LED - 12W (Replacing CFL) LIDI</v>
      </c>
      <c r="F1036" s="76">
        <v>9.5</v>
      </c>
      <c r="G1036" s="994"/>
      <c r="H1036" s="2247" t="s">
        <v>481</v>
      </c>
      <c r="I1036" s="2078"/>
      <c r="J1036" s="130"/>
      <c r="K1036" s="130"/>
      <c r="L1036" s="130"/>
      <c r="M1036" s="130"/>
      <c r="N1036" s="130"/>
      <c r="U1036" s="1878" t="str">
        <f t="shared" si="82"/>
        <v>Watts EE CFL</v>
      </c>
      <c r="V1036" s="814" t="str">
        <f t="shared" si="82"/>
        <v>LED - 12W (Replacing CFL) LIDI</v>
      </c>
      <c r="W1036" s="76">
        <v>9.5</v>
      </c>
      <c r="X1036" s="76">
        <v>9.5</v>
      </c>
      <c r="Y1036" s="816"/>
      <c r="Z1036" s="816"/>
      <c r="AA1036" s="816"/>
      <c r="AB1036" s="816"/>
      <c r="AC1036" s="816"/>
      <c r="AD1036" s="816"/>
      <c r="AE1036" s="816"/>
      <c r="AF1036" s="816"/>
      <c r="AG1036" s="816"/>
      <c r="AK1036" s="802"/>
    </row>
    <row r="1037" spans="1:37" outlineLevel="1" x14ac:dyDescent="0.25">
      <c r="A1037"/>
      <c r="B1037" s="130"/>
      <c r="C1037" s="1876"/>
      <c r="D1037" s="992" t="s">
        <v>1561</v>
      </c>
      <c r="E1037" s="270" t="str">
        <f>E1017</f>
        <v>LED - 15W (CFL baseline) LIDI</v>
      </c>
      <c r="F1037" s="76">
        <v>10.6</v>
      </c>
      <c r="G1037" s="994"/>
      <c r="H1037" s="2247" t="s">
        <v>481</v>
      </c>
      <c r="I1037" s="2078"/>
      <c r="J1037" s="130"/>
      <c r="K1037" s="130"/>
      <c r="L1037" s="130"/>
      <c r="M1037" s="130"/>
      <c r="N1037" s="130"/>
      <c r="U1037" s="1878" t="str">
        <f t="shared" si="82"/>
        <v>Watts EE CFL</v>
      </c>
      <c r="V1037" s="814" t="str">
        <f t="shared" si="82"/>
        <v>LED - 15W (CFL baseline) LIDI</v>
      </c>
      <c r="W1037" s="76">
        <v>10.6</v>
      </c>
      <c r="X1037" s="76">
        <v>10.6</v>
      </c>
      <c r="Y1037" s="816"/>
      <c r="Z1037" s="816"/>
      <c r="AA1037" s="816"/>
      <c r="AB1037" s="816"/>
      <c r="AC1037" s="816"/>
      <c r="AD1037" s="816"/>
      <c r="AE1037" s="816"/>
      <c r="AF1037" s="816"/>
      <c r="AG1037" s="816"/>
      <c r="AK1037" s="802"/>
    </row>
    <row r="1038" spans="1:37" outlineLevel="1" x14ac:dyDescent="0.25">
      <c r="A1038"/>
      <c r="B1038" s="130"/>
      <c r="C1038" s="1876"/>
      <c r="D1038" s="992" t="s">
        <v>1561</v>
      </c>
      <c r="E1038" s="270" t="str">
        <f>E986</f>
        <v>LED - 15W Flood Light PAR30 Bulb (CFL baseline) LIDI</v>
      </c>
      <c r="F1038" s="76">
        <v>11.2</v>
      </c>
      <c r="G1038" s="994"/>
      <c r="H1038" s="2247" t="s">
        <v>481</v>
      </c>
      <c r="I1038" s="2078"/>
      <c r="J1038" s="130"/>
      <c r="K1038" s="130"/>
      <c r="L1038" s="130"/>
      <c r="M1038" s="130"/>
      <c r="N1038" s="130"/>
      <c r="U1038" s="1878" t="str">
        <f t="shared" si="82"/>
        <v>Watts EE CFL</v>
      </c>
      <c r="V1038" s="814" t="str">
        <f t="shared" si="82"/>
        <v>LED - 15W Flood Light PAR30 Bulb (CFL baseline) LIDI</v>
      </c>
      <c r="W1038" s="76">
        <v>11.2</v>
      </c>
      <c r="X1038" s="76">
        <v>11.2</v>
      </c>
      <c r="Y1038" s="816"/>
      <c r="Z1038" s="816"/>
      <c r="AA1038" s="816"/>
      <c r="AB1038" s="816"/>
      <c r="AC1038" s="816"/>
      <c r="AD1038" s="816"/>
      <c r="AE1038" s="816"/>
      <c r="AF1038" s="816"/>
      <c r="AG1038" s="816"/>
      <c r="AK1038" s="802"/>
    </row>
    <row r="1039" spans="1:37" outlineLevel="1" x14ac:dyDescent="0.25">
      <c r="A1039"/>
      <c r="B1039" s="130"/>
      <c r="C1039" s="1876"/>
      <c r="D1039" s="992" t="s">
        <v>1561</v>
      </c>
      <c r="E1039" s="270" t="str">
        <f>E987</f>
        <v>LED - 18W Flood Light PAR30 Bulb (CFL baseline) LIDI</v>
      </c>
      <c r="F1039" s="76">
        <v>18</v>
      </c>
      <c r="G1039" s="994"/>
      <c r="H1039" s="2247" t="s">
        <v>471</v>
      </c>
      <c r="I1039" s="2078"/>
      <c r="J1039" s="130"/>
      <c r="K1039" s="130"/>
      <c r="L1039" s="130"/>
      <c r="M1039" s="130"/>
      <c r="N1039" s="130"/>
      <c r="U1039" s="1878" t="str">
        <f t="shared" si="82"/>
        <v>Watts EE CFL</v>
      </c>
      <c r="V1039" s="814" t="str">
        <f t="shared" si="82"/>
        <v>LED - 18W Flood Light PAR30 Bulb (CFL baseline) LIDI</v>
      </c>
      <c r="W1039" s="76">
        <v>18</v>
      </c>
      <c r="X1039" s="76">
        <v>18</v>
      </c>
      <c r="Y1039" s="816"/>
      <c r="Z1039" s="816"/>
      <c r="AA1039" s="816"/>
      <c r="AB1039" s="816"/>
      <c r="AC1039" s="816"/>
      <c r="AD1039" s="816"/>
      <c r="AE1039" s="816"/>
      <c r="AF1039" s="816"/>
      <c r="AG1039" s="816"/>
      <c r="AK1039" s="802"/>
    </row>
    <row r="1040" spans="1:37" ht="15.75" outlineLevel="1" thickBot="1" x14ac:dyDescent="0.3">
      <c r="A1040"/>
      <c r="B1040" s="130"/>
      <c r="C1040" s="1876"/>
      <c r="D1040" s="1176" t="s">
        <v>1561</v>
      </c>
      <c r="E1040" s="1177" t="str">
        <f>E1020</f>
        <v>LED - 20W (CFL baseline) LIDI</v>
      </c>
      <c r="F1040" s="768">
        <v>15</v>
      </c>
      <c r="G1040" s="1178"/>
      <c r="H1040" s="2259" t="s">
        <v>481</v>
      </c>
      <c r="I1040" s="2260"/>
      <c r="J1040" s="130"/>
      <c r="K1040" s="130"/>
      <c r="L1040" s="130"/>
      <c r="M1040" s="130"/>
      <c r="N1040" s="130"/>
      <c r="U1040" s="1878" t="str">
        <f t="shared" si="82"/>
        <v>Watts EE CFL</v>
      </c>
      <c r="V1040" s="814" t="str">
        <f t="shared" si="82"/>
        <v>LED - 20W (CFL baseline) LIDI</v>
      </c>
      <c r="W1040" s="76">
        <v>15</v>
      </c>
      <c r="X1040" s="76">
        <v>15</v>
      </c>
      <c r="Y1040" s="816"/>
      <c r="Z1040" s="816"/>
      <c r="AA1040" s="816"/>
      <c r="AB1040" s="816"/>
      <c r="AC1040" s="816"/>
      <c r="AD1040" s="816"/>
      <c r="AE1040" s="816"/>
      <c r="AF1040" s="816"/>
      <c r="AG1040" s="816"/>
      <c r="AK1040" s="802"/>
    </row>
    <row r="1041" spans="1:45" ht="15" customHeight="1" outlineLevel="1" x14ac:dyDescent="0.25">
      <c r="A1041"/>
      <c r="B1041" s="130"/>
      <c r="C1041" s="1876"/>
      <c r="D1041" s="1169" t="s">
        <v>58</v>
      </c>
      <c r="E1041" s="1169" t="s">
        <v>483</v>
      </c>
      <c r="F1041" s="1881">
        <v>0.97</v>
      </c>
      <c r="G1041" s="1170"/>
      <c r="H1041" s="2261" t="s">
        <v>1826</v>
      </c>
      <c r="I1041" s="2262"/>
      <c r="J1041" s="130"/>
      <c r="K1041" s="1516"/>
      <c r="L1041" s="130"/>
      <c r="M1041" s="130"/>
      <c r="N1041" s="130"/>
      <c r="U1041" s="1878" t="str">
        <f t="shared" si="82"/>
        <v>ISR</v>
      </c>
      <c r="V1041" s="814" t="str">
        <f t="shared" si="82"/>
        <v>All</v>
      </c>
      <c r="W1041" s="1011">
        <v>0.95120000000000005</v>
      </c>
      <c r="X1041" s="1010">
        <v>0.97</v>
      </c>
      <c r="Y1041" s="997"/>
      <c r="Z1041" s="816"/>
      <c r="AA1041" s="816"/>
      <c r="AB1041" s="816"/>
      <c r="AC1041" s="816"/>
      <c r="AD1041" s="816"/>
      <c r="AE1041" s="816"/>
      <c r="AF1041" s="816"/>
      <c r="AG1041" s="816"/>
      <c r="AK1041" s="802"/>
    </row>
    <row r="1042" spans="1:45" ht="15" customHeight="1" outlineLevel="1" x14ac:dyDescent="0.25">
      <c r="A1042"/>
      <c r="B1042" s="130"/>
      <c r="C1042" s="1876"/>
      <c r="D1042" s="992" t="s">
        <v>485</v>
      </c>
      <c r="E1042" s="992" t="s">
        <v>483</v>
      </c>
      <c r="F1042" s="1882">
        <v>0</v>
      </c>
      <c r="G1042" s="994"/>
      <c r="H1042" s="2247" t="s">
        <v>1826</v>
      </c>
      <c r="I1042" s="2078"/>
      <c r="J1042" s="130"/>
      <c r="K1042" s="1516"/>
      <c r="L1042" s="130"/>
      <c r="M1042" s="130"/>
      <c r="N1042" s="130"/>
      <c r="U1042" s="1878" t="str">
        <f t="shared" si="82"/>
        <v>Leakage</v>
      </c>
      <c r="V1042" s="814" t="str">
        <f t="shared" si="82"/>
        <v>All</v>
      </c>
      <c r="W1042" s="1011">
        <v>1.6525893496695268E-2</v>
      </c>
      <c r="X1042" s="1012">
        <v>0</v>
      </c>
      <c r="Y1042" s="816"/>
      <c r="Z1042" s="816"/>
      <c r="AA1042" s="816"/>
      <c r="AB1042" s="816"/>
      <c r="AC1042" s="816"/>
      <c r="AD1042" s="816"/>
      <c r="AE1042" s="816"/>
      <c r="AF1042" s="816"/>
      <c r="AG1042" s="816"/>
      <c r="AK1042" s="802"/>
    </row>
    <row r="1043" spans="1:45" ht="15" customHeight="1" outlineLevel="1" x14ac:dyDescent="0.25">
      <c r="A1043"/>
      <c r="B1043" s="130"/>
      <c r="C1043" s="1876"/>
      <c r="D1043" s="992" t="s">
        <v>488</v>
      </c>
      <c r="E1043" s="992" t="s">
        <v>490</v>
      </c>
      <c r="F1043" s="1406">
        <v>728</v>
      </c>
      <c r="G1043" s="994"/>
      <c r="H1043" s="2263" t="s">
        <v>1854</v>
      </c>
      <c r="I1043" s="2264"/>
      <c r="J1043" s="130"/>
      <c r="K1043" s="130"/>
      <c r="L1043" s="130"/>
      <c r="M1043" s="130"/>
      <c r="N1043" s="130"/>
      <c r="U1043" s="1878" t="str">
        <f t="shared" si="82"/>
        <v>HOU_Res</v>
      </c>
      <c r="V1043" s="814" t="str">
        <f t="shared" si="82"/>
        <v>Res</v>
      </c>
      <c r="W1043" s="1013">
        <v>693.5</v>
      </c>
      <c r="X1043" s="150">
        <v>728</v>
      </c>
      <c r="Y1043" s="816"/>
      <c r="Z1043" s="816"/>
      <c r="AA1043" s="816"/>
      <c r="AB1043" s="816"/>
      <c r="AC1043" s="816"/>
      <c r="AD1043" s="816"/>
      <c r="AE1043" s="816"/>
      <c r="AF1043" s="816"/>
      <c r="AG1043" s="816"/>
      <c r="AK1043" s="802"/>
    </row>
    <row r="1044" spans="1:45" outlineLevel="1" x14ac:dyDescent="0.25">
      <c r="A1044"/>
      <c r="B1044" s="130"/>
      <c r="C1044" s="1876"/>
      <c r="D1044" s="992" t="s">
        <v>491</v>
      </c>
      <c r="E1044" s="992" t="s">
        <v>493</v>
      </c>
      <c r="F1044" s="1883">
        <v>0.99</v>
      </c>
      <c r="G1044" s="994"/>
      <c r="H1044" s="2247" t="s">
        <v>494</v>
      </c>
      <c r="I1044" s="2078"/>
      <c r="J1044" s="130"/>
      <c r="K1044" s="130"/>
      <c r="L1044" s="130"/>
      <c r="M1044" s="130"/>
      <c r="N1044" s="130"/>
      <c r="U1044" s="1878" t="str">
        <f t="shared" si="82"/>
        <v>WHF_Res</v>
      </c>
      <c r="V1044" s="814" t="str">
        <f t="shared" si="82"/>
        <v>Res  energy</v>
      </c>
      <c r="W1044" s="1013">
        <v>0.99</v>
      </c>
      <c r="X1044" s="1013">
        <v>0.99</v>
      </c>
      <c r="Y1044" s="816"/>
      <c r="Z1044" s="816"/>
      <c r="AA1044" s="816"/>
      <c r="AB1044" s="816"/>
      <c r="AC1044" s="816"/>
      <c r="AD1044" s="816"/>
      <c r="AE1044" s="816"/>
      <c r="AF1044" s="816"/>
      <c r="AG1044" s="816"/>
      <c r="AK1044" s="802"/>
    </row>
    <row r="1045" spans="1:45" ht="15" customHeight="1" outlineLevel="1" x14ac:dyDescent="0.25">
      <c r="A1045"/>
      <c r="B1045" s="130"/>
      <c r="C1045" s="1876"/>
      <c r="D1045" s="992" t="s">
        <v>495</v>
      </c>
      <c r="E1045" s="992" t="s">
        <v>497</v>
      </c>
      <c r="F1045" s="1406">
        <v>5949</v>
      </c>
      <c r="G1045" s="994"/>
      <c r="H1045" s="2263" t="s">
        <v>1854</v>
      </c>
      <c r="I1045" s="2264"/>
      <c r="J1045" s="130"/>
      <c r="K1045" s="130"/>
      <c r="L1045" s="130"/>
      <c r="M1045" s="130"/>
      <c r="N1045" s="130"/>
      <c r="U1045" s="1878" t="str">
        <f t="shared" si="82"/>
        <v>HOU_NRES</v>
      </c>
      <c r="V1045" s="814" t="str">
        <f t="shared" si="82"/>
        <v>NRES</v>
      </c>
      <c r="W1045" s="1013">
        <v>3613</v>
      </c>
      <c r="X1045" s="150">
        <v>5949</v>
      </c>
      <c r="Y1045" s="816"/>
      <c r="Z1045" s="816"/>
      <c r="AA1045" s="816"/>
      <c r="AB1045" s="816"/>
      <c r="AC1045" s="816"/>
      <c r="AD1045" s="816"/>
      <c r="AE1045" s="816"/>
      <c r="AF1045" s="816"/>
      <c r="AG1045" s="816"/>
      <c r="AK1045" s="802"/>
    </row>
    <row r="1046" spans="1:45" outlineLevel="1" x14ac:dyDescent="0.25">
      <c r="A1046"/>
      <c r="B1046" s="130"/>
      <c r="C1046" s="1876"/>
      <c r="D1046" s="992" t="s">
        <v>499</v>
      </c>
      <c r="E1046" s="992" t="s">
        <v>490</v>
      </c>
      <c r="F1046" s="1883">
        <v>2.1</v>
      </c>
      <c r="G1046" s="994"/>
      <c r="H1046" s="2247" t="s">
        <v>500</v>
      </c>
      <c r="I1046" s="2078"/>
      <c r="J1046" s="130"/>
      <c r="K1046" s="130"/>
      <c r="L1046" s="130"/>
      <c r="M1046" s="130"/>
      <c r="N1046" s="130"/>
      <c r="U1046" s="1878" t="str">
        <f t="shared" si="82"/>
        <v>WHF_Nres</v>
      </c>
      <c r="V1046" s="814" t="str">
        <f t="shared" si="82"/>
        <v>Res</v>
      </c>
      <c r="W1046" s="1013">
        <v>1.1000000000000001</v>
      </c>
      <c r="X1046" s="1013">
        <v>2.1</v>
      </c>
      <c r="Y1046" s="816"/>
      <c r="Z1046" s="816"/>
      <c r="AA1046" s="816"/>
      <c r="AB1046" s="816"/>
      <c r="AC1046" s="816"/>
      <c r="AD1046" s="816"/>
      <c r="AE1046" s="816"/>
      <c r="AF1046" s="816"/>
      <c r="AG1046" s="816"/>
      <c r="AK1046" s="802"/>
    </row>
    <row r="1047" spans="1:45" outlineLevel="1" x14ac:dyDescent="0.25">
      <c r="A1047"/>
      <c r="B1047" s="130"/>
      <c r="C1047" s="1876"/>
      <c r="D1047" s="992" t="s">
        <v>501</v>
      </c>
      <c r="E1047" s="992" t="s">
        <v>483</v>
      </c>
      <c r="F1047" s="1014">
        <v>1</v>
      </c>
      <c r="G1047" s="994"/>
      <c r="H1047" s="2247" t="s">
        <v>487</v>
      </c>
      <c r="I1047" s="2078"/>
      <c r="J1047" s="130"/>
      <c r="K1047" s="130"/>
      <c r="L1047" s="130"/>
      <c r="M1047" s="130"/>
      <c r="N1047" s="130"/>
      <c r="U1047" s="1878" t="str">
        <f t="shared" si="82"/>
        <v>%Res</v>
      </c>
      <c r="V1047" s="814" t="str">
        <f t="shared" si="82"/>
        <v>All</v>
      </c>
      <c r="W1047" s="1014">
        <v>1</v>
      </c>
      <c r="X1047" s="1014">
        <v>1</v>
      </c>
      <c r="Y1047" s="816"/>
      <c r="Z1047" s="816"/>
      <c r="AA1047" s="816"/>
      <c r="AB1047" s="816"/>
      <c r="AC1047" s="816"/>
      <c r="AD1047" s="816"/>
      <c r="AE1047" s="816"/>
      <c r="AF1047" s="816"/>
      <c r="AG1047" s="816"/>
      <c r="AK1047" s="802"/>
    </row>
    <row r="1048" spans="1:45" outlineLevel="1" x14ac:dyDescent="0.25">
      <c r="A1048"/>
      <c r="B1048" s="130"/>
      <c r="C1048" s="1876"/>
      <c r="D1048" s="992" t="s">
        <v>1562</v>
      </c>
      <c r="E1048" s="992" t="s">
        <v>439</v>
      </c>
      <c r="F1048" s="1884">
        <v>1.4925290000000001E-4</v>
      </c>
      <c r="G1048" s="994"/>
      <c r="H1048" s="2247" t="s">
        <v>1563</v>
      </c>
      <c r="I1048" s="2078"/>
      <c r="J1048" s="130"/>
      <c r="K1048" s="130"/>
      <c r="L1048" s="130"/>
      <c r="M1048" s="130"/>
      <c r="N1048" s="130"/>
      <c r="U1048" s="1878" t="str">
        <f t="shared" si="82"/>
        <v>KW Factor_RES</v>
      </c>
      <c r="V1048" s="814" t="str">
        <f t="shared" si="82"/>
        <v>Lighting RES</v>
      </c>
      <c r="W1048" s="1015">
        <v>1.4925290000000001E-4</v>
      </c>
      <c r="X1048" s="1015">
        <v>1.4925290000000001E-4</v>
      </c>
      <c r="Y1048" s="816"/>
      <c r="Z1048" s="816"/>
      <c r="AA1048" s="816"/>
      <c r="AB1048" s="816"/>
      <c r="AC1048" s="816"/>
      <c r="AD1048" s="816"/>
      <c r="AE1048" s="816"/>
      <c r="AF1048" s="816"/>
      <c r="AG1048" s="816"/>
      <c r="AK1048" s="802"/>
    </row>
    <row r="1049" spans="1:45" outlineLevel="1" x14ac:dyDescent="0.25">
      <c r="A1049"/>
      <c r="B1049" s="130"/>
      <c r="C1049" s="1876"/>
      <c r="D1049" s="992" t="s">
        <v>1564</v>
      </c>
      <c r="E1049" s="992" t="s">
        <v>30</v>
      </c>
      <c r="F1049" s="1884">
        <v>1.899635E-4</v>
      </c>
      <c r="G1049" s="994"/>
      <c r="H1049" s="2247" t="s">
        <v>1563</v>
      </c>
      <c r="I1049" s="2078"/>
      <c r="J1049" s="130"/>
      <c r="K1049" s="130"/>
      <c r="L1049" s="130"/>
      <c r="M1049" s="130"/>
      <c r="N1049" s="130"/>
      <c r="U1049" s="1878" t="str">
        <f t="shared" si="82"/>
        <v>KW Factor _ BUS</v>
      </c>
      <c r="V1049" s="814" t="str">
        <f t="shared" si="82"/>
        <v>Lighting BUS</v>
      </c>
      <c r="W1049" s="1015">
        <v>1.899635E-4</v>
      </c>
      <c r="X1049" s="1015">
        <v>1.899635E-4</v>
      </c>
      <c r="Y1049" s="816"/>
      <c r="Z1049" s="816"/>
      <c r="AA1049" s="816"/>
      <c r="AB1049" s="816"/>
      <c r="AC1049" s="816"/>
      <c r="AD1049" s="816"/>
      <c r="AE1049" s="816"/>
      <c r="AF1049" s="816"/>
      <c r="AG1049" s="816"/>
      <c r="AK1049" s="802"/>
    </row>
    <row r="1050" spans="1:45" outlineLevel="1" x14ac:dyDescent="0.25">
      <c r="A1050"/>
      <c r="B1050" s="130"/>
      <c r="C1050" s="1876"/>
      <c r="D1050" s="992" t="s">
        <v>1565</v>
      </c>
      <c r="E1050" s="992" t="s">
        <v>1566</v>
      </c>
      <c r="F1050" s="1885">
        <v>8760</v>
      </c>
      <c r="G1050" s="994"/>
      <c r="H1050" s="2247" t="s">
        <v>1567</v>
      </c>
      <c r="I1050" s="2078"/>
      <c r="J1050" s="130"/>
      <c r="K1050" s="130"/>
      <c r="L1050" s="130"/>
      <c r="M1050" s="130"/>
      <c r="N1050" s="130"/>
      <c r="U1050" s="1878" t="str">
        <f t="shared" si="82"/>
        <v>Hours24/7</v>
      </c>
      <c r="V1050" s="814" t="str">
        <f t="shared" si="82"/>
        <v>24/7 hours</v>
      </c>
      <c r="W1050" s="1016">
        <v>8760</v>
      </c>
      <c r="X1050" s="1016">
        <v>8760</v>
      </c>
      <c r="Y1050" s="816"/>
      <c r="Z1050" s="816"/>
      <c r="AA1050" s="816"/>
      <c r="AB1050" s="816"/>
      <c r="AC1050" s="816"/>
      <c r="AD1050" s="816"/>
      <c r="AE1050" s="816"/>
      <c r="AF1050" s="816"/>
      <c r="AG1050" s="816"/>
      <c r="AK1050" s="802"/>
    </row>
    <row r="1051" spans="1:45" outlineLevel="1" x14ac:dyDescent="0.25">
      <c r="A1051"/>
      <c r="B1051" s="130"/>
      <c r="C1051" s="1876"/>
      <c r="D1051" s="992" t="s">
        <v>1568</v>
      </c>
      <c r="E1051" s="992" t="s">
        <v>1569</v>
      </c>
      <c r="F1051" s="1885">
        <v>4380</v>
      </c>
      <c r="G1051" s="994"/>
      <c r="H1051" s="2247" t="s">
        <v>1570</v>
      </c>
      <c r="I1051" s="2078"/>
      <c r="J1051" s="130"/>
      <c r="K1051" s="130"/>
      <c r="L1051" s="130"/>
      <c r="M1051" s="130"/>
      <c r="N1051" s="130"/>
      <c r="U1051" s="1878" t="str">
        <f t="shared" si="82"/>
        <v>Hours12/7</v>
      </c>
      <c r="V1051" s="814" t="str">
        <f t="shared" si="82"/>
        <v>12/7 hours</v>
      </c>
      <c r="W1051" s="1016">
        <v>4380</v>
      </c>
      <c r="X1051" s="1016">
        <v>4380</v>
      </c>
      <c r="Y1051" s="816"/>
      <c r="Z1051" s="816"/>
      <c r="AA1051" s="816"/>
      <c r="AB1051" s="816"/>
      <c r="AC1051" s="816"/>
      <c r="AD1051" s="816"/>
      <c r="AE1051" s="816"/>
      <c r="AF1051" s="816"/>
      <c r="AG1051" s="816"/>
      <c r="AK1051" s="802"/>
    </row>
    <row r="1052" spans="1:45" outlineLevel="1" x14ac:dyDescent="0.25">
      <c r="B1052" s="1087"/>
      <c r="C1052" s="305"/>
      <c r="D1052" s="2233" t="str">
        <f>D960</f>
        <v>EUL</v>
      </c>
      <c r="E1052" s="926" t="s">
        <v>1571</v>
      </c>
      <c r="F1052" s="928">
        <v>7</v>
      </c>
      <c r="G1052" s="994"/>
      <c r="H1052" s="2247"/>
      <c r="I1052" s="2078"/>
      <c r="V1052" s="2239" t="str">
        <f>D1052</f>
        <v>EUL</v>
      </c>
      <c r="W1052" s="927">
        <v>7</v>
      </c>
      <c r="X1052" s="927">
        <v>7</v>
      </c>
      <c r="Y1052" s="928"/>
      <c r="Z1052" s="928"/>
      <c r="AA1052" s="928"/>
      <c r="AB1052" s="928"/>
      <c r="AC1052" s="928"/>
      <c r="AD1052" s="928"/>
      <c r="AE1052" s="928"/>
      <c r="AF1052" s="928"/>
      <c r="AG1052" s="928"/>
      <c r="AK1052" s="802"/>
    </row>
    <row r="1053" spans="1:45" outlineLevel="1" x14ac:dyDescent="0.25">
      <c r="B1053" s="1087"/>
      <c r="C1053" s="305"/>
      <c r="D1053" s="2234"/>
      <c r="E1053" s="926" t="s">
        <v>1572</v>
      </c>
      <c r="F1053" s="928">
        <v>7</v>
      </c>
      <c r="G1053" s="994"/>
      <c r="H1053" s="2247"/>
      <c r="I1053" s="2078"/>
      <c r="V1053" s="2240"/>
      <c r="W1053" s="927">
        <v>7</v>
      </c>
      <c r="X1053" s="927">
        <v>7</v>
      </c>
      <c r="Y1053" s="928"/>
      <c r="Z1053" s="928"/>
      <c r="AA1053" s="928"/>
      <c r="AB1053" s="928"/>
      <c r="AC1053" s="928"/>
      <c r="AD1053" s="928"/>
      <c r="AE1053" s="928"/>
      <c r="AF1053" s="928"/>
      <c r="AG1053" s="928"/>
      <c r="AK1053" s="802"/>
    </row>
    <row r="1054" spans="1:45" outlineLevel="1" x14ac:dyDescent="0.25">
      <c r="B1054" s="1087"/>
      <c r="C1054" s="305"/>
      <c r="D1054" s="2252" t="s">
        <v>466</v>
      </c>
      <c r="E1054" s="2252" t="s">
        <v>53</v>
      </c>
      <c r="F1054" s="2254" t="s">
        <v>612</v>
      </c>
      <c r="G1054" s="2254" t="s">
        <v>614</v>
      </c>
      <c r="H1054" s="2256" t="s">
        <v>468</v>
      </c>
      <c r="I1054" s="2257"/>
      <c r="V1054" s="48" t="s">
        <v>26</v>
      </c>
      <c r="W1054" s="49">
        <f>$W$6</f>
        <v>43252</v>
      </c>
      <c r="X1054" s="49">
        <f>$X$6</f>
        <v>43465</v>
      </c>
      <c r="Y1054" s="49" t="str">
        <f>$Y$6</f>
        <v>-</v>
      </c>
      <c r="Z1054" s="49" t="str">
        <f>$Z$6</f>
        <v>-</v>
      </c>
      <c r="AA1054" s="49" t="str">
        <f>$AA$6</f>
        <v>-</v>
      </c>
      <c r="AB1054" s="49" t="str">
        <f>$AB$6</f>
        <v>-</v>
      </c>
      <c r="AC1054" s="49" t="str">
        <f>$AC$6</f>
        <v>-</v>
      </c>
      <c r="AD1054" s="49" t="str">
        <f>$AD$6</f>
        <v>-</v>
      </c>
      <c r="AE1054" s="49" t="str">
        <f>$AE$6</f>
        <v>-</v>
      </c>
      <c r="AF1054" s="49" t="str">
        <f>$AF$6</f>
        <v>-</v>
      </c>
      <c r="AG1054" s="49" t="str">
        <f>$AG$6</f>
        <v>-</v>
      </c>
      <c r="AI1054" s="49">
        <f>$W$6</f>
        <v>43252</v>
      </c>
      <c r="AJ1054" s="49">
        <f>$X$6</f>
        <v>43465</v>
      </c>
      <c r="AK1054" s="49" t="str">
        <f>$Y$6</f>
        <v>-</v>
      </c>
      <c r="AL1054" s="49" t="str">
        <f>$Z$6</f>
        <v>-</v>
      </c>
      <c r="AM1054" s="49" t="str">
        <f>$AA$6</f>
        <v>-</v>
      </c>
      <c r="AN1054" s="49" t="str">
        <f>$AB$6</f>
        <v>-</v>
      </c>
      <c r="AO1054" s="49" t="str">
        <f>$AC$6</f>
        <v>-</v>
      </c>
      <c r="AP1054" s="49" t="str">
        <f>$AD$6</f>
        <v>-</v>
      </c>
      <c r="AQ1054" s="49" t="str">
        <f>$AE$6</f>
        <v>-</v>
      </c>
      <c r="AR1054" s="49" t="str">
        <f>$AF$6</f>
        <v>-</v>
      </c>
      <c r="AS1054" s="49" t="str">
        <f>$AG$6</f>
        <v>-</v>
      </c>
    </row>
    <row r="1055" spans="1:45" outlineLevel="1" x14ac:dyDescent="0.25">
      <c r="B1055" s="1087"/>
      <c r="C1055" s="305"/>
      <c r="D1055" s="2253"/>
      <c r="E1055" s="2253"/>
      <c r="F1055" s="2255"/>
      <c r="G1055" s="2255"/>
      <c r="H1055" s="2258"/>
      <c r="I1055" s="2253"/>
      <c r="V1055" s="48"/>
      <c r="W1055" s="344" t="str">
        <f>$P$968</f>
        <v>SF</v>
      </c>
      <c r="X1055" s="344" t="str">
        <f t="shared" ref="X1055:AG1055" si="84">$P$968</f>
        <v>SF</v>
      </c>
      <c r="Y1055" s="344" t="str">
        <f t="shared" si="84"/>
        <v>SF</v>
      </c>
      <c r="Z1055" s="344" t="str">
        <f t="shared" si="84"/>
        <v>SF</v>
      </c>
      <c r="AA1055" s="344" t="str">
        <f t="shared" si="84"/>
        <v>SF</v>
      </c>
      <c r="AB1055" s="344" t="str">
        <f t="shared" si="84"/>
        <v>SF</v>
      </c>
      <c r="AC1055" s="344" t="str">
        <f t="shared" si="84"/>
        <v>SF</v>
      </c>
      <c r="AD1055" s="344" t="str">
        <f t="shared" si="84"/>
        <v>SF</v>
      </c>
      <c r="AE1055" s="344" t="str">
        <f t="shared" si="84"/>
        <v>SF</v>
      </c>
      <c r="AF1055" s="344" t="str">
        <f t="shared" si="84"/>
        <v>SF</v>
      </c>
      <c r="AG1055" s="344" t="str">
        <f t="shared" si="84"/>
        <v>SF</v>
      </c>
      <c r="AI1055" s="344" t="str">
        <f>$Q$968</f>
        <v>MF</v>
      </c>
      <c r="AJ1055" s="344" t="str">
        <f t="shared" ref="AJ1055:AS1055" si="85">$Q$968</f>
        <v>MF</v>
      </c>
      <c r="AK1055" s="344" t="str">
        <f t="shared" si="85"/>
        <v>MF</v>
      </c>
      <c r="AL1055" s="344" t="str">
        <f t="shared" si="85"/>
        <v>MF</v>
      </c>
      <c r="AM1055" s="344" t="str">
        <f t="shared" si="85"/>
        <v>MF</v>
      </c>
      <c r="AN1055" s="344" t="str">
        <f t="shared" si="85"/>
        <v>MF</v>
      </c>
      <c r="AO1055" s="344" t="str">
        <f t="shared" si="85"/>
        <v>MF</v>
      </c>
      <c r="AP1055" s="344" t="str">
        <f t="shared" si="85"/>
        <v>MF</v>
      </c>
      <c r="AQ1055" s="344" t="str">
        <f t="shared" si="85"/>
        <v>MF</v>
      </c>
      <c r="AR1055" s="344" t="str">
        <f t="shared" si="85"/>
        <v>MF</v>
      </c>
      <c r="AS1055" s="344" t="str">
        <f t="shared" si="85"/>
        <v>MF</v>
      </c>
    </row>
    <row r="1056" spans="1:45" outlineLevel="1" x14ac:dyDescent="0.25">
      <c r="B1056" s="1087"/>
      <c r="C1056" s="305"/>
      <c r="D1056" s="2248" t="str">
        <f>D961</f>
        <v>Inc. Cost</v>
      </c>
      <c r="E1056" s="926" t="str">
        <f>E1001</f>
        <v>LED - 10.5W Downlight E26 (EISA baseline) LI DI</v>
      </c>
      <c r="F1056" s="983">
        <v>6</v>
      </c>
      <c r="G1056" s="983">
        <v>3.3</v>
      </c>
      <c r="H1056" s="2247"/>
      <c r="I1056" s="2078"/>
      <c r="V1056" s="2249" t="str">
        <f>D1056</f>
        <v>Inc. Cost</v>
      </c>
      <c r="W1056" s="1017">
        <v>6</v>
      </c>
      <c r="X1056" s="1017">
        <v>6</v>
      </c>
      <c r="Y1056" s="928"/>
      <c r="Z1056" s="928"/>
      <c r="AA1056" s="928"/>
      <c r="AB1056" s="928"/>
      <c r="AC1056" s="928"/>
      <c r="AD1056" s="928"/>
      <c r="AE1056" s="928"/>
      <c r="AF1056" s="928"/>
      <c r="AG1056" s="928"/>
      <c r="AI1056" s="1017">
        <v>3.3</v>
      </c>
      <c r="AJ1056" s="1017">
        <v>3.3</v>
      </c>
      <c r="AK1056" s="928"/>
      <c r="AL1056" s="928"/>
      <c r="AM1056" s="928"/>
      <c r="AN1056" s="928"/>
      <c r="AO1056" s="928"/>
      <c r="AP1056" s="928"/>
      <c r="AQ1056" s="928"/>
      <c r="AR1056" s="928"/>
      <c r="AS1056" s="928"/>
    </row>
    <row r="1057" spans="2:45" outlineLevel="1" x14ac:dyDescent="0.25">
      <c r="B1057" s="1087"/>
      <c r="C1057" s="305"/>
      <c r="D1057" s="2248"/>
      <c r="E1057" s="926" t="str">
        <f t="shared" ref="E1057:E1075" si="86">E1002</f>
        <v>LED - 10W (Halogen baseline) LIDI</v>
      </c>
      <c r="F1057" s="983">
        <v>6</v>
      </c>
      <c r="G1057" s="983">
        <v>3.68</v>
      </c>
      <c r="H1057" s="2247"/>
      <c r="I1057" s="2078"/>
      <c r="V1057" s="2249"/>
      <c r="W1057" s="1017">
        <v>6</v>
      </c>
      <c r="X1057" s="1017">
        <v>6</v>
      </c>
      <c r="Y1057" s="928"/>
      <c r="Z1057" s="928"/>
      <c r="AA1057" s="928"/>
      <c r="AB1057" s="928"/>
      <c r="AC1057" s="928"/>
      <c r="AD1057" s="928"/>
      <c r="AE1057" s="928"/>
      <c r="AF1057" s="928"/>
      <c r="AG1057" s="928"/>
      <c r="AI1057" s="1017">
        <v>3.68</v>
      </c>
      <c r="AJ1057" s="1017">
        <v>3.68</v>
      </c>
      <c r="AK1057" s="928"/>
      <c r="AL1057" s="928"/>
      <c r="AM1057" s="928"/>
      <c r="AN1057" s="928"/>
      <c r="AO1057" s="928"/>
      <c r="AP1057" s="928"/>
      <c r="AQ1057" s="928"/>
      <c r="AR1057" s="928"/>
      <c r="AS1057" s="928"/>
    </row>
    <row r="1058" spans="2:45" outlineLevel="1" x14ac:dyDescent="0.25">
      <c r="B1058" s="1087"/>
      <c r="C1058" s="305"/>
      <c r="D1058" s="2248"/>
      <c r="E1058" s="926" t="str">
        <f t="shared" si="86"/>
        <v>LED - 12W (Halogen baseline) LI DI</v>
      </c>
      <c r="F1058" s="983">
        <v>6</v>
      </c>
      <c r="G1058" s="983">
        <v>4.72</v>
      </c>
      <c r="H1058" s="2247"/>
      <c r="I1058" s="2078"/>
      <c r="V1058" s="2250"/>
      <c r="W1058" s="1017">
        <v>6</v>
      </c>
      <c r="X1058" s="1017">
        <v>6</v>
      </c>
      <c r="Y1058" s="928"/>
      <c r="Z1058" s="928"/>
      <c r="AA1058" s="928"/>
      <c r="AB1058" s="928"/>
      <c r="AC1058" s="928"/>
      <c r="AD1058" s="928"/>
      <c r="AE1058" s="928"/>
      <c r="AF1058" s="928"/>
      <c r="AG1058" s="928"/>
      <c r="AI1058" s="1017">
        <v>4.72</v>
      </c>
      <c r="AJ1058" s="1017">
        <v>4.72</v>
      </c>
      <c r="AK1058" s="928"/>
      <c r="AL1058" s="928"/>
      <c r="AM1058" s="928"/>
      <c r="AN1058" s="928"/>
      <c r="AO1058" s="928"/>
      <c r="AP1058" s="928"/>
      <c r="AQ1058" s="928"/>
      <c r="AR1058" s="928"/>
      <c r="AS1058" s="928"/>
    </row>
    <row r="1059" spans="2:45" outlineLevel="1" x14ac:dyDescent="0.25">
      <c r="B1059" s="1087"/>
      <c r="C1059" s="305"/>
      <c r="D1059" s="2080"/>
      <c r="E1059" s="926" t="str">
        <f t="shared" si="86"/>
        <v>LED - 12W Dimmable Light Bulb (Replacing Specialty Incandescent) LI DI</v>
      </c>
      <c r="F1059" s="983">
        <v>6</v>
      </c>
      <c r="G1059" s="983">
        <v>3.53</v>
      </c>
      <c r="H1059" s="2247"/>
      <c r="I1059" s="2078"/>
      <c r="V1059" s="2251"/>
      <c r="W1059" s="1017">
        <v>6</v>
      </c>
      <c r="X1059" s="1017">
        <v>6</v>
      </c>
      <c r="Y1059" s="928"/>
      <c r="Z1059" s="928"/>
      <c r="AA1059" s="928"/>
      <c r="AB1059" s="928"/>
      <c r="AC1059" s="928"/>
      <c r="AD1059" s="928"/>
      <c r="AE1059" s="928"/>
      <c r="AF1059" s="928"/>
      <c r="AG1059" s="928"/>
      <c r="AI1059" s="1017">
        <v>3.53</v>
      </c>
      <c r="AJ1059" s="1017">
        <v>3.53</v>
      </c>
      <c r="AK1059" s="928"/>
      <c r="AL1059" s="928"/>
      <c r="AM1059" s="928"/>
      <c r="AN1059" s="928"/>
      <c r="AO1059" s="928"/>
      <c r="AP1059" s="928"/>
      <c r="AQ1059" s="928"/>
      <c r="AR1059" s="928"/>
      <c r="AS1059" s="928"/>
    </row>
    <row r="1060" spans="2:45" outlineLevel="1" x14ac:dyDescent="0.25">
      <c r="B1060" s="1087"/>
      <c r="C1060" s="305"/>
      <c r="D1060" s="2080"/>
      <c r="E1060" s="926" t="str">
        <f t="shared" si="86"/>
        <v>LED - 15W (Halogen baseline) LIDI</v>
      </c>
      <c r="F1060" s="983">
        <v>8</v>
      </c>
      <c r="G1060" s="983">
        <v>6.27</v>
      </c>
      <c r="H1060" s="2247"/>
      <c r="I1060" s="2078"/>
      <c r="V1060" s="2251"/>
      <c r="W1060" s="1017">
        <v>8</v>
      </c>
      <c r="X1060" s="1017">
        <v>8</v>
      </c>
      <c r="Y1060" s="928"/>
      <c r="Z1060" s="928"/>
      <c r="AA1060" s="928"/>
      <c r="AB1060" s="928"/>
      <c r="AC1060" s="928"/>
      <c r="AD1060" s="928"/>
      <c r="AE1060" s="928"/>
      <c r="AF1060" s="928"/>
      <c r="AG1060" s="928"/>
      <c r="AI1060" s="1017">
        <v>6.27</v>
      </c>
      <c r="AJ1060" s="1017">
        <v>6.27</v>
      </c>
      <c r="AK1060" s="928"/>
      <c r="AL1060" s="928"/>
      <c r="AM1060" s="928"/>
      <c r="AN1060" s="928"/>
      <c r="AO1060" s="928"/>
      <c r="AP1060" s="928"/>
      <c r="AQ1060" s="928"/>
      <c r="AR1060" s="928"/>
      <c r="AS1060" s="928"/>
    </row>
    <row r="1061" spans="2:45" outlineLevel="1" x14ac:dyDescent="0.25">
      <c r="B1061" s="1087"/>
      <c r="C1061" s="305"/>
      <c r="D1061" s="2080"/>
      <c r="E1061" s="926" t="str">
        <f t="shared" si="86"/>
        <v>LED - 15W Flood Light PAR30 Bulb (Halogen baseline) LI DI</v>
      </c>
      <c r="F1061" s="983">
        <v>10</v>
      </c>
      <c r="G1061" s="983">
        <v>4.92</v>
      </c>
      <c r="H1061" s="2247"/>
      <c r="I1061" s="2078"/>
      <c r="V1061" s="2251"/>
      <c r="W1061" s="1017">
        <v>10</v>
      </c>
      <c r="X1061" s="1017">
        <v>10</v>
      </c>
      <c r="Y1061" s="928"/>
      <c r="Z1061" s="928"/>
      <c r="AA1061" s="928"/>
      <c r="AB1061" s="928"/>
      <c r="AC1061" s="928"/>
      <c r="AD1061" s="928"/>
      <c r="AE1061" s="928"/>
      <c r="AF1061" s="928"/>
      <c r="AG1061" s="928"/>
      <c r="AI1061" s="1017">
        <v>4.92</v>
      </c>
      <c r="AJ1061" s="1017">
        <v>4.92</v>
      </c>
      <c r="AK1061" s="928"/>
      <c r="AL1061" s="928"/>
      <c r="AM1061" s="928"/>
      <c r="AN1061" s="928"/>
      <c r="AO1061" s="928"/>
      <c r="AP1061" s="928"/>
      <c r="AQ1061" s="928"/>
      <c r="AR1061" s="928"/>
      <c r="AS1061" s="928"/>
    </row>
    <row r="1062" spans="2:45" outlineLevel="1" x14ac:dyDescent="0.25">
      <c r="B1062" s="1087"/>
      <c r="C1062" s="305"/>
      <c r="D1062" s="2080"/>
      <c r="E1062" s="926" t="str">
        <f t="shared" si="86"/>
        <v>LED - 18W Flood Light PAR38 Bulb (Halogen baseline) LI DI</v>
      </c>
      <c r="F1062" s="983">
        <v>15</v>
      </c>
      <c r="G1062" s="983">
        <v>4.92</v>
      </c>
      <c r="H1062" s="2247"/>
      <c r="I1062" s="2078"/>
      <c r="V1062" s="2251"/>
      <c r="W1062" s="1017">
        <v>15</v>
      </c>
      <c r="X1062" s="1017">
        <v>15</v>
      </c>
      <c r="Y1062" s="928"/>
      <c r="Z1062" s="928"/>
      <c r="AA1062" s="928"/>
      <c r="AB1062" s="928"/>
      <c r="AC1062" s="928"/>
      <c r="AD1062" s="928"/>
      <c r="AE1062" s="928"/>
      <c r="AF1062" s="928"/>
      <c r="AG1062" s="928"/>
      <c r="AI1062" s="1017">
        <v>4.92</v>
      </c>
      <c r="AJ1062" s="1017">
        <v>4.92</v>
      </c>
      <c r="AK1062" s="928"/>
      <c r="AL1062" s="928"/>
      <c r="AM1062" s="928"/>
      <c r="AN1062" s="928"/>
      <c r="AO1062" s="928"/>
      <c r="AP1062" s="928"/>
      <c r="AQ1062" s="928"/>
      <c r="AR1062" s="928"/>
      <c r="AS1062" s="928"/>
    </row>
    <row r="1063" spans="2:45" outlineLevel="1" x14ac:dyDescent="0.25">
      <c r="B1063" s="1087"/>
      <c r="C1063" s="305"/>
      <c r="D1063" s="2080"/>
      <c r="E1063" s="926" t="str">
        <f t="shared" si="86"/>
        <v>LED - 20W (Halogen baseline) LIDI</v>
      </c>
      <c r="F1063" s="983">
        <v>8</v>
      </c>
      <c r="G1063" s="983">
        <v>7.83</v>
      </c>
      <c r="H1063" s="2247"/>
      <c r="I1063" s="2078"/>
      <c r="V1063" s="2251"/>
      <c r="W1063" s="1017">
        <v>8</v>
      </c>
      <c r="X1063" s="1017">
        <v>8</v>
      </c>
      <c r="Y1063" s="928"/>
      <c r="Z1063" s="928"/>
      <c r="AA1063" s="928"/>
      <c r="AB1063" s="928"/>
      <c r="AC1063" s="928"/>
      <c r="AD1063" s="928"/>
      <c r="AE1063" s="928"/>
      <c r="AF1063" s="928"/>
      <c r="AG1063" s="928"/>
      <c r="AI1063" s="1017">
        <v>7.83</v>
      </c>
      <c r="AJ1063" s="1017">
        <v>7.83</v>
      </c>
      <c r="AK1063" s="928"/>
      <c r="AL1063" s="928"/>
      <c r="AM1063" s="928"/>
      <c r="AN1063" s="928"/>
      <c r="AO1063" s="928"/>
      <c r="AP1063" s="928"/>
      <c r="AQ1063" s="928"/>
      <c r="AR1063" s="928"/>
      <c r="AS1063" s="928"/>
    </row>
    <row r="1064" spans="2:45" outlineLevel="1" x14ac:dyDescent="0.25">
      <c r="B1064" s="1087"/>
      <c r="C1064" s="305"/>
      <c r="D1064" s="2080"/>
      <c r="E1064" s="926" t="str">
        <f t="shared" si="86"/>
        <v>LED - 4W Candelabra (Replacing Specialty Incandescent) LI DI</v>
      </c>
      <c r="F1064" s="983">
        <v>7</v>
      </c>
      <c r="G1064" s="983">
        <v>3.27</v>
      </c>
      <c r="H1064" s="2247"/>
      <c r="I1064" s="2078"/>
      <c r="V1064" s="2251"/>
      <c r="W1064" s="1017">
        <v>7</v>
      </c>
      <c r="X1064" s="1017">
        <v>7</v>
      </c>
      <c r="Y1064" s="928"/>
      <c r="Z1064" s="928"/>
      <c r="AA1064" s="928"/>
      <c r="AB1064" s="928"/>
      <c r="AC1064" s="928"/>
      <c r="AD1064" s="928"/>
      <c r="AE1064" s="928"/>
      <c r="AF1064" s="928"/>
      <c r="AG1064" s="928"/>
      <c r="AI1064" s="1017">
        <v>3.27</v>
      </c>
      <c r="AJ1064" s="1017">
        <v>3.27</v>
      </c>
      <c r="AK1064" s="928"/>
      <c r="AL1064" s="928"/>
      <c r="AM1064" s="928"/>
      <c r="AN1064" s="928"/>
      <c r="AO1064" s="928"/>
      <c r="AP1064" s="928"/>
      <c r="AQ1064" s="928"/>
      <c r="AR1064" s="928"/>
      <c r="AS1064" s="928"/>
    </row>
    <row r="1065" spans="2:45" outlineLevel="1" x14ac:dyDescent="0.25">
      <c r="B1065" s="1087"/>
      <c r="C1065" s="305"/>
      <c r="D1065" s="2080"/>
      <c r="E1065" s="926" t="str">
        <f t="shared" si="86"/>
        <v>LED - 4W Candelabra (CFL baseline) LIDI</v>
      </c>
      <c r="F1065" s="983">
        <v>7</v>
      </c>
      <c r="G1065" s="983">
        <f>G1064</f>
        <v>3.27</v>
      </c>
      <c r="H1065" s="2247"/>
      <c r="I1065" s="2078"/>
      <c r="V1065" s="2251"/>
      <c r="W1065" s="1017">
        <v>7</v>
      </c>
      <c r="X1065" s="1017">
        <v>7</v>
      </c>
      <c r="Y1065" s="928"/>
      <c r="Z1065" s="928"/>
      <c r="AA1065" s="928"/>
      <c r="AB1065" s="928"/>
      <c r="AC1065" s="928"/>
      <c r="AD1065" s="928"/>
      <c r="AE1065" s="928"/>
      <c r="AF1065" s="928"/>
      <c r="AG1065" s="928"/>
      <c r="AI1065" s="1017">
        <f>AI1064</f>
        <v>3.27</v>
      </c>
      <c r="AJ1065" s="1017">
        <v>3.27</v>
      </c>
      <c r="AK1065" s="928"/>
      <c r="AL1065" s="928"/>
      <c r="AM1065" s="928"/>
      <c r="AN1065" s="928"/>
      <c r="AO1065" s="928"/>
      <c r="AP1065" s="928"/>
      <c r="AQ1065" s="928"/>
      <c r="AR1065" s="928"/>
      <c r="AS1065" s="928"/>
    </row>
    <row r="1066" spans="2:45" outlineLevel="1" x14ac:dyDescent="0.25">
      <c r="B1066" s="1087"/>
      <c r="C1066" s="305"/>
      <c r="D1066" s="2080"/>
      <c r="E1066" s="926" t="str">
        <f t="shared" si="86"/>
        <v>LED - 8W Globe Light G25 Bulb (Replacing Specialty Incandescent) LI DI</v>
      </c>
      <c r="F1066" s="983">
        <v>7</v>
      </c>
      <c r="G1066" s="983">
        <v>3.27</v>
      </c>
      <c r="H1066" s="2247"/>
      <c r="I1066" s="2078"/>
      <c r="V1066" s="2251"/>
      <c r="W1066" s="1017">
        <v>7</v>
      </c>
      <c r="X1066" s="1017">
        <v>7</v>
      </c>
      <c r="Y1066" s="928"/>
      <c r="Z1066" s="928"/>
      <c r="AA1066" s="928"/>
      <c r="AB1066" s="928"/>
      <c r="AC1066" s="928"/>
      <c r="AD1066" s="928"/>
      <c r="AE1066" s="928"/>
      <c r="AF1066" s="928"/>
      <c r="AG1066" s="928"/>
      <c r="AI1066" s="1017">
        <v>3.27</v>
      </c>
      <c r="AJ1066" s="1017">
        <v>3.27</v>
      </c>
      <c r="AK1066" s="928"/>
      <c r="AL1066" s="928"/>
      <c r="AM1066" s="928"/>
      <c r="AN1066" s="928"/>
      <c r="AO1066" s="928"/>
      <c r="AP1066" s="928"/>
      <c r="AQ1066" s="928"/>
      <c r="AR1066" s="928"/>
      <c r="AS1066" s="928"/>
    </row>
    <row r="1067" spans="2:45" outlineLevel="1" x14ac:dyDescent="0.25">
      <c r="B1067" s="1087"/>
      <c r="C1067" s="305"/>
      <c r="D1067" s="2080"/>
      <c r="E1067" s="926" t="str">
        <f t="shared" si="86"/>
        <v>LED - 8W Globe Light G25 Bulb (Replacing CFL) LIDI</v>
      </c>
      <c r="F1067" s="983">
        <v>7</v>
      </c>
      <c r="G1067" s="983">
        <f>G1066</f>
        <v>3.27</v>
      </c>
      <c r="H1067" s="2247"/>
      <c r="I1067" s="2078"/>
      <c r="V1067" s="2251"/>
      <c r="W1067" s="1017">
        <v>7</v>
      </c>
      <c r="X1067" s="1017">
        <v>7</v>
      </c>
      <c r="Y1067" s="928"/>
      <c r="Z1067" s="928"/>
      <c r="AA1067" s="928"/>
      <c r="AB1067" s="928"/>
      <c r="AC1067" s="928"/>
      <c r="AD1067" s="928"/>
      <c r="AE1067" s="928"/>
      <c r="AF1067" s="928"/>
      <c r="AG1067" s="928"/>
      <c r="AI1067" s="1017">
        <f>AI1066</f>
        <v>3.27</v>
      </c>
      <c r="AJ1067" s="1017">
        <v>3.27</v>
      </c>
      <c r="AK1067" s="928"/>
      <c r="AL1067" s="928"/>
      <c r="AM1067" s="928"/>
      <c r="AN1067" s="928"/>
      <c r="AO1067" s="928"/>
      <c r="AP1067" s="928"/>
      <c r="AQ1067" s="928"/>
      <c r="AR1067" s="928"/>
      <c r="AS1067" s="928"/>
    </row>
    <row r="1068" spans="2:45" outlineLevel="1" x14ac:dyDescent="0.25">
      <c r="B1068" s="1087"/>
      <c r="C1068" s="305"/>
      <c r="D1068" s="2080"/>
      <c r="E1068" s="926" t="str">
        <f t="shared" si="86"/>
        <v>LED - 10W (CFL baseline) LIDI</v>
      </c>
      <c r="F1068" s="1886">
        <f>F1056</f>
        <v>6</v>
      </c>
      <c r="G1068" s="1886">
        <v>3.68</v>
      </c>
      <c r="H1068" s="2247"/>
      <c r="I1068" s="2078"/>
      <c r="V1068" s="2251"/>
      <c r="W1068" s="1018">
        <f>W1056</f>
        <v>6</v>
      </c>
      <c r="X1068" s="1018">
        <v>6</v>
      </c>
      <c r="Y1068" s="928"/>
      <c r="Z1068" s="928"/>
      <c r="AA1068" s="928"/>
      <c r="AB1068" s="928"/>
      <c r="AC1068" s="928"/>
      <c r="AD1068" s="928"/>
      <c r="AE1068" s="928"/>
      <c r="AF1068" s="928"/>
      <c r="AG1068" s="928"/>
      <c r="AI1068" s="1018">
        <v>3.68</v>
      </c>
      <c r="AJ1068" s="1018">
        <v>3.68</v>
      </c>
      <c r="AK1068" s="928"/>
      <c r="AL1068" s="928"/>
      <c r="AM1068" s="928"/>
      <c r="AN1068" s="928"/>
      <c r="AO1068" s="928"/>
      <c r="AP1068" s="928"/>
      <c r="AQ1068" s="928"/>
      <c r="AR1068" s="928"/>
      <c r="AS1068" s="928"/>
    </row>
    <row r="1069" spans="2:45" outlineLevel="1" x14ac:dyDescent="0.25">
      <c r="B1069" s="1087"/>
      <c r="C1069" s="305"/>
      <c r="D1069" s="2080"/>
      <c r="E1069" s="926" t="str">
        <f t="shared" si="86"/>
        <v>LED - 10.5W Downlight E26 (CFL baseline) LIDI</v>
      </c>
      <c r="F1069" s="1886">
        <f>F1056</f>
        <v>6</v>
      </c>
      <c r="G1069" s="1886">
        <v>3.3</v>
      </c>
      <c r="H1069" s="2247"/>
      <c r="I1069" s="2078"/>
      <c r="V1069" s="2251"/>
      <c r="W1069" s="1018">
        <f>W1056</f>
        <v>6</v>
      </c>
      <c r="X1069" s="1018">
        <v>6</v>
      </c>
      <c r="Y1069" s="928"/>
      <c r="Z1069" s="928"/>
      <c r="AA1069" s="928"/>
      <c r="AB1069" s="928"/>
      <c r="AC1069" s="928"/>
      <c r="AD1069" s="928"/>
      <c r="AE1069" s="928"/>
      <c r="AF1069" s="928"/>
      <c r="AG1069" s="928"/>
      <c r="AI1069" s="1018">
        <v>3.3</v>
      </c>
      <c r="AJ1069" s="1018">
        <v>3.3</v>
      </c>
      <c r="AK1069" s="928"/>
      <c r="AL1069" s="928"/>
      <c r="AM1069" s="928"/>
      <c r="AN1069" s="928"/>
      <c r="AO1069" s="928"/>
      <c r="AP1069" s="928"/>
      <c r="AQ1069" s="928"/>
      <c r="AR1069" s="928"/>
      <c r="AS1069" s="928"/>
    </row>
    <row r="1070" spans="2:45" outlineLevel="1" x14ac:dyDescent="0.25">
      <c r="B1070" s="1087"/>
      <c r="C1070" s="305"/>
      <c r="D1070" s="2080"/>
      <c r="E1070" s="926" t="str">
        <f t="shared" si="86"/>
        <v>LED - 12W Dimmable Light Bulb (Replacing CFL) LIDI</v>
      </c>
      <c r="F1070" s="1886">
        <f>F1058</f>
        <v>6</v>
      </c>
      <c r="G1070" s="1886">
        <v>3.53</v>
      </c>
      <c r="H1070" s="2247"/>
      <c r="I1070" s="2078"/>
      <c r="V1070" s="2251"/>
      <c r="W1070" s="1018">
        <f>W1058</f>
        <v>6</v>
      </c>
      <c r="X1070" s="1018">
        <v>6</v>
      </c>
      <c r="Y1070" s="928"/>
      <c r="Z1070" s="928"/>
      <c r="AA1070" s="928"/>
      <c r="AB1070" s="928"/>
      <c r="AC1070" s="928"/>
      <c r="AD1070" s="928"/>
      <c r="AE1070" s="928"/>
      <c r="AF1070" s="928"/>
      <c r="AG1070" s="928"/>
      <c r="AI1070" s="1018">
        <v>3.53</v>
      </c>
      <c r="AJ1070" s="1018">
        <v>3.53</v>
      </c>
      <c r="AK1070" s="928"/>
      <c r="AL1070" s="928"/>
      <c r="AM1070" s="928"/>
      <c r="AN1070" s="928"/>
      <c r="AO1070" s="928"/>
      <c r="AP1070" s="928"/>
      <c r="AQ1070" s="928"/>
      <c r="AR1070" s="928"/>
      <c r="AS1070" s="928"/>
    </row>
    <row r="1071" spans="2:45" outlineLevel="1" x14ac:dyDescent="0.25">
      <c r="B1071" s="1087"/>
      <c r="C1071" s="305"/>
      <c r="D1071" s="2080"/>
      <c r="E1071" s="926" t="str">
        <f t="shared" si="86"/>
        <v>LED - 12W (Replacing CFL) LIDI</v>
      </c>
      <c r="F1071" s="1886">
        <f>F1058</f>
        <v>6</v>
      </c>
      <c r="G1071" s="1886">
        <f>G1058</f>
        <v>4.72</v>
      </c>
      <c r="H1071" s="2247"/>
      <c r="I1071" s="2078"/>
      <c r="V1071" s="2251"/>
      <c r="W1071" s="1018">
        <f>W1058</f>
        <v>6</v>
      </c>
      <c r="X1071" s="1018">
        <v>6</v>
      </c>
      <c r="Y1071" s="928"/>
      <c r="Z1071" s="928"/>
      <c r="AA1071" s="928"/>
      <c r="AB1071" s="928"/>
      <c r="AC1071" s="928"/>
      <c r="AD1071" s="928"/>
      <c r="AE1071" s="928"/>
      <c r="AF1071" s="928"/>
      <c r="AG1071" s="928"/>
      <c r="AI1071" s="1018">
        <f>AI1058</f>
        <v>4.72</v>
      </c>
      <c r="AJ1071" s="1018">
        <v>4.72</v>
      </c>
      <c r="AK1071" s="928"/>
      <c r="AL1071" s="928"/>
      <c r="AM1071" s="928"/>
      <c r="AN1071" s="928"/>
      <c r="AO1071" s="928"/>
      <c r="AP1071" s="928"/>
      <c r="AQ1071" s="928"/>
      <c r="AR1071" s="928"/>
      <c r="AS1071" s="928"/>
    </row>
    <row r="1072" spans="2:45" outlineLevel="1" x14ac:dyDescent="0.25">
      <c r="B1072" s="1087"/>
      <c r="C1072" s="305"/>
      <c r="D1072" s="2080"/>
      <c r="E1072" s="926" t="str">
        <f t="shared" si="86"/>
        <v>LED - 15W (CFL baseline) LIDI</v>
      </c>
      <c r="F1072" s="1886">
        <f>F1060</f>
        <v>8</v>
      </c>
      <c r="G1072" s="1886">
        <f>G1060</f>
        <v>6.27</v>
      </c>
      <c r="H1072" s="2247"/>
      <c r="I1072" s="2078"/>
      <c r="V1072" s="2251"/>
      <c r="W1072" s="1018">
        <f>W1060</f>
        <v>8</v>
      </c>
      <c r="X1072" s="1018">
        <v>8</v>
      </c>
      <c r="Y1072" s="928"/>
      <c r="Z1072" s="928"/>
      <c r="AA1072" s="928"/>
      <c r="AB1072" s="928"/>
      <c r="AC1072" s="928"/>
      <c r="AD1072" s="928"/>
      <c r="AE1072" s="928"/>
      <c r="AF1072" s="928"/>
      <c r="AG1072" s="928"/>
      <c r="AI1072" s="1018">
        <f>AI1060</f>
        <v>6.27</v>
      </c>
      <c r="AJ1072" s="1018">
        <v>6.27</v>
      </c>
      <c r="AK1072" s="928"/>
      <c r="AL1072" s="928"/>
      <c r="AM1072" s="928"/>
      <c r="AN1072" s="928"/>
      <c r="AO1072" s="928"/>
      <c r="AP1072" s="928"/>
      <c r="AQ1072" s="928"/>
      <c r="AR1072" s="928"/>
      <c r="AS1072" s="928"/>
    </row>
    <row r="1073" spans="1:45" outlineLevel="1" x14ac:dyDescent="0.25">
      <c r="B1073" s="1087"/>
      <c r="C1073" s="305"/>
      <c r="D1073" s="2080"/>
      <c r="E1073" s="926" t="str">
        <f t="shared" si="86"/>
        <v>LED - 15W Flood Light PAR30 Bulb (CFL baseline) LIDI</v>
      </c>
      <c r="F1073" s="1886">
        <f>F1061</f>
        <v>10</v>
      </c>
      <c r="G1073" s="1886">
        <v>4.92</v>
      </c>
      <c r="H1073" s="2247"/>
      <c r="I1073" s="2078"/>
      <c r="V1073" s="2251"/>
      <c r="W1073" s="1018">
        <f>W1061</f>
        <v>10</v>
      </c>
      <c r="X1073" s="1018">
        <v>10</v>
      </c>
      <c r="Y1073" s="928"/>
      <c r="Z1073" s="928"/>
      <c r="AA1073" s="928"/>
      <c r="AB1073" s="928"/>
      <c r="AC1073" s="928"/>
      <c r="AD1073" s="928"/>
      <c r="AE1073" s="928"/>
      <c r="AF1073" s="928"/>
      <c r="AG1073" s="928"/>
      <c r="AI1073" s="1018">
        <v>4.92</v>
      </c>
      <c r="AJ1073" s="1018">
        <v>4.92</v>
      </c>
      <c r="AK1073" s="928"/>
      <c r="AL1073" s="928"/>
      <c r="AM1073" s="928"/>
      <c r="AN1073" s="928"/>
      <c r="AO1073" s="928"/>
      <c r="AP1073" s="928"/>
      <c r="AQ1073" s="928"/>
      <c r="AR1073" s="928"/>
      <c r="AS1073" s="928"/>
    </row>
    <row r="1074" spans="1:45" outlineLevel="1" x14ac:dyDescent="0.25">
      <c r="B1074" s="1087"/>
      <c r="C1074" s="305"/>
      <c r="D1074" s="2080"/>
      <c r="E1074" s="926" t="str">
        <f t="shared" si="86"/>
        <v>LED - 18W Flood Light PAR30 Bulb (CFL baseline) LIDI</v>
      </c>
      <c r="F1074" s="1886">
        <f>F1062</f>
        <v>15</v>
      </c>
      <c r="G1074" s="1886">
        <v>4.92</v>
      </c>
      <c r="H1074" s="2247"/>
      <c r="I1074" s="2078"/>
      <c r="V1074" s="2251"/>
      <c r="W1074" s="1018">
        <f>W1062</f>
        <v>15</v>
      </c>
      <c r="X1074" s="1018">
        <v>15</v>
      </c>
      <c r="Y1074" s="928"/>
      <c r="Z1074" s="928"/>
      <c r="AA1074" s="928"/>
      <c r="AB1074" s="928"/>
      <c r="AC1074" s="928"/>
      <c r="AD1074" s="928"/>
      <c r="AE1074" s="928"/>
      <c r="AF1074" s="928"/>
      <c r="AG1074" s="928"/>
      <c r="AI1074" s="1018">
        <v>4.92</v>
      </c>
      <c r="AJ1074" s="1018">
        <v>4.92</v>
      </c>
      <c r="AK1074" s="928"/>
      <c r="AL1074" s="928"/>
      <c r="AM1074" s="928"/>
      <c r="AN1074" s="928"/>
      <c r="AO1074" s="928"/>
      <c r="AP1074" s="928"/>
      <c r="AQ1074" s="928"/>
      <c r="AR1074" s="928"/>
      <c r="AS1074" s="928"/>
    </row>
    <row r="1075" spans="1:45" outlineLevel="1" x14ac:dyDescent="0.25">
      <c r="B1075" s="905"/>
      <c r="C1075" s="305"/>
      <c r="D1075" s="2080"/>
      <c r="E1075" s="926" t="str">
        <f t="shared" si="86"/>
        <v>LED - 20W (CFL baseline) LIDI</v>
      </c>
      <c r="F1075" s="1886">
        <f>F1063</f>
        <v>8</v>
      </c>
      <c r="G1075" s="1886">
        <f>G1063</f>
        <v>7.83</v>
      </c>
      <c r="H1075" s="1148"/>
      <c r="I1075" s="1887"/>
      <c r="V1075" s="2251"/>
      <c r="W1075" s="1018">
        <f>W1063</f>
        <v>8</v>
      </c>
      <c r="X1075" s="1018">
        <v>8</v>
      </c>
      <c r="Y1075" s="928"/>
      <c r="Z1075" s="928"/>
      <c r="AA1075" s="928"/>
      <c r="AB1075" s="928"/>
      <c r="AC1075" s="928"/>
      <c r="AD1075" s="928"/>
      <c r="AE1075" s="928"/>
      <c r="AF1075" s="928"/>
      <c r="AG1075" s="928"/>
      <c r="AI1075" s="1018">
        <f>AI1063</f>
        <v>7.83</v>
      </c>
      <c r="AJ1075" s="1018">
        <v>7.83</v>
      </c>
      <c r="AK1075" s="928"/>
      <c r="AL1075" s="928"/>
      <c r="AM1075" s="928"/>
      <c r="AN1075" s="928"/>
      <c r="AO1075" s="928"/>
      <c r="AP1075" s="928"/>
      <c r="AQ1075" s="928"/>
      <c r="AR1075" s="928"/>
      <c r="AS1075" s="928"/>
    </row>
    <row r="1076" spans="1:45" x14ac:dyDescent="0.25">
      <c r="A1076"/>
      <c r="B1076" s="130"/>
      <c r="C1076" s="616"/>
      <c r="D1076" s="1888"/>
      <c r="E1076" s="1888"/>
      <c r="F1076" s="1889"/>
      <c r="G1076" s="1890"/>
      <c r="H1076" s="130"/>
      <c r="I1076" s="130"/>
      <c r="J1076" s="130"/>
      <c r="K1076" s="130"/>
      <c r="L1076" s="130"/>
      <c r="M1076" s="130"/>
      <c r="N1076" s="130"/>
      <c r="V1076" s="801"/>
      <c r="W1076" s="801"/>
      <c r="X1076" s="801"/>
      <c r="AK1076" s="802"/>
    </row>
    <row r="1077" spans="1:45" x14ac:dyDescent="0.25">
      <c r="A1077"/>
      <c r="B1077" s="130"/>
      <c r="C1077" s="616"/>
      <c r="D1077" s="658"/>
      <c r="E1077" s="658"/>
      <c r="F1077" s="130"/>
      <c r="G1077" s="130"/>
      <c r="H1077" s="130"/>
      <c r="I1077" s="130"/>
      <c r="J1077" s="130"/>
      <c r="K1077" s="130"/>
      <c r="L1077" s="130"/>
      <c r="M1077" s="130"/>
      <c r="N1077" s="130"/>
      <c r="V1077" s="801"/>
      <c r="W1077" s="801"/>
      <c r="X1077" s="801"/>
      <c r="AK1077" s="802"/>
    </row>
    <row r="1078" spans="1:45" x14ac:dyDescent="0.25">
      <c r="A1078"/>
      <c r="B1078" s="2022" t="s">
        <v>858</v>
      </c>
      <c r="C1078" s="2023"/>
      <c r="D1078" s="2023"/>
      <c r="E1078" s="2023"/>
      <c r="F1078" s="2023"/>
      <c r="G1078" s="2023"/>
      <c r="H1078" s="2023"/>
      <c r="I1078" s="2023"/>
      <c r="J1078" s="2023"/>
      <c r="K1078" s="2023"/>
      <c r="L1078" s="2023"/>
      <c r="M1078" s="2023"/>
      <c r="N1078" s="2023"/>
      <c r="O1078" s="2023"/>
      <c r="P1078" s="2023"/>
      <c r="Q1078" s="2023"/>
      <c r="R1078" s="2196"/>
      <c r="V1078" s="2022" t="str">
        <f>B1078</f>
        <v>Advanced Power Strips Tier 1  / Load Sensing</v>
      </c>
      <c r="W1078" s="2023"/>
      <c r="X1078" s="2023"/>
      <c r="Y1078" s="2023"/>
      <c r="Z1078" s="2023"/>
      <c r="AA1078" s="2023"/>
      <c r="AB1078" s="2023"/>
      <c r="AC1078" s="2024"/>
      <c r="AD1078" s="2024"/>
      <c r="AE1078" s="2024"/>
      <c r="AF1078" s="2024"/>
      <c r="AG1078" s="2024"/>
      <c r="AH1078" s="2024"/>
      <c r="AI1078" s="2025"/>
      <c r="AK1078" s="802"/>
    </row>
    <row r="1079" spans="1:45" x14ac:dyDescent="0.25">
      <c r="A1079"/>
      <c r="B1079" s="130"/>
      <c r="C1079" s="616"/>
      <c r="D1079" s="658"/>
      <c r="E1079" s="658"/>
      <c r="F1079" s="130"/>
      <c r="G1079" s="130"/>
      <c r="H1079" s="130"/>
      <c r="I1079" s="130"/>
      <c r="J1079" s="130"/>
      <c r="K1079" s="130"/>
      <c r="L1079" s="130"/>
      <c r="M1079" s="130"/>
      <c r="N1079" s="130"/>
      <c r="AK1079" s="802"/>
    </row>
    <row r="1080" spans="1:45" ht="45" x14ac:dyDescent="0.25">
      <c r="A1080"/>
      <c r="B1080" s="130"/>
      <c r="C1080" s="184" t="s">
        <v>16</v>
      </c>
      <c r="D1080" s="184" t="s">
        <v>509</v>
      </c>
      <c r="E1080" s="184" t="s">
        <v>18</v>
      </c>
      <c r="F1080" s="184" t="s">
        <v>19</v>
      </c>
      <c r="G1080" s="184" t="s">
        <v>20</v>
      </c>
      <c r="H1080" s="184" t="s">
        <v>21</v>
      </c>
      <c r="I1080" s="184" t="s">
        <v>22</v>
      </c>
      <c r="J1080" s="184" t="s">
        <v>23</v>
      </c>
      <c r="K1080" s="184" t="s">
        <v>24</v>
      </c>
      <c r="L1080" s="184" t="s">
        <v>25</v>
      </c>
      <c r="M1080" s="130"/>
      <c r="N1080" s="130"/>
      <c r="V1080" s="48" t="s">
        <v>26</v>
      </c>
      <c r="W1080" s="49">
        <v>43252</v>
      </c>
      <c r="X1080" s="49">
        <f>$X$6</f>
        <v>43465</v>
      </c>
      <c r="Y1080" s="49" t="s">
        <v>27</v>
      </c>
      <c r="Z1080" s="49" t="s">
        <v>27</v>
      </c>
      <c r="AA1080" s="49" t="s">
        <v>27</v>
      </c>
      <c r="AB1080" s="49" t="s">
        <v>27</v>
      </c>
      <c r="AC1080" s="49" t="s">
        <v>27</v>
      </c>
      <c r="AD1080" s="49" t="s">
        <v>27</v>
      </c>
      <c r="AE1080" s="49" t="s">
        <v>27</v>
      </c>
      <c r="AF1080" s="49" t="s">
        <v>27</v>
      </c>
      <c r="AG1080" s="49" t="s">
        <v>27</v>
      </c>
      <c r="AK1080" s="802"/>
    </row>
    <row r="1081" spans="1:45" x14ac:dyDescent="0.25">
      <c r="A1081"/>
      <c r="B1081" s="130"/>
      <c r="C1081" s="115"/>
      <c r="D1081" s="726" t="s">
        <v>1837</v>
      </c>
      <c r="E1081" s="321" t="s">
        <v>1573</v>
      </c>
      <c r="F1081" s="160">
        <f>(F1095*F1097+G1095*G1097)*H1098</f>
        <v>31</v>
      </c>
      <c r="G1081" s="985" t="s">
        <v>641</v>
      </c>
      <c r="H1081" s="170">
        <f>VLOOKUP(G1081,'CP FACTORS'!$A$3:$B$38, 2, FALSE)</f>
        <v>1.148238E-4</v>
      </c>
      <c r="I1081" s="1672">
        <f t="shared" ref="I1081:I1086" si="87">F1081*H1081</f>
        <v>3.5595378E-3</v>
      </c>
      <c r="J1081" s="160">
        <v>10</v>
      </c>
      <c r="K1081" s="516">
        <v>20</v>
      </c>
      <c r="L1081" s="115" t="s">
        <v>31</v>
      </c>
      <c r="M1081" s="130"/>
      <c r="N1081" s="130"/>
      <c r="V1081" s="1021" t="str">
        <f>$F$1080</f>
        <v>kWh Annual Savings</v>
      </c>
      <c r="W1081" s="1186">
        <v>31</v>
      </c>
      <c r="X1081" s="1186">
        <v>31</v>
      </c>
      <c r="Y1081" s="177"/>
      <c r="Z1081" s="177"/>
      <c r="AA1081" s="177"/>
      <c r="AB1081" s="177"/>
      <c r="AC1081" s="177"/>
      <c r="AD1081" s="177"/>
      <c r="AE1081" s="177"/>
      <c r="AF1081" s="177"/>
      <c r="AG1081" s="177"/>
      <c r="AK1081" s="802"/>
    </row>
    <row r="1082" spans="1:45" x14ac:dyDescent="0.25">
      <c r="A1082"/>
      <c r="B1082" s="130"/>
      <c r="C1082" s="115"/>
      <c r="D1082" s="726" t="s">
        <v>1837</v>
      </c>
      <c r="E1082" s="321" t="s">
        <v>1574</v>
      </c>
      <c r="F1082" s="160">
        <f>(F1095*F1097+G1095*G1097)*I1098</f>
        <v>24.18</v>
      </c>
      <c r="G1082" s="985" t="s">
        <v>641</v>
      </c>
      <c r="H1082" s="170">
        <f>VLOOKUP(G1082,'CP FACTORS'!$A$3:$B$38, 2, FALSE)</f>
        <v>1.148238E-4</v>
      </c>
      <c r="I1082" s="1672">
        <f t="shared" si="87"/>
        <v>2.7764394839999997E-3</v>
      </c>
      <c r="J1082" s="160">
        <v>10</v>
      </c>
      <c r="K1082" s="516">
        <v>20</v>
      </c>
      <c r="L1082" s="115" t="s">
        <v>31</v>
      </c>
      <c r="M1082" s="130"/>
      <c r="N1082" s="130"/>
      <c r="V1082" s="1021" t="str">
        <f t="shared" ref="V1082:V1087" si="88">$F$1080</f>
        <v>kWh Annual Savings</v>
      </c>
      <c r="W1082" s="1186">
        <v>24.18</v>
      </c>
      <c r="X1082" s="1186">
        <v>24.18</v>
      </c>
      <c r="Y1082" s="177"/>
      <c r="Z1082" s="177"/>
      <c r="AA1082" s="177"/>
      <c r="AB1082" s="177"/>
      <c r="AC1082" s="177"/>
      <c r="AD1082" s="177"/>
      <c r="AE1082" s="177"/>
      <c r="AF1082" s="177"/>
      <c r="AG1082" s="177"/>
      <c r="AH1082" s="811"/>
      <c r="AI1082" s="811"/>
      <c r="AK1082" s="802"/>
    </row>
    <row r="1083" spans="1:45" x14ac:dyDescent="0.25">
      <c r="A1083"/>
      <c r="B1083" s="130"/>
      <c r="C1083" s="115"/>
      <c r="D1083" s="726" t="s">
        <v>1837</v>
      </c>
      <c r="E1083" s="321" t="s">
        <v>1575</v>
      </c>
      <c r="F1083" s="160">
        <f>(F1095*F1096+G1095*G1096)*H1098</f>
        <v>75.099999999999994</v>
      </c>
      <c r="G1083" s="985" t="s">
        <v>641</v>
      </c>
      <c r="H1083" s="170">
        <f>VLOOKUP(G1083,'CP FACTORS'!$A$3:$B$38, 2, FALSE)</f>
        <v>1.148238E-4</v>
      </c>
      <c r="I1083" s="1672">
        <f t="shared" si="87"/>
        <v>8.6232673799999989E-3</v>
      </c>
      <c r="J1083" s="160">
        <v>10</v>
      </c>
      <c r="K1083" s="516">
        <v>20</v>
      </c>
      <c r="L1083" s="115" t="s">
        <v>31</v>
      </c>
      <c r="M1083" s="130"/>
      <c r="N1083" s="130"/>
      <c r="V1083" s="1021" t="str">
        <f t="shared" si="88"/>
        <v>kWh Annual Savings</v>
      </c>
      <c r="W1083" s="1186">
        <v>75.099999999999994</v>
      </c>
      <c r="X1083" s="1186">
        <v>75.099999999999994</v>
      </c>
      <c r="Y1083" s="177"/>
      <c r="Z1083" s="177"/>
      <c r="AA1083" s="177"/>
      <c r="AB1083" s="177"/>
      <c r="AC1083" s="177"/>
      <c r="AD1083" s="177"/>
      <c r="AE1083" s="177"/>
      <c r="AF1083" s="177"/>
      <c r="AG1083" s="177"/>
      <c r="AH1083" s="811"/>
      <c r="AI1083" s="811"/>
      <c r="AK1083" s="802"/>
    </row>
    <row r="1084" spans="1:45" x14ac:dyDescent="0.25">
      <c r="A1084"/>
      <c r="B1084" s="130"/>
      <c r="C1084" s="115"/>
      <c r="D1084" s="726" t="s">
        <v>1837</v>
      </c>
      <c r="E1084" s="321" t="s">
        <v>1576</v>
      </c>
      <c r="F1084" s="160">
        <f>(F1095*F1096+G1095*G1096)*I1098</f>
        <v>58.577999999999996</v>
      </c>
      <c r="G1084" s="985" t="s">
        <v>641</v>
      </c>
      <c r="H1084" s="170">
        <f>VLOOKUP(G1084,'CP FACTORS'!$A$3:$B$38, 2, FALSE)</f>
        <v>1.148238E-4</v>
      </c>
      <c r="I1084" s="1672">
        <f t="shared" si="87"/>
        <v>6.7261485563999994E-3</v>
      </c>
      <c r="J1084" s="160">
        <v>10</v>
      </c>
      <c r="K1084" s="516">
        <v>20</v>
      </c>
      <c r="L1084" s="115" t="s">
        <v>31</v>
      </c>
      <c r="M1084" s="130"/>
      <c r="N1084" s="130"/>
      <c r="V1084" s="1021" t="str">
        <f t="shared" si="88"/>
        <v>kWh Annual Savings</v>
      </c>
      <c r="W1084" s="1216">
        <v>58.577999999999996</v>
      </c>
      <c r="X1084" s="1216">
        <v>58.577999999999996</v>
      </c>
      <c r="Y1084" s="816"/>
      <c r="Z1084" s="816"/>
      <c r="AA1084" s="816"/>
      <c r="AB1084" s="816"/>
      <c r="AC1084" s="816"/>
      <c r="AD1084" s="816"/>
      <c r="AE1084" s="816"/>
      <c r="AF1084" s="816"/>
      <c r="AG1084" s="816"/>
      <c r="AH1084" s="811"/>
      <c r="AI1084" s="811"/>
      <c r="AK1084" s="802"/>
    </row>
    <row r="1085" spans="1:45" x14ac:dyDescent="0.25">
      <c r="A1085"/>
      <c r="B1085" s="130"/>
      <c r="C1085" s="115"/>
      <c r="D1085" s="726" t="s">
        <v>1837</v>
      </c>
      <c r="E1085" s="321" t="s">
        <v>1577</v>
      </c>
      <c r="F1085" s="160">
        <f>(F1095*H1097+G1095*H1096)*H1098</f>
        <v>59.224000000000004</v>
      </c>
      <c r="G1085" s="985" t="s">
        <v>641</v>
      </c>
      <c r="H1085" s="170">
        <f>VLOOKUP(G1085,'CP FACTORS'!$A$3:$B$38, 2, FALSE)</f>
        <v>1.148238E-4</v>
      </c>
      <c r="I1085" s="1672">
        <f t="shared" si="87"/>
        <v>6.8003247311999998E-3</v>
      </c>
      <c r="J1085" s="160">
        <v>10</v>
      </c>
      <c r="K1085" s="516">
        <v>20</v>
      </c>
      <c r="L1085" s="115" t="s">
        <v>31</v>
      </c>
      <c r="M1085" s="130"/>
      <c r="N1085" s="130"/>
      <c r="V1085" s="1021" t="str">
        <f t="shared" si="88"/>
        <v>kWh Annual Savings</v>
      </c>
      <c r="W1085" s="1217">
        <v>59.224000000000004</v>
      </c>
      <c r="X1085" s="1217">
        <v>59.224000000000004</v>
      </c>
      <c r="Y1085" s="1023"/>
      <c r="Z1085" s="1023"/>
      <c r="AA1085" s="1023"/>
      <c r="AB1085" s="1023"/>
      <c r="AC1085" s="1023"/>
      <c r="AD1085" s="1023"/>
      <c r="AE1085" s="1023"/>
      <c r="AF1085" s="1023"/>
      <c r="AG1085" s="1023"/>
      <c r="AK1085" s="802"/>
    </row>
    <row r="1086" spans="1:45" x14ac:dyDescent="0.25">
      <c r="A1086"/>
      <c r="B1086" s="130"/>
      <c r="C1086" s="115"/>
      <c r="D1086" s="726" t="s">
        <v>1837</v>
      </c>
      <c r="E1086" s="321" t="s">
        <v>1578</v>
      </c>
      <c r="F1086" s="160">
        <f>(F1095*I1097+G1095*I1096)*I1098</f>
        <v>42.066960000000002</v>
      </c>
      <c r="G1086" s="985" t="s">
        <v>641</v>
      </c>
      <c r="H1086" s="170">
        <f>VLOOKUP(G1086,'CP FACTORS'!$A$3:$B$38, 2, FALSE)</f>
        <v>1.148238E-4</v>
      </c>
      <c r="I1086" s="1672">
        <f t="shared" si="87"/>
        <v>4.8302882016479998E-3</v>
      </c>
      <c r="J1086" s="160">
        <v>10</v>
      </c>
      <c r="K1086" s="516">
        <v>20</v>
      </c>
      <c r="L1086" s="115" t="s">
        <v>31</v>
      </c>
      <c r="M1086" s="130"/>
      <c r="N1086" s="130"/>
      <c r="V1086" s="1021" t="str">
        <f t="shared" si="88"/>
        <v>kWh Annual Savings</v>
      </c>
      <c r="W1086" s="1217">
        <v>42.066960000000002</v>
      </c>
      <c r="X1086" s="1217">
        <v>42.066960000000002</v>
      </c>
      <c r="Y1086" s="1023"/>
      <c r="Z1086" s="1023"/>
      <c r="AA1086" s="1023"/>
      <c r="AB1086" s="1023"/>
      <c r="AC1086" s="1023"/>
      <c r="AD1086" s="1023"/>
      <c r="AE1086" s="1023"/>
      <c r="AF1086" s="1023"/>
      <c r="AG1086" s="1023"/>
      <c r="AK1086" s="802"/>
    </row>
    <row r="1087" spans="1:45" s="1025" customFormat="1" x14ac:dyDescent="0.25">
      <c r="A1087" s="315"/>
      <c r="B1087" s="1471"/>
      <c r="C1087" s="354"/>
      <c r="D1087" s="219" t="s">
        <v>963</v>
      </c>
      <c r="E1087" s="321" t="s">
        <v>1579</v>
      </c>
      <c r="F1087" s="160">
        <f>'Efficient Products Deemed Table'!F175</f>
        <v>162</v>
      </c>
      <c r="G1087" s="1024" t="s">
        <v>641</v>
      </c>
      <c r="H1087" s="1472">
        <f>VLOOKUP(G1087,'CP FACTORS'!$A$3:$B$38, 2, FALSE)</f>
        <v>1.148238E-4</v>
      </c>
      <c r="I1087" s="1672">
        <v>1.86014556E-2</v>
      </c>
      <c r="J1087" s="160">
        <v>10</v>
      </c>
      <c r="K1087" s="516">
        <f>'Efficient Products Deemed Table'!$K$175</f>
        <v>30</v>
      </c>
      <c r="L1087" s="1150" t="s">
        <v>31</v>
      </c>
      <c r="M1087" s="1891"/>
      <c r="N1087" s="1891"/>
      <c r="O1087" s="1891"/>
      <c r="P1087" s="1891"/>
      <c r="Q1087" s="1891"/>
      <c r="R1087" s="1891"/>
      <c r="S1087" s="1891"/>
      <c r="T1087" s="1891"/>
      <c r="U1087" s="1891"/>
      <c r="V1087" s="1021" t="str">
        <f t="shared" si="88"/>
        <v>kWh Annual Savings</v>
      </c>
      <c r="W1087" s="1217">
        <v>162</v>
      </c>
      <c r="X1087" s="1217">
        <v>162</v>
      </c>
      <c r="Y1087" s="1023"/>
      <c r="Z1087" s="1023"/>
      <c r="AA1087" s="1023"/>
      <c r="AB1087" s="1023"/>
      <c r="AC1087" s="1023"/>
      <c r="AD1087" s="1023"/>
      <c r="AE1087" s="1023"/>
      <c r="AF1087" s="1023"/>
      <c r="AG1087" s="1023"/>
      <c r="AH1087" s="249"/>
      <c r="AI1087" s="249"/>
      <c r="AJ1087" s="249"/>
      <c r="AK1087" s="802"/>
      <c r="AL1087" s="249"/>
    </row>
    <row r="1088" spans="1:45" outlineLevel="1" x14ac:dyDescent="0.25">
      <c r="A1088"/>
      <c r="B1088" s="130"/>
      <c r="C1088" s="124"/>
      <c r="D1088" s="988"/>
      <c r="E1088" s="988"/>
      <c r="F1088" s="485"/>
      <c r="G1088" s="989"/>
      <c r="H1088" s="1539"/>
      <c r="I1088" s="1892"/>
      <c r="J1088" s="1893"/>
      <c r="K1088" s="1892"/>
      <c r="L1088" s="1594"/>
      <c r="M1088" s="130"/>
      <c r="N1088" s="130"/>
      <c r="V1088" s="801"/>
      <c r="W1088" s="801"/>
      <c r="X1088" s="801"/>
      <c r="AJ1088" s="1025"/>
      <c r="AK1088" s="802"/>
      <c r="AL1088" s="1025"/>
    </row>
    <row r="1089" spans="1:69" outlineLevel="1" x14ac:dyDescent="0.25">
      <c r="A1089"/>
      <c r="B1089" s="130"/>
      <c r="C1089" s="616"/>
      <c r="D1089" s="1418" t="s">
        <v>463</v>
      </c>
      <c r="E1089" s="1651"/>
      <c r="F1089" s="529"/>
      <c r="G1089" s="529"/>
      <c r="H1089" s="529"/>
      <c r="I1089" s="529"/>
      <c r="J1089" s="529"/>
      <c r="K1089" s="529"/>
      <c r="L1089" s="130"/>
      <c r="M1089" s="130"/>
      <c r="N1089" s="130"/>
      <c r="V1089" s="1026"/>
      <c r="W1089" s="1026"/>
      <c r="X1089" s="1026"/>
      <c r="Y1089" s="1025"/>
      <c r="Z1089" s="1025"/>
      <c r="AA1089" s="1025"/>
      <c r="AB1089" s="1025"/>
      <c r="AC1089" s="1025"/>
      <c r="AD1089" s="1025"/>
      <c r="AE1089" s="1025"/>
      <c r="AF1089" s="1025"/>
      <c r="AG1089" s="1025"/>
      <c r="AH1089" s="1025"/>
      <c r="AI1089" s="1025"/>
      <c r="AK1089" s="802"/>
    </row>
    <row r="1090" spans="1:69" outlineLevel="1" x14ac:dyDescent="0.25">
      <c r="A1090"/>
      <c r="B1090" s="130"/>
      <c r="C1090" s="616"/>
      <c r="D1090" s="1651"/>
      <c r="E1090" s="1651"/>
      <c r="F1090" s="529"/>
      <c r="G1090" s="529"/>
      <c r="H1090" s="529"/>
      <c r="I1090" s="529"/>
      <c r="J1090" s="529"/>
      <c r="K1090" s="529"/>
      <c r="L1090" s="130"/>
      <c r="M1090" s="130"/>
      <c r="N1090" s="130"/>
      <c r="V1090" s="801"/>
      <c r="W1090" s="801"/>
      <c r="X1090" s="801"/>
      <c r="AK1090" s="802"/>
    </row>
    <row r="1091" spans="1:69" outlineLevel="1" x14ac:dyDescent="0.25">
      <c r="A1091"/>
      <c r="B1091" s="130"/>
      <c r="C1091" s="616"/>
      <c r="D1091" s="1651"/>
      <c r="E1091" s="1651"/>
      <c r="F1091" s="529"/>
      <c r="G1091" s="529"/>
      <c r="H1091" s="529"/>
      <c r="I1091" s="529"/>
      <c r="J1091" s="529"/>
      <c r="K1091" s="529"/>
      <c r="L1091" s="130"/>
      <c r="M1091" s="130"/>
      <c r="N1091" s="130"/>
      <c r="V1091" s="801"/>
      <c r="W1091" s="801"/>
      <c r="X1091" s="801"/>
      <c r="AK1091" s="802"/>
    </row>
    <row r="1092" spans="1:69" outlineLevel="1" x14ac:dyDescent="0.25">
      <c r="A1092"/>
      <c r="B1092" s="130"/>
      <c r="C1092" s="616"/>
      <c r="D1092" s="1651"/>
      <c r="E1092" s="1651"/>
      <c r="F1092" s="529"/>
      <c r="G1092" s="529"/>
      <c r="H1092" s="529"/>
      <c r="I1092" s="529"/>
      <c r="J1092" s="529"/>
      <c r="K1092" s="529"/>
      <c r="L1092" s="130"/>
      <c r="M1092" s="130"/>
      <c r="N1092" s="130"/>
      <c r="V1092" s="801"/>
      <c r="W1092" s="801"/>
      <c r="X1092" s="801"/>
      <c r="AK1092" s="802"/>
    </row>
    <row r="1093" spans="1:69" ht="15" customHeight="1" outlineLevel="1" x14ac:dyDescent="0.25">
      <c r="A1093"/>
      <c r="B1093" s="130"/>
      <c r="C1093" s="616"/>
      <c r="D1093" s="358" t="s">
        <v>465</v>
      </c>
      <c r="E1093" s="358" t="s">
        <v>466</v>
      </c>
      <c r="F1093" s="534" t="s">
        <v>865</v>
      </c>
      <c r="G1093" s="534" t="s">
        <v>866</v>
      </c>
      <c r="H1093" s="2075" t="s">
        <v>867</v>
      </c>
      <c r="I1093" s="2076"/>
      <c r="J1093" s="2244" t="s">
        <v>655</v>
      </c>
      <c r="K1093" s="2245"/>
      <c r="L1093" s="2246"/>
      <c r="M1093" s="130"/>
      <c r="N1093" s="130"/>
      <c r="V1093" s="48" t="s">
        <v>26</v>
      </c>
      <c r="W1093" s="49">
        <f>$W$6</f>
        <v>43252</v>
      </c>
      <c r="X1093" s="49">
        <f>$X$6</f>
        <v>43465</v>
      </c>
      <c r="Y1093" s="49" t="str">
        <f>$Y$6</f>
        <v>-</v>
      </c>
      <c r="Z1093" s="49" t="str">
        <f>$Z$6</f>
        <v>-</v>
      </c>
      <c r="AA1093" s="49" t="str">
        <f>$AA$6</f>
        <v>-</v>
      </c>
      <c r="AB1093" s="49" t="str">
        <f>$AB$6</f>
        <v>-</v>
      </c>
      <c r="AC1093" s="49" t="str">
        <f>$AC$6</f>
        <v>-</v>
      </c>
      <c r="AD1093" s="49" t="str">
        <f>$AD$6</f>
        <v>-</v>
      </c>
      <c r="AE1093" s="49" t="str">
        <f>$AE$6</f>
        <v>-</v>
      </c>
      <c r="AF1093" s="49" t="str">
        <f>$AF$6</f>
        <v>-</v>
      </c>
      <c r="AG1093" s="49" t="str">
        <f>$AG$6</f>
        <v>-</v>
      </c>
      <c r="AI1093" s="49">
        <f>$W$6</f>
        <v>43252</v>
      </c>
      <c r="AJ1093" s="49">
        <f>$X$6</f>
        <v>43465</v>
      </c>
      <c r="AK1093" s="49" t="str">
        <f>$Y$6</f>
        <v>-</v>
      </c>
      <c r="AL1093" s="49" t="str">
        <f>$Z$6</f>
        <v>-</v>
      </c>
      <c r="AM1093" s="49" t="str">
        <f>$AA$6</f>
        <v>-</v>
      </c>
      <c r="AN1093" s="49" t="str">
        <f>$AB$6</f>
        <v>-</v>
      </c>
      <c r="AO1093" s="49" t="str">
        <f>$AC$6</f>
        <v>-</v>
      </c>
      <c r="AP1093" s="49" t="str">
        <f>$AD$6</f>
        <v>-</v>
      </c>
      <c r="AQ1093" s="49" t="str">
        <f>$AE$6</f>
        <v>-</v>
      </c>
      <c r="AR1093" s="49" t="str">
        <f>$AF$6</f>
        <v>-</v>
      </c>
      <c r="AS1093" s="49" t="str">
        <f>$AG$6</f>
        <v>-</v>
      </c>
      <c r="AU1093" s="49">
        <f>$W$6</f>
        <v>43252</v>
      </c>
      <c r="AV1093" s="49">
        <f>$X$6</f>
        <v>43465</v>
      </c>
      <c r="AW1093" s="49" t="str">
        <f>$Y$6</f>
        <v>-</v>
      </c>
      <c r="AX1093" s="49" t="str">
        <f>$Z$6</f>
        <v>-</v>
      </c>
      <c r="AY1093" s="49" t="str">
        <f>$AA$6</f>
        <v>-</v>
      </c>
      <c r="AZ1093" s="49" t="str">
        <f>$AB$6</f>
        <v>-</v>
      </c>
      <c r="BA1093" s="49" t="str">
        <f>$AC$6</f>
        <v>-</v>
      </c>
      <c r="BB1093" s="49" t="str">
        <f>$AD$6</f>
        <v>-</v>
      </c>
      <c r="BC1093" s="49" t="str">
        <f>$AE$6</f>
        <v>-</v>
      </c>
      <c r="BD1093" s="49" t="str">
        <f>$AF$6</f>
        <v>-</v>
      </c>
      <c r="BE1093" s="49" t="str">
        <f>$AG$6</f>
        <v>-</v>
      </c>
      <c r="BG1093" s="49">
        <f>$W$6</f>
        <v>43252</v>
      </c>
      <c r="BH1093" s="49">
        <f>$X$6</f>
        <v>43465</v>
      </c>
      <c r="BI1093" s="49" t="str">
        <f>$Y$6</f>
        <v>-</v>
      </c>
      <c r="BJ1093" s="49" t="str">
        <f>$Z$6</f>
        <v>-</v>
      </c>
      <c r="BK1093" s="49" t="str">
        <f>$AA$6</f>
        <v>-</v>
      </c>
      <c r="BL1093" s="49" t="str">
        <f>$AB$6</f>
        <v>-</v>
      </c>
      <c r="BM1093" s="49" t="str">
        <f>$AC$6</f>
        <v>-</v>
      </c>
      <c r="BN1093" s="49" t="str">
        <f>$AD$6</f>
        <v>-</v>
      </c>
      <c r="BO1093" s="49" t="str">
        <f>$AE$6</f>
        <v>-</v>
      </c>
      <c r="BP1093" s="49" t="str">
        <f>$AF$6</f>
        <v>-</v>
      </c>
      <c r="BQ1093" s="49" t="str">
        <f>$AG$6</f>
        <v>-</v>
      </c>
    </row>
    <row r="1094" spans="1:69" ht="15" customHeight="1" outlineLevel="1" x14ac:dyDescent="0.25">
      <c r="A1094"/>
      <c r="B1094" s="130"/>
      <c r="C1094" s="616"/>
      <c r="D1094" s="518"/>
      <c r="E1094" s="518"/>
      <c r="F1094" s="519"/>
      <c r="G1094" s="519"/>
      <c r="H1094" s="184" t="s">
        <v>868</v>
      </c>
      <c r="I1094" s="184" t="s">
        <v>869</v>
      </c>
      <c r="J1094" s="1027"/>
      <c r="K1094" s="1028"/>
      <c r="L1094" s="1029"/>
      <c r="M1094" s="130"/>
      <c r="N1094" s="130"/>
      <c r="V1094" s="48"/>
      <c r="W1094" s="344" t="str">
        <f>$F$1093</f>
        <v>Office</v>
      </c>
      <c r="X1094" s="344" t="str">
        <f t="shared" ref="X1094:AG1094" si="89">$F$1093</f>
        <v>Office</v>
      </c>
      <c r="Y1094" s="344" t="str">
        <f t="shared" si="89"/>
        <v>Office</v>
      </c>
      <c r="Z1094" s="344" t="str">
        <f t="shared" si="89"/>
        <v>Office</v>
      </c>
      <c r="AA1094" s="344" t="str">
        <f t="shared" si="89"/>
        <v>Office</v>
      </c>
      <c r="AB1094" s="344" t="str">
        <f t="shared" si="89"/>
        <v>Office</v>
      </c>
      <c r="AC1094" s="344" t="str">
        <f t="shared" si="89"/>
        <v>Office</v>
      </c>
      <c r="AD1094" s="344" t="str">
        <f t="shared" si="89"/>
        <v>Office</v>
      </c>
      <c r="AE1094" s="344" t="str">
        <f t="shared" si="89"/>
        <v>Office</v>
      </c>
      <c r="AF1094" s="344" t="str">
        <f t="shared" si="89"/>
        <v>Office</v>
      </c>
      <c r="AG1094" s="344" t="str">
        <f t="shared" si="89"/>
        <v>Office</v>
      </c>
      <c r="AI1094" s="1030" t="str">
        <f>$G$1093</f>
        <v>Entertainment</v>
      </c>
      <c r="AJ1094" s="1030" t="str">
        <f t="shared" ref="AJ1094:AS1094" si="90">$G$1093</f>
        <v>Entertainment</v>
      </c>
      <c r="AK1094" s="1030" t="str">
        <f t="shared" si="90"/>
        <v>Entertainment</v>
      </c>
      <c r="AL1094" s="1030" t="str">
        <f t="shared" si="90"/>
        <v>Entertainment</v>
      </c>
      <c r="AM1094" s="1030" t="str">
        <f t="shared" si="90"/>
        <v>Entertainment</v>
      </c>
      <c r="AN1094" s="1030" t="str">
        <f t="shared" si="90"/>
        <v>Entertainment</v>
      </c>
      <c r="AO1094" s="1030" t="str">
        <f t="shared" si="90"/>
        <v>Entertainment</v>
      </c>
      <c r="AP1094" s="1030" t="str">
        <f t="shared" si="90"/>
        <v>Entertainment</v>
      </c>
      <c r="AQ1094" s="1030" t="str">
        <f t="shared" si="90"/>
        <v>Entertainment</v>
      </c>
      <c r="AR1094" s="1030" t="str">
        <f t="shared" si="90"/>
        <v>Entertainment</v>
      </c>
      <c r="AS1094" s="1030" t="str">
        <f t="shared" si="90"/>
        <v>Entertainment</v>
      </c>
      <c r="AU1094" s="1030" t="str">
        <f>$H$1094</f>
        <v>TOS / NC / DI</v>
      </c>
      <c r="AV1094" s="1030" t="str">
        <f t="shared" ref="AV1094:BE1094" si="91">$H$1094</f>
        <v>TOS / NC / DI</v>
      </c>
      <c r="AW1094" s="1030" t="str">
        <f t="shared" si="91"/>
        <v>TOS / NC / DI</v>
      </c>
      <c r="AX1094" s="1030" t="str">
        <f t="shared" si="91"/>
        <v>TOS / NC / DI</v>
      </c>
      <c r="AY1094" s="1030" t="str">
        <f t="shared" si="91"/>
        <v>TOS / NC / DI</v>
      </c>
      <c r="AZ1094" s="1030" t="str">
        <f t="shared" si="91"/>
        <v>TOS / NC / DI</v>
      </c>
      <c r="BA1094" s="1030" t="str">
        <f t="shared" si="91"/>
        <v>TOS / NC / DI</v>
      </c>
      <c r="BB1094" s="1030" t="str">
        <f t="shared" si="91"/>
        <v>TOS / NC / DI</v>
      </c>
      <c r="BC1094" s="1030" t="str">
        <f t="shared" si="91"/>
        <v>TOS / NC / DI</v>
      </c>
      <c r="BD1094" s="1030" t="str">
        <f t="shared" si="91"/>
        <v>TOS / NC / DI</v>
      </c>
      <c r="BE1094" s="1030" t="str">
        <f t="shared" si="91"/>
        <v>TOS / NC / DI</v>
      </c>
      <c r="BG1094" s="344" t="str">
        <f>$I$1094</f>
        <v>KITS</v>
      </c>
      <c r="BH1094" s="344" t="str">
        <f t="shared" ref="BH1094:BQ1094" si="92">$I$1094</f>
        <v>KITS</v>
      </c>
      <c r="BI1094" s="344" t="str">
        <f t="shared" si="92"/>
        <v>KITS</v>
      </c>
      <c r="BJ1094" s="344" t="str">
        <f t="shared" si="92"/>
        <v>KITS</v>
      </c>
      <c r="BK1094" s="344" t="str">
        <f t="shared" si="92"/>
        <v>KITS</v>
      </c>
      <c r="BL1094" s="344" t="str">
        <f t="shared" si="92"/>
        <v>KITS</v>
      </c>
      <c r="BM1094" s="344" t="str">
        <f t="shared" si="92"/>
        <v>KITS</v>
      </c>
      <c r="BN1094" s="344" t="str">
        <f t="shared" si="92"/>
        <v>KITS</v>
      </c>
      <c r="BO1094" s="344" t="str">
        <f t="shared" si="92"/>
        <v>KITS</v>
      </c>
      <c r="BP1094" s="344" t="str">
        <f t="shared" si="92"/>
        <v>KITS</v>
      </c>
      <c r="BQ1094" s="344" t="str">
        <f t="shared" si="92"/>
        <v>KITS</v>
      </c>
    </row>
    <row r="1095" spans="1:69" outlineLevel="1" x14ac:dyDescent="0.25">
      <c r="A1095"/>
      <c r="B1095" s="130"/>
      <c r="C1095" s="616"/>
      <c r="D1095" s="890" t="s">
        <v>870</v>
      </c>
      <c r="E1095" s="890" t="s">
        <v>871</v>
      </c>
      <c r="F1095" s="1039">
        <v>31</v>
      </c>
      <c r="G1095" s="1039">
        <v>75.099999999999994</v>
      </c>
      <c r="H1095" s="1039"/>
      <c r="I1095" s="1039"/>
      <c r="J1095" s="2229"/>
      <c r="K1095" s="2230"/>
      <c r="L1095" s="2238"/>
      <c r="M1095" s="130"/>
      <c r="N1095" s="130"/>
      <c r="V1095" s="1019" t="str">
        <f t="shared" ref="V1095:V1100" si="93">D1095</f>
        <v>KWh</v>
      </c>
      <c r="W1095" s="317">
        <v>31</v>
      </c>
      <c r="X1095" s="317"/>
      <c r="Y1095" s="816"/>
      <c r="Z1095" s="816"/>
      <c r="AA1095" s="816"/>
      <c r="AB1095" s="816"/>
      <c r="AC1095" s="816"/>
      <c r="AD1095" s="816"/>
      <c r="AE1095" s="816"/>
      <c r="AF1095" s="816"/>
      <c r="AG1095" s="816"/>
      <c r="AI1095" s="317">
        <v>75.099999999999994</v>
      </c>
      <c r="AJ1095" s="317"/>
      <c r="AK1095" s="816"/>
      <c r="AL1095" s="816"/>
      <c r="AM1095" s="816"/>
      <c r="AN1095" s="816"/>
      <c r="AO1095" s="816"/>
      <c r="AP1095" s="816"/>
      <c r="AQ1095" s="816"/>
      <c r="AR1095" s="816"/>
      <c r="AS1095" s="816"/>
      <c r="AU1095" s="1031"/>
      <c r="AV1095" s="1031"/>
      <c r="AW1095" s="816"/>
      <c r="AX1095" s="816"/>
      <c r="AY1095" s="816"/>
      <c r="AZ1095" s="816"/>
      <c r="BA1095" s="816"/>
      <c r="BB1095" s="816"/>
      <c r="BC1095" s="816"/>
      <c r="BD1095" s="816"/>
      <c r="BE1095" s="816"/>
      <c r="BG1095" s="1031"/>
      <c r="BH1095" s="1031"/>
      <c r="BI1095" s="816"/>
      <c r="BJ1095" s="816"/>
      <c r="BK1095" s="816"/>
      <c r="BL1095" s="816"/>
      <c r="BM1095" s="816"/>
      <c r="BN1095" s="816"/>
      <c r="BO1095" s="816"/>
      <c r="BP1095" s="816"/>
      <c r="BQ1095" s="816"/>
    </row>
    <row r="1096" spans="1:69" outlineLevel="1" x14ac:dyDescent="0.25">
      <c r="A1096"/>
      <c r="B1096" s="130"/>
      <c r="C1096" s="616"/>
      <c r="D1096" s="890" t="s">
        <v>872</v>
      </c>
      <c r="E1096" s="890" t="s">
        <v>873</v>
      </c>
      <c r="F1096" s="1894">
        <v>0</v>
      </c>
      <c r="G1096" s="1895">
        <v>1</v>
      </c>
      <c r="H1096" s="1895">
        <f>1-H1097</f>
        <v>0.64</v>
      </c>
      <c r="I1096" s="1895">
        <f>1-I1097</f>
        <v>0.52</v>
      </c>
      <c r="J1096" s="2229"/>
      <c r="K1096" s="2230"/>
      <c r="L1096" s="2238"/>
      <c r="M1096" s="130"/>
      <c r="N1096" s="130"/>
      <c r="V1096" s="1019" t="str">
        <f t="shared" si="93"/>
        <v>Weighting Entertainment</v>
      </c>
      <c r="W1096" s="1032">
        <v>0</v>
      </c>
      <c r="X1096" s="1032"/>
      <c r="Y1096" s="816"/>
      <c r="Z1096" s="816"/>
      <c r="AA1096" s="816"/>
      <c r="AB1096" s="816"/>
      <c r="AC1096" s="816"/>
      <c r="AD1096" s="816"/>
      <c r="AE1096" s="816"/>
      <c r="AF1096" s="816"/>
      <c r="AG1096" s="816"/>
      <c r="AI1096" s="1033">
        <v>1</v>
      </c>
      <c r="AJ1096" s="1033"/>
      <c r="AK1096" s="816"/>
      <c r="AL1096" s="816"/>
      <c r="AM1096" s="816"/>
      <c r="AN1096" s="816"/>
      <c r="AO1096" s="816"/>
      <c r="AP1096" s="816"/>
      <c r="AQ1096" s="816"/>
      <c r="AR1096" s="816"/>
      <c r="AS1096" s="816"/>
      <c r="AU1096" s="1033">
        <f>1-AU1097</f>
        <v>0.64</v>
      </c>
      <c r="AV1096" s="1033"/>
      <c r="AW1096" s="816"/>
      <c r="AX1096" s="816"/>
      <c r="AY1096" s="816"/>
      <c r="AZ1096" s="816"/>
      <c r="BA1096" s="816"/>
      <c r="BB1096" s="816"/>
      <c r="BC1096" s="816"/>
      <c r="BD1096" s="816"/>
      <c r="BE1096" s="816"/>
      <c r="BG1096" s="1033">
        <f>1-BG1097</f>
        <v>0.52</v>
      </c>
      <c r="BH1096" s="1033"/>
      <c r="BI1096" s="816"/>
      <c r="BJ1096" s="816"/>
      <c r="BK1096" s="816"/>
      <c r="BL1096" s="816"/>
      <c r="BM1096" s="816"/>
      <c r="BN1096" s="816"/>
      <c r="BO1096" s="816"/>
      <c r="BP1096" s="816"/>
      <c r="BQ1096" s="816"/>
    </row>
    <row r="1097" spans="1:69" outlineLevel="1" x14ac:dyDescent="0.25">
      <c r="A1097"/>
      <c r="B1097" s="130"/>
      <c r="C1097" s="616"/>
      <c r="D1097" s="890" t="s">
        <v>874</v>
      </c>
      <c r="E1097" s="890" t="s">
        <v>875</v>
      </c>
      <c r="F1097" s="1895">
        <v>1</v>
      </c>
      <c r="G1097" s="1895">
        <v>0</v>
      </c>
      <c r="H1097" s="1895">
        <v>0.36</v>
      </c>
      <c r="I1097" s="1895">
        <v>0.48</v>
      </c>
      <c r="J1097" s="2229"/>
      <c r="K1097" s="2230"/>
      <c r="L1097" s="2238"/>
      <c r="M1097" s="130"/>
      <c r="N1097" s="130"/>
      <c r="V1097" s="1019" t="str">
        <f t="shared" si="93"/>
        <v>Weighting Office</v>
      </c>
      <c r="W1097" s="1033">
        <v>1</v>
      </c>
      <c r="X1097" s="1033"/>
      <c r="Y1097" s="816"/>
      <c r="Z1097" s="816"/>
      <c r="AA1097" s="816"/>
      <c r="AB1097" s="816"/>
      <c r="AC1097" s="816"/>
      <c r="AD1097" s="816"/>
      <c r="AE1097" s="816"/>
      <c r="AF1097" s="816"/>
      <c r="AG1097" s="816"/>
      <c r="AI1097" s="1033">
        <v>0</v>
      </c>
      <c r="AJ1097" s="1033"/>
      <c r="AK1097" s="816"/>
      <c r="AL1097" s="816"/>
      <c r="AM1097" s="816"/>
      <c r="AN1097" s="816"/>
      <c r="AO1097" s="816"/>
      <c r="AP1097" s="816"/>
      <c r="AQ1097" s="816"/>
      <c r="AR1097" s="816"/>
      <c r="AS1097" s="816"/>
      <c r="AU1097" s="1033">
        <v>0.36</v>
      </c>
      <c r="AV1097" s="1033"/>
      <c r="AW1097" s="816"/>
      <c r="AX1097" s="816"/>
      <c r="AY1097" s="816"/>
      <c r="AZ1097" s="816"/>
      <c r="BA1097" s="816"/>
      <c r="BB1097" s="816"/>
      <c r="BC1097" s="816"/>
      <c r="BD1097" s="816"/>
      <c r="BE1097" s="816"/>
      <c r="BG1097" s="1033">
        <v>0.48</v>
      </c>
      <c r="BH1097" s="1033"/>
      <c r="BI1097" s="816"/>
      <c r="BJ1097" s="816"/>
      <c r="BK1097" s="816"/>
      <c r="BL1097" s="816"/>
      <c r="BM1097" s="816"/>
      <c r="BN1097" s="816"/>
      <c r="BO1097" s="816"/>
      <c r="BP1097" s="816"/>
      <c r="BQ1097" s="816"/>
    </row>
    <row r="1098" spans="1:69" outlineLevel="1" x14ac:dyDescent="0.25">
      <c r="A1098"/>
      <c r="B1098" s="130"/>
      <c r="C1098" s="616"/>
      <c r="D1098" s="913" t="s">
        <v>58</v>
      </c>
      <c r="E1098" s="890" t="s">
        <v>1580</v>
      </c>
      <c r="F1098" s="908"/>
      <c r="G1098" s="908"/>
      <c r="H1098" s="908">
        <v>1</v>
      </c>
      <c r="I1098" s="908">
        <v>0.78</v>
      </c>
      <c r="J1098" s="2229"/>
      <c r="K1098" s="2230"/>
      <c r="L1098" s="2238"/>
      <c r="M1098" s="130"/>
      <c r="N1098" s="130"/>
      <c r="V1098" s="1034" t="str">
        <f t="shared" si="93"/>
        <v>ISR</v>
      </c>
      <c r="W1098" s="1031"/>
      <c r="X1098" s="1031"/>
      <c r="Y1098" s="816"/>
      <c r="Z1098" s="816"/>
      <c r="AA1098" s="816"/>
      <c r="AB1098" s="816"/>
      <c r="AC1098" s="816"/>
      <c r="AD1098" s="816"/>
      <c r="AE1098" s="816"/>
      <c r="AF1098" s="816"/>
      <c r="AG1098" s="816"/>
      <c r="AI1098" s="1031"/>
      <c r="AJ1098" s="1031"/>
      <c r="AK1098" s="816"/>
      <c r="AL1098" s="816"/>
      <c r="AM1098" s="816"/>
      <c r="AN1098" s="816"/>
      <c r="AO1098" s="816"/>
      <c r="AP1098" s="816"/>
      <c r="AQ1098" s="816"/>
      <c r="AR1098" s="816"/>
      <c r="AS1098" s="816"/>
      <c r="AU1098" s="1035">
        <v>1</v>
      </c>
      <c r="AV1098" s="1035"/>
      <c r="AW1098" s="816"/>
      <c r="AX1098" s="816"/>
      <c r="AY1098" s="816"/>
      <c r="AZ1098" s="816"/>
      <c r="BA1098" s="816"/>
      <c r="BB1098" s="816"/>
      <c r="BC1098" s="816"/>
      <c r="BD1098" s="816"/>
      <c r="BE1098" s="816"/>
      <c r="BG1098" s="1035">
        <v>0.78</v>
      </c>
      <c r="BH1098" s="1035"/>
      <c r="BI1098" s="816"/>
      <c r="BJ1098" s="816"/>
      <c r="BK1098" s="816"/>
      <c r="BL1098" s="816"/>
      <c r="BM1098" s="816"/>
      <c r="BN1098" s="816"/>
      <c r="BO1098" s="816"/>
      <c r="BP1098" s="816"/>
      <c r="BQ1098" s="816"/>
    </row>
    <row r="1099" spans="1:69" outlineLevel="1" x14ac:dyDescent="0.25">
      <c r="B1099" s="1087"/>
      <c r="C1099" s="305"/>
      <c r="D1099" s="926" t="str">
        <f>D960</f>
        <v>EUL</v>
      </c>
      <c r="E1099" s="926" t="str">
        <f>E960</f>
        <v>Effective Useful Life (All)</v>
      </c>
      <c r="F1099" s="2241">
        <v>10</v>
      </c>
      <c r="G1099" s="2242"/>
      <c r="H1099" s="2242"/>
      <c r="I1099" s="2243"/>
      <c r="J1099" s="2229"/>
      <c r="K1099" s="2230"/>
      <c r="L1099" s="2238"/>
      <c r="V1099" s="859" t="str">
        <f t="shared" si="93"/>
        <v>EUL</v>
      </c>
      <c r="W1099" s="863">
        <v>10</v>
      </c>
      <c r="X1099" s="863"/>
      <c r="Y1099" s="925"/>
      <c r="Z1099" s="925"/>
      <c r="AA1099" s="925"/>
      <c r="AB1099" s="925"/>
      <c r="AC1099" s="925"/>
      <c r="AD1099" s="925"/>
      <c r="AE1099" s="925"/>
      <c r="AF1099" s="925"/>
      <c r="AG1099" s="925"/>
      <c r="AK1099" s="802"/>
    </row>
    <row r="1100" spans="1:69" outlineLevel="1" x14ac:dyDescent="0.25">
      <c r="B1100" s="1087"/>
      <c r="C1100" s="305"/>
      <c r="D1100" s="2233" t="s">
        <v>1581</v>
      </c>
      <c r="E1100" s="926" t="str">
        <f>E961</f>
        <v>Incremental Cost - Non-DI</v>
      </c>
      <c r="F1100" s="2235">
        <v>20</v>
      </c>
      <c r="G1100" s="2236"/>
      <c r="H1100" s="2236"/>
      <c r="I1100" s="2237"/>
      <c r="J1100" s="2229"/>
      <c r="K1100" s="2230"/>
      <c r="L1100" s="2238"/>
      <c r="V1100" s="2239" t="str">
        <f t="shared" si="93"/>
        <v>Inc. Cost Tier 1 Power Strip</v>
      </c>
      <c r="W1100" s="927">
        <v>7</v>
      </c>
      <c r="X1100" s="927"/>
      <c r="Y1100" s="928"/>
      <c r="Z1100" s="928"/>
      <c r="AA1100" s="928"/>
      <c r="AB1100" s="928"/>
      <c r="AC1100" s="928"/>
      <c r="AD1100" s="928"/>
      <c r="AE1100" s="928"/>
      <c r="AF1100" s="928"/>
      <c r="AG1100" s="928"/>
      <c r="AK1100" s="802"/>
    </row>
    <row r="1101" spans="1:69" outlineLevel="1" x14ac:dyDescent="0.25">
      <c r="B1101" s="1087"/>
      <c r="C1101" s="305"/>
      <c r="D1101" s="2234"/>
      <c r="E1101" s="926" t="str">
        <f>E962</f>
        <v>Incremental Cost - Direct Install (DI)</v>
      </c>
      <c r="F1101" s="2235">
        <v>20</v>
      </c>
      <c r="G1101" s="2236"/>
      <c r="H1101" s="2236"/>
      <c r="I1101" s="2237"/>
      <c r="J1101" s="2229"/>
      <c r="K1101" s="2230"/>
      <c r="L1101" s="2238"/>
      <c r="V1101" s="2240"/>
      <c r="W1101" s="927">
        <v>7</v>
      </c>
      <c r="X1101" s="927"/>
      <c r="Y1101" s="928"/>
      <c r="Z1101" s="928"/>
      <c r="AA1101" s="928"/>
      <c r="AB1101" s="928"/>
      <c r="AC1101" s="928"/>
      <c r="AD1101" s="928"/>
      <c r="AE1101" s="928"/>
      <c r="AF1101" s="928"/>
      <c r="AG1101" s="928"/>
      <c r="AK1101" s="802"/>
    </row>
    <row r="1102" spans="1:69" outlineLevel="1" x14ac:dyDescent="0.25">
      <c r="B1102" s="1087"/>
      <c r="C1102" s="305"/>
      <c r="D1102" s="2233" t="s">
        <v>1582</v>
      </c>
      <c r="E1102" s="926" t="str">
        <f>E961</f>
        <v>Incremental Cost - Non-DI</v>
      </c>
      <c r="F1102" s="2235">
        <f>'Efficient Products Deemed Table'!$F$193</f>
        <v>30</v>
      </c>
      <c r="G1102" s="2236"/>
      <c r="H1102" s="2236"/>
      <c r="I1102" s="2237"/>
      <c r="J1102" s="2229"/>
      <c r="K1102" s="2230"/>
      <c r="L1102" s="2238"/>
      <c r="V1102" s="2239" t="str">
        <f>D1102</f>
        <v>Inc. Cost Tier 2 Power Strip</v>
      </c>
      <c r="W1102" s="927">
        <v>7</v>
      </c>
      <c r="X1102" s="927"/>
      <c r="Y1102" s="928"/>
      <c r="Z1102" s="928"/>
      <c r="AA1102" s="928"/>
      <c r="AB1102" s="928"/>
      <c r="AC1102" s="928"/>
      <c r="AD1102" s="928"/>
      <c r="AE1102" s="928"/>
      <c r="AF1102" s="928"/>
      <c r="AG1102" s="928"/>
      <c r="AK1102" s="802"/>
    </row>
    <row r="1103" spans="1:69" outlineLevel="1" x14ac:dyDescent="0.25">
      <c r="B1103" s="1087"/>
      <c r="C1103" s="305"/>
      <c r="D1103" s="2234"/>
      <c r="E1103" s="926" t="str">
        <f>E962</f>
        <v>Incremental Cost - Direct Install (DI)</v>
      </c>
      <c r="F1103" s="2235">
        <f>'Efficient Products Deemed Table'!$F$193</f>
        <v>30</v>
      </c>
      <c r="G1103" s="2236"/>
      <c r="H1103" s="2236"/>
      <c r="I1103" s="2237"/>
      <c r="J1103" s="2229"/>
      <c r="K1103" s="2230"/>
      <c r="L1103" s="2238"/>
      <c r="V1103" s="2240"/>
      <c r="W1103" s="927">
        <v>7</v>
      </c>
      <c r="X1103" s="927"/>
      <c r="Y1103" s="928"/>
      <c r="Z1103" s="928"/>
      <c r="AA1103" s="928"/>
      <c r="AB1103" s="928"/>
      <c r="AC1103" s="928"/>
      <c r="AD1103" s="928"/>
      <c r="AE1103" s="928"/>
      <c r="AF1103" s="928"/>
      <c r="AG1103" s="928"/>
      <c r="AK1103" s="802"/>
    </row>
    <row r="1104" spans="1:69" ht="15" customHeight="1" x14ac:dyDescent="0.25">
      <c r="A1104"/>
      <c r="B1104" s="130"/>
      <c r="C1104" s="616"/>
      <c r="D1104" s="1896" t="s">
        <v>1583</v>
      </c>
      <c r="E1104" s="1897"/>
      <c r="F1104" s="1897"/>
      <c r="G1104" s="1897"/>
      <c r="H1104" s="1897"/>
      <c r="I1104" s="1897"/>
      <c r="M1104" s="130"/>
      <c r="N1104" s="130"/>
      <c r="V1104" s="1036"/>
      <c r="W1104" s="801"/>
      <c r="X1104" s="801"/>
      <c r="AK1104" s="802"/>
    </row>
    <row r="1105" spans="1:37" x14ac:dyDescent="0.25">
      <c r="A1105"/>
      <c r="B1105" s="130"/>
      <c r="C1105" s="616"/>
      <c r="D1105" s="658"/>
      <c r="E1105" s="658"/>
      <c r="F1105" s="130"/>
      <c r="G1105" s="130"/>
      <c r="H1105" s="130"/>
      <c r="I1105" s="130"/>
      <c r="J1105" s="130"/>
      <c r="K1105" s="130"/>
      <c r="L1105" s="130"/>
      <c r="M1105" s="130"/>
      <c r="N1105" s="130"/>
      <c r="V1105" s="801"/>
      <c r="W1105" s="801"/>
      <c r="X1105" s="801"/>
      <c r="AK1105" s="802"/>
    </row>
    <row r="1106" spans="1:37" x14ac:dyDescent="0.25">
      <c r="A1106"/>
      <c r="B1106" s="2022" t="s">
        <v>92</v>
      </c>
      <c r="C1106" s="2023"/>
      <c r="D1106" s="2023"/>
      <c r="E1106" s="2023"/>
      <c r="F1106" s="2023"/>
      <c r="G1106" s="2023"/>
      <c r="H1106" s="2023"/>
      <c r="I1106" s="2023"/>
      <c r="J1106" s="2023"/>
      <c r="K1106" s="2023"/>
      <c r="L1106" s="2023"/>
      <c r="M1106" s="2023"/>
      <c r="N1106" s="2023"/>
      <c r="O1106" s="2023"/>
      <c r="P1106" s="2023"/>
      <c r="Q1106" s="2023"/>
      <c r="R1106" s="2196"/>
      <c r="V1106" s="2022" t="str">
        <f>B1106</f>
        <v>Refrigerator</v>
      </c>
      <c r="W1106" s="2023"/>
      <c r="X1106" s="2023"/>
      <c r="Y1106" s="2023"/>
      <c r="Z1106" s="2023"/>
      <c r="AA1106" s="2023"/>
      <c r="AB1106" s="2023"/>
      <c r="AC1106" s="2024"/>
      <c r="AD1106" s="2024"/>
      <c r="AE1106" s="2024"/>
      <c r="AF1106" s="2024"/>
      <c r="AG1106" s="2024"/>
      <c r="AH1106" s="2024"/>
      <c r="AI1106" s="2025"/>
      <c r="AK1106" s="802"/>
    </row>
    <row r="1107" spans="1:37" x14ac:dyDescent="0.25">
      <c r="A1107"/>
      <c r="B1107" s="130"/>
      <c r="C1107" s="616"/>
      <c r="D1107" s="658"/>
      <c r="E1107" s="658"/>
      <c r="F1107" s="130"/>
      <c r="G1107" s="130"/>
      <c r="H1107" s="130"/>
      <c r="I1107" s="130"/>
      <c r="J1107" s="130"/>
      <c r="K1107" s="130"/>
      <c r="L1107" s="130"/>
      <c r="M1107" s="130"/>
      <c r="N1107" s="130"/>
      <c r="AK1107" s="802"/>
    </row>
    <row r="1108" spans="1:37" ht="45" x14ac:dyDescent="0.25">
      <c r="A1108" s="801"/>
      <c r="C1108" s="184" t="s">
        <v>16</v>
      </c>
      <c r="D1108" s="184" t="s">
        <v>509</v>
      </c>
      <c r="E1108" s="184" t="s">
        <v>18</v>
      </c>
      <c r="F1108" s="184" t="s">
        <v>19</v>
      </c>
      <c r="G1108" s="184" t="s">
        <v>20</v>
      </c>
      <c r="H1108" s="184" t="s">
        <v>21</v>
      </c>
      <c r="I1108" s="184" t="s">
        <v>22</v>
      </c>
      <c r="J1108" s="184" t="s">
        <v>23</v>
      </c>
      <c r="K1108" s="184" t="s">
        <v>24</v>
      </c>
      <c r="L1108" s="184" t="s">
        <v>25</v>
      </c>
      <c r="V1108" s="48" t="s">
        <v>26</v>
      </c>
      <c r="W1108" s="49">
        <v>43252</v>
      </c>
      <c r="X1108" s="49">
        <f>$X$6</f>
        <v>43465</v>
      </c>
      <c r="Y1108" s="49" t="s">
        <v>27</v>
      </c>
      <c r="Z1108" s="49" t="s">
        <v>27</v>
      </c>
      <c r="AA1108" s="49" t="s">
        <v>27</v>
      </c>
      <c r="AB1108" s="49" t="s">
        <v>27</v>
      </c>
      <c r="AC1108" s="49" t="s">
        <v>27</v>
      </c>
      <c r="AD1108" s="49" t="s">
        <v>27</v>
      </c>
      <c r="AE1108" s="49" t="s">
        <v>27</v>
      </c>
      <c r="AF1108" s="49" t="s">
        <v>27</v>
      </c>
      <c r="AG1108" s="49" t="s">
        <v>27</v>
      </c>
      <c r="AK1108" s="802"/>
    </row>
    <row r="1109" spans="1:37" x14ac:dyDescent="0.25">
      <c r="C1109" s="115"/>
      <c r="D1109" s="726" t="s">
        <v>1837</v>
      </c>
      <c r="E1109" s="1638" t="s">
        <v>1584</v>
      </c>
      <c r="F1109" s="1069">
        <f>F1118-(F1119*(1-F1120))</f>
        <v>564.66038920276219</v>
      </c>
      <c r="G1109" s="160" t="s">
        <v>1585</v>
      </c>
      <c r="H1109" s="170">
        <f>VLOOKUP(G1109,'CP FACTORS'!$A$3:$B$38, 2, FALSE)</f>
        <v>1.286107E-4</v>
      </c>
      <c r="I1109" s="1672">
        <f>F1109*H1109</f>
        <v>7.2621367917639693E-2</v>
      </c>
      <c r="J1109" s="123">
        <f>F1133</f>
        <v>6</v>
      </c>
      <c r="K1109" s="471">
        <f>F1135</f>
        <v>753</v>
      </c>
      <c r="L1109" s="115" t="s">
        <v>31</v>
      </c>
      <c r="M1109" s="1551"/>
      <c r="V1109" s="176" t="str">
        <f>F1108</f>
        <v>kWh Annual Savings</v>
      </c>
      <c r="W1109" s="1218">
        <v>564.66038920276219</v>
      </c>
      <c r="X1109" s="1211">
        <v>564.66038920276219</v>
      </c>
      <c r="Y1109" s="176"/>
      <c r="Z1109" s="176"/>
      <c r="AA1109" s="176"/>
      <c r="AB1109" s="176"/>
      <c r="AC1109" s="176"/>
      <c r="AD1109" s="176"/>
      <c r="AE1109" s="176"/>
      <c r="AF1109" s="176"/>
      <c r="AG1109" s="176"/>
      <c r="AK1109" s="802"/>
    </row>
    <row r="1110" spans="1:37" x14ac:dyDescent="0.25">
      <c r="C1110" s="115"/>
      <c r="D1110" s="726" t="s">
        <v>1837</v>
      </c>
      <c r="E1110" s="1641" t="s">
        <v>1586</v>
      </c>
      <c r="F1110" s="1898">
        <f>F1121-(F1119*(1-F1120))</f>
        <v>46.722222222222229</v>
      </c>
      <c r="G1110" s="160" t="s">
        <v>1587</v>
      </c>
      <c r="H1110" s="170">
        <f>VLOOKUP(G1110,'CP FACTORS'!$A$3:$B$38, 2, FALSE)</f>
        <v>1.286107E-4</v>
      </c>
      <c r="I1110" s="1672">
        <f>F1110*H1110</f>
        <v>6.0089777055555562E-3</v>
      </c>
      <c r="J1110" s="123">
        <f>F1134</f>
        <v>11</v>
      </c>
      <c r="K1110" s="471">
        <v>0</v>
      </c>
      <c r="L1110" s="115" t="s">
        <v>31</v>
      </c>
      <c r="M1110" s="1551"/>
      <c r="V1110" s="176" t="str">
        <f>V1109</f>
        <v>kWh Annual Savings</v>
      </c>
      <c r="W1110" s="1218">
        <v>46.722222222222229</v>
      </c>
      <c r="X1110" s="1211">
        <v>46.722222222222229</v>
      </c>
      <c r="Y1110" s="176"/>
      <c r="Z1110" s="176"/>
      <c r="AA1110" s="176"/>
      <c r="AB1110" s="176"/>
      <c r="AC1110" s="176"/>
      <c r="AD1110" s="176"/>
      <c r="AE1110" s="176"/>
      <c r="AF1110" s="176"/>
      <c r="AG1110" s="176"/>
      <c r="AH1110" s="811"/>
      <c r="AI1110" s="811"/>
      <c r="AK1110" s="802"/>
    </row>
    <row r="1111" spans="1:37" outlineLevel="1" x14ac:dyDescent="0.25">
      <c r="C1111" s="124"/>
      <c r="D1111" s="988"/>
      <c r="E1111" s="988"/>
      <c r="F1111" s="1800"/>
      <c r="G1111" s="485"/>
      <c r="H1111" s="1551"/>
      <c r="I1111" s="1892"/>
      <c r="J1111" s="1893"/>
      <c r="K1111" s="1892"/>
      <c r="L1111" s="470"/>
      <c r="M1111" s="1551"/>
      <c r="AH1111" s="811"/>
      <c r="AI1111" s="811"/>
      <c r="AK1111" s="802"/>
    </row>
    <row r="1112" spans="1:37" outlineLevel="1" x14ac:dyDescent="0.25">
      <c r="C1112" s="124"/>
      <c r="D1112" s="1418" t="s">
        <v>463</v>
      </c>
      <c r="E1112" s="988"/>
      <c r="F1112" s="1800"/>
      <c r="G1112" s="485"/>
      <c r="H1112" s="1551"/>
      <c r="I1112" s="1892"/>
      <c r="J1112" s="1893"/>
      <c r="K1112" s="1892"/>
      <c r="L1112" s="470"/>
      <c r="M1112" s="1551"/>
      <c r="AH1112" s="811"/>
      <c r="AI1112" s="811"/>
      <c r="AK1112" s="802"/>
    </row>
    <row r="1113" spans="1:37" outlineLevel="1" x14ac:dyDescent="0.25">
      <c r="C1113" s="124"/>
      <c r="D1113" s="988"/>
      <c r="E1113" s="988"/>
      <c r="F1113" s="1800"/>
      <c r="G1113" s="485"/>
      <c r="H1113" s="1551"/>
      <c r="I1113" s="1892"/>
      <c r="J1113" s="1893"/>
      <c r="K1113" s="1892"/>
      <c r="L1113" s="470"/>
      <c r="M1113" s="1551"/>
      <c r="AK1113" s="802"/>
    </row>
    <row r="1114" spans="1:37" outlineLevel="1" x14ac:dyDescent="0.25">
      <c r="C1114" s="124"/>
      <c r="D1114" s="988"/>
      <c r="E1114" s="988"/>
      <c r="F1114" s="1800"/>
      <c r="G1114" s="485"/>
      <c r="H1114" s="1551"/>
      <c r="I1114" s="1892"/>
      <c r="J1114" s="1893"/>
      <c r="K1114" s="1892"/>
      <c r="L1114" s="470"/>
      <c r="M1114" s="1551"/>
      <c r="AK1114" s="802"/>
    </row>
    <row r="1115" spans="1:37" outlineLevel="1" x14ac:dyDescent="0.25">
      <c r="C1115" s="124"/>
      <c r="D1115" s="988"/>
      <c r="E1115" s="988"/>
      <c r="F1115" s="1800"/>
      <c r="G1115" s="485"/>
      <c r="H1115" s="1551"/>
      <c r="I1115" s="1892"/>
      <c r="J1115" s="1893"/>
      <c r="K1115" s="1892"/>
      <c r="L1115" s="470"/>
      <c r="M1115" s="1551"/>
      <c r="AK1115" s="802"/>
    </row>
    <row r="1116" spans="1:37" outlineLevel="1" x14ac:dyDescent="0.25">
      <c r="D1116" s="1608"/>
      <c r="E1116" s="1608"/>
      <c r="F1116" s="1551"/>
      <c r="G1116" s="1551"/>
      <c r="H1116" s="1551"/>
      <c r="I1116" s="1551"/>
      <c r="J1116" s="1551"/>
      <c r="K1116" s="1551"/>
      <c r="L1116" s="1551"/>
      <c r="M1116" s="1551"/>
      <c r="AK1116" s="802"/>
    </row>
    <row r="1117" spans="1:37" outlineLevel="1" x14ac:dyDescent="0.25">
      <c r="D1117" s="184" t="s">
        <v>465</v>
      </c>
      <c r="E1117" s="184" t="s">
        <v>466</v>
      </c>
      <c r="F1117" s="184" t="s">
        <v>467</v>
      </c>
      <c r="G1117" s="184" t="s">
        <v>515</v>
      </c>
      <c r="H1117" s="1452"/>
      <c r="I1117" s="130"/>
      <c r="J1117" s="130"/>
      <c r="K1117" s="1452"/>
      <c r="L1117" s="1452"/>
      <c r="M1117" s="1452"/>
      <c r="N1117" s="1452"/>
      <c r="O1117" s="1452"/>
      <c r="P1117" s="1452"/>
      <c r="Q1117" s="1452"/>
      <c r="R1117" s="1452"/>
      <c r="V1117" s="48" t="s">
        <v>26</v>
      </c>
      <c r="W1117" s="49">
        <f>W$6</f>
        <v>43252</v>
      </c>
      <c r="X1117" s="49">
        <f t="shared" ref="X1117:AG1117" si="94">X$6</f>
        <v>43465</v>
      </c>
      <c r="Y1117" s="49" t="str">
        <f t="shared" si="94"/>
        <v>-</v>
      </c>
      <c r="Z1117" s="49" t="str">
        <f t="shared" si="94"/>
        <v>-</v>
      </c>
      <c r="AA1117" s="49" t="str">
        <f t="shared" si="94"/>
        <v>-</v>
      </c>
      <c r="AB1117" s="49" t="str">
        <f t="shared" si="94"/>
        <v>-</v>
      </c>
      <c r="AC1117" s="49" t="str">
        <f t="shared" si="94"/>
        <v>-</v>
      </c>
      <c r="AD1117" s="49" t="str">
        <f t="shared" si="94"/>
        <v>-</v>
      </c>
      <c r="AE1117" s="49" t="str">
        <f t="shared" si="94"/>
        <v>-</v>
      </c>
      <c r="AF1117" s="49" t="str">
        <f t="shared" si="94"/>
        <v>-</v>
      </c>
      <c r="AG1117" s="49" t="str">
        <f t="shared" si="94"/>
        <v>-</v>
      </c>
      <c r="AK1117" s="802"/>
    </row>
    <row r="1118" spans="1:37" ht="18" outlineLevel="1" x14ac:dyDescent="0.35">
      <c r="D1118" s="889" t="s">
        <v>1917</v>
      </c>
      <c r="E1118" s="867" t="s">
        <v>1588</v>
      </c>
      <c r="F1118" s="511">
        <f>SUMPRODUCT($F$1121:$F$1126, $F$1127:$F$1132)/SUM($F$1127:$F$1132)</f>
        <v>985.16038920276219</v>
      </c>
      <c r="G1118" s="869"/>
      <c r="H1118" s="1452"/>
      <c r="I1118" s="2075" t="s">
        <v>1589</v>
      </c>
      <c r="J1118" s="2199"/>
      <c r="K1118" s="2199"/>
      <c r="L1118" s="2199"/>
      <c r="M1118" s="2199"/>
      <c r="N1118" s="2199"/>
      <c r="O1118" s="2199"/>
      <c r="P1118" s="2199"/>
      <c r="Q1118" s="2199"/>
      <c r="R1118" s="2200"/>
      <c r="V1118" s="889" t="str">
        <f>D1118</f>
        <v>kWhBase</v>
      </c>
      <c r="W1118" s="511">
        <v>985.16038920276219</v>
      </c>
      <c r="X1118" s="511">
        <f>SUMPRODUCT($F$1121:$F$1126, $F$1127:$F$1132)/SUM($F$1127:$F$1132)</f>
        <v>985.16038920276219</v>
      </c>
      <c r="Y1118" s="1038"/>
      <c r="Z1118" s="1038"/>
      <c r="AA1118" s="1038"/>
      <c r="AB1118" s="1038"/>
      <c r="AC1118" s="1038"/>
      <c r="AD1118" s="1038"/>
      <c r="AE1118" s="1038"/>
      <c r="AF1118" s="1038"/>
      <c r="AG1118" s="1038"/>
      <c r="AK1118" s="802"/>
    </row>
    <row r="1119" spans="1:37" ht="18" outlineLevel="1" x14ac:dyDescent="0.35">
      <c r="D1119" s="889" t="s">
        <v>1918</v>
      </c>
      <c r="E1119" s="867" t="s">
        <v>1590</v>
      </c>
      <c r="F1119" s="511">
        <f>$F$1121</f>
        <v>467.22222222222223</v>
      </c>
      <c r="G1119" s="869"/>
      <c r="H1119" s="1452"/>
      <c r="I1119" s="2080" t="s">
        <v>1591</v>
      </c>
      <c r="J1119" s="1039" t="s">
        <v>1592</v>
      </c>
      <c r="K1119" s="2228" t="s">
        <v>1593</v>
      </c>
      <c r="L1119" s="2228"/>
      <c r="M1119" s="2228"/>
      <c r="N1119" s="2229" t="s">
        <v>1594</v>
      </c>
      <c r="O1119" s="2230"/>
      <c r="P1119" s="2230"/>
      <c r="Q1119" s="2231"/>
      <c r="R1119" s="2232"/>
      <c r="V1119" s="889" t="str">
        <f t="shared" ref="V1119:V1132" si="95">D1119</f>
        <v>kWhnew</v>
      </c>
      <c r="W1119" s="511">
        <v>467.22222222222223</v>
      </c>
      <c r="X1119" s="511">
        <f>$F$1121</f>
        <v>467.22222222222223</v>
      </c>
      <c r="Y1119" s="1038"/>
      <c r="Z1119" s="1038"/>
      <c r="AA1119" s="1038"/>
      <c r="AB1119" s="1038"/>
      <c r="AC1119" s="1038"/>
      <c r="AD1119" s="1038"/>
      <c r="AE1119" s="1038"/>
      <c r="AF1119" s="1038"/>
      <c r="AG1119" s="1038"/>
      <c r="AJ1119" s="802"/>
    </row>
    <row r="1120" spans="1:37" ht="30" outlineLevel="1" x14ac:dyDescent="0.25">
      <c r="D1120" s="889" t="s">
        <v>1595</v>
      </c>
      <c r="E1120" s="867" t="s">
        <v>1596</v>
      </c>
      <c r="F1120" s="386">
        <v>0.1</v>
      </c>
      <c r="G1120" s="910" t="s">
        <v>972</v>
      </c>
      <c r="H1120" s="1452"/>
      <c r="I1120" s="2080"/>
      <c r="J1120" s="1039" t="s">
        <v>1597</v>
      </c>
      <c r="K1120" s="1039" t="s">
        <v>1598</v>
      </c>
      <c r="L1120" s="1039" t="s">
        <v>1599</v>
      </c>
      <c r="M1120" s="1039" t="s">
        <v>1597</v>
      </c>
      <c r="N1120" s="1039" t="s">
        <v>1598</v>
      </c>
      <c r="O1120" s="1039" t="s">
        <v>1599</v>
      </c>
      <c r="P1120" s="1039" t="s">
        <v>1597</v>
      </c>
      <c r="Q1120" s="1039" t="s">
        <v>1600</v>
      </c>
      <c r="R1120" s="1039" t="s">
        <v>1601</v>
      </c>
      <c r="V1120" s="889" t="str">
        <f t="shared" si="95"/>
        <v>% Savings</v>
      </c>
      <c r="W1120" s="386">
        <v>0.1</v>
      </c>
      <c r="X1120" s="386">
        <v>0.1</v>
      </c>
      <c r="Y1120" s="1041"/>
      <c r="Z1120" s="1041"/>
      <c r="AA1120" s="1041"/>
      <c r="AB1120" s="1041"/>
      <c r="AC1120" s="1041"/>
      <c r="AD1120" s="1041"/>
      <c r="AE1120" s="1041"/>
      <c r="AF1120" s="1041"/>
      <c r="AG1120" s="1041"/>
      <c r="AJ1120" s="802"/>
    </row>
    <row r="1121" spans="2:37" ht="18" outlineLevel="1" x14ac:dyDescent="0.35">
      <c r="D1121" s="889" t="s">
        <v>1919</v>
      </c>
      <c r="E1121" s="889" t="s">
        <v>1602</v>
      </c>
      <c r="F1121" s="511">
        <f>AVERAGE($J$1121:$R$1121)</f>
        <v>467.22222222222223</v>
      </c>
      <c r="G1121" s="910" t="s">
        <v>972</v>
      </c>
      <c r="H1121" s="1452"/>
      <c r="I1121" s="1899" t="s">
        <v>1603</v>
      </c>
      <c r="J1121" s="1042">
        <v>483</v>
      </c>
      <c r="K1121" s="1042">
        <v>592</v>
      </c>
      <c r="L1121" s="1042">
        <v>592</v>
      </c>
      <c r="M1121" s="1042">
        <v>592</v>
      </c>
      <c r="N1121" s="1042">
        <v>374</v>
      </c>
      <c r="O1121" s="1042">
        <v>374</v>
      </c>
      <c r="P1121" s="1042">
        <v>374</v>
      </c>
      <c r="Q1121" s="1042">
        <v>412</v>
      </c>
      <c r="R1121" s="1042">
        <v>412</v>
      </c>
      <c r="V1121" s="889" t="str">
        <f t="shared" si="95"/>
        <v>kWh2011-2015</v>
      </c>
      <c r="W1121" s="511">
        <v>467.22222222222223</v>
      </c>
      <c r="X1121" s="511">
        <f>AVERAGE($J$1121:$R$1121)</f>
        <v>467.22222222222223</v>
      </c>
      <c r="Y1121" s="1038"/>
      <c r="Z1121" s="1038"/>
      <c r="AA1121" s="1038"/>
      <c r="AB1121" s="1038"/>
      <c r="AC1121" s="1038"/>
      <c r="AD1121" s="1038"/>
      <c r="AE1121" s="1038"/>
      <c r="AF1121" s="1038"/>
      <c r="AG1121" s="1038"/>
      <c r="AJ1121" s="802"/>
    </row>
    <row r="1122" spans="2:37" ht="18" outlineLevel="1" x14ac:dyDescent="0.35">
      <c r="D1122" s="889" t="s">
        <v>1920</v>
      </c>
      <c r="E1122" s="889" t="s">
        <v>1604</v>
      </c>
      <c r="F1122" s="511">
        <f>AVERAGE($J$1122:$R$1122)</f>
        <v>651</v>
      </c>
      <c r="G1122" s="910" t="s">
        <v>972</v>
      </c>
      <c r="H1122" s="1452"/>
      <c r="I1122" s="1899" t="s">
        <v>1605</v>
      </c>
      <c r="J1122" s="1042">
        <v>724</v>
      </c>
      <c r="K1122" s="1042">
        <v>747</v>
      </c>
      <c r="L1122" s="1042">
        <v>747</v>
      </c>
      <c r="M1122" s="1042">
        <v>747</v>
      </c>
      <c r="N1122" s="1042">
        <v>556</v>
      </c>
      <c r="O1122" s="1042">
        <v>556</v>
      </c>
      <c r="P1122" s="1042">
        <v>556</v>
      </c>
      <c r="Q1122" s="1042">
        <v>613</v>
      </c>
      <c r="R1122" s="1042">
        <v>613</v>
      </c>
      <c r="V1122" s="889" t="str">
        <f t="shared" si="95"/>
        <v>kWh2001(after July)-2010</v>
      </c>
      <c r="W1122" s="511">
        <v>651</v>
      </c>
      <c r="X1122" s="511">
        <f>AVERAGE($J$1122:$R$1122)</f>
        <v>651</v>
      </c>
      <c r="Y1122" s="1038"/>
      <c r="Z1122" s="1038"/>
      <c r="AA1122" s="1038"/>
      <c r="AB1122" s="1038"/>
      <c r="AC1122" s="1038"/>
      <c r="AD1122" s="1038"/>
      <c r="AE1122" s="1038"/>
      <c r="AF1122" s="1038"/>
      <c r="AG1122" s="1038"/>
      <c r="AJ1122" s="802"/>
    </row>
    <row r="1123" spans="2:37" ht="18" outlineLevel="1" x14ac:dyDescent="0.35">
      <c r="D1123" s="889" t="s">
        <v>1921</v>
      </c>
      <c r="E1123" s="889" t="s">
        <v>1606</v>
      </c>
      <c r="F1123" s="511">
        <f>AVERAGE($J$1123:$R$1123)</f>
        <v>987.33333333333337</v>
      </c>
      <c r="G1123" s="910" t="s">
        <v>972</v>
      </c>
      <c r="H1123" s="1452"/>
      <c r="I1123" s="1899" t="s">
        <v>1607</v>
      </c>
      <c r="J1123" s="1042">
        <v>962</v>
      </c>
      <c r="K1123" s="1042">
        <v>1139</v>
      </c>
      <c r="L1123" s="1042">
        <v>1139</v>
      </c>
      <c r="M1123" s="1042">
        <v>1139</v>
      </c>
      <c r="N1123" s="1042">
        <v>861</v>
      </c>
      <c r="O1123" s="1042">
        <v>861</v>
      </c>
      <c r="P1123" s="1042">
        <v>861</v>
      </c>
      <c r="Q1123" s="1042">
        <v>962</v>
      </c>
      <c r="R1123" s="1042">
        <v>962</v>
      </c>
      <c r="V1123" s="889" t="str">
        <f t="shared" si="95"/>
        <v>kWh1993-2001(before June)</v>
      </c>
      <c r="W1123" s="511">
        <v>987.33333333333337</v>
      </c>
      <c r="X1123" s="511">
        <f>AVERAGE($J$1123:$R$1123)</f>
        <v>987.33333333333337</v>
      </c>
      <c r="Y1123" s="1038"/>
      <c r="Z1123" s="1038"/>
      <c r="AA1123" s="1038"/>
      <c r="AB1123" s="1038"/>
      <c r="AC1123" s="1038"/>
      <c r="AD1123" s="1038"/>
      <c r="AE1123" s="1038"/>
      <c r="AF1123" s="1038"/>
      <c r="AG1123" s="1038"/>
      <c r="AJ1123" s="802"/>
    </row>
    <row r="1124" spans="2:37" ht="18" outlineLevel="1" x14ac:dyDescent="0.35">
      <c r="D1124" s="889" t="s">
        <v>1922</v>
      </c>
      <c r="E1124" s="889" t="s">
        <v>1608</v>
      </c>
      <c r="F1124" s="511">
        <f>AVERAGE($J$1124:$R$1124)</f>
        <v>1450</v>
      </c>
      <c r="G1124" s="910" t="s">
        <v>972</v>
      </c>
      <c r="H1124" s="130"/>
      <c r="I1124" s="1899" t="s">
        <v>1609</v>
      </c>
      <c r="J1124" s="1043">
        <v>1519</v>
      </c>
      <c r="K1124" s="1043">
        <v>1617</v>
      </c>
      <c r="L1124" s="1043">
        <v>1617</v>
      </c>
      <c r="M1124" s="1043">
        <v>1617</v>
      </c>
      <c r="N1124" s="1043">
        <v>1272</v>
      </c>
      <c r="O1124" s="1043">
        <v>1272</v>
      </c>
      <c r="P1124" s="1043">
        <v>1272</v>
      </c>
      <c r="Q1124" s="1043">
        <v>1432</v>
      </c>
      <c r="R1124" s="1043">
        <v>1432</v>
      </c>
      <c r="V1124" s="889" t="str">
        <f t="shared" si="95"/>
        <v>kWh1990-1992</v>
      </c>
      <c r="W1124" s="511">
        <v>1450</v>
      </c>
      <c r="X1124" s="511">
        <f>AVERAGE($J$1124:$R$1124)</f>
        <v>1450</v>
      </c>
      <c r="Y1124" s="1038"/>
      <c r="Z1124" s="1038"/>
      <c r="AA1124" s="1038"/>
      <c r="AB1124" s="1038"/>
      <c r="AC1124" s="1038"/>
      <c r="AD1124" s="1038"/>
      <c r="AE1124" s="1038"/>
      <c r="AF1124" s="1038"/>
      <c r="AG1124" s="1038"/>
      <c r="AJ1124" s="802"/>
    </row>
    <row r="1125" spans="2:37" ht="18" outlineLevel="1" x14ac:dyDescent="0.35">
      <c r="D1125" s="889" t="s">
        <v>1923</v>
      </c>
      <c r="E1125" s="889" t="s">
        <v>1610</v>
      </c>
      <c r="F1125" s="511">
        <f>AVERAGE($J$1125:$R$1125)</f>
        <v>1900.7777777777778</v>
      </c>
      <c r="G1125" s="910" t="s">
        <v>972</v>
      </c>
      <c r="H1125" s="1452"/>
      <c r="I1125" s="1899" t="s">
        <v>1611</v>
      </c>
      <c r="J1125" s="1042">
        <v>1992</v>
      </c>
      <c r="K1125" s="1042">
        <v>2119</v>
      </c>
      <c r="L1125" s="1042">
        <v>2119</v>
      </c>
      <c r="M1125" s="1042">
        <v>2119</v>
      </c>
      <c r="N1125" s="1042">
        <v>1668</v>
      </c>
      <c r="O1125" s="1042">
        <v>1668</v>
      </c>
      <c r="P1125" s="1042">
        <v>1668</v>
      </c>
      <c r="Q1125" s="1042">
        <v>1877</v>
      </c>
      <c r="R1125" s="1042">
        <v>1877</v>
      </c>
      <c r="V1125" s="889" t="str">
        <f t="shared" si="95"/>
        <v>kWh1980-1989</v>
      </c>
      <c r="W1125" s="511">
        <v>1900.7777777777778</v>
      </c>
      <c r="X1125" s="511">
        <f>AVERAGE($J$1125:$R$1125)</f>
        <v>1900.7777777777778</v>
      </c>
      <c r="Y1125" s="1038"/>
      <c r="Z1125" s="1038"/>
      <c r="AA1125" s="1038"/>
      <c r="AB1125" s="1038"/>
      <c r="AC1125" s="1038"/>
      <c r="AD1125" s="1038"/>
      <c r="AE1125" s="1038"/>
      <c r="AF1125" s="1038"/>
      <c r="AG1125" s="1038"/>
      <c r="AJ1125" s="802"/>
    </row>
    <row r="1126" spans="2:37" ht="18" outlineLevel="1" x14ac:dyDescent="0.35">
      <c r="D1126" s="889" t="s">
        <v>1924</v>
      </c>
      <c r="E1126" s="889" t="s">
        <v>1612</v>
      </c>
      <c r="F1126" s="511">
        <f>AVERAGE($J$1126:$R$1126)</f>
        <v>2444.125</v>
      </c>
      <c r="G1126" s="910" t="s">
        <v>972</v>
      </c>
      <c r="H1126" s="130"/>
      <c r="I1126" s="1899" t="s">
        <v>1613</v>
      </c>
      <c r="J1126" s="1043">
        <v>2523</v>
      </c>
      <c r="K1126" s="1043">
        <v>2684</v>
      </c>
      <c r="L1126" s="1043">
        <v>2684</v>
      </c>
      <c r="M1126" s="1043">
        <v>2684</v>
      </c>
      <c r="N1126" s="1043"/>
      <c r="O1126" s="1043">
        <v>2112</v>
      </c>
      <c r="P1126" s="1043">
        <v>2112</v>
      </c>
      <c r="Q1126" s="1043">
        <v>2377</v>
      </c>
      <c r="R1126" s="1043">
        <v>2377</v>
      </c>
      <c r="V1126" s="889" t="str">
        <f t="shared" si="95"/>
        <v>kWhbefore 1980</v>
      </c>
      <c r="W1126" s="511">
        <v>2444.125</v>
      </c>
      <c r="X1126" s="511">
        <f>AVERAGE($J$1126:$R$1126)</f>
        <v>2444.125</v>
      </c>
      <c r="Y1126" s="1038"/>
      <c r="Z1126" s="1038"/>
      <c r="AA1126" s="1038"/>
      <c r="AB1126" s="1038"/>
      <c r="AC1126" s="1038"/>
      <c r="AD1126" s="1038"/>
      <c r="AE1126" s="1038"/>
      <c r="AF1126" s="1038"/>
      <c r="AG1126" s="1038"/>
      <c r="AK1126" s="802"/>
    </row>
    <row r="1127" spans="2:37" ht="18" outlineLevel="1" x14ac:dyDescent="0.35">
      <c r="D1127" s="889" t="s">
        <v>1925</v>
      </c>
      <c r="E1127" s="889" t="s">
        <v>1614</v>
      </c>
      <c r="F1127" s="1044">
        <v>0</v>
      </c>
      <c r="G1127" s="910" t="s">
        <v>972</v>
      </c>
      <c r="H1127" s="1452"/>
      <c r="I1127" s="1452"/>
      <c r="J1127" s="1452"/>
      <c r="K1127" s="1452"/>
      <c r="L1127" s="1452"/>
      <c r="M1127" s="1452"/>
      <c r="N1127" s="1452"/>
      <c r="O1127" s="1452"/>
      <c r="P1127" s="1452"/>
      <c r="Q1127" s="1452"/>
      <c r="R1127" s="1452"/>
      <c r="S1127" s="1452"/>
      <c r="V1127" s="889" t="str">
        <f t="shared" si="95"/>
        <v>Number of Units2011-2015</v>
      </c>
      <c r="W1127" s="1044">
        <v>0</v>
      </c>
      <c r="X1127" s="1044">
        <v>0</v>
      </c>
      <c r="Y1127" s="1045"/>
      <c r="Z1127" s="1045"/>
      <c r="AA1127" s="1045"/>
      <c r="AB1127" s="1045"/>
      <c r="AC1127" s="1045"/>
      <c r="AD1127" s="1045"/>
      <c r="AE1127" s="1045"/>
      <c r="AF1127" s="1045"/>
      <c r="AG1127" s="1045"/>
      <c r="AK1127" s="802"/>
    </row>
    <row r="1128" spans="2:37" ht="36" outlineLevel="1" x14ac:dyDescent="0.35">
      <c r="D1128" s="889" t="s">
        <v>1926</v>
      </c>
      <c r="E1128" s="889" t="s">
        <v>1615</v>
      </c>
      <c r="F1128" s="1044">
        <v>65</v>
      </c>
      <c r="G1128" s="910" t="s">
        <v>972</v>
      </c>
      <c r="H1128" s="1452"/>
      <c r="I1128" s="1452"/>
      <c r="J1128" s="1452"/>
      <c r="K1128" s="1452"/>
      <c r="L1128" s="1452"/>
      <c r="M1128" s="1452"/>
      <c r="N1128" s="1452"/>
      <c r="O1128" s="1452"/>
      <c r="P1128" s="1452"/>
      <c r="Q1128" s="1452"/>
      <c r="R1128" s="1452"/>
      <c r="S1128" s="1452"/>
      <c r="V1128" s="889" t="str">
        <f t="shared" si="95"/>
        <v>Number of Units2001(after July)-2010</v>
      </c>
      <c r="W1128" s="1044">
        <v>65</v>
      </c>
      <c r="X1128" s="1044">
        <v>65</v>
      </c>
      <c r="Y1128" s="1045"/>
      <c r="Z1128" s="1045"/>
      <c r="AA1128" s="1045"/>
      <c r="AB1128" s="1045"/>
      <c r="AC1128" s="1045"/>
      <c r="AD1128" s="1045"/>
      <c r="AE1128" s="1045"/>
      <c r="AF1128" s="1045"/>
      <c r="AG1128" s="1045"/>
      <c r="AK1128" s="802"/>
    </row>
    <row r="1129" spans="2:37" ht="36" outlineLevel="1" x14ac:dyDescent="0.35">
      <c r="D1129" s="889" t="s">
        <v>1927</v>
      </c>
      <c r="E1129" s="889" t="s">
        <v>1616</v>
      </c>
      <c r="F1129" s="1044">
        <v>259</v>
      </c>
      <c r="G1129" s="910" t="s">
        <v>972</v>
      </c>
      <c r="H1129" s="1452"/>
      <c r="I1129" s="1452"/>
      <c r="J1129" s="1452"/>
      <c r="K1129" s="1452"/>
      <c r="L1129" s="1452"/>
      <c r="M1129" s="1452"/>
      <c r="N1129" s="1452"/>
      <c r="O1129" s="1452"/>
      <c r="P1129" s="1452"/>
      <c r="Q1129" s="1452"/>
      <c r="R1129" s="1452"/>
      <c r="S1129" s="1452"/>
      <c r="V1129" s="889" t="str">
        <f t="shared" si="95"/>
        <v>Number of Units1993-2001(before June)</v>
      </c>
      <c r="W1129" s="1044">
        <v>259</v>
      </c>
      <c r="X1129" s="1044">
        <v>259</v>
      </c>
      <c r="Y1129" s="1045"/>
      <c r="Z1129" s="1045"/>
      <c r="AA1129" s="1045"/>
      <c r="AB1129" s="1045"/>
      <c r="AC1129" s="1045"/>
      <c r="AD1129" s="1045"/>
      <c r="AE1129" s="1045"/>
      <c r="AF1129" s="1045"/>
      <c r="AG1129" s="1045"/>
      <c r="AK1129" s="802"/>
    </row>
    <row r="1130" spans="2:37" ht="18" outlineLevel="1" x14ac:dyDescent="0.35">
      <c r="D1130" s="889" t="s">
        <v>1928</v>
      </c>
      <c r="E1130" s="889" t="s">
        <v>1617</v>
      </c>
      <c r="F1130" s="1044">
        <v>14</v>
      </c>
      <c r="G1130" s="910" t="s">
        <v>972</v>
      </c>
      <c r="H1130" s="1452"/>
      <c r="I1130" s="1452"/>
      <c r="J1130" s="1452"/>
      <c r="K1130" s="1452"/>
      <c r="L1130" s="1452"/>
      <c r="M1130" s="1452"/>
      <c r="N1130" s="1452"/>
      <c r="O1130" s="1452"/>
      <c r="P1130" s="1452"/>
      <c r="Q1130" s="1452"/>
      <c r="R1130" s="1452"/>
      <c r="S1130" s="1452"/>
      <c r="V1130" s="889" t="str">
        <f t="shared" si="95"/>
        <v>Number of Units1990-1992</v>
      </c>
      <c r="W1130" s="1044">
        <v>14</v>
      </c>
      <c r="X1130" s="1044">
        <v>14</v>
      </c>
      <c r="Y1130" s="1045"/>
      <c r="Z1130" s="1045"/>
      <c r="AA1130" s="1045"/>
      <c r="AB1130" s="1045"/>
      <c r="AC1130" s="1045"/>
      <c r="AD1130" s="1045"/>
      <c r="AE1130" s="1045"/>
      <c r="AF1130" s="1045"/>
      <c r="AG1130" s="1045"/>
      <c r="AK1130" s="802"/>
    </row>
    <row r="1131" spans="2:37" ht="18" outlineLevel="1" x14ac:dyDescent="0.35">
      <c r="D1131" s="889" t="s">
        <v>1929</v>
      </c>
      <c r="E1131" s="889" t="s">
        <v>1618</v>
      </c>
      <c r="F1131" s="1044">
        <v>16</v>
      </c>
      <c r="G1131" s="910" t="s">
        <v>972</v>
      </c>
      <c r="H1131" s="1452"/>
      <c r="I1131" s="1452"/>
      <c r="J1131" s="1452"/>
      <c r="K1131" s="1452"/>
      <c r="L1131" s="1452"/>
      <c r="M1131" s="1452"/>
      <c r="N1131" s="1452"/>
      <c r="O1131" s="1452"/>
      <c r="P1131" s="1452"/>
      <c r="Q1131" s="1452"/>
      <c r="R1131" s="1452"/>
      <c r="S1131" s="1452"/>
      <c r="V1131" s="889" t="str">
        <f t="shared" si="95"/>
        <v>Number of Units1980-1989</v>
      </c>
      <c r="W1131" s="1044">
        <v>16</v>
      </c>
      <c r="X1131" s="1044">
        <v>16</v>
      </c>
      <c r="Y1131" s="1045"/>
      <c r="Z1131" s="1045"/>
      <c r="AA1131" s="1045"/>
      <c r="AB1131" s="1045"/>
      <c r="AC1131" s="1045"/>
      <c r="AD1131" s="1045"/>
      <c r="AE1131" s="1045"/>
      <c r="AF1131" s="1045"/>
      <c r="AG1131" s="1045"/>
      <c r="AK1131" s="802"/>
    </row>
    <row r="1132" spans="2:37" ht="18" outlineLevel="1" x14ac:dyDescent="0.35">
      <c r="D1132" s="889" t="s">
        <v>1930</v>
      </c>
      <c r="E1132" s="889" t="s">
        <v>1619</v>
      </c>
      <c r="F1132" s="1044">
        <v>0</v>
      </c>
      <c r="G1132" s="910" t="s">
        <v>972</v>
      </c>
      <c r="H1132" s="1452"/>
      <c r="I1132" s="1452"/>
      <c r="J1132" s="1452"/>
      <c r="K1132" s="1452"/>
      <c r="L1132" s="1452"/>
      <c r="M1132" s="1452"/>
      <c r="N1132" s="1452"/>
      <c r="O1132" s="1452"/>
      <c r="P1132" s="1452"/>
      <c r="Q1132" s="1452"/>
      <c r="R1132" s="1452"/>
      <c r="S1132" s="1452"/>
      <c r="V1132" s="889" t="str">
        <f t="shared" si="95"/>
        <v>Number of Unitsbefore 1980</v>
      </c>
      <c r="W1132" s="1044">
        <v>0</v>
      </c>
      <c r="X1132" s="1044">
        <v>0</v>
      </c>
      <c r="Y1132" s="1045"/>
      <c r="Z1132" s="1045"/>
      <c r="AA1132" s="1045"/>
      <c r="AB1132" s="1045"/>
      <c r="AC1132" s="1045"/>
      <c r="AD1132" s="1045"/>
      <c r="AE1132" s="1045"/>
      <c r="AF1132" s="1045"/>
      <c r="AG1132" s="1045"/>
      <c r="AK1132" s="802"/>
    </row>
    <row r="1133" spans="2:37" outlineLevel="1" x14ac:dyDescent="0.25">
      <c r="B1133" s="1087"/>
      <c r="C1133" s="305"/>
      <c r="D1133" s="2233" t="str">
        <f>D1099</f>
        <v>EUL</v>
      </c>
      <c r="E1133" s="926" t="str">
        <f>E1109</f>
        <v>Refrigerator - early replacement ER1</v>
      </c>
      <c r="F1133" s="1044">
        <v>6</v>
      </c>
      <c r="G1133" s="910"/>
      <c r="H1133" s="1452"/>
      <c r="I1133" s="1452"/>
      <c r="V1133" s="2233" t="str">
        <f>D1133</f>
        <v>EUL</v>
      </c>
      <c r="W1133" s="1044">
        <v>6</v>
      </c>
      <c r="X1133" s="1044">
        <v>6</v>
      </c>
      <c r="Y1133" s="1045"/>
      <c r="Z1133" s="1045"/>
      <c r="AA1133" s="1045"/>
      <c r="AB1133" s="1045"/>
      <c r="AC1133" s="1045"/>
      <c r="AD1133" s="1045"/>
      <c r="AE1133" s="1045"/>
      <c r="AF1133" s="1045"/>
      <c r="AG1133" s="1045"/>
      <c r="AK1133" s="802"/>
    </row>
    <row r="1134" spans="2:37" outlineLevel="1" x14ac:dyDescent="0.25">
      <c r="B1134" s="1087"/>
      <c r="C1134" s="305"/>
      <c r="D1134" s="2234"/>
      <c r="E1134" s="926" t="str">
        <f>E1110</f>
        <v>Refrigerator - early replacement ER2</v>
      </c>
      <c r="F1134" s="1044">
        <v>11</v>
      </c>
      <c r="G1134" s="910"/>
      <c r="H1134" s="1452"/>
      <c r="I1134" s="1452"/>
      <c r="V1134" s="2234"/>
      <c r="W1134" s="1044">
        <v>11</v>
      </c>
      <c r="X1134" s="1044">
        <v>11</v>
      </c>
      <c r="Y1134" s="1045"/>
      <c r="Z1134" s="1045"/>
      <c r="AA1134" s="1045"/>
      <c r="AB1134" s="1045"/>
      <c r="AC1134" s="1045"/>
      <c r="AD1134" s="1045"/>
      <c r="AE1134" s="1045"/>
      <c r="AF1134" s="1045"/>
      <c r="AG1134" s="1045"/>
      <c r="AK1134" s="802"/>
    </row>
    <row r="1135" spans="2:37" outlineLevel="1" x14ac:dyDescent="0.25">
      <c r="B1135" s="1087"/>
      <c r="C1135" s="305"/>
      <c r="D1135" s="926" t="str">
        <f>D1056</f>
        <v>Inc. Cost</v>
      </c>
      <c r="E1135" s="926" t="s">
        <v>1572</v>
      </c>
      <c r="F1135" s="471">
        <v>753</v>
      </c>
      <c r="G1135" s="910"/>
      <c r="H1135" s="1452"/>
      <c r="I1135" s="1452"/>
      <c r="V1135" s="923" t="str">
        <f>D1135</f>
        <v>Inc. Cost</v>
      </c>
      <c r="W1135" s="471">
        <v>753</v>
      </c>
      <c r="X1135" s="471">
        <v>753</v>
      </c>
      <c r="Y1135" s="1046"/>
      <c r="Z1135" s="1046"/>
      <c r="AA1135" s="1046"/>
      <c r="AB1135" s="1046"/>
      <c r="AC1135" s="1046"/>
      <c r="AD1135" s="1046"/>
      <c r="AE1135" s="1046"/>
      <c r="AF1135" s="1046"/>
      <c r="AG1135" s="1046"/>
      <c r="AK1135" s="802"/>
    </row>
    <row r="1139" spans="2:47" s="110" customFormat="1" x14ac:dyDescent="0.25">
      <c r="B1139" s="2022" t="s">
        <v>696</v>
      </c>
      <c r="C1139" s="2023"/>
      <c r="D1139" s="2023"/>
      <c r="E1139" s="2023"/>
      <c r="F1139" s="2023"/>
      <c r="G1139" s="2023"/>
      <c r="H1139" s="2023"/>
      <c r="I1139" s="1992"/>
      <c r="J1139" s="1992"/>
      <c r="K1139" s="1992"/>
      <c r="L1139" s="1992"/>
      <c r="M1139" s="1992"/>
      <c r="N1139" s="1992"/>
      <c r="O1139" s="1993"/>
      <c r="P1139" s="313"/>
      <c r="Q1139" s="313"/>
      <c r="R1139" s="313"/>
      <c r="S1139" s="313"/>
      <c r="T1139" s="313"/>
      <c r="U1139" s="313"/>
      <c r="V1139" s="2022" t="str">
        <f>B1139</f>
        <v>Energy Star Room AC</v>
      </c>
      <c r="W1139" s="2023"/>
      <c r="X1139" s="2023"/>
      <c r="Y1139" s="2023"/>
      <c r="Z1139" s="2023"/>
      <c r="AA1139" s="2023"/>
      <c r="AB1139" s="2023"/>
      <c r="AC1139" s="2024"/>
      <c r="AD1139" s="2024"/>
      <c r="AE1139" s="2024"/>
      <c r="AF1139" s="2024"/>
      <c r="AG1139" s="2024"/>
      <c r="AH1139" s="2024"/>
      <c r="AI1139" s="2025"/>
      <c r="AU1139" s="178"/>
    </row>
    <row r="1140" spans="2:47" s="110" customFormat="1" x14ac:dyDescent="0.25">
      <c r="B1140" s="130"/>
      <c r="C1140" s="616"/>
      <c r="D1140" s="658"/>
      <c r="E1140" s="658"/>
      <c r="F1140" s="130"/>
      <c r="G1140" s="130"/>
      <c r="H1140" s="130"/>
      <c r="I1140" s="130"/>
      <c r="J1140" s="130"/>
      <c r="K1140" s="130"/>
      <c r="L1140" s="130"/>
      <c r="M1140" s="130"/>
      <c r="N1140" s="130"/>
      <c r="O1140" s="130"/>
      <c r="P1140" s="313"/>
      <c r="Q1140" s="313"/>
      <c r="R1140" s="313"/>
      <c r="S1140" s="313"/>
      <c r="T1140" s="313"/>
      <c r="U1140" s="313"/>
      <c r="AU1140" s="178"/>
    </row>
    <row r="1141" spans="2:47" s="110" customFormat="1" ht="45" x14ac:dyDescent="0.25">
      <c r="B1141" s="1139"/>
      <c r="C1141" s="184" t="s">
        <v>16</v>
      </c>
      <c r="D1141" s="184" t="s">
        <v>509</v>
      </c>
      <c r="E1141" s="184" t="s">
        <v>18</v>
      </c>
      <c r="F1141" s="184" t="s">
        <v>19</v>
      </c>
      <c r="G1141" s="184" t="s">
        <v>20</v>
      </c>
      <c r="H1141" s="184" t="s">
        <v>21</v>
      </c>
      <c r="I1141" s="184" t="s">
        <v>22</v>
      </c>
      <c r="J1141" s="184" t="s">
        <v>23</v>
      </c>
      <c r="K1141" s="184" t="s">
        <v>24</v>
      </c>
      <c r="L1141" s="184" t="s">
        <v>25</v>
      </c>
      <c r="M1141" s="251"/>
      <c r="N1141" s="251"/>
      <c r="O1141" s="1139"/>
      <c r="P1141" s="313"/>
      <c r="Q1141" s="313"/>
      <c r="R1141" s="313"/>
      <c r="S1141" s="313"/>
      <c r="T1141" s="313"/>
      <c r="U1141" s="313"/>
      <c r="V1141" s="48" t="s">
        <v>26</v>
      </c>
      <c r="W1141" s="49">
        <v>43252</v>
      </c>
      <c r="X1141" s="49">
        <f>$X$6</f>
        <v>43465</v>
      </c>
      <c r="Y1141" s="49" t="str">
        <f>$Y$6</f>
        <v>-</v>
      </c>
      <c r="Z1141" s="49" t="str">
        <f>$Z$6</f>
        <v>-</v>
      </c>
      <c r="AA1141" s="49" t="str">
        <f>$AA$6</f>
        <v>-</v>
      </c>
      <c r="AB1141" s="49" t="str">
        <f>$AB$6</f>
        <v>-</v>
      </c>
      <c r="AC1141" s="49" t="str">
        <f>$AC$6</f>
        <v>-</v>
      </c>
      <c r="AD1141" s="49" t="str">
        <f>$AD$6</f>
        <v>-</v>
      </c>
      <c r="AE1141" s="49" t="str">
        <f>$AE$6</f>
        <v>-</v>
      </c>
      <c r="AF1141" s="49" t="str">
        <f>$AF$6</f>
        <v>-</v>
      </c>
      <c r="AG1141" s="49" t="str">
        <f>$AG$6</f>
        <v>-</v>
      </c>
      <c r="AU1141" s="178"/>
    </row>
    <row r="1142" spans="2:47" s="371" customFormat="1" x14ac:dyDescent="0.25">
      <c r="B1142" s="175"/>
      <c r="C1142" s="376"/>
      <c r="D1142" s="168" t="s">
        <v>1246</v>
      </c>
      <c r="E1142" s="168" t="s">
        <v>1620</v>
      </c>
      <c r="F1142" s="372">
        <f>(H1160*H1155*(1/H1158-1/H1157)/1000)</f>
        <v>898.77014282038067</v>
      </c>
      <c r="G1142" s="52" t="s">
        <v>578</v>
      </c>
      <c r="H1142" s="170">
        <f>VLOOKUP(G1142,'CP FACTORS'!$A$3:$B$38, 2, FALSE)</f>
        <v>9.4741810000000004E-4</v>
      </c>
      <c r="I1142" s="1515">
        <f t="shared" ref="I1142:I1145" si="96">F1142*H1142</f>
        <v>0.85151110104761374</v>
      </c>
      <c r="J1142" s="375">
        <f t="shared" ref="J1142:J1145" si="97">$F$273</f>
        <v>1.7438452520515826</v>
      </c>
      <c r="K1142" s="1094">
        <f t="shared" ref="K1142:K1145" si="98">$F$274</f>
        <v>0.71</v>
      </c>
      <c r="L1142" s="1517" t="s">
        <v>31</v>
      </c>
      <c r="M1142" s="313"/>
      <c r="N1142" s="1480"/>
      <c r="O1142" s="1516"/>
      <c r="P1142" s="313"/>
      <c r="Q1142" s="313"/>
      <c r="R1142" s="1413"/>
      <c r="S1142" s="313"/>
      <c r="T1142" s="313"/>
      <c r="U1142" s="313"/>
      <c r="V1142" s="373" t="s">
        <v>19</v>
      </c>
      <c r="W1142" s="1192">
        <v>40.971199412398086</v>
      </c>
      <c r="X1142" s="1219">
        <v>898.77014282038067</v>
      </c>
      <c r="Y1142" s="373"/>
      <c r="Z1142" s="373"/>
      <c r="AA1142" s="373"/>
      <c r="AB1142" s="373"/>
      <c r="AC1142" s="373"/>
      <c r="AD1142" s="373"/>
      <c r="AE1142" s="373"/>
      <c r="AF1142" s="373"/>
      <c r="AG1142" s="373"/>
      <c r="AI1142" s="110"/>
      <c r="AJ1142" s="110"/>
      <c r="AK1142" s="110"/>
      <c r="AL1142" s="110"/>
      <c r="AM1142" s="110"/>
      <c r="AN1142" s="110"/>
      <c r="AO1142" s="110"/>
      <c r="AP1142" s="110"/>
      <c r="AQ1142" s="110"/>
      <c r="AR1142" s="110"/>
      <c r="AS1142" s="110"/>
      <c r="AU1142" s="178"/>
    </row>
    <row r="1143" spans="2:47" s="371" customFormat="1" x14ac:dyDescent="0.25">
      <c r="B1143" s="175"/>
      <c r="C1143" s="376"/>
      <c r="D1143" s="168" t="s">
        <v>1250</v>
      </c>
      <c r="E1143" s="168" t="s">
        <v>1621</v>
      </c>
      <c r="F1143" s="372">
        <f>(F1159*F1155*(1/F1156-1/F1157)/1000)</f>
        <v>49.727499015442788</v>
      </c>
      <c r="G1143" s="52" t="s">
        <v>578</v>
      </c>
      <c r="H1143" s="170">
        <f>VLOOKUP(G1143,'CP FACTORS'!$A$3:$B$38, 2, FALSE)</f>
        <v>9.4741810000000004E-4</v>
      </c>
      <c r="I1143" s="1515">
        <f t="shared" si="96"/>
        <v>4.7112732634962677E-2</v>
      </c>
      <c r="J1143" s="375">
        <f t="shared" si="97"/>
        <v>1.7438452520515826</v>
      </c>
      <c r="K1143" s="1094">
        <f t="shared" si="98"/>
        <v>0.71</v>
      </c>
      <c r="L1143" s="1517" t="s">
        <v>31</v>
      </c>
      <c r="M1143" s="313"/>
      <c r="N1143" s="1480"/>
      <c r="O1143" s="1516"/>
      <c r="P1143" s="313"/>
      <c r="Q1143" s="313"/>
      <c r="R1143" s="1413"/>
      <c r="S1143" s="313"/>
      <c r="T1143" s="313"/>
      <c r="U1143" s="313"/>
      <c r="V1143" s="373" t="s">
        <v>19</v>
      </c>
      <c r="W1143" s="1192">
        <v>40.971199412398086</v>
      </c>
      <c r="X1143" s="1191">
        <v>49.727499015442788</v>
      </c>
      <c r="Y1143" s="373"/>
      <c r="Z1143" s="373"/>
      <c r="AA1143" s="373"/>
      <c r="AB1143" s="373"/>
      <c r="AC1143" s="373"/>
      <c r="AD1143" s="373"/>
      <c r="AE1143" s="373"/>
      <c r="AF1143" s="373"/>
      <c r="AG1143" s="373"/>
      <c r="AI1143" s="110"/>
      <c r="AJ1143" s="110"/>
      <c r="AK1143" s="110"/>
      <c r="AL1143" s="110"/>
      <c r="AM1143" s="110"/>
      <c r="AN1143" s="110"/>
      <c r="AO1143" s="110"/>
      <c r="AP1143" s="110"/>
      <c r="AQ1143" s="110"/>
      <c r="AR1143" s="110"/>
      <c r="AS1143" s="110"/>
      <c r="AU1143" s="178"/>
    </row>
    <row r="1144" spans="2:47" s="371" customFormat="1" x14ac:dyDescent="0.25">
      <c r="B1144" s="175"/>
      <c r="C1144" s="376"/>
      <c r="D1144" s="168" t="s">
        <v>1246</v>
      </c>
      <c r="E1144" s="168" t="s">
        <v>1622</v>
      </c>
      <c r="F1144" s="372">
        <f>(H1160*H1155*(1/H1158-1/H1157)/1000)</f>
        <v>898.77014282038067</v>
      </c>
      <c r="G1144" s="52" t="s">
        <v>578</v>
      </c>
      <c r="H1144" s="170">
        <f>VLOOKUP(G1144,'CP FACTORS'!$A$3:$B$38, 2, FALSE)</f>
        <v>9.4741810000000004E-4</v>
      </c>
      <c r="I1144" s="1515">
        <f t="shared" si="96"/>
        <v>0.85151110104761374</v>
      </c>
      <c r="J1144" s="375">
        <f t="shared" si="97"/>
        <v>1.7438452520515826</v>
      </c>
      <c r="K1144" s="1094">
        <f t="shared" si="98"/>
        <v>0.71</v>
      </c>
      <c r="L1144" s="1517" t="s">
        <v>31</v>
      </c>
      <c r="M1144" s="313"/>
      <c r="N1144" s="1480"/>
      <c r="O1144" s="1516"/>
      <c r="P1144" s="313"/>
      <c r="Q1144" s="313"/>
      <c r="R1144" s="1413"/>
      <c r="S1144" s="313"/>
      <c r="T1144" s="313"/>
      <c r="U1144" s="313"/>
      <c r="V1144" s="373" t="s">
        <v>19</v>
      </c>
      <c r="W1144" s="1192">
        <v>40.971199412398086</v>
      </c>
      <c r="X1144" s="1219">
        <v>898.77014282038067</v>
      </c>
      <c r="Y1144" s="373"/>
      <c r="Z1144" s="373"/>
      <c r="AA1144" s="373"/>
      <c r="AB1144" s="373"/>
      <c r="AC1144" s="373"/>
      <c r="AD1144" s="373"/>
      <c r="AE1144" s="373"/>
      <c r="AF1144" s="373"/>
      <c r="AG1144" s="373"/>
      <c r="AI1144" s="110"/>
      <c r="AJ1144" s="110"/>
      <c r="AK1144" s="110"/>
      <c r="AL1144" s="110"/>
      <c r="AM1144" s="110"/>
      <c r="AN1144" s="110"/>
      <c r="AO1144" s="110"/>
      <c r="AP1144" s="110"/>
      <c r="AQ1144" s="110"/>
      <c r="AR1144" s="110"/>
      <c r="AS1144" s="110"/>
      <c r="AU1144" s="178"/>
    </row>
    <row r="1145" spans="2:47" s="371" customFormat="1" x14ac:dyDescent="0.25">
      <c r="B1145" s="175"/>
      <c r="C1145" s="376"/>
      <c r="D1145" s="168" t="s">
        <v>1250</v>
      </c>
      <c r="E1145" s="168" t="s">
        <v>1623</v>
      </c>
      <c r="F1145" s="372">
        <f>(F1159*F1155*(1/F1156-1/F1157)/1000)</f>
        <v>49.727499015442788</v>
      </c>
      <c r="G1145" s="52" t="s">
        <v>578</v>
      </c>
      <c r="H1145" s="170">
        <f>VLOOKUP(G1145,'CP FACTORS'!$A$3:$B$38, 2, FALSE)</f>
        <v>9.4741810000000004E-4</v>
      </c>
      <c r="I1145" s="1515">
        <f t="shared" si="96"/>
        <v>4.7112732634962677E-2</v>
      </c>
      <c r="J1145" s="375">
        <f t="shared" si="97"/>
        <v>1.7438452520515826</v>
      </c>
      <c r="K1145" s="1094">
        <f t="shared" si="98"/>
        <v>0.71</v>
      </c>
      <c r="L1145" s="1517" t="s">
        <v>31</v>
      </c>
      <c r="M1145" s="313"/>
      <c r="N1145" s="1480"/>
      <c r="O1145" s="1516"/>
      <c r="P1145" s="313"/>
      <c r="Q1145" s="313"/>
      <c r="R1145" s="1413"/>
      <c r="S1145" s="313"/>
      <c r="T1145" s="313"/>
      <c r="U1145" s="313"/>
      <c r="V1145" s="373" t="s">
        <v>19</v>
      </c>
      <c r="W1145" s="1192">
        <v>40.971199412398086</v>
      </c>
      <c r="X1145" s="1191">
        <v>49.727499015442788</v>
      </c>
      <c r="Y1145" s="373"/>
      <c r="Z1145" s="373"/>
      <c r="AA1145" s="373"/>
      <c r="AB1145" s="373"/>
      <c r="AC1145" s="373"/>
      <c r="AD1145" s="373"/>
      <c r="AE1145" s="373"/>
      <c r="AF1145" s="373"/>
      <c r="AG1145" s="373"/>
      <c r="AI1145" s="110"/>
      <c r="AJ1145" s="110"/>
      <c r="AK1145" s="110"/>
      <c r="AL1145" s="110"/>
      <c r="AM1145" s="110"/>
      <c r="AN1145" s="110"/>
      <c r="AO1145" s="110"/>
      <c r="AP1145" s="110"/>
      <c r="AQ1145" s="110"/>
      <c r="AR1145" s="110"/>
      <c r="AS1145" s="110"/>
      <c r="AU1145" s="178"/>
    </row>
    <row r="1146" spans="2:47" s="110" customFormat="1" outlineLevel="1" x14ac:dyDescent="0.25">
      <c r="B1146" s="1258"/>
      <c r="C1146" s="1410"/>
      <c r="D1146" s="1423"/>
      <c r="E1146" s="1518"/>
      <c r="F1146" s="1519"/>
      <c r="G1146" s="175"/>
      <c r="H1146" s="175"/>
      <c r="I1146" s="130"/>
      <c r="J1146" s="130"/>
      <c r="K1146" s="130"/>
      <c r="L1146" s="1469"/>
      <c r="M1146" s="1424"/>
      <c r="N1146" s="1424"/>
      <c r="O1146" s="1258"/>
      <c r="P1146" s="313"/>
      <c r="Q1146" s="313"/>
      <c r="R1146" s="313"/>
      <c r="S1146" s="313"/>
      <c r="T1146" s="313"/>
      <c r="U1146" s="313"/>
      <c r="AU1146" s="178"/>
    </row>
    <row r="1147" spans="2:47" s="110" customFormat="1" outlineLevel="1" x14ac:dyDescent="0.25">
      <c r="B1147" s="1258"/>
      <c r="C1147" s="1410"/>
      <c r="D1147" s="1418" t="s">
        <v>463</v>
      </c>
      <c r="E1147" s="1520"/>
      <c r="F1147" s="1416"/>
      <c r="G1147" s="175"/>
      <c r="H1147" s="1258"/>
      <c r="I1147" s="130"/>
      <c r="J1147" s="130"/>
      <c r="K1147" s="130"/>
      <c r="L1147" s="175"/>
      <c r="M1147" s="1424"/>
      <c r="N1147" s="1424"/>
      <c r="O1147" s="1258"/>
      <c r="P1147" s="313"/>
      <c r="Q1147" s="313"/>
      <c r="R1147" s="313"/>
      <c r="S1147" s="313"/>
      <c r="T1147" s="313"/>
      <c r="U1147" s="313"/>
      <c r="AU1147" s="178"/>
    </row>
    <row r="1148" spans="2:47" s="110" customFormat="1" outlineLevel="1" x14ac:dyDescent="0.25">
      <c r="B1148" s="1258"/>
      <c r="C1148" s="1410"/>
      <c r="D1148" s="1423"/>
      <c r="E1148" s="1521"/>
      <c r="F1148" s="1416"/>
      <c r="G1148" s="175"/>
      <c r="H1148" s="1258"/>
      <c r="I1148" s="130"/>
      <c r="J1148" s="130"/>
      <c r="K1148" s="130"/>
      <c r="L1148" s="175"/>
      <c r="M1148" s="1424"/>
      <c r="N1148" s="1424"/>
      <c r="O1148" s="1258"/>
      <c r="P1148" s="313"/>
      <c r="Q1148" s="313"/>
      <c r="R1148" s="313"/>
      <c r="S1148" s="313"/>
      <c r="T1148" s="313"/>
      <c r="U1148" s="313"/>
      <c r="AU1148" s="178"/>
    </row>
    <row r="1149" spans="2:47" s="110" customFormat="1" outlineLevel="1" x14ac:dyDescent="0.25">
      <c r="B1149" s="1258"/>
      <c r="C1149" s="1410"/>
      <c r="D1149" s="1423"/>
      <c r="E1149" s="1423"/>
      <c r="F1149" s="1416"/>
      <c r="G1149" s="175"/>
      <c r="H1149" s="1258"/>
      <c r="I1149" s="130"/>
      <c r="J1149" s="130"/>
      <c r="K1149" s="130"/>
      <c r="L1149" s="175"/>
      <c r="M1149" s="1424"/>
      <c r="N1149" s="1424"/>
      <c r="O1149" s="1258"/>
      <c r="P1149" s="313"/>
      <c r="Q1149" s="313"/>
      <c r="R1149" s="313"/>
      <c r="S1149" s="313"/>
      <c r="T1149" s="313"/>
      <c r="U1149" s="313"/>
      <c r="AU1149" s="178"/>
    </row>
    <row r="1150" spans="2:47" s="110" customFormat="1" outlineLevel="1" x14ac:dyDescent="0.25">
      <c r="B1150" s="1258"/>
      <c r="C1150" s="1410"/>
      <c r="D1150" s="1423"/>
      <c r="E1150" s="1423"/>
      <c r="F1150" s="1416"/>
      <c r="G1150" s="175"/>
      <c r="H1150" s="1258"/>
      <c r="I1150" s="130"/>
      <c r="J1150" s="130"/>
      <c r="K1150" s="130"/>
      <c r="L1150" s="175"/>
      <c r="M1150" s="1424"/>
      <c r="N1150" s="1424"/>
      <c r="O1150" s="1258"/>
      <c r="P1150" s="313"/>
      <c r="Q1150" s="313"/>
      <c r="R1150" s="313"/>
      <c r="S1150" s="313"/>
      <c r="T1150" s="313"/>
      <c r="U1150" s="313"/>
      <c r="AU1150" s="178"/>
    </row>
    <row r="1151" spans="2:47" s="110" customFormat="1" outlineLevel="1" x14ac:dyDescent="0.25">
      <c r="B1151" s="1258"/>
      <c r="C1151" s="1410"/>
      <c r="D1151" s="1423"/>
      <c r="E1151" s="1423"/>
      <c r="F1151" s="1416"/>
      <c r="G1151" s="175"/>
      <c r="H1151" s="130"/>
      <c r="I1151" s="130"/>
      <c r="J1151" s="130"/>
      <c r="K1151" s="130"/>
      <c r="L1151" s="175"/>
      <c r="M1151" s="1424"/>
      <c r="N1151" s="1424"/>
      <c r="O1151" s="1258"/>
      <c r="P1151" s="313"/>
      <c r="Q1151" s="313"/>
      <c r="R1151" s="313"/>
      <c r="S1151" s="313"/>
      <c r="T1151" s="313"/>
      <c r="U1151" s="313"/>
      <c r="AU1151" s="178"/>
    </row>
    <row r="1152" spans="2:47" s="110" customFormat="1" outlineLevel="1" x14ac:dyDescent="0.25">
      <c r="B1152" s="1258"/>
      <c r="C1152" s="1410"/>
      <c r="D1152" s="1423"/>
      <c r="E1152" s="1423"/>
      <c r="F1152" s="1416"/>
      <c r="G1152" s="175"/>
      <c r="H1152" s="1258"/>
      <c r="I1152" s="175"/>
      <c r="J1152" s="175"/>
      <c r="K1152" s="175"/>
      <c r="L1152" s="175"/>
      <c r="M1152" s="1424"/>
      <c r="N1152" s="1424"/>
      <c r="O1152" s="1258"/>
      <c r="P1152" s="313"/>
      <c r="Q1152" s="313"/>
      <c r="R1152" s="313"/>
      <c r="S1152" s="313"/>
      <c r="T1152" s="313"/>
      <c r="U1152" s="313"/>
      <c r="AU1152" s="178"/>
    </row>
    <row r="1153" spans="1:47" s="110" customFormat="1" outlineLevel="1" x14ac:dyDescent="0.25">
      <c r="B1153" s="1258"/>
      <c r="C1153" s="1410"/>
      <c r="D1153" s="1423"/>
      <c r="E1153" s="1423"/>
      <c r="F1153" s="1416"/>
      <c r="G1153" s="175"/>
      <c r="H1153" s="175"/>
      <c r="I1153" s="175"/>
      <c r="J1153" s="175"/>
      <c r="K1153" s="175"/>
      <c r="L1153" s="175"/>
      <c r="M1153" s="1424"/>
      <c r="N1153" s="1424"/>
      <c r="O1153" s="1258"/>
      <c r="P1153" s="313"/>
      <c r="Q1153" s="313"/>
      <c r="R1153" s="313"/>
      <c r="S1153" s="313"/>
      <c r="T1153" s="313"/>
      <c r="U1153" s="313"/>
      <c r="V1153" s="48" t="s">
        <v>26</v>
      </c>
      <c r="W1153" s="49">
        <v>43252</v>
      </c>
      <c r="X1153" s="49">
        <f>$X$6</f>
        <v>43465</v>
      </c>
      <c r="Y1153" s="49" t="str">
        <f>$Y$6</f>
        <v>-</v>
      </c>
      <c r="Z1153" s="49" t="str">
        <f>$Z$6</f>
        <v>-</v>
      </c>
      <c r="AA1153" s="49" t="str">
        <f>$AA$6</f>
        <v>-</v>
      </c>
      <c r="AB1153" s="49" t="str">
        <f>$AB$6</f>
        <v>-</v>
      </c>
      <c r="AC1153" s="49" t="str">
        <f>$AC$6</f>
        <v>-</v>
      </c>
      <c r="AD1153" s="49" t="str">
        <f>$AD$6</f>
        <v>-</v>
      </c>
      <c r="AE1153" s="49" t="str">
        <f>$AE$6</f>
        <v>-</v>
      </c>
      <c r="AF1153" s="49" t="str">
        <f>$AF$6</f>
        <v>-</v>
      </c>
      <c r="AG1153" s="49" t="str">
        <f>$AG$6</f>
        <v>-</v>
      </c>
      <c r="AI1153" s="49">
        <v>43252</v>
      </c>
      <c r="AJ1153" s="49" t="str">
        <f>$Y$6</f>
        <v>-</v>
      </c>
      <c r="AK1153" s="49" t="str">
        <f>$Y$6</f>
        <v>-</v>
      </c>
      <c r="AL1153" s="49" t="str">
        <f>$Z$6</f>
        <v>-</v>
      </c>
      <c r="AM1153" s="49" t="str">
        <f>$AA$6</f>
        <v>-</v>
      </c>
      <c r="AN1153" s="49" t="str">
        <f>$AB$6</f>
        <v>-</v>
      </c>
      <c r="AO1153" s="49" t="str">
        <f>$AC$6</f>
        <v>-</v>
      </c>
      <c r="AP1153" s="49" t="str">
        <f>$AD$6</f>
        <v>-</v>
      </c>
      <c r="AQ1153" s="49" t="str">
        <f>$AE$6</f>
        <v>-</v>
      </c>
      <c r="AR1153" s="49" t="str">
        <f>$AF$6</f>
        <v>-</v>
      </c>
      <c r="AS1153" s="49" t="str">
        <f>$AG$6</f>
        <v>-</v>
      </c>
      <c r="AU1153" s="178"/>
    </row>
    <row r="1154" spans="1:47" s="110" customFormat="1" outlineLevel="1" x14ac:dyDescent="0.25">
      <c r="B1154" s="1258"/>
      <c r="C1154" s="1410"/>
      <c r="D1154" s="1098" t="s">
        <v>466</v>
      </c>
      <c r="E1154" s="184" t="s">
        <v>1624</v>
      </c>
      <c r="F1154" s="1098" t="s">
        <v>1625</v>
      </c>
      <c r="G1154" s="184" t="s">
        <v>1626</v>
      </c>
      <c r="H1154" s="1098" t="s">
        <v>1627</v>
      </c>
      <c r="I1154" s="534" t="s">
        <v>655</v>
      </c>
      <c r="J1154" s="175"/>
      <c r="K1154" s="175"/>
      <c r="L1154" s="175"/>
      <c r="M1154" s="251"/>
      <c r="N1154" s="251"/>
      <c r="O1154" s="1258"/>
      <c r="P1154" s="313"/>
      <c r="Q1154" s="313"/>
      <c r="R1154" s="313"/>
      <c r="S1154" s="313"/>
      <c r="T1154" s="313"/>
      <c r="U1154" s="313"/>
      <c r="V1154" s="62"/>
      <c r="W1154" s="63" t="s">
        <v>701</v>
      </c>
      <c r="X1154" s="63" t="s">
        <v>701</v>
      </c>
      <c r="Y1154" s="63" t="s">
        <v>701</v>
      </c>
      <c r="Z1154" s="63" t="s">
        <v>701</v>
      </c>
      <c r="AA1154" s="63" t="s">
        <v>701</v>
      </c>
      <c r="AB1154" s="63" t="s">
        <v>701</v>
      </c>
      <c r="AC1154" s="63" t="s">
        <v>701</v>
      </c>
      <c r="AD1154" s="63" t="s">
        <v>701</v>
      </c>
      <c r="AE1154" s="63" t="s">
        <v>701</v>
      </c>
      <c r="AF1154" s="63" t="s">
        <v>701</v>
      </c>
      <c r="AG1154" s="63" t="s">
        <v>701</v>
      </c>
      <c r="AI1154" s="63" t="s">
        <v>702</v>
      </c>
      <c r="AJ1154" s="63" t="s">
        <v>702</v>
      </c>
      <c r="AK1154" s="63" t="s">
        <v>702</v>
      </c>
      <c r="AL1154" s="63" t="s">
        <v>702</v>
      </c>
      <c r="AM1154" s="63" t="s">
        <v>702</v>
      </c>
      <c r="AN1154" s="63" t="s">
        <v>702</v>
      </c>
      <c r="AO1154" s="63" t="s">
        <v>702</v>
      </c>
      <c r="AP1154" s="63" t="s">
        <v>702</v>
      </c>
      <c r="AQ1154" s="63" t="s">
        <v>702</v>
      </c>
      <c r="AR1154" s="63" t="s">
        <v>702</v>
      </c>
      <c r="AS1154" s="63" t="s">
        <v>702</v>
      </c>
      <c r="AU1154" s="178"/>
    </row>
    <row r="1155" spans="1:47" s="110" customFormat="1" ht="30" outlineLevel="1" x14ac:dyDescent="0.25">
      <c r="B1155" s="1258"/>
      <c r="C1155" s="1410"/>
      <c r="D1155" s="348" t="s">
        <v>703</v>
      </c>
      <c r="E1155" s="348" t="s">
        <v>704</v>
      </c>
      <c r="F1155" s="382">
        <v>10322.173207292981</v>
      </c>
      <c r="G1155" s="348" t="s">
        <v>1822</v>
      </c>
      <c r="H1155" s="1522">
        <v>11733</v>
      </c>
      <c r="I1155" s="379"/>
      <c r="J1155" s="175"/>
      <c r="K1155" s="175"/>
      <c r="L1155" s="175"/>
      <c r="M1155" s="313"/>
      <c r="N1155" s="313"/>
      <c r="O1155" s="1258"/>
      <c r="P1155" s="313"/>
      <c r="Q1155" s="313"/>
      <c r="R1155" s="313"/>
      <c r="S1155" s="313"/>
      <c r="T1155" s="313"/>
      <c r="U1155" s="313"/>
      <c r="V1155" s="304" t="s">
        <v>703</v>
      </c>
      <c r="W1155" s="304">
        <v>9558.22711471611</v>
      </c>
      <c r="X1155" s="378">
        <v>10322.173207292981</v>
      </c>
      <c r="Y1155" s="314"/>
      <c r="Z1155" s="314"/>
      <c r="AA1155" s="314"/>
      <c r="AB1155" s="314"/>
      <c r="AC1155" s="314"/>
      <c r="AD1155" s="314"/>
      <c r="AE1155" s="314"/>
      <c r="AF1155" s="314"/>
      <c r="AG1155" s="314"/>
      <c r="AI1155" s="306" t="s">
        <v>705</v>
      </c>
      <c r="AJ1155" s="378">
        <v>11733</v>
      </c>
      <c r="AK1155" s="314"/>
      <c r="AL1155" s="314"/>
      <c r="AM1155" s="314"/>
      <c r="AN1155" s="314"/>
      <c r="AO1155" s="314"/>
      <c r="AP1155" s="314"/>
      <c r="AQ1155" s="314"/>
      <c r="AR1155" s="314"/>
      <c r="AS1155" s="314"/>
      <c r="AU1155" s="178"/>
    </row>
    <row r="1156" spans="1:47" s="110" customFormat="1" ht="18" outlineLevel="1" x14ac:dyDescent="0.25">
      <c r="B1156" s="1258"/>
      <c r="C1156" s="1410"/>
      <c r="D1156" s="348" t="s">
        <v>706</v>
      </c>
      <c r="E1156" s="348" t="s">
        <v>1628</v>
      </c>
      <c r="F1156" s="382">
        <v>10.833666904931999</v>
      </c>
      <c r="G1156" s="348"/>
      <c r="H1156" s="1522" t="s">
        <v>709</v>
      </c>
      <c r="I1156" s="379"/>
      <c r="J1156" s="175"/>
      <c r="K1156" s="175"/>
      <c r="L1156" s="175"/>
      <c r="M1156" s="313"/>
      <c r="N1156" s="313"/>
      <c r="O1156" s="1258"/>
      <c r="P1156" s="313"/>
      <c r="Q1156" s="313"/>
      <c r="R1156" s="313"/>
      <c r="S1156" s="313"/>
      <c r="T1156" s="313"/>
      <c r="U1156" s="313"/>
      <c r="V1156" s="304" t="s">
        <v>708</v>
      </c>
      <c r="W1156" s="304">
        <v>10.9</v>
      </c>
      <c r="X1156" s="378">
        <v>10.833666904931999</v>
      </c>
      <c r="Y1156" s="314"/>
      <c r="Z1156" s="314"/>
      <c r="AA1156" s="314"/>
      <c r="AB1156" s="314"/>
      <c r="AC1156" s="314"/>
      <c r="AD1156" s="314"/>
      <c r="AE1156" s="314"/>
      <c r="AF1156" s="314"/>
      <c r="AG1156" s="314"/>
      <c r="AI1156" s="306" t="s">
        <v>705</v>
      </c>
      <c r="AJ1156" s="378" t="s">
        <v>709</v>
      </c>
      <c r="AK1156" s="314"/>
      <c r="AL1156" s="314"/>
      <c r="AM1156" s="314"/>
      <c r="AN1156" s="314"/>
      <c r="AO1156" s="314"/>
      <c r="AP1156" s="314"/>
      <c r="AQ1156" s="314"/>
      <c r="AR1156" s="314"/>
      <c r="AS1156" s="314"/>
      <c r="AU1156" s="178"/>
    </row>
    <row r="1157" spans="1:47" s="110" customFormat="1" ht="46.5" customHeight="1" outlineLevel="1" x14ac:dyDescent="0.25">
      <c r="B1157" s="1258"/>
      <c r="C1157" s="1410"/>
      <c r="D1157" s="348" t="s">
        <v>710</v>
      </c>
      <c r="E1157" s="348" t="s">
        <v>711</v>
      </c>
      <c r="F1157" s="380">
        <v>11.955972333179155</v>
      </c>
      <c r="G1157" s="348" t="s">
        <v>1822</v>
      </c>
      <c r="H1157" s="1522">
        <v>11.6</v>
      </c>
      <c r="I1157" s="379"/>
      <c r="J1157" s="175"/>
      <c r="K1157" s="175"/>
      <c r="L1157" s="175"/>
      <c r="M1157" s="313"/>
      <c r="N1157" s="313"/>
      <c r="O1157" s="1258"/>
      <c r="P1157" s="313"/>
      <c r="Q1157" s="313"/>
      <c r="R1157" s="313"/>
      <c r="S1157" s="313"/>
      <c r="T1157" s="313"/>
      <c r="U1157" s="313"/>
      <c r="V1157" s="304" t="s">
        <v>712</v>
      </c>
      <c r="W1157" s="304">
        <v>11.9</v>
      </c>
      <c r="X1157" s="378">
        <v>11.955972333179155</v>
      </c>
      <c r="Y1157" s="314"/>
      <c r="Z1157" s="314"/>
      <c r="AA1157" s="314"/>
      <c r="AB1157" s="314"/>
      <c r="AC1157" s="314"/>
      <c r="AD1157" s="314"/>
      <c r="AE1157" s="314"/>
      <c r="AF1157" s="314"/>
      <c r="AG1157" s="314"/>
      <c r="AI1157" s="306" t="s">
        <v>705</v>
      </c>
      <c r="AJ1157" s="378">
        <v>11.6</v>
      </c>
      <c r="AK1157" s="314"/>
      <c r="AL1157" s="314"/>
      <c r="AM1157" s="314"/>
      <c r="AN1157" s="314"/>
      <c r="AO1157" s="314"/>
      <c r="AP1157" s="314"/>
      <c r="AQ1157" s="314"/>
      <c r="AR1157" s="314"/>
      <c r="AS1157" s="314"/>
      <c r="AU1157" s="178"/>
    </row>
    <row r="1158" spans="1:47" s="110" customFormat="1" ht="46.5" customHeight="1" outlineLevel="1" x14ac:dyDescent="0.25">
      <c r="B1158" s="1258"/>
      <c r="C1158" s="1410"/>
      <c r="D1158" s="348" t="s">
        <v>713</v>
      </c>
      <c r="E1158" s="348"/>
      <c r="F1158" s="380"/>
      <c r="G1158" s="348" t="s">
        <v>1629</v>
      </c>
      <c r="H1158" s="1522">
        <v>6.7</v>
      </c>
      <c r="I1158" s="379"/>
      <c r="J1158" s="175"/>
      <c r="K1158" s="175"/>
      <c r="L1158" s="175"/>
      <c r="M1158" s="313"/>
      <c r="N1158" s="313"/>
      <c r="O1158" s="1258"/>
      <c r="P1158" s="313"/>
      <c r="Q1158" s="313"/>
      <c r="R1158" s="313"/>
      <c r="S1158" s="313"/>
      <c r="T1158" s="313"/>
      <c r="U1158" s="313"/>
      <c r="V1158" s="304"/>
      <c r="W1158" s="304"/>
      <c r="X1158" s="381"/>
      <c r="Y1158" s="314"/>
      <c r="Z1158" s="314"/>
      <c r="AA1158" s="314"/>
      <c r="AB1158" s="314"/>
      <c r="AC1158" s="314"/>
      <c r="AD1158" s="314"/>
      <c r="AE1158" s="314"/>
      <c r="AF1158" s="314"/>
      <c r="AG1158" s="314"/>
      <c r="AI1158" s="306" t="s">
        <v>705</v>
      </c>
      <c r="AJ1158" s="378">
        <v>6.7</v>
      </c>
      <c r="AK1158" s="314"/>
      <c r="AL1158" s="314"/>
      <c r="AM1158" s="314"/>
      <c r="AN1158" s="314"/>
      <c r="AO1158" s="314"/>
      <c r="AP1158" s="314"/>
      <c r="AQ1158" s="314"/>
      <c r="AR1158" s="314"/>
      <c r="AS1158" s="314"/>
      <c r="AU1158" s="178"/>
    </row>
    <row r="1159" spans="1:47" s="110" customFormat="1" ht="45" customHeight="1" outlineLevel="1" x14ac:dyDescent="0.25">
      <c r="B1159" s="1523"/>
      <c r="C1159" s="1524"/>
      <c r="D1159" s="348" t="s">
        <v>714</v>
      </c>
      <c r="E1159" s="348" t="s">
        <v>715</v>
      </c>
      <c r="F1159" s="382">
        <v>556</v>
      </c>
      <c r="G1159" s="348" t="s">
        <v>715</v>
      </c>
      <c r="H1159" s="382">
        <v>556</v>
      </c>
      <c r="I1159" s="379"/>
      <c r="J1159" s="175"/>
      <c r="K1159" s="175"/>
      <c r="L1159" s="175"/>
      <c r="M1159" s="313"/>
      <c r="N1159" s="313"/>
      <c r="O1159" s="1523"/>
      <c r="P1159" s="313"/>
      <c r="Q1159" s="313"/>
      <c r="R1159" s="313"/>
      <c r="S1159" s="313"/>
      <c r="T1159" s="313"/>
      <c r="U1159" s="313"/>
      <c r="V1159" s="304" t="s">
        <v>716</v>
      </c>
      <c r="W1159" s="383">
        <v>556</v>
      </c>
      <c r="X1159" s="383">
        <v>556</v>
      </c>
      <c r="Y1159" s="314"/>
      <c r="Z1159" s="314"/>
      <c r="AA1159" s="314"/>
      <c r="AB1159" s="314"/>
      <c r="AC1159" s="314"/>
      <c r="AD1159" s="314"/>
      <c r="AE1159" s="314"/>
      <c r="AF1159" s="314"/>
      <c r="AG1159" s="314"/>
      <c r="AI1159" s="306" t="s">
        <v>705</v>
      </c>
      <c r="AJ1159" s="384">
        <v>556</v>
      </c>
      <c r="AK1159" s="314"/>
      <c r="AL1159" s="314"/>
      <c r="AM1159" s="314"/>
      <c r="AN1159" s="314"/>
      <c r="AO1159" s="314"/>
      <c r="AP1159" s="314"/>
      <c r="AQ1159" s="314"/>
      <c r="AR1159" s="314"/>
      <c r="AS1159" s="314"/>
      <c r="AU1159" s="178"/>
    </row>
    <row r="1160" spans="1:47" s="110" customFormat="1" ht="30" customHeight="1" outlineLevel="1" x14ac:dyDescent="0.25">
      <c r="B1160" s="1523"/>
      <c r="C1160" s="1524"/>
      <c r="D1160" s="348" t="s">
        <v>717</v>
      </c>
      <c r="E1160" s="348" t="s">
        <v>718</v>
      </c>
      <c r="F1160" s="382">
        <v>860</v>
      </c>
      <c r="G1160" s="348" t="s">
        <v>1630</v>
      </c>
      <c r="H1160" s="1522">
        <v>1215</v>
      </c>
      <c r="I1160" s="379"/>
      <c r="J1160" s="175"/>
      <c r="K1160" s="175"/>
      <c r="L1160" s="175"/>
      <c r="M1160" s="313"/>
      <c r="N1160" s="313"/>
      <c r="O1160" s="1523"/>
      <c r="P1160" s="313"/>
      <c r="Q1160" s="313"/>
      <c r="R1160" s="313"/>
      <c r="S1160" s="313"/>
      <c r="T1160" s="313"/>
      <c r="U1160" s="313"/>
      <c r="V1160" s="304" t="s">
        <v>719</v>
      </c>
      <c r="W1160" s="383">
        <v>860</v>
      </c>
      <c r="X1160" s="383">
        <v>860</v>
      </c>
      <c r="Y1160" s="314"/>
      <c r="Z1160" s="314"/>
      <c r="AA1160" s="314"/>
      <c r="AB1160" s="314"/>
      <c r="AC1160" s="314"/>
      <c r="AD1160" s="314"/>
      <c r="AE1160" s="314"/>
      <c r="AF1160" s="314"/>
      <c r="AG1160" s="314"/>
      <c r="AI1160" s="306" t="s">
        <v>705</v>
      </c>
      <c r="AJ1160" s="385">
        <v>1215</v>
      </c>
      <c r="AK1160" s="314"/>
      <c r="AL1160" s="314"/>
      <c r="AM1160" s="314"/>
      <c r="AN1160" s="314"/>
      <c r="AO1160" s="314"/>
      <c r="AP1160" s="314"/>
      <c r="AQ1160" s="314"/>
      <c r="AR1160" s="314"/>
      <c r="AS1160" s="314"/>
      <c r="AU1160" s="178"/>
    </row>
    <row r="1161" spans="1:47" s="110" customFormat="1" ht="30" customHeight="1" outlineLevel="1" x14ac:dyDescent="0.25">
      <c r="B1161" s="1523"/>
      <c r="C1161" s="1524"/>
      <c r="D1161" s="348" t="s">
        <v>720</v>
      </c>
      <c r="E1161" s="348" t="s">
        <v>721</v>
      </c>
      <c r="F1161" s="382">
        <v>1000</v>
      </c>
      <c r="G1161" s="348" t="s">
        <v>721</v>
      </c>
      <c r="H1161" s="1522">
        <v>1000</v>
      </c>
      <c r="I1161" s="379"/>
      <c r="J1161" s="175"/>
      <c r="K1161" s="175"/>
      <c r="L1161" s="175"/>
      <c r="M1161" s="313"/>
      <c r="N1161" s="313"/>
      <c r="O1161" s="1523"/>
      <c r="P1161" s="313"/>
      <c r="Q1161" s="313"/>
      <c r="R1161" s="313"/>
      <c r="S1161" s="313"/>
      <c r="T1161" s="313"/>
      <c r="U1161" s="313"/>
      <c r="V1161" s="304" t="s">
        <v>720</v>
      </c>
      <c r="W1161" s="304">
        <v>1000</v>
      </c>
      <c r="X1161" s="304">
        <v>1000</v>
      </c>
      <c r="Y1161" s="314"/>
      <c r="Z1161" s="314"/>
      <c r="AA1161" s="314"/>
      <c r="AB1161" s="314"/>
      <c r="AC1161" s="314"/>
      <c r="AD1161" s="314"/>
      <c r="AE1161" s="314"/>
      <c r="AF1161" s="314"/>
      <c r="AG1161" s="314"/>
      <c r="AI1161" s="306" t="s">
        <v>705</v>
      </c>
      <c r="AJ1161" s="378">
        <v>1000</v>
      </c>
      <c r="AK1161" s="314"/>
      <c r="AL1161" s="314"/>
      <c r="AM1161" s="314"/>
      <c r="AN1161" s="314"/>
      <c r="AO1161" s="314"/>
      <c r="AP1161" s="314"/>
      <c r="AQ1161" s="314"/>
      <c r="AR1161" s="314"/>
      <c r="AS1161" s="314"/>
      <c r="AU1161" s="178"/>
    </row>
    <row r="1162" spans="1:47" s="110" customFormat="1" ht="30" customHeight="1" outlineLevel="1" thickBot="1" x14ac:dyDescent="0.3">
      <c r="B1162" s="1523"/>
      <c r="C1162" s="1524"/>
      <c r="D1162" s="348" t="s">
        <v>574</v>
      </c>
      <c r="E1162" s="348" t="s">
        <v>575</v>
      </c>
      <c r="F1162" s="386">
        <v>0.97560975609756095</v>
      </c>
      <c r="G1162" s="348" t="s">
        <v>1823</v>
      </c>
      <c r="H1162" s="386">
        <v>1</v>
      </c>
      <c r="I1162" s="379"/>
      <c r="J1162" s="175"/>
      <c r="K1162" s="175"/>
      <c r="L1162" s="175"/>
      <c r="M1162" s="313"/>
      <c r="N1162" s="313"/>
      <c r="O1162" s="1523"/>
      <c r="P1162" s="313"/>
      <c r="Q1162" s="313"/>
      <c r="R1162" s="313"/>
      <c r="S1162" s="313"/>
      <c r="T1162" s="313"/>
      <c r="U1162" s="313"/>
      <c r="V1162" s="387" t="s">
        <v>574</v>
      </c>
      <c r="W1162" s="388">
        <v>0.97560975609756095</v>
      </c>
      <c r="X1162" s="388">
        <v>0.97560975609756095</v>
      </c>
      <c r="Y1162" s="389"/>
      <c r="Z1162" s="389"/>
      <c r="AA1162" s="389"/>
      <c r="AB1162" s="389"/>
      <c r="AC1162" s="389"/>
      <c r="AD1162" s="389"/>
      <c r="AE1162" s="389"/>
      <c r="AF1162" s="389"/>
      <c r="AG1162" s="389"/>
      <c r="AI1162" s="306" t="s">
        <v>705</v>
      </c>
      <c r="AJ1162" s="390">
        <v>1</v>
      </c>
      <c r="AK1162" s="314"/>
      <c r="AL1162" s="314"/>
      <c r="AM1162" s="314"/>
      <c r="AN1162" s="314"/>
      <c r="AO1162" s="314"/>
      <c r="AP1162" s="314"/>
      <c r="AQ1162" s="314"/>
      <c r="AR1162" s="314"/>
      <c r="AS1162" s="314"/>
      <c r="AU1162" s="178"/>
    </row>
    <row r="1163" spans="1:47" s="110" customFormat="1" ht="15" customHeight="1" outlineLevel="1" x14ac:dyDescent="0.25">
      <c r="A1163" s="335"/>
      <c r="B1163" s="1478"/>
      <c r="C1163" s="1410"/>
      <c r="D1163" s="298">
        <f>$D$52</f>
        <v>0</v>
      </c>
      <c r="E1163" s="298"/>
      <c r="F1163" s="2043">
        <v>9</v>
      </c>
      <c r="G1163" s="2044"/>
      <c r="H1163" s="2045"/>
      <c r="I1163" s="391" t="s">
        <v>31</v>
      </c>
      <c r="J1163" s="1478"/>
      <c r="K1163" s="1478"/>
      <c r="L1163" s="1478"/>
      <c r="M1163" s="313"/>
      <c r="N1163" s="313"/>
      <c r="O1163" s="313"/>
      <c r="P1163" s="313"/>
      <c r="Q1163" s="313"/>
      <c r="R1163" s="313"/>
      <c r="S1163" s="313"/>
      <c r="T1163" s="313"/>
      <c r="U1163" s="313"/>
      <c r="V1163" s="392">
        <f>D1163</f>
        <v>0</v>
      </c>
      <c r="W1163" s="393">
        <v>9</v>
      </c>
      <c r="X1163" s="393">
        <v>9</v>
      </c>
      <c r="Y1163" s="393"/>
      <c r="Z1163" s="393"/>
      <c r="AA1163" s="393"/>
      <c r="AB1163" s="393"/>
      <c r="AC1163" s="393"/>
      <c r="AD1163" s="393"/>
      <c r="AE1163" s="393"/>
      <c r="AF1163" s="393"/>
      <c r="AG1163" s="393"/>
      <c r="AU1163" s="178"/>
    </row>
    <row r="1164" spans="1:47" s="110" customFormat="1" ht="15" customHeight="1" outlineLevel="1" x14ac:dyDescent="0.25">
      <c r="A1164" s="335"/>
      <c r="B1164" s="1478"/>
      <c r="C1164" s="1410"/>
      <c r="D1164" s="298" t="str">
        <f>$D$53</f>
        <v>Evaluation Formula:</v>
      </c>
      <c r="E1164" s="298"/>
      <c r="F1164" s="2034">
        <v>20</v>
      </c>
      <c r="G1164" s="2035"/>
      <c r="H1164" s="2036"/>
      <c r="I1164" s="391" t="s">
        <v>31</v>
      </c>
      <c r="J1164" s="1478"/>
      <c r="K1164" s="1478"/>
      <c r="L1164" s="1478"/>
      <c r="M1164" s="313"/>
      <c r="N1164" s="313"/>
      <c r="O1164" s="313"/>
      <c r="P1164" s="313"/>
      <c r="Q1164" s="313"/>
      <c r="R1164" s="313"/>
      <c r="S1164" s="313"/>
      <c r="T1164" s="313"/>
      <c r="U1164" s="313"/>
      <c r="V1164" s="304" t="str">
        <f>D1164</f>
        <v>Evaluation Formula:</v>
      </c>
      <c r="W1164" s="338">
        <v>20</v>
      </c>
      <c r="X1164" s="338">
        <v>20</v>
      </c>
      <c r="Y1164" s="338"/>
      <c r="Z1164" s="338"/>
      <c r="AA1164" s="338"/>
      <c r="AB1164" s="338"/>
      <c r="AC1164" s="338"/>
      <c r="AD1164" s="338"/>
      <c r="AE1164" s="338"/>
      <c r="AF1164" s="338"/>
      <c r="AG1164" s="338"/>
      <c r="AU1164" s="178"/>
    </row>
    <row r="1165" spans="1:47" s="110" customFormat="1" x14ac:dyDescent="0.25">
      <c r="B1165" s="175"/>
      <c r="C1165" s="1410"/>
      <c r="D1165" s="1525"/>
      <c r="E1165" s="1525"/>
      <c r="F1165" s="1526"/>
      <c r="G1165" s="1527"/>
      <c r="H1165" s="175"/>
      <c r="I1165" s="175"/>
      <c r="J1165" s="175"/>
      <c r="K1165" s="175"/>
      <c r="L1165" s="175"/>
      <c r="M1165" s="313"/>
      <c r="N1165" s="175"/>
      <c r="O1165" s="175"/>
      <c r="P1165" s="313"/>
      <c r="Q1165" s="313"/>
      <c r="R1165" s="313"/>
      <c r="S1165" s="313"/>
      <c r="T1165" s="313"/>
      <c r="U1165" s="313"/>
      <c r="AU1165" s="178"/>
    </row>
    <row r="1166" spans="1:47" s="110" customFormat="1" x14ac:dyDescent="0.25">
      <c r="B1166" s="175"/>
      <c r="C1166" s="1410"/>
      <c r="D1166" s="1411"/>
      <c r="E1166" s="1411"/>
      <c r="F1166" s="175"/>
      <c r="G1166" s="175"/>
      <c r="H1166" s="175"/>
      <c r="I1166" s="175"/>
      <c r="J1166" s="175"/>
      <c r="K1166" s="175"/>
      <c r="L1166" s="175"/>
      <c r="M1166" s="175"/>
      <c r="N1166" s="175"/>
      <c r="O1166" s="175"/>
      <c r="P1166" s="313"/>
      <c r="Q1166" s="313"/>
      <c r="R1166" s="313"/>
      <c r="S1166" s="313"/>
      <c r="T1166" s="313"/>
      <c r="U1166" s="313"/>
      <c r="AU1166" s="178"/>
    </row>
    <row r="1167" spans="1:47" s="110" customFormat="1" x14ac:dyDescent="0.25">
      <c r="B1167" s="313"/>
      <c r="C1167" s="1425"/>
      <c r="D1167" s="1433"/>
      <c r="E1167" s="1433"/>
      <c r="F1167" s="313"/>
      <c r="G1167" s="313"/>
      <c r="H1167" s="313"/>
      <c r="I1167" s="313"/>
      <c r="J1167" s="313"/>
      <c r="K1167" s="313"/>
      <c r="L1167" s="313"/>
      <c r="M1167" s="175"/>
      <c r="N1167" s="175"/>
      <c r="O1167" s="175"/>
      <c r="P1167" s="313"/>
      <c r="Q1167" s="313"/>
      <c r="R1167" s="313"/>
      <c r="S1167" s="313"/>
      <c r="T1167" s="313"/>
      <c r="U1167" s="313"/>
      <c r="AU1167" s="178"/>
    </row>
    <row r="1168" spans="1:47" s="110" customFormat="1" x14ac:dyDescent="0.25">
      <c r="B1168" s="313"/>
      <c r="C1168" s="1425"/>
      <c r="D1168" s="1433"/>
      <c r="E1168" s="1433"/>
      <c r="F1168" s="313"/>
      <c r="G1168" s="313"/>
      <c r="H1168" s="313"/>
      <c r="I1168" s="313"/>
      <c r="J1168" s="313"/>
      <c r="K1168" s="313"/>
      <c r="L1168" s="313"/>
      <c r="M1168" s="130"/>
      <c r="N1168" s="130"/>
      <c r="O1168" s="130"/>
      <c r="P1168" s="313"/>
      <c r="Q1168" s="313"/>
      <c r="R1168" s="313"/>
      <c r="S1168" s="313"/>
      <c r="T1168" s="313"/>
      <c r="U1168" s="313"/>
      <c r="AU1168" s="178"/>
    </row>
  </sheetData>
  <mergeCells count="694">
    <mergeCell ref="H29:J29"/>
    <mergeCell ref="K29:N29"/>
    <mergeCell ref="H30:J30"/>
    <mergeCell ref="K30:N30"/>
    <mergeCell ref="V4:AI4"/>
    <mergeCell ref="H20:J20"/>
    <mergeCell ref="K20:N20"/>
    <mergeCell ref="H631:I631"/>
    <mergeCell ref="J631:M631"/>
    <mergeCell ref="H21:J21"/>
    <mergeCell ref="K21:N21"/>
    <mergeCell ref="V22:V23"/>
    <mergeCell ref="V24:V27"/>
    <mergeCell ref="V28:V31"/>
    <mergeCell ref="H31:J31"/>
    <mergeCell ref="K31:N31"/>
    <mergeCell ref="H26:J26"/>
    <mergeCell ref="K26:N26"/>
    <mergeCell ref="H27:J27"/>
    <mergeCell ref="K27:N27"/>
    <mergeCell ref="H32:J32"/>
    <mergeCell ref="K32:N32"/>
    <mergeCell ref="H33:J33"/>
    <mergeCell ref="K33:N33"/>
    <mergeCell ref="D60:D64"/>
    <mergeCell ref="V60:V64"/>
    <mergeCell ref="D65:D69"/>
    <mergeCell ref="V65:V69"/>
    <mergeCell ref="D22:D23"/>
    <mergeCell ref="E22:E23"/>
    <mergeCell ref="H22:J22"/>
    <mergeCell ref="K22:N22"/>
    <mergeCell ref="A1:O1"/>
    <mergeCell ref="P1:R1"/>
    <mergeCell ref="D2:J2"/>
    <mergeCell ref="B4:R4"/>
    <mergeCell ref="D28:D31"/>
    <mergeCell ref="E28:E31"/>
    <mergeCell ref="H28:J28"/>
    <mergeCell ref="K28:N28"/>
    <mergeCell ref="H23:J23"/>
    <mergeCell ref="K23:N23"/>
    <mergeCell ref="D24:D27"/>
    <mergeCell ref="E24:E27"/>
    <mergeCell ref="H24:J24"/>
    <mergeCell ref="K24:N24"/>
    <mergeCell ref="H25:J25"/>
    <mergeCell ref="K25:N25"/>
    <mergeCell ref="D70:D74"/>
    <mergeCell ref="V70:V74"/>
    <mergeCell ref="K40:N40"/>
    <mergeCell ref="H41:J41"/>
    <mergeCell ref="K41:N41"/>
    <mergeCell ref="B44:R44"/>
    <mergeCell ref="V44:AI44"/>
    <mergeCell ref="E57:L57"/>
    <mergeCell ref="V34:V41"/>
    <mergeCell ref="H35:J35"/>
    <mergeCell ref="K35:N35"/>
    <mergeCell ref="H36:J36"/>
    <mergeCell ref="K36:N36"/>
    <mergeCell ref="H37:J37"/>
    <mergeCell ref="K37:N37"/>
    <mergeCell ref="H38:J38"/>
    <mergeCell ref="K38:N38"/>
    <mergeCell ref="H39:J39"/>
    <mergeCell ref="D34:D41"/>
    <mergeCell ref="E34:E41"/>
    <mergeCell ref="H34:J34"/>
    <mergeCell ref="K34:N34"/>
    <mergeCell ref="K39:N39"/>
    <mergeCell ref="H40:J40"/>
    <mergeCell ref="D155:D184"/>
    <mergeCell ref="V155:V184"/>
    <mergeCell ref="D185:D214"/>
    <mergeCell ref="V185:V214"/>
    <mergeCell ref="D215:D244"/>
    <mergeCell ref="V215:V244"/>
    <mergeCell ref="D76:D80"/>
    <mergeCell ref="V76:V80"/>
    <mergeCell ref="B83:R83"/>
    <mergeCell ref="V83:AI83"/>
    <mergeCell ref="D119:L122"/>
    <mergeCell ref="D125:D154"/>
    <mergeCell ref="V125:V154"/>
    <mergeCell ref="D341:D370"/>
    <mergeCell ref="V341:V370"/>
    <mergeCell ref="D372:D401"/>
    <mergeCell ref="V372:V401"/>
    <mergeCell ref="B404:R404"/>
    <mergeCell ref="V404:AI404"/>
    <mergeCell ref="D248:D277"/>
    <mergeCell ref="V248:V277"/>
    <mergeCell ref="D278:D307"/>
    <mergeCell ref="V278:V307"/>
    <mergeCell ref="D311:D340"/>
    <mergeCell ref="V311:V340"/>
    <mergeCell ref="D474:D475"/>
    <mergeCell ref="E474:E475"/>
    <mergeCell ref="H474:I474"/>
    <mergeCell ref="J474:L474"/>
    <mergeCell ref="H475:I475"/>
    <mergeCell ref="J475:L475"/>
    <mergeCell ref="D410:G413"/>
    <mergeCell ref="B430:R430"/>
    <mergeCell ref="V430:AI430"/>
    <mergeCell ref="B454:R454"/>
    <mergeCell ref="V454:AI454"/>
    <mergeCell ref="H471:I471"/>
    <mergeCell ref="J471:L471"/>
    <mergeCell ref="H477:I477"/>
    <mergeCell ref="J477:L477"/>
    <mergeCell ref="H478:I478"/>
    <mergeCell ref="J478:L478"/>
    <mergeCell ref="H472:I472"/>
    <mergeCell ref="J472:L472"/>
    <mergeCell ref="H473:I473"/>
    <mergeCell ref="J473:L473"/>
    <mergeCell ref="H482:I482"/>
    <mergeCell ref="J482:L482"/>
    <mergeCell ref="H476:I476"/>
    <mergeCell ref="J476:L476"/>
    <mergeCell ref="H483:I483"/>
    <mergeCell ref="J483:L483"/>
    <mergeCell ref="H484:I484"/>
    <mergeCell ref="J484:L484"/>
    <mergeCell ref="H479:I479"/>
    <mergeCell ref="J479:L479"/>
    <mergeCell ref="H480:I480"/>
    <mergeCell ref="J480:L480"/>
    <mergeCell ref="H481:I481"/>
    <mergeCell ref="J481:L481"/>
    <mergeCell ref="V495:AI495"/>
    <mergeCell ref="H488:I488"/>
    <mergeCell ref="J488:L488"/>
    <mergeCell ref="H489:I489"/>
    <mergeCell ref="J489:L489"/>
    <mergeCell ref="H490:I490"/>
    <mergeCell ref="J490:L490"/>
    <mergeCell ref="H485:I485"/>
    <mergeCell ref="J485:L485"/>
    <mergeCell ref="H486:I486"/>
    <mergeCell ref="J486:L486"/>
    <mergeCell ref="H487:I487"/>
    <mergeCell ref="J487:L487"/>
    <mergeCell ref="H510:I510"/>
    <mergeCell ref="J510:L510"/>
    <mergeCell ref="D511:D512"/>
    <mergeCell ref="E511:E512"/>
    <mergeCell ref="H511:I511"/>
    <mergeCell ref="J511:L511"/>
    <mergeCell ref="H491:I491"/>
    <mergeCell ref="J491:L491"/>
    <mergeCell ref="H492:I492"/>
    <mergeCell ref="J492:L492"/>
    <mergeCell ref="B495:R495"/>
    <mergeCell ref="V511:V512"/>
    <mergeCell ref="H512:I512"/>
    <mergeCell ref="J512:L512"/>
    <mergeCell ref="H513:I513"/>
    <mergeCell ref="J513:L513"/>
    <mergeCell ref="D514:D518"/>
    <mergeCell ref="E514:E518"/>
    <mergeCell ref="H514:I514"/>
    <mergeCell ref="J514:L514"/>
    <mergeCell ref="V514:V518"/>
    <mergeCell ref="H518:I518"/>
    <mergeCell ref="J518:L518"/>
    <mergeCell ref="H519:I519"/>
    <mergeCell ref="J519:L519"/>
    <mergeCell ref="H520:I520"/>
    <mergeCell ref="J520:L520"/>
    <mergeCell ref="H515:I515"/>
    <mergeCell ref="J515:L515"/>
    <mergeCell ref="H516:I516"/>
    <mergeCell ref="J516:L516"/>
    <mergeCell ref="H517:I517"/>
    <mergeCell ref="J517:L517"/>
    <mergeCell ref="H524:I524"/>
    <mergeCell ref="J524:L524"/>
    <mergeCell ref="H525:I525"/>
    <mergeCell ref="J525:L525"/>
    <mergeCell ref="B528:R528"/>
    <mergeCell ref="V528:AI528"/>
    <mergeCell ref="H521:I521"/>
    <mergeCell ref="J521:L521"/>
    <mergeCell ref="H522:I522"/>
    <mergeCell ref="J522:L522"/>
    <mergeCell ref="H523:I523"/>
    <mergeCell ref="J523:L523"/>
    <mergeCell ref="D574:D579"/>
    <mergeCell ref="V574:V579"/>
    <mergeCell ref="D580:D585"/>
    <mergeCell ref="V580:V585"/>
    <mergeCell ref="B588:O588"/>
    <mergeCell ref="P588:R588"/>
    <mergeCell ref="V588:AI588"/>
    <mergeCell ref="D551:D556"/>
    <mergeCell ref="V551:V556"/>
    <mergeCell ref="D559:D564"/>
    <mergeCell ref="V559:V564"/>
    <mergeCell ref="D568:D573"/>
    <mergeCell ref="V568:V573"/>
    <mergeCell ref="H612:I612"/>
    <mergeCell ref="J612:K612"/>
    <mergeCell ref="L612:M612"/>
    <mergeCell ref="H613:I613"/>
    <mergeCell ref="J613:M613"/>
    <mergeCell ref="D614:D615"/>
    <mergeCell ref="E614:E615"/>
    <mergeCell ref="H614:I614"/>
    <mergeCell ref="J614:M614"/>
    <mergeCell ref="H618:I618"/>
    <mergeCell ref="J618:M618"/>
    <mergeCell ref="H619:I619"/>
    <mergeCell ref="J619:M619"/>
    <mergeCell ref="D620:D623"/>
    <mergeCell ref="E620:E623"/>
    <mergeCell ref="H620:I620"/>
    <mergeCell ref="J620:M620"/>
    <mergeCell ref="V614:V615"/>
    <mergeCell ref="H615:I615"/>
    <mergeCell ref="J615:M615"/>
    <mergeCell ref="D616:D619"/>
    <mergeCell ref="E616:E619"/>
    <mergeCell ref="H616:I616"/>
    <mergeCell ref="J616:M616"/>
    <mergeCell ref="V616:V619"/>
    <mergeCell ref="H617:I617"/>
    <mergeCell ref="J617:M617"/>
    <mergeCell ref="H624:I624"/>
    <mergeCell ref="J624:M624"/>
    <mergeCell ref="H625:I625"/>
    <mergeCell ref="J625:M625"/>
    <mergeCell ref="D626:D627"/>
    <mergeCell ref="E626:E627"/>
    <mergeCell ref="H626:I626"/>
    <mergeCell ref="J626:M626"/>
    <mergeCell ref="V620:V623"/>
    <mergeCell ref="H621:I621"/>
    <mergeCell ref="J621:M621"/>
    <mergeCell ref="H622:I622"/>
    <mergeCell ref="J622:M622"/>
    <mergeCell ref="H623:I623"/>
    <mergeCell ref="J623:M623"/>
    <mergeCell ref="V626:V627"/>
    <mergeCell ref="H627:I627"/>
    <mergeCell ref="J627:M627"/>
    <mergeCell ref="D628:D631"/>
    <mergeCell ref="E628:E631"/>
    <mergeCell ref="H628:I628"/>
    <mergeCell ref="J628:M628"/>
    <mergeCell ref="V628:V631"/>
    <mergeCell ref="H629:I629"/>
    <mergeCell ref="J629:M629"/>
    <mergeCell ref="H636:I636"/>
    <mergeCell ref="J636:M636"/>
    <mergeCell ref="H630:I630"/>
    <mergeCell ref="J630:M630"/>
    <mergeCell ref="J640:M640"/>
    <mergeCell ref="B643:R643"/>
    <mergeCell ref="V643:AI643"/>
    <mergeCell ref="H657:I657"/>
    <mergeCell ref="J657:L657"/>
    <mergeCell ref="D632:D635"/>
    <mergeCell ref="E632:E635"/>
    <mergeCell ref="V632:V635"/>
    <mergeCell ref="H632:I635"/>
    <mergeCell ref="J632:M635"/>
    <mergeCell ref="H658:I658"/>
    <mergeCell ref="J658:L658"/>
    <mergeCell ref="D637:D640"/>
    <mergeCell ref="E637:E640"/>
    <mergeCell ref="H637:I637"/>
    <mergeCell ref="J637:M637"/>
    <mergeCell ref="V637:V640"/>
    <mergeCell ref="H638:I638"/>
    <mergeCell ref="J638:M638"/>
    <mergeCell ref="H639:I639"/>
    <mergeCell ref="J639:M639"/>
    <mergeCell ref="H640:I640"/>
    <mergeCell ref="H662:I662"/>
    <mergeCell ref="J662:L662"/>
    <mergeCell ref="H663:I663"/>
    <mergeCell ref="J663:L663"/>
    <mergeCell ref="H664:I664"/>
    <mergeCell ref="J664:L664"/>
    <mergeCell ref="H659:I659"/>
    <mergeCell ref="J659:L659"/>
    <mergeCell ref="H660:I660"/>
    <mergeCell ref="J660:L660"/>
    <mergeCell ref="H661:I661"/>
    <mergeCell ref="J661:L661"/>
    <mergeCell ref="H668:I668"/>
    <mergeCell ref="J668:L668"/>
    <mergeCell ref="H669:I669"/>
    <mergeCell ref="J669:L669"/>
    <mergeCell ref="H670:I670"/>
    <mergeCell ref="J670:L670"/>
    <mergeCell ref="H665:I665"/>
    <mergeCell ref="J665:L665"/>
    <mergeCell ref="H666:I666"/>
    <mergeCell ref="J666:L666"/>
    <mergeCell ref="H667:I667"/>
    <mergeCell ref="J667:L667"/>
    <mergeCell ref="D674:D675"/>
    <mergeCell ref="E674:E675"/>
    <mergeCell ref="H674:I674"/>
    <mergeCell ref="J674:L674"/>
    <mergeCell ref="V674:V675"/>
    <mergeCell ref="H675:I675"/>
    <mergeCell ref="J675:L675"/>
    <mergeCell ref="H671:I671"/>
    <mergeCell ref="J671:L671"/>
    <mergeCell ref="H672:I672"/>
    <mergeCell ref="J672:L672"/>
    <mergeCell ref="H673:I673"/>
    <mergeCell ref="J673:L673"/>
    <mergeCell ref="V677:V678"/>
    <mergeCell ref="H678:I678"/>
    <mergeCell ref="J678:L678"/>
    <mergeCell ref="B681:R681"/>
    <mergeCell ref="V681:AI681"/>
    <mergeCell ref="H695:I695"/>
    <mergeCell ref="J695:L695"/>
    <mergeCell ref="H676:I676"/>
    <mergeCell ref="J676:L676"/>
    <mergeCell ref="D677:D678"/>
    <mergeCell ref="E677:E678"/>
    <mergeCell ref="H677:I677"/>
    <mergeCell ref="J677:L677"/>
    <mergeCell ref="H699:I699"/>
    <mergeCell ref="J699:L699"/>
    <mergeCell ref="H700:I700"/>
    <mergeCell ref="J700:L700"/>
    <mergeCell ref="D701:D702"/>
    <mergeCell ref="E701:E702"/>
    <mergeCell ref="H701:I701"/>
    <mergeCell ref="J701:L701"/>
    <mergeCell ref="H696:I696"/>
    <mergeCell ref="J696:L696"/>
    <mergeCell ref="H697:I697"/>
    <mergeCell ref="J697:L697"/>
    <mergeCell ref="H698:I698"/>
    <mergeCell ref="J698:L698"/>
    <mergeCell ref="V705:V706"/>
    <mergeCell ref="H706:I706"/>
    <mergeCell ref="J706:L706"/>
    <mergeCell ref="V701:V702"/>
    <mergeCell ref="H702:I702"/>
    <mergeCell ref="J702:L702"/>
    <mergeCell ref="H703:I703"/>
    <mergeCell ref="J703:L703"/>
    <mergeCell ref="H704:I704"/>
    <mergeCell ref="J704:L704"/>
    <mergeCell ref="H707:I707"/>
    <mergeCell ref="J707:L707"/>
    <mergeCell ref="H708:I708"/>
    <mergeCell ref="J708:L708"/>
    <mergeCell ref="H709:I709"/>
    <mergeCell ref="J709:L709"/>
    <mergeCell ref="D705:D706"/>
    <mergeCell ref="E705:E706"/>
    <mergeCell ref="H705:I705"/>
    <mergeCell ref="J705:L705"/>
    <mergeCell ref="H713:I713"/>
    <mergeCell ref="J713:L713"/>
    <mergeCell ref="D714:D715"/>
    <mergeCell ref="E714:E715"/>
    <mergeCell ref="H714:I714"/>
    <mergeCell ref="J714:L714"/>
    <mergeCell ref="H710:I710"/>
    <mergeCell ref="J710:L710"/>
    <mergeCell ref="H711:I711"/>
    <mergeCell ref="J711:L711"/>
    <mergeCell ref="H712:I712"/>
    <mergeCell ref="J712:L712"/>
    <mergeCell ref="V721:AI721"/>
    <mergeCell ref="G731:H731"/>
    <mergeCell ref="I731:K731"/>
    <mergeCell ref="V714:V715"/>
    <mergeCell ref="H715:I715"/>
    <mergeCell ref="J715:L715"/>
    <mergeCell ref="H716:I716"/>
    <mergeCell ref="J716:L716"/>
    <mergeCell ref="D717:D718"/>
    <mergeCell ref="E717:E718"/>
    <mergeCell ref="H717:I717"/>
    <mergeCell ref="J717:L717"/>
    <mergeCell ref="V717:V718"/>
    <mergeCell ref="G732:H732"/>
    <mergeCell ref="I732:K732"/>
    <mergeCell ref="G733:H733"/>
    <mergeCell ref="I733:K733"/>
    <mergeCell ref="G734:H734"/>
    <mergeCell ref="I734:K734"/>
    <mergeCell ref="H718:I718"/>
    <mergeCell ref="J718:L718"/>
    <mergeCell ref="B721:R721"/>
    <mergeCell ref="G738:H738"/>
    <mergeCell ref="I738:K738"/>
    <mergeCell ref="G739:H739"/>
    <mergeCell ref="I739:K739"/>
    <mergeCell ref="G740:H740"/>
    <mergeCell ref="I740:K740"/>
    <mergeCell ref="G735:H735"/>
    <mergeCell ref="I735:K735"/>
    <mergeCell ref="G736:H736"/>
    <mergeCell ref="I736:K736"/>
    <mergeCell ref="G737:H737"/>
    <mergeCell ref="I737:K737"/>
    <mergeCell ref="G744:H744"/>
    <mergeCell ref="I744:K744"/>
    <mergeCell ref="G745:H745"/>
    <mergeCell ref="I745:K745"/>
    <mergeCell ref="G746:H746"/>
    <mergeCell ref="I746:K746"/>
    <mergeCell ref="G741:H741"/>
    <mergeCell ref="I741:K741"/>
    <mergeCell ref="G742:H742"/>
    <mergeCell ref="I742:K742"/>
    <mergeCell ref="G743:H743"/>
    <mergeCell ref="I743:K743"/>
    <mergeCell ref="B751:R751"/>
    <mergeCell ref="V751:AI751"/>
    <mergeCell ref="D780:D787"/>
    <mergeCell ref="V780:V787"/>
    <mergeCell ref="D788:D795"/>
    <mergeCell ref="V788:V795"/>
    <mergeCell ref="D747:D748"/>
    <mergeCell ref="G747:H747"/>
    <mergeCell ref="I747:K747"/>
    <mergeCell ref="V747:V748"/>
    <mergeCell ref="G748:H748"/>
    <mergeCell ref="I748:K748"/>
    <mergeCell ref="D824:D831"/>
    <mergeCell ref="V824:V831"/>
    <mergeCell ref="D836:D837"/>
    <mergeCell ref="V836:V837"/>
    <mergeCell ref="B840:R840"/>
    <mergeCell ref="V840:AI840"/>
    <mergeCell ref="D800:D807"/>
    <mergeCell ref="V800:V807"/>
    <mergeCell ref="D808:D815"/>
    <mergeCell ref="V808:V815"/>
    <mergeCell ref="D816:D823"/>
    <mergeCell ref="V816:V823"/>
    <mergeCell ref="H855:I855"/>
    <mergeCell ref="J855:L855"/>
    <mergeCell ref="D856:D857"/>
    <mergeCell ref="E856:E857"/>
    <mergeCell ref="H856:I856"/>
    <mergeCell ref="J856:L856"/>
    <mergeCell ref="H852:I852"/>
    <mergeCell ref="J852:L852"/>
    <mergeCell ref="H853:I853"/>
    <mergeCell ref="J853:L853"/>
    <mergeCell ref="H854:I854"/>
    <mergeCell ref="J854:L854"/>
    <mergeCell ref="D860:D861"/>
    <mergeCell ref="E860:E861"/>
    <mergeCell ref="H860:I860"/>
    <mergeCell ref="J860:L860"/>
    <mergeCell ref="V860:V861"/>
    <mergeCell ref="H861:I861"/>
    <mergeCell ref="J861:L861"/>
    <mergeCell ref="V856:V857"/>
    <mergeCell ref="H857:I857"/>
    <mergeCell ref="J857:L857"/>
    <mergeCell ref="H858:I858"/>
    <mergeCell ref="J858:L858"/>
    <mergeCell ref="H859:I859"/>
    <mergeCell ref="J859:L859"/>
    <mergeCell ref="H865:I865"/>
    <mergeCell ref="J865:L865"/>
    <mergeCell ref="H866:I866"/>
    <mergeCell ref="J866:L866"/>
    <mergeCell ref="H867:I867"/>
    <mergeCell ref="J867:L867"/>
    <mergeCell ref="H862:I862"/>
    <mergeCell ref="J862:L862"/>
    <mergeCell ref="H863:I863"/>
    <mergeCell ref="J863:L863"/>
    <mergeCell ref="H864:I864"/>
    <mergeCell ref="J864:L864"/>
    <mergeCell ref="D871:D872"/>
    <mergeCell ref="E871:E872"/>
    <mergeCell ref="H871:I871"/>
    <mergeCell ref="J871:L871"/>
    <mergeCell ref="V871:V872"/>
    <mergeCell ref="H872:I872"/>
    <mergeCell ref="J872:L872"/>
    <mergeCell ref="H868:I868"/>
    <mergeCell ref="J868:L868"/>
    <mergeCell ref="H869:I869"/>
    <mergeCell ref="J869:L869"/>
    <mergeCell ref="H870:I870"/>
    <mergeCell ref="J870:L870"/>
    <mergeCell ref="G888:H888"/>
    <mergeCell ref="G889:H889"/>
    <mergeCell ref="G890:H890"/>
    <mergeCell ref="G891:H891"/>
    <mergeCell ref="G892:H892"/>
    <mergeCell ref="G893:H893"/>
    <mergeCell ref="B875:R875"/>
    <mergeCell ref="V875:AI875"/>
    <mergeCell ref="G884:H884"/>
    <mergeCell ref="G885:H885"/>
    <mergeCell ref="G886:H886"/>
    <mergeCell ref="G887:H887"/>
    <mergeCell ref="B901:R901"/>
    <mergeCell ref="V901:AI901"/>
    <mergeCell ref="G914:H914"/>
    <mergeCell ref="G915:H915"/>
    <mergeCell ref="G916:H916"/>
    <mergeCell ref="G917:H917"/>
    <mergeCell ref="G894:H894"/>
    <mergeCell ref="G895:H895"/>
    <mergeCell ref="G896:H896"/>
    <mergeCell ref="D897:D898"/>
    <mergeCell ref="G897:H897"/>
    <mergeCell ref="V897:V898"/>
    <mergeCell ref="G898:H898"/>
    <mergeCell ref="G924:H924"/>
    <mergeCell ref="G925:H925"/>
    <mergeCell ref="G926:H926"/>
    <mergeCell ref="G927:H927"/>
    <mergeCell ref="D928:D929"/>
    <mergeCell ref="G928:H928"/>
    <mergeCell ref="G918:H918"/>
    <mergeCell ref="G919:H919"/>
    <mergeCell ref="G920:H920"/>
    <mergeCell ref="G921:H921"/>
    <mergeCell ref="G922:H922"/>
    <mergeCell ref="G923:H923"/>
    <mergeCell ref="G946:H946"/>
    <mergeCell ref="G947:H947"/>
    <mergeCell ref="G948:H948"/>
    <mergeCell ref="G949:H949"/>
    <mergeCell ref="G950:H950"/>
    <mergeCell ref="G951:H951"/>
    <mergeCell ref="V928:V929"/>
    <mergeCell ref="G929:H929"/>
    <mergeCell ref="B932:R932"/>
    <mergeCell ref="V932:AI932"/>
    <mergeCell ref="G944:H944"/>
    <mergeCell ref="G945:H945"/>
    <mergeCell ref="G958:H958"/>
    <mergeCell ref="G959:H959"/>
    <mergeCell ref="G960:H960"/>
    <mergeCell ref="D961:D962"/>
    <mergeCell ref="G961:H961"/>
    <mergeCell ref="V961:V962"/>
    <mergeCell ref="G962:H962"/>
    <mergeCell ref="G952:H952"/>
    <mergeCell ref="G953:H953"/>
    <mergeCell ref="G954:H954"/>
    <mergeCell ref="G955:H955"/>
    <mergeCell ref="G956:H956"/>
    <mergeCell ref="G957:H957"/>
    <mergeCell ref="B965:R965"/>
    <mergeCell ref="V965:AI965"/>
    <mergeCell ref="C967:C968"/>
    <mergeCell ref="D967:D968"/>
    <mergeCell ref="E967:E968"/>
    <mergeCell ref="F967:F968"/>
    <mergeCell ref="G967:G968"/>
    <mergeCell ref="H967:H968"/>
    <mergeCell ref="I967:I968"/>
    <mergeCell ref="J967:J968"/>
    <mergeCell ref="R967:R968"/>
    <mergeCell ref="O967:O968"/>
    <mergeCell ref="P967:Q967"/>
    <mergeCell ref="F1000:G1000"/>
    <mergeCell ref="H1000:I1000"/>
    <mergeCell ref="H1001:I1001"/>
    <mergeCell ref="H1002:I1002"/>
    <mergeCell ref="H1003:I1003"/>
    <mergeCell ref="K967:K968"/>
    <mergeCell ref="L967:L968"/>
    <mergeCell ref="M967:M968"/>
    <mergeCell ref="N967:N968"/>
    <mergeCell ref="H1010:I1010"/>
    <mergeCell ref="H1011:I1011"/>
    <mergeCell ref="H1012:I1012"/>
    <mergeCell ref="H1013:I1013"/>
    <mergeCell ref="H1014:I1014"/>
    <mergeCell ref="H1015:I1015"/>
    <mergeCell ref="H1004:I1004"/>
    <mergeCell ref="H1005:I1005"/>
    <mergeCell ref="H1006:I1006"/>
    <mergeCell ref="H1007:I1007"/>
    <mergeCell ref="H1008:I1008"/>
    <mergeCell ref="H1009:I1009"/>
    <mergeCell ref="H1022:I1022"/>
    <mergeCell ref="H1023:I1023"/>
    <mergeCell ref="H1024:I1024"/>
    <mergeCell ref="H1025:I1025"/>
    <mergeCell ref="H1026:I1026"/>
    <mergeCell ref="H1027:I1027"/>
    <mergeCell ref="H1016:I1016"/>
    <mergeCell ref="H1017:I1017"/>
    <mergeCell ref="H1018:I1018"/>
    <mergeCell ref="H1019:I1019"/>
    <mergeCell ref="H1020:I1020"/>
    <mergeCell ref="H1021:I1021"/>
    <mergeCell ref="H1034:I1034"/>
    <mergeCell ref="H1035:I1035"/>
    <mergeCell ref="H1036:I1036"/>
    <mergeCell ref="H1037:I1037"/>
    <mergeCell ref="H1038:I1038"/>
    <mergeCell ref="H1039:I1039"/>
    <mergeCell ref="H1028:I1028"/>
    <mergeCell ref="H1029:I1029"/>
    <mergeCell ref="H1030:I1030"/>
    <mergeCell ref="H1031:I1031"/>
    <mergeCell ref="H1032:I1032"/>
    <mergeCell ref="H1033:I1033"/>
    <mergeCell ref="H1046:I1046"/>
    <mergeCell ref="H1047:I1047"/>
    <mergeCell ref="H1048:I1048"/>
    <mergeCell ref="H1049:I1049"/>
    <mergeCell ref="H1050:I1050"/>
    <mergeCell ref="H1051:I1051"/>
    <mergeCell ref="H1040:I1040"/>
    <mergeCell ref="H1041:I1041"/>
    <mergeCell ref="H1042:I1042"/>
    <mergeCell ref="H1043:I1043"/>
    <mergeCell ref="H1044:I1044"/>
    <mergeCell ref="H1045:I1045"/>
    <mergeCell ref="D1052:D1053"/>
    <mergeCell ref="H1052:I1052"/>
    <mergeCell ref="V1052:V1053"/>
    <mergeCell ref="H1053:I1053"/>
    <mergeCell ref="D1054:D1055"/>
    <mergeCell ref="E1054:E1055"/>
    <mergeCell ref="F1054:F1055"/>
    <mergeCell ref="G1054:G1055"/>
    <mergeCell ref="H1054:I1055"/>
    <mergeCell ref="H1064:I1064"/>
    <mergeCell ref="H1065:I1065"/>
    <mergeCell ref="H1066:I1066"/>
    <mergeCell ref="H1067:I1067"/>
    <mergeCell ref="H1068:I1068"/>
    <mergeCell ref="H1069:I1069"/>
    <mergeCell ref="D1056:D1075"/>
    <mergeCell ref="H1056:I1056"/>
    <mergeCell ref="V1056:V1075"/>
    <mergeCell ref="H1057:I1057"/>
    <mergeCell ref="H1058:I1058"/>
    <mergeCell ref="H1059:I1059"/>
    <mergeCell ref="H1060:I1060"/>
    <mergeCell ref="H1061:I1061"/>
    <mergeCell ref="H1062:I1062"/>
    <mergeCell ref="H1063:I1063"/>
    <mergeCell ref="H1070:I1070"/>
    <mergeCell ref="H1071:I1071"/>
    <mergeCell ref="H1072:I1072"/>
    <mergeCell ref="H1073:I1073"/>
    <mergeCell ref="H1074:I1074"/>
    <mergeCell ref="J1098:L1098"/>
    <mergeCell ref="F1099:I1099"/>
    <mergeCell ref="J1099:L1099"/>
    <mergeCell ref="D1100:D1101"/>
    <mergeCell ref="F1100:I1100"/>
    <mergeCell ref="J1100:L1100"/>
    <mergeCell ref="V1078:AI1078"/>
    <mergeCell ref="H1093:I1093"/>
    <mergeCell ref="J1093:L1093"/>
    <mergeCell ref="J1095:L1095"/>
    <mergeCell ref="J1096:L1096"/>
    <mergeCell ref="J1097:L1097"/>
    <mergeCell ref="V1100:V1101"/>
    <mergeCell ref="F1101:I1101"/>
    <mergeCell ref="J1101:L1101"/>
    <mergeCell ref="B1078:R1078"/>
    <mergeCell ref="F1163:H1163"/>
    <mergeCell ref="F1164:H1164"/>
    <mergeCell ref="B1106:R1106"/>
    <mergeCell ref="V1106:AI1106"/>
    <mergeCell ref="I1118:R1118"/>
    <mergeCell ref="I1119:I1120"/>
    <mergeCell ref="K1119:M1119"/>
    <mergeCell ref="N1119:R1119"/>
    <mergeCell ref="D1102:D1103"/>
    <mergeCell ref="F1102:I1102"/>
    <mergeCell ref="J1102:L1102"/>
    <mergeCell ref="V1102:V1103"/>
    <mergeCell ref="F1103:I1103"/>
    <mergeCell ref="J1103:L1103"/>
    <mergeCell ref="D1133:D1134"/>
    <mergeCell ref="V1133:V1134"/>
    <mergeCell ref="B1139:O1139"/>
    <mergeCell ref="V1139:AI1139"/>
  </mergeCells>
  <hyperlinks>
    <hyperlink ref="J922" r:id="rId1" display="https://www.efis.psc.mo.gov/mpsc/commoncomponents/viewdocument.asp?DocId=935658483"/>
    <hyperlink ref="H710" r:id="rId2" display="https://www.efis.psc.mo.gov/mpsc/commoncomponents/viewdocument.asp?DocId=935658483"/>
    <hyperlink ref="H865" r:id="rId3" display="https://www.efis.psc.mo.gov/mpsc/commoncomponents/viewdocument.asp?DocId=935658483"/>
    <hyperlink ref="G922" r:id="rId4" display="https://www.efis.psc.mo.gov/mpsc/commoncomponents/viewdocument.asp?DocId=935658483"/>
    <hyperlink ref="G955" r:id="rId5" display="https://www.efis.psc.mo.gov/mpsc/commoncomponents/viewdocument.asp?DocId=935658483"/>
    <hyperlink ref="H670" r:id="rId6" display="https://www.efis.psc.mo.gov/mpsc/commoncomponents/viewdocument.asp?DocId=935658483"/>
  </hyperlinks>
  <pageMargins left="0.7" right="0.7" top="0.75" bottom="0.75" header="0.3" footer="0.3"/>
  <pageSetup scale="12" fitToHeight="0" orientation="landscape" r:id="rId7"/>
  <rowBreaks count="4" manualBreakCount="4">
    <brk id="494" max="68" man="1"/>
    <brk id="749" max="68" man="1"/>
    <brk id="1011" max="68" man="1"/>
    <brk id="1076" max="68" man="1"/>
  </rowBreaks>
  <drawing r:id="rId8"/>
  <legacyDrawing r:id="rId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I7"/>
  <sheetViews>
    <sheetView tabSelected="1" view="pageBreakPreview" zoomScale="70" zoomScaleNormal="70" zoomScaleSheetLayoutView="70" workbookViewId="0">
      <selection activeCell="F11" sqref="F11"/>
    </sheetView>
  </sheetViews>
  <sheetFormatPr defaultRowHeight="15" outlineLevelRow="1" x14ac:dyDescent="0.25"/>
  <cols>
    <col min="3" max="3" width="11.85546875" style="113" customWidth="1"/>
    <col min="4" max="4" width="18.85546875" style="127" bestFit="1" customWidth="1"/>
    <col min="5" max="5" width="37" style="127" customWidth="1"/>
    <col min="6" max="6" width="19.85546875" customWidth="1"/>
    <col min="7" max="7" width="18.7109375" bestFit="1" customWidth="1"/>
    <col min="8" max="8" width="16.85546875" customWidth="1"/>
    <col min="9" max="11" width="12.5703125" customWidth="1"/>
    <col min="12" max="12" width="16.85546875" customWidth="1"/>
    <col min="15" max="15" width="24.140625" customWidth="1"/>
    <col min="16" max="16" width="18.85546875" bestFit="1" customWidth="1"/>
    <col min="17" max="17" width="37" customWidth="1"/>
    <col min="18" max="18" width="2.42578125" customWidth="1"/>
    <col min="22" max="22" width="22" customWidth="1"/>
    <col min="23" max="35" width="14.5703125" customWidth="1"/>
  </cols>
  <sheetData>
    <row r="1" spans="1:35" s="22" customFormat="1" ht="18.75" x14ac:dyDescent="0.3">
      <c r="A1" s="2028" t="s">
        <v>1631</v>
      </c>
      <c r="B1" s="2097"/>
      <c r="C1" s="2097"/>
      <c r="D1" s="2097"/>
      <c r="E1" s="2097"/>
      <c r="F1" s="2097"/>
      <c r="G1" s="2097"/>
      <c r="H1" s="2097"/>
      <c r="I1" s="2097"/>
      <c r="J1" s="2097"/>
      <c r="K1" s="2097"/>
      <c r="L1" s="2097"/>
      <c r="M1" s="2097"/>
      <c r="N1" s="2097"/>
      <c r="O1" s="2097"/>
      <c r="P1" s="2028"/>
      <c r="Q1" s="2097"/>
      <c r="R1" s="2097"/>
      <c r="V1" s="27"/>
      <c r="W1" s="28"/>
      <c r="X1" s="28"/>
      <c r="Y1" s="29"/>
      <c r="Z1" s="29"/>
      <c r="AA1" s="29"/>
      <c r="AB1" s="29"/>
      <c r="AC1" s="29"/>
      <c r="AD1" s="29"/>
      <c r="AE1" s="29"/>
      <c r="AF1" s="29"/>
      <c r="AG1" s="29"/>
      <c r="AH1" s="29"/>
    </row>
    <row r="2" spans="1:35" s="22" customFormat="1" ht="27.75" customHeight="1" outlineLevel="1" x14ac:dyDescent="0.35">
      <c r="B2" s="25"/>
      <c r="C2" s="30"/>
      <c r="D2" s="2389" t="s">
        <v>13</v>
      </c>
      <c r="E2" s="2390"/>
      <c r="F2" s="2391"/>
      <c r="G2" s="2391"/>
      <c r="H2" s="2391"/>
      <c r="I2" s="2391"/>
      <c r="J2" s="2391"/>
      <c r="K2" s="26"/>
      <c r="L2" s="26"/>
    </row>
    <row r="3" spans="1:35" s="22" customFormat="1" ht="24" customHeight="1" x14ac:dyDescent="0.35">
      <c r="B3" s="25"/>
      <c r="C3" s="30"/>
      <c r="D3" s="1047"/>
      <c r="E3" s="1048"/>
      <c r="F3" s="1049"/>
      <c r="G3" s="1049"/>
      <c r="H3" s="1049"/>
      <c r="I3" s="1049"/>
      <c r="J3" s="1049"/>
      <c r="K3" s="26"/>
      <c r="L3" s="26"/>
      <c r="V3" s="24"/>
      <c r="W3" s="24"/>
      <c r="X3" s="24"/>
      <c r="Y3" s="24"/>
      <c r="Z3" s="24"/>
      <c r="AA3" s="24"/>
      <c r="AB3" s="24"/>
      <c r="AC3" s="24"/>
      <c r="AD3" s="24"/>
      <c r="AE3" s="24"/>
      <c r="AF3" s="24"/>
      <c r="AG3" s="24"/>
      <c r="AH3" s="24"/>
      <c r="AI3" s="24"/>
    </row>
    <row r="4" spans="1:35" x14ac:dyDescent="0.25">
      <c r="B4" s="2022" t="s">
        <v>1632</v>
      </c>
      <c r="C4" s="2023"/>
      <c r="D4" s="2023"/>
      <c r="E4" s="2023"/>
      <c r="F4" s="2023"/>
      <c r="G4" s="2023"/>
      <c r="H4" s="2023"/>
      <c r="I4" s="2023"/>
      <c r="J4" s="2023"/>
      <c r="K4" s="2023"/>
      <c r="L4" s="2196"/>
      <c r="V4" s="2022" t="str">
        <f>B4</f>
        <v>Home Energy Report</v>
      </c>
      <c r="W4" s="2023"/>
      <c r="X4" s="2023"/>
      <c r="Y4" s="2023"/>
      <c r="Z4" s="2023"/>
      <c r="AA4" s="2023"/>
      <c r="AB4" s="2023"/>
      <c r="AC4" s="2024"/>
      <c r="AD4" s="2024"/>
      <c r="AE4" s="2024"/>
      <c r="AF4" s="2024"/>
      <c r="AG4" s="2024"/>
      <c r="AH4" s="2024"/>
      <c r="AI4" s="2025"/>
    </row>
    <row r="5" spans="1:35" x14ac:dyDescent="0.25">
      <c r="V5" s="249"/>
      <c r="W5" s="249"/>
      <c r="X5" s="249"/>
      <c r="Y5" s="249"/>
      <c r="Z5" s="249"/>
      <c r="AA5" s="249"/>
      <c r="AB5" s="249"/>
      <c r="AC5" s="249"/>
      <c r="AD5" s="249"/>
      <c r="AE5" s="249"/>
      <c r="AF5" s="249"/>
      <c r="AG5" s="249"/>
      <c r="AH5" s="249"/>
      <c r="AI5" s="249"/>
    </row>
    <row r="6" spans="1:35" ht="45" customHeight="1" x14ac:dyDescent="0.25">
      <c r="C6" s="114" t="s">
        <v>16</v>
      </c>
      <c r="D6" s="114" t="s">
        <v>509</v>
      </c>
      <c r="E6" s="114" t="s">
        <v>18</v>
      </c>
      <c r="F6" s="114" t="s">
        <v>19</v>
      </c>
      <c r="G6" s="114" t="s">
        <v>20</v>
      </c>
      <c r="H6" s="114" t="s">
        <v>21</v>
      </c>
      <c r="I6" s="114" t="s">
        <v>22</v>
      </c>
      <c r="J6" s="114" t="s">
        <v>23</v>
      </c>
      <c r="K6" s="114" t="s">
        <v>24</v>
      </c>
      <c r="L6" s="114" t="s">
        <v>25</v>
      </c>
      <c r="V6" s="48" t="s">
        <v>26</v>
      </c>
      <c r="W6" s="49">
        <v>43252</v>
      </c>
      <c r="X6" s="49">
        <v>43465</v>
      </c>
      <c r="Y6" s="49" t="s">
        <v>27</v>
      </c>
      <c r="Z6" s="49" t="s">
        <v>27</v>
      </c>
      <c r="AA6" s="49" t="s">
        <v>27</v>
      </c>
      <c r="AB6" s="49" t="s">
        <v>27</v>
      </c>
      <c r="AC6" s="49" t="s">
        <v>27</v>
      </c>
      <c r="AD6" s="49" t="s">
        <v>27</v>
      </c>
      <c r="AE6" s="49" t="s">
        <v>27</v>
      </c>
      <c r="AF6" s="49" t="s">
        <v>27</v>
      </c>
      <c r="AG6" s="49" t="s">
        <v>27</v>
      </c>
      <c r="AH6" s="249"/>
      <c r="AI6" s="249"/>
    </row>
    <row r="7" spans="1:35" x14ac:dyDescent="0.25">
      <c r="C7" s="115"/>
      <c r="D7" s="323" t="s">
        <v>612</v>
      </c>
      <c r="E7" s="1050" t="s">
        <v>1633</v>
      </c>
      <c r="F7" s="396">
        <v>39.1</v>
      </c>
      <c r="G7" s="1052" t="s">
        <v>1248</v>
      </c>
      <c r="H7" s="120">
        <f>VLOOKUP(G7,'CP FACTORS'!$A$3:$B$38, 2, FALSE)</f>
        <v>4.6608050000000002E-4</v>
      </c>
      <c r="I7" s="1053">
        <f>F7*H7</f>
        <v>1.8223747550000002E-2</v>
      </c>
      <c r="J7" s="1051">
        <v>1</v>
      </c>
      <c r="K7" s="1054">
        <v>0</v>
      </c>
      <c r="L7" s="442" t="s">
        <v>1634</v>
      </c>
      <c r="V7" s="176" t="str">
        <f>F6</f>
        <v>kWh Annual Savings</v>
      </c>
      <c r="W7" s="177">
        <v>150</v>
      </c>
      <c r="X7" s="396">
        <v>39.1</v>
      </c>
      <c r="Y7" s="176"/>
      <c r="Z7" s="176"/>
      <c r="AA7" s="176"/>
      <c r="AB7" s="176"/>
      <c r="AC7" s="176"/>
      <c r="AD7" s="176"/>
      <c r="AE7" s="176"/>
      <c r="AF7" s="176"/>
      <c r="AG7" s="176"/>
      <c r="AH7" s="801"/>
      <c r="AI7" s="801"/>
    </row>
  </sheetData>
  <mergeCells count="5">
    <mergeCell ref="A1:O1"/>
    <mergeCell ref="P1:R1"/>
    <mergeCell ref="D2:J2"/>
    <mergeCell ref="B4:L4"/>
    <mergeCell ref="V4:AI4"/>
  </mergeCells>
  <pageMargins left="0.7" right="0.7" top="0.75" bottom="0.75" header="0.3" footer="0.3"/>
  <pageSetup scale="22" fitToHeight="0" orientation="landscape"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F512"/>
  <sheetViews>
    <sheetView view="pageBreakPreview" zoomScale="55" zoomScaleNormal="70" zoomScaleSheetLayoutView="55" workbookViewId="0">
      <selection activeCell="W486" sqref="W486:X487"/>
    </sheetView>
  </sheetViews>
  <sheetFormatPr defaultRowHeight="15" outlineLevelRow="1" x14ac:dyDescent="0.25"/>
  <cols>
    <col min="1" max="1" width="3" customWidth="1"/>
    <col min="2" max="2" width="9.140625" style="130"/>
    <col min="3" max="3" width="12.28515625" style="616" customWidth="1"/>
    <col min="4" max="4" width="19.140625" style="658" customWidth="1"/>
    <col min="5" max="5" width="60.5703125" style="658" customWidth="1"/>
    <col min="6" max="6" width="28" style="130" customWidth="1"/>
    <col min="7" max="7" width="19.5703125" style="130" customWidth="1"/>
    <col min="8" max="8" width="37.85546875" style="130" customWidth="1"/>
    <col min="9" max="9" width="14.7109375" style="130" customWidth="1"/>
    <col min="10" max="10" width="16.28515625" style="130" customWidth="1"/>
    <col min="11" max="11" width="12.7109375" style="130" customWidth="1"/>
    <col min="12" max="12" width="13.42578125" style="130" customWidth="1"/>
    <col min="13" max="13" width="14" style="130" customWidth="1"/>
    <col min="14" max="14" width="14.85546875" style="130" customWidth="1"/>
    <col min="15" max="16" width="11.85546875" style="130" customWidth="1"/>
    <col min="17" max="18" width="12.85546875" style="130" customWidth="1"/>
    <col min="19" max="21" width="9.140625" style="130" customWidth="1"/>
    <col min="22" max="22" width="31.85546875" style="130" customWidth="1"/>
    <col min="23" max="23" width="14.5703125" customWidth="1"/>
    <col min="24" max="24" width="18.7109375" customWidth="1"/>
    <col min="25" max="35" width="14.5703125" customWidth="1"/>
    <col min="36" max="57" width="14.7109375" customWidth="1"/>
    <col min="58" max="58" width="3.140625" customWidth="1"/>
    <col min="59" max="69" width="14.7109375" customWidth="1"/>
  </cols>
  <sheetData>
    <row r="1" spans="1:36" s="22" customFormat="1" ht="18.75" x14ac:dyDescent="0.3">
      <c r="A1" s="2028" t="s">
        <v>1635</v>
      </c>
      <c r="B1" s="2097"/>
      <c r="C1" s="2097"/>
      <c r="D1" s="2097"/>
      <c r="E1" s="2097" t="s">
        <v>1636</v>
      </c>
      <c r="F1" s="2097"/>
      <c r="G1" s="2097"/>
      <c r="H1" s="2097"/>
      <c r="I1" s="2097"/>
      <c r="J1" s="2097"/>
      <c r="K1" s="2097"/>
      <c r="L1" s="2097"/>
      <c r="M1" s="2097"/>
      <c r="N1" s="2097"/>
      <c r="O1" s="2097"/>
      <c r="P1" s="2030"/>
      <c r="Q1" s="2225"/>
      <c r="R1" s="2225"/>
      <c r="S1" s="1222"/>
      <c r="T1" s="1222"/>
      <c r="U1" s="1222"/>
      <c r="V1" s="1952"/>
      <c r="W1" s="28"/>
      <c r="X1" s="28"/>
      <c r="Y1" s="29"/>
      <c r="Z1" s="29"/>
      <c r="AA1" s="29"/>
      <c r="AB1" s="29"/>
      <c r="AC1" s="29"/>
      <c r="AD1" s="29"/>
      <c r="AE1" s="29"/>
      <c r="AF1" s="29"/>
      <c r="AG1" s="29"/>
      <c r="AH1" s="29"/>
    </row>
    <row r="2" spans="1:36" s="22" customFormat="1" ht="30" hidden="1" customHeight="1" outlineLevel="1" x14ac:dyDescent="0.35">
      <c r="B2" s="1226"/>
      <c r="C2" s="1229"/>
      <c r="D2" s="2002" t="s">
        <v>1858</v>
      </c>
      <c r="E2" s="2032"/>
      <c r="F2" s="2033"/>
      <c r="G2" s="2033"/>
      <c r="H2" s="2033"/>
      <c r="I2" s="2033"/>
      <c r="J2" s="2033"/>
      <c r="K2" s="1228"/>
      <c r="L2" s="1228"/>
      <c r="M2" s="1222"/>
      <c r="N2" s="1222"/>
      <c r="O2" s="1222"/>
      <c r="P2" s="1222"/>
      <c r="Q2" s="1222"/>
      <c r="R2" s="1222"/>
      <c r="S2" s="1222"/>
      <c r="T2" s="1222"/>
      <c r="U2" s="1222"/>
      <c r="V2" s="1222"/>
    </row>
    <row r="3" spans="1:36" s="22" customFormat="1" ht="25.5" customHeight="1" collapsed="1" x14ac:dyDescent="0.35">
      <c r="B3" s="1226"/>
      <c r="C3" s="1229"/>
      <c r="D3" s="1900"/>
      <c r="E3" s="1901"/>
      <c r="F3" s="1902"/>
      <c r="G3" s="1902"/>
      <c r="H3" s="1902"/>
      <c r="I3" s="1902"/>
      <c r="J3" s="1902"/>
      <c r="K3" s="1228"/>
      <c r="L3" s="1228"/>
      <c r="M3" s="1222"/>
      <c r="N3" s="1222"/>
      <c r="O3" s="1222"/>
      <c r="P3" s="1222"/>
      <c r="Q3" s="1222"/>
      <c r="R3" s="1222"/>
      <c r="S3" s="1222"/>
      <c r="T3" s="1222"/>
      <c r="U3" s="1222"/>
      <c r="V3" s="1223"/>
      <c r="W3" s="24"/>
      <c r="X3" s="24"/>
      <c r="Y3" s="24"/>
      <c r="Z3" s="24"/>
      <c r="AA3" s="24"/>
      <c r="AB3" s="24"/>
      <c r="AC3" s="24"/>
      <c r="AD3" s="24"/>
      <c r="AE3" s="24"/>
      <c r="AF3" s="24"/>
      <c r="AG3" s="24"/>
      <c r="AH3" s="24"/>
      <c r="AI3" s="24"/>
    </row>
    <row r="4" spans="1:36" s="165" customFormat="1" x14ac:dyDescent="0.25">
      <c r="B4" s="2022" t="s">
        <v>1206</v>
      </c>
      <c r="C4" s="2023"/>
      <c r="D4" s="2023"/>
      <c r="E4" s="2023"/>
      <c r="F4" s="2023"/>
      <c r="G4" s="2023"/>
      <c r="H4" s="2023"/>
      <c r="I4" s="2023"/>
      <c r="J4" s="2023"/>
      <c r="K4" s="2023"/>
      <c r="L4" s="2023"/>
      <c r="M4" s="2023"/>
      <c r="N4" s="2023"/>
      <c r="O4" s="2023"/>
      <c r="P4" s="2023"/>
      <c r="Q4" s="2196"/>
      <c r="V4" s="2022" t="str">
        <f>B4</f>
        <v>AC Tune-up</v>
      </c>
      <c r="W4" s="2023"/>
      <c r="X4" s="2023"/>
      <c r="Y4" s="2023"/>
      <c r="Z4" s="2023"/>
      <c r="AA4" s="2023"/>
      <c r="AB4" s="2023"/>
      <c r="AC4" s="2024"/>
      <c r="AD4" s="2024"/>
      <c r="AE4" s="2024"/>
      <c r="AF4" s="2024"/>
      <c r="AG4" s="2024"/>
      <c r="AH4" s="2024"/>
      <c r="AI4" s="2025"/>
      <c r="AJ4"/>
    </row>
    <row r="5" spans="1:36" ht="18" customHeight="1" x14ac:dyDescent="0.25">
      <c r="B5" s="175"/>
      <c r="C5" s="1410"/>
      <c r="D5" s="1411"/>
      <c r="E5" s="1411"/>
      <c r="F5" s="175"/>
      <c r="G5" s="175"/>
      <c r="H5" s="175"/>
      <c r="I5" s="175"/>
      <c r="J5" s="175"/>
      <c r="K5" s="175"/>
      <c r="L5" s="175"/>
      <c r="M5" s="175"/>
      <c r="N5" s="175"/>
      <c r="O5" s="175"/>
      <c r="P5" s="175"/>
      <c r="Q5" s="175"/>
      <c r="V5" s="904"/>
      <c r="W5" s="249"/>
      <c r="X5" s="249"/>
      <c r="Y5" s="249"/>
      <c r="Z5" s="249"/>
      <c r="AA5" s="249"/>
      <c r="AB5" s="249"/>
      <c r="AC5" s="249"/>
      <c r="AD5" s="249"/>
      <c r="AE5" s="249"/>
      <c r="AF5" s="249"/>
      <c r="AG5" s="249"/>
      <c r="AH5" s="249"/>
      <c r="AI5" s="249"/>
    </row>
    <row r="6" spans="1:36" ht="45" x14ac:dyDescent="0.25">
      <c r="B6" s="1139"/>
      <c r="C6" s="184" t="s">
        <v>16</v>
      </c>
      <c r="D6" s="184" t="s">
        <v>509</v>
      </c>
      <c r="E6" s="184" t="s">
        <v>18</v>
      </c>
      <c r="F6" s="184" t="s">
        <v>19</v>
      </c>
      <c r="G6" s="184" t="s">
        <v>20</v>
      </c>
      <c r="H6" s="184" t="s">
        <v>21</v>
      </c>
      <c r="I6" s="184" t="s">
        <v>22</v>
      </c>
      <c r="J6" s="448" t="s">
        <v>23</v>
      </c>
      <c r="K6" s="184" t="s">
        <v>24</v>
      </c>
      <c r="L6" s="184" t="s">
        <v>25</v>
      </c>
      <c r="M6" s="1139"/>
      <c r="N6" s="1139"/>
      <c r="O6" s="1139"/>
      <c r="P6" s="1139"/>
      <c r="Q6" s="1139"/>
      <c r="V6" s="490" t="s">
        <v>26</v>
      </c>
      <c r="W6" s="49">
        <v>43252</v>
      </c>
      <c r="X6" s="49">
        <v>43465</v>
      </c>
      <c r="Y6" s="49" t="s">
        <v>27</v>
      </c>
      <c r="Z6" s="49" t="s">
        <v>27</v>
      </c>
      <c r="AA6" s="49" t="s">
        <v>27</v>
      </c>
      <c r="AB6" s="49" t="s">
        <v>27</v>
      </c>
      <c r="AC6" s="49" t="s">
        <v>27</v>
      </c>
      <c r="AD6" s="49" t="s">
        <v>27</v>
      </c>
      <c r="AE6" s="49" t="s">
        <v>27</v>
      </c>
      <c r="AF6" s="49" t="s">
        <v>27</v>
      </c>
      <c r="AG6" s="49" t="s">
        <v>27</v>
      </c>
      <c r="AH6" s="249"/>
      <c r="AI6" s="249"/>
    </row>
    <row r="7" spans="1:36" x14ac:dyDescent="0.25">
      <c r="B7" s="1139"/>
      <c r="C7" s="1137"/>
      <c r="D7" s="1066" t="s">
        <v>1637</v>
      </c>
      <c r="E7" s="208" t="s">
        <v>1638</v>
      </c>
      <c r="F7" s="1702">
        <f>(G17*G18*(1/G19-1/G20)/G24)</f>
        <v>80.326093903186262</v>
      </c>
      <c r="G7" s="1660" t="s">
        <v>578</v>
      </c>
      <c r="H7" s="170">
        <f>VLOOKUP(G7,'CP FACTORS'!$A$3:$B$38, 2, FALSE)</f>
        <v>9.4741810000000004E-4</v>
      </c>
      <c r="I7" s="1639">
        <f>F7*H7</f>
        <v>7.6102395266178319E-2</v>
      </c>
      <c r="J7" s="881">
        <f>$G$25</f>
        <v>2</v>
      </c>
      <c r="K7" s="1059">
        <f>G26</f>
        <v>70</v>
      </c>
      <c r="L7" s="1903" t="s">
        <v>31</v>
      </c>
      <c r="M7" s="1139"/>
      <c r="N7" s="1139"/>
      <c r="O7" s="1139"/>
      <c r="P7" s="1139"/>
      <c r="Q7" s="1139"/>
      <c r="V7" s="621" t="str">
        <f>F6</f>
        <v>kWh Annual Savings</v>
      </c>
      <c r="W7" s="1974">
        <v>80.326093903186262</v>
      </c>
      <c r="X7" s="1964">
        <v>80.326093903186262</v>
      </c>
      <c r="Y7" s="176"/>
      <c r="Z7" s="176"/>
      <c r="AA7" s="176"/>
      <c r="AB7" s="176"/>
      <c r="AC7" s="176"/>
      <c r="AD7" s="176"/>
      <c r="AE7" s="176"/>
      <c r="AF7" s="176"/>
      <c r="AG7" s="176"/>
      <c r="AH7" s="801"/>
      <c r="AI7" s="801"/>
    </row>
    <row r="8" spans="1:36" x14ac:dyDescent="0.25">
      <c r="B8" s="175"/>
      <c r="C8" s="1137"/>
      <c r="D8" s="1066" t="s">
        <v>1637</v>
      </c>
      <c r="E8" s="208" t="s">
        <v>1639</v>
      </c>
      <c r="F8" s="1702">
        <f>(G17*G18*(1/G19-1/G21)/G24)</f>
        <v>335.03166535854984</v>
      </c>
      <c r="G8" s="1660" t="s">
        <v>578</v>
      </c>
      <c r="H8" s="170">
        <f>VLOOKUP(G8,'CP FACTORS'!$A$3:$B$38, 2, FALSE)</f>
        <v>9.4741810000000004E-4</v>
      </c>
      <c r="I8" s="1639">
        <f>F8*H8</f>
        <v>0.31741506383383311</v>
      </c>
      <c r="J8" s="881">
        <f t="shared" ref="J8:J10" si="0">$G$25</f>
        <v>2</v>
      </c>
      <c r="K8" s="1059">
        <f t="shared" ref="K8:K10" si="1">G27</f>
        <v>81</v>
      </c>
      <c r="L8" s="1903" t="s">
        <v>31</v>
      </c>
      <c r="M8" s="175"/>
      <c r="N8" s="175"/>
      <c r="O8" s="175"/>
      <c r="P8" s="175"/>
      <c r="Q8" s="175"/>
      <c r="T8" s="1568"/>
      <c r="U8" s="1594"/>
      <c r="V8" s="621" t="str">
        <f>V7</f>
        <v>kWh Annual Savings</v>
      </c>
      <c r="W8" s="1974">
        <v>335.03166535854984</v>
      </c>
      <c r="X8" s="1964">
        <v>335.03166535854984</v>
      </c>
      <c r="Y8" s="176"/>
      <c r="Z8" s="176"/>
      <c r="AA8" s="176"/>
      <c r="AB8" s="176"/>
      <c r="AC8" s="176"/>
      <c r="AD8" s="176"/>
      <c r="AE8" s="176"/>
      <c r="AF8" s="176"/>
      <c r="AG8" s="176"/>
    </row>
    <row r="9" spans="1:36" s="37" customFormat="1" x14ac:dyDescent="0.25">
      <c r="B9" s="175"/>
      <c r="C9" s="1137"/>
      <c r="D9" s="1066" t="s">
        <v>1637</v>
      </c>
      <c r="E9" s="208" t="s">
        <v>1640</v>
      </c>
      <c r="F9" s="1702">
        <f>(G17*G18*(1/G19-1/G22)/G24)</f>
        <v>55.452200250259111</v>
      </c>
      <c r="G9" s="1660" t="s">
        <v>578</v>
      </c>
      <c r="H9" s="170">
        <f>VLOOKUP(G9,'CP FACTORS'!$A$3:$B$38, 2, FALSE)</f>
        <v>9.4741810000000004E-4</v>
      </c>
      <c r="I9" s="1639">
        <f>F9*H9</f>
        <v>5.253641820192001E-2</v>
      </c>
      <c r="J9" s="881">
        <f t="shared" si="0"/>
        <v>2</v>
      </c>
      <c r="K9" s="1059">
        <f t="shared" si="1"/>
        <v>63</v>
      </c>
      <c r="L9" s="1903" t="s">
        <v>31</v>
      </c>
      <c r="M9" s="175"/>
      <c r="N9" s="175"/>
      <c r="O9" s="175"/>
      <c r="P9" s="175"/>
      <c r="Q9" s="175"/>
      <c r="R9" s="1411"/>
      <c r="S9" s="175"/>
      <c r="T9" s="175"/>
      <c r="U9" s="175"/>
      <c r="V9" s="621" t="str">
        <f t="shared" ref="V9:V10" si="2">V8</f>
        <v>kWh Annual Savings</v>
      </c>
      <c r="W9" s="1974">
        <v>55.452200250259111</v>
      </c>
      <c r="X9" s="1964">
        <v>55.452200250259111</v>
      </c>
      <c r="Y9" s="176"/>
      <c r="Z9" s="176"/>
      <c r="AA9" s="176"/>
      <c r="AB9" s="176"/>
      <c r="AC9" s="176"/>
      <c r="AD9" s="176"/>
      <c r="AE9" s="176"/>
      <c r="AF9" s="176"/>
      <c r="AG9" s="176"/>
      <c r="AH9"/>
      <c r="AI9"/>
      <c r="AJ9"/>
    </row>
    <row r="10" spans="1:36" s="37" customFormat="1" x14ac:dyDescent="0.25">
      <c r="B10" s="175"/>
      <c r="C10" s="1137"/>
      <c r="D10" s="1066" t="s">
        <v>1637</v>
      </c>
      <c r="E10" s="208" t="s">
        <v>1641</v>
      </c>
      <c r="F10" s="1702">
        <f>(G17*G18*(1/G19-1/G23)/G24)</f>
        <v>110.90169564708388</v>
      </c>
      <c r="G10" s="1660" t="s">
        <v>578</v>
      </c>
      <c r="H10" s="170">
        <f>VLOOKUP(G10,'CP FACTORS'!$A$3:$B$38, 2, FALSE)</f>
        <v>9.4741810000000004E-4</v>
      </c>
      <c r="I10" s="1639">
        <f>F10*H10</f>
        <v>0.10507027377673848</v>
      </c>
      <c r="J10" s="881">
        <f t="shared" si="0"/>
        <v>2</v>
      </c>
      <c r="K10" s="1059">
        <f t="shared" si="1"/>
        <v>31</v>
      </c>
      <c r="L10" s="1903" t="s">
        <v>31</v>
      </c>
      <c r="M10" s="175"/>
      <c r="N10" s="175"/>
      <c r="O10" s="175"/>
      <c r="P10" s="175"/>
      <c r="Q10" s="175"/>
      <c r="R10" s="1411"/>
      <c r="S10" s="175"/>
      <c r="T10" s="175"/>
      <c r="U10" s="175"/>
      <c r="V10" s="621" t="str">
        <f t="shared" si="2"/>
        <v>kWh Annual Savings</v>
      </c>
      <c r="W10" s="1974">
        <v>110.90169564708388</v>
      </c>
      <c r="X10" s="1964">
        <v>110.90169564708388</v>
      </c>
      <c r="Y10" s="176"/>
      <c r="Z10" s="176"/>
      <c r="AA10" s="176"/>
      <c r="AB10" s="176"/>
      <c r="AC10" s="176"/>
      <c r="AD10" s="176"/>
      <c r="AE10" s="176"/>
      <c r="AF10" s="176"/>
      <c r="AG10" s="176"/>
      <c r="AH10"/>
      <c r="AI10"/>
      <c r="AJ10"/>
    </row>
    <row r="11" spans="1:36" outlineLevel="1" x14ac:dyDescent="0.25">
      <c r="B11" s="175"/>
      <c r="C11" s="1410"/>
      <c r="D11" s="1411"/>
      <c r="E11" s="1411"/>
      <c r="F11" s="1703"/>
      <c r="G11" s="175"/>
      <c r="H11" s="175"/>
      <c r="I11" s="175"/>
      <c r="J11" s="175"/>
      <c r="K11" s="175"/>
      <c r="L11" s="175"/>
      <c r="M11" s="175"/>
      <c r="Q11" s="175"/>
    </row>
    <row r="12" spans="1:36" outlineLevel="1" x14ac:dyDescent="0.25">
      <c r="B12" s="175"/>
      <c r="C12" s="1410"/>
      <c r="D12" s="1418" t="s">
        <v>463</v>
      </c>
      <c r="E12" s="1463"/>
      <c r="F12" s="1704"/>
      <c r="G12" s="175"/>
      <c r="H12" s="175"/>
      <c r="I12" s="175"/>
      <c r="J12" s="175"/>
      <c r="K12" s="175"/>
      <c r="L12" s="175"/>
      <c r="M12" s="175"/>
      <c r="Q12" s="175"/>
    </row>
    <row r="13" spans="1:36" outlineLevel="1" x14ac:dyDescent="0.25">
      <c r="B13" s="175"/>
      <c r="C13" s="1410"/>
      <c r="D13" s="1705"/>
      <c r="E13" s="1706"/>
      <c r="F13" s="1704"/>
      <c r="G13" s="175"/>
      <c r="H13" s="175"/>
      <c r="I13" s="175"/>
      <c r="J13" s="175"/>
      <c r="K13" s="175"/>
      <c r="L13" s="175"/>
      <c r="M13" s="175"/>
      <c r="Q13" s="175"/>
    </row>
    <row r="14" spans="1:36" outlineLevel="1" x14ac:dyDescent="0.25">
      <c r="B14" s="175"/>
      <c r="C14" s="1410"/>
      <c r="D14" s="1705"/>
      <c r="E14" s="1463"/>
      <c r="F14" s="1704"/>
      <c r="G14" s="175"/>
      <c r="H14" s="175"/>
      <c r="I14" s="175"/>
      <c r="J14" s="175"/>
      <c r="K14" s="175"/>
      <c r="L14" s="175"/>
      <c r="M14" s="175"/>
      <c r="N14" s="175"/>
      <c r="O14" s="175"/>
      <c r="P14" s="175"/>
      <c r="Q14" s="175"/>
    </row>
    <row r="15" spans="1:36" outlineLevel="1" x14ac:dyDescent="0.25">
      <c r="B15" s="175"/>
      <c r="C15" s="1410"/>
      <c r="D15" s="1411"/>
      <c r="E15" s="1411"/>
      <c r="F15" s="175"/>
      <c r="G15" s="175"/>
      <c r="H15" s="175"/>
      <c r="I15" s="175"/>
      <c r="J15" s="175"/>
      <c r="K15" s="175"/>
      <c r="L15" s="175"/>
      <c r="M15" s="175"/>
      <c r="N15" s="175"/>
      <c r="O15" s="175"/>
      <c r="P15" s="175"/>
      <c r="Q15" s="175"/>
    </row>
    <row r="16" spans="1:36" ht="15" customHeight="1" outlineLevel="1" x14ac:dyDescent="0.25">
      <c r="B16" s="1258"/>
      <c r="C16" s="1410"/>
      <c r="D16" s="1098" t="s">
        <v>465</v>
      </c>
      <c r="E16" s="1098" t="s">
        <v>466</v>
      </c>
      <c r="F16" s="1098" t="s">
        <v>514</v>
      </c>
      <c r="G16" s="184" t="s">
        <v>467</v>
      </c>
      <c r="H16" s="184" t="s">
        <v>515</v>
      </c>
      <c r="I16" s="2050" t="s">
        <v>468</v>
      </c>
      <c r="J16" s="2050"/>
      <c r="K16" s="2050"/>
      <c r="L16" s="2050"/>
      <c r="M16" s="1258"/>
      <c r="N16" s="175"/>
      <c r="O16" s="175"/>
      <c r="P16" s="175"/>
      <c r="Q16" s="1258"/>
      <c r="V16" s="490" t="s">
        <v>26</v>
      </c>
      <c r="W16" s="49">
        <f>W$6</f>
        <v>43252</v>
      </c>
      <c r="X16" s="49">
        <f t="shared" ref="X16:AG16" si="3">X$6</f>
        <v>43465</v>
      </c>
      <c r="Y16" s="49" t="str">
        <f t="shared" si="3"/>
        <v>-</v>
      </c>
      <c r="Z16" s="49" t="str">
        <f t="shared" si="3"/>
        <v>-</v>
      </c>
      <c r="AA16" s="49" t="str">
        <f t="shared" si="3"/>
        <v>-</v>
      </c>
      <c r="AB16" s="49" t="str">
        <f t="shared" si="3"/>
        <v>-</v>
      </c>
      <c r="AC16" s="49" t="str">
        <f t="shared" si="3"/>
        <v>-</v>
      </c>
      <c r="AD16" s="49" t="str">
        <f t="shared" si="3"/>
        <v>-</v>
      </c>
      <c r="AE16" s="49" t="str">
        <f t="shared" si="3"/>
        <v>-</v>
      </c>
      <c r="AF16" s="49" t="str">
        <f t="shared" si="3"/>
        <v>-</v>
      </c>
      <c r="AG16" s="49" t="str">
        <f t="shared" si="3"/>
        <v>-</v>
      </c>
    </row>
    <row r="17" spans="1:47" ht="30" customHeight="1" outlineLevel="1" x14ac:dyDescent="0.25">
      <c r="B17" s="313"/>
      <c r="C17" s="1425"/>
      <c r="D17" s="807" t="s">
        <v>1416</v>
      </c>
      <c r="E17" s="807" t="s">
        <v>1041</v>
      </c>
      <c r="F17" s="797"/>
      <c r="G17" s="1770">
        <v>869</v>
      </c>
      <c r="H17" s="807" t="s">
        <v>1222</v>
      </c>
      <c r="I17" s="2285" t="s">
        <v>972</v>
      </c>
      <c r="J17" s="2285"/>
      <c r="K17" s="2285"/>
      <c r="L17" s="2285"/>
      <c r="M17" s="313"/>
      <c r="N17" s="175"/>
      <c r="O17" s="175"/>
      <c r="P17" s="175"/>
      <c r="Q17" s="313"/>
      <c r="V17" s="807" t="str">
        <f>D17</f>
        <v>EFLHcool</v>
      </c>
      <c r="W17" s="1055">
        <v>869</v>
      </c>
      <c r="X17" s="1055">
        <v>869</v>
      </c>
      <c r="Y17" s="1055"/>
      <c r="Z17" s="1055"/>
      <c r="AA17" s="1055"/>
      <c r="AB17" s="1055"/>
      <c r="AC17" s="1055"/>
      <c r="AD17" s="1055"/>
      <c r="AE17" s="1055"/>
      <c r="AF17" s="1055"/>
      <c r="AG17" s="1055"/>
    </row>
    <row r="18" spans="1:47" ht="30" outlineLevel="1" x14ac:dyDescent="0.25">
      <c r="B18" s="313"/>
      <c r="C18" s="1425"/>
      <c r="D18" s="807" t="s">
        <v>1417</v>
      </c>
      <c r="E18" s="807" t="s">
        <v>1210</v>
      </c>
      <c r="F18" s="797"/>
      <c r="G18" s="1971">
        <v>20742.434375000001</v>
      </c>
      <c r="H18" s="807" t="s">
        <v>1642</v>
      </c>
      <c r="I18" s="2285"/>
      <c r="J18" s="2285"/>
      <c r="K18" s="2285"/>
      <c r="L18" s="2285"/>
      <c r="M18" s="313"/>
      <c r="N18" s="175"/>
      <c r="O18" s="175"/>
      <c r="P18" s="175"/>
      <c r="Q18" s="313"/>
      <c r="V18" s="807" t="str">
        <f t="shared" ref="V18:V26" si="4">D18</f>
        <v>Capacitycool</v>
      </c>
      <c r="W18" s="1055">
        <v>20742.434375000001</v>
      </c>
      <c r="X18" s="1055">
        <v>20742.434375000001</v>
      </c>
      <c r="Y18" s="1055"/>
      <c r="Z18" s="1055"/>
      <c r="AA18" s="1055"/>
      <c r="AB18" s="1055"/>
      <c r="AC18" s="1055"/>
      <c r="AD18" s="1055"/>
      <c r="AE18" s="1055"/>
      <c r="AF18" s="1055"/>
      <c r="AG18" s="1055"/>
    </row>
    <row r="19" spans="1:47" ht="105" customHeight="1" outlineLevel="1" x14ac:dyDescent="0.25">
      <c r="B19" s="313"/>
      <c r="C19" s="1425"/>
      <c r="D19" s="807" t="s">
        <v>1931</v>
      </c>
      <c r="E19" s="807" t="s">
        <v>1212</v>
      </c>
      <c r="F19" s="797"/>
      <c r="G19" s="805">
        <v>11.9</v>
      </c>
      <c r="H19" s="807" t="s">
        <v>1213</v>
      </c>
      <c r="I19" s="2285" t="s">
        <v>1208</v>
      </c>
      <c r="J19" s="2285"/>
      <c r="K19" s="2285"/>
      <c r="L19" s="2285"/>
      <c r="M19" s="313"/>
      <c r="N19" s="175"/>
      <c r="O19" s="175"/>
      <c r="P19" s="175"/>
      <c r="Q19" s="313"/>
      <c r="V19" s="807" t="str">
        <f t="shared" si="4"/>
        <v>SEERtest-in</v>
      </c>
      <c r="W19" s="1056">
        <v>11.9</v>
      </c>
      <c r="X19" s="1056">
        <v>11.9</v>
      </c>
      <c r="Y19" s="1056"/>
      <c r="Z19" s="1056"/>
      <c r="AA19" s="1056"/>
      <c r="AB19" s="1056"/>
      <c r="AC19" s="1056"/>
      <c r="AD19" s="1056"/>
      <c r="AE19" s="1056"/>
      <c r="AF19" s="1056"/>
      <c r="AG19" s="1056"/>
    </row>
    <row r="20" spans="1:47" outlineLevel="1" x14ac:dyDescent="0.25">
      <c r="B20" s="313"/>
      <c r="C20" s="1425"/>
      <c r="D20" s="2339" t="s">
        <v>1419</v>
      </c>
      <c r="E20" s="2339" t="s">
        <v>1215</v>
      </c>
      <c r="F20" s="797" t="s">
        <v>1216</v>
      </c>
      <c r="G20" s="805">
        <f>G19*(1+0.056)</f>
        <v>12.566400000000002</v>
      </c>
      <c r="H20" s="807" t="s">
        <v>972</v>
      </c>
      <c r="I20" s="2285" t="s">
        <v>1243</v>
      </c>
      <c r="J20" s="2285"/>
      <c r="K20" s="2285"/>
      <c r="L20" s="2285"/>
      <c r="M20" s="313"/>
      <c r="N20" s="175"/>
      <c r="O20" s="175"/>
      <c r="P20" s="175"/>
      <c r="Q20" s="313"/>
      <c r="V20" s="807" t="str">
        <f t="shared" si="4"/>
        <v>SEERtest-out</v>
      </c>
      <c r="W20" s="1056">
        <f>W19*(1+0.056)</f>
        <v>12.566400000000002</v>
      </c>
      <c r="X20" s="1056">
        <f t="shared" ref="X20" si="5">X19*(1+0.056)</f>
        <v>12.566400000000002</v>
      </c>
      <c r="Y20" s="1056"/>
      <c r="Z20" s="1056"/>
      <c r="AA20" s="1056"/>
      <c r="AB20" s="1056"/>
      <c r="AC20" s="1056"/>
      <c r="AD20" s="1056"/>
      <c r="AE20" s="1056"/>
      <c r="AF20" s="1056"/>
      <c r="AG20" s="1056"/>
    </row>
    <row r="21" spans="1:47" ht="30" outlineLevel="1" x14ac:dyDescent="0.25">
      <c r="B21" s="313"/>
      <c r="C21" s="1425"/>
      <c r="D21" s="2340"/>
      <c r="E21" s="2340"/>
      <c r="F21" s="797" t="s">
        <v>1217</v>
      </c>
      <c r="G21" s="805">
        <f>G19*(1+0.284)</f>
        <v>15.2796</v>
      </c>
      <c r="H21" s="807" t="s">
        <v>972</v>
      </c>
      <c r="I21" s="2285" t="s">
        <v>1243</v>
      </c>
      <c r="J21" s="2285"/>
      <c r="K21" s="2285"/>
      <c r="L21" s="2285"/>
      <c r="M21" s="313"/>
      <c r="N21" s="175"/>
      <c r="O21" s="175"/>
      <c r="P21" s="175"/>
      <c r="Q21" s="313"/>
      <c r="V21" s="807">
        <f t="shared" si="4"/>
        <v>0</v>
      </c>
      <c r="W21" s="1056">
        <f>W19*(1+0.284)</f>
        <v>15.2796</v>
      </c>
      <c r="X21" s="1056">
        <f t="shared" ref="X21" si="6">X19*(1+0.284)</f>
        <v>15.2796</v>
      </c>
      <c r="Y21" s="1056"/>
      <c r="Z21" s="1056"/>
      <c r="AA21" s="1056"/>
      <c r="AB21" s="1056"/>
      <c r="AC21" s="1056"/>
      <c r="AD21" s="1056"/>
      <c r="AE21" s="1056"/>
      <c r="AF21" s="1056"/>
      <c r="AG21" s="1056"/>
    </row>
    <row r="22" spans="1:47" ht="27" customHeight="1" outlineLevel="1" x14ac:dyDescent="0.25">
      <c r="B22" s="313"/>
      <c r="C22" s="1425"/>
      <c r="D22" s="2340"/>
      <c r="E22" s="2340"/>
      <c r="F22" s="1904" t="s">
        <v>1643</v>
      </c>
      <c r="G22" s="805">
        <f>G19*(1+0.038)</f>
        <v>12.352200000000002</v>
      </c>
      <c r="H22" s="807" t="s">
        <v>972</v>
      </c>
      <c r="I22" s="2285" t="s">
        <v>1243</v>
      </c>
      <c r="J22" s="2285"/>
      <c r="K22" s="2285"/>
      <c r="L22" s="2285"/>
      <c r="M22" s="313"/>
      <c r="N22" s="175"/>
      <c r="O22" s="175"/>
      <c r="P22" s="175"/>
      <c r="Q22" s="313"/>
      <c r="V22" s="807">
        <f t="shared" si="4"/>
        <v>0</v>
      </c>
      <c r="W22" s="1056">
        <f>W19*(1+0.038)</f>
        <v>12.352200000000002</v>
      </c>
      <c r="X22" s="1056">
        <f t="shared" ref="X22" si="7">X19*(1+0.038)</f>
        <v>12.352200000000002</v>
      </c>
      <c r="Y22" s="1056"/>
      <c r="Z22" s="1056"/>
      <c r="AA22" s="1056"/>
      <c r="AB22" s="1056"/>
      <c r="AC22" s="1056"/>
      <c r="AD22" s="1056"/>
      <c r="AE22" s="1056"/>
      <c r="AF22" s="1056"/>
      <c r="AG22" s="1056"/>
    </row>
    <row r="23" spans="1:47" outlineLevel="1" x14ac:dyDescent="0.25">
      <c r="B23" s="313"/>
      <c r="C23" s="1425"/>
      <c r="D23" s="2341"/>
      <c r="E23" s="2341"/>
      <c r="F23" s="1904" t="s">
        <v>1644</v>
      </c>
      <c r="G23" s="805">
        <f>G19*(1+0.079)</f>
        <v>12.8401</v>
      </c>
      <c r="H23" s="807" t="s">
        <v>972</v>
      </c>
      <c r="I23" s="2285" t="s">
        <v>1243</v>
      </c>
      <c r="J23" s="2285"/>
      <c r="K23" s="2285"/>
      <c r="L23" s="2285"/>
      <c r="M23" s="313"/>
      <c r="N23" s="175"/>
      <c r="O23" s="175"/>
      <c r="P23" s="175"/>
      <c r="Q23" s="313"/>
      <c r="V23" s="807">
        <f t="shared" si="4"/>
        <v>0</v>
      </c>
      <c r="W23" s="1056">
        <f>W19*(1+0.079)</f>
        <v>12.8401</v>
      </c>
      <c r="X23" s="1056">
        <f t="shared" ref="X23" si="8">X19*(1+0.079)</f>
        <v>12.8401</v>
      </c>
      <c r="Y23" s="1056"/>
      <c r="Z23" s="1056"/>
      <c r="AA23" s="1056"/>
      <c r="AB23" s="1056"/>
      <c r="AC23" s="1056"/>
      <c r="AD23" s="1056"/>
      <c r="AE23" s="1056"/>
      <c r="AF23" s="1056"/>
      <c r="AG23" s="1056"/>
    </row>
    <row r="24" spans="1:47" outlineLevel="1" x14ac:dyDescent="0.25">
      <c r="B24" s="1699"/>
      <c r="C24" s="1700"/>
      <c r="D24" s="888">
        <v>1000</v>
      </c>
      <c r="E24" s="1057" t="s">
        <v>1220</v>
      </c>
      <c r="F24" s="797"/>
      <c r="G24" s="1770">
        <v>1000</v>
      </c>
      <c r="H24" s="890" t="s">
        <v>1221</v>
      </c>
      <c r="I24" s="2278"/>
      <c r="J24" s="2278"/>
      <c r="K24" s="2278"/>
      <c r="L24" s="2278"/>
      <c r="V24" s="807">
        <f t="shared" si="4"/>
        <v>1000</v>
      </c>
      <c r="W24" s="1055">
        <v>1000</v>
      </c>
      <c r="X24" s="1055">
        <v>1000</v>
      </c>
      <c r="Y24" s="1055"/>
      <c r="Z24" s="1055"/>
      <c r="AA24" s="1055"/>
      <c r="AB24" s="1055"/>
      <c r="AC24" s="1055"/>
      <c r="AD24" s="1055"/>
      <c r="AE24" s="1055"/>
      <c r="AF24" s="1055"/>
      <c r="AG24" s="1055"/>
    </row>
    <row r="25" spans="1:47" s="110" customFormat="1" outlineLevel="1" x14ac:dyDescent="0.25">
      <c r="A25" s="335"/>
      <c r="B25" s="1478"/>
      <c r="C25" s="1410"/>
      <c r="D25" s="1905" t="str">
        <f>$J$6</f>
        <v>EUL</v>
      </c>
      <c r="E25" s="1057" t="str">
        <f>'HVAC Deemed Table'!E74</f>
        <v>End Useful Life</v>
      </c>
      <c r="F25" s="797"/>
      <c r="G25" s="881">
        <v>2</v>
      </c>
      <c r="H25" s="890"/>
      <c r="I25" s="2278"/>
      <c r="J25" s="2278"/>
      <c r="K25" s="2278"/>
      <c r="L25" s="2278"/>
      <c r="M25" s="313"/>
      <c r="N25" s="313"/>
      <c r="O25" s="313"/>
      <c r="P25" s="313"/>
      <c r="Q25" s="313"/>
      <c r="R25" s="313"/>
      <c r="S25" s="313"/>
      <c r="T25" s="313"/>
      <c r="U25" s="313"/>
      <c r="V25" s="348" t="str">
        <f t="shared" si="4"/>
        <v>EUL</v>
      </c>
      <c r="W25" s="346">
        <v>2</v>
      </c>
      <c r="X25" s="346">
        <v>2</v>
      </c>
      <c r="Y25" s="349"/>
      <c r="Z25" s="349"/>
      <c r="AA25" s="349"/>
      <c r="AB25" s="349"/>
      <c r="AC25" s="349"/>
      <c r="AD25" s="349"/>
      <c r="AE25" s="349"/>
      <c r="AF25" s="349"/>
      <c r="AG25" s="349"/>
      <c r="AU25" s="178"/>
    </row>
    <row r="26" spans="1:47" s="110" customFormat="1" ht="30" outlineLevel="1" x14ac:dyDescent="0.25">
      <c r="A26" s="335"/>
      <c r="B26" s="1478"/>
      <c r="C26" s="1410"/>
      <c r="D26" s="2415" t="str">
        <f t="shared" ref="D26" si="9">$K$6</f>
        <v>Inc. Cost</v>
      </c>
      <c r="E26" s="2281" t="str">
        <f>'HVAC Deemed Table'!E86</f>
        <v>Incremental Cost ($)</v>
      </c>
      <c r="F26" s="797" t="str">
        <f>E7</f>
        <v>General Tune-Up (no charge or coil clean) / MFMR</v>
      </c>
      <c r="G26" s="1059">
        <v>70</v>
      </c>
      <c r="H26" s="890"/>
      <c r="I26" s="2278"/>
      <c r="J26" s="2278"/>
      <c r="K26" s="2278"/>
      <c r="L26" s="2278"/>
      <c r="M26" s="313"/>
      <c r="N26" s="313"/>
      <c r="O26" s="313"/>
      <c r="P26" s="313"/>
      <c r="Q26" s="313"/>
      <c r="R26" s="313"/>
      <c r="S26" s="313"/>
      <c r="T26" s="313"/>
      <c r="U26" s="313"/>
      <c r="V26" s="2418" t="str">
        <f t="shared" si="4"/>
        <v>Inc. Cost</v>
      </c>
      <c r="W26" s="346">
        <v>70</v>
      </c>
      <c r="X26" s="346">
        <v>70</v>
      </c>
      <c r="Y26" s="349"/>
      <c r="Z26" s="349"/>
      <c r="AA26" s="349"/>
      <c r="AB26" s="349"/>
      <c r="AC26" s="349"/>
      <c r="AD26" s="349"/>
      <c r="AE26" s="349"/>
      <c r="AF26" s="349"/>
      <c r="AG26" s="349"/>
      <c r="AU26" s="178"/>
    </row>
    <row r="27" spans="1:47" s="110" customFormat="1" ht="30" outlineLevel="1" x14ac:dyDescent="0.25">
      <c r="A27" s="335"/>
      <c r="B27" s="1478"/>
      <c r="C27" s="1410"/>
      <c r="D27" s="2416"/>
      <c r="E27" s="2400"/>
      <c r="F27" s="797" t="str">
        <f t="shared" ref="F27:F29" si="10">E8</f>
        <v>AC Tune-up / refrigerant charge / MFMR</v>
      </c>
      <c r="G27" s="1059">
        <v>81</v>
      </c>
      <c r="H27" s="890"/>
      <c r="I27" s="2278"/>
      <c r="J27" s="2278"/>
      <c r="K27" s="2278"/>
      <c r="L27" s="2278"/>
      <c r="M27" s="313"/>
      <c r="N27" s="313"/>
      <c r="O27" s="313"/>
      <c r="P27" s="313"/>
      <c r="Q27" s="313"/>
      <c r="R27" s="313"/>
      <c r="S27" s="313"/>
      <c r="T27" s="313"/>
      <c r="U27" s="313"/>
      <c r="V27" s="2400"/>
      <c r="W27" s="353">
        <v>81</v>
      </c>
      <c r="X27" s="353">
        <v>81</v>
      </c>
      <c r="Y27" s="338"/>
      <c r="Z27" s="338"/>
      <c r="AA27" s="338"/>
      <c r="AB27" s="338"/>
      <c r="AC27" s="338"/>
      <c r="AD27" s="338"/>
      <c r="AE27" s="338"/>
      <c r="AF27" s="338"/>
      <c r="AG27" s="338"/>
      <c r="AU27" s="178"/>
    </row>
    <row r="28" spans="1:47" s="110" customFormat="1" ht="30" outlineLevel="1" x14ac:dyDescent="0.25">
      <c r="A28" s="335"/>
      <c r="B28" s="1478"/>
      <c r="C28" s="1410"/>
      <c r="D28" s="2416"/>
      <c r="E28" s="2400"/>
      <c r="F28" s="797" t="str">
        <f t="shared" si="10"/>
        <v>Indoor Coil (Evaporator) Cleaning / MFMR</v>
      </c>
      <c r="G28" s="1059">
        <v>63</v>
      </c>
      <c r="H28" s="890"/>
      <c r="I28" s="2278"/>
      <c r="J28" s="2278"/>
      <c r="K28" s="2278"/>
      <c r="L28" s="2278"/>
      <c r="M28" s="313"/>
      <c r="N28" s="313"/>
      <c r="O28" s="313"/>
      <c r="P28" s="313"/>
      <c r="Q28" s="313"/>
      <c r="R28" s="313"/>
      <c r="S28" s="313"/>
      <c r="T28" s="313"/>
      <c r="U28" s="313"/>
      <c r="V28" s="2400"/>
      <c r="W28" s="346">
        <v>63</v>
      </c>
      <c r="X28" s="346">
        <v>63</v>
      </c>
      <c r="Y28" s="349"/>
      <c r="Z28" s="349"/>
      <c r="AA28" s="349"/>
      <c r="AB28" s="349"/>
      <c r="AC28" s="349"/>
      <c r="AD28" s="349"/>
      <c r="AE28" s="349"/>
      <c r="AF28" s="349"/>
      <c r="AG28" s="349"/>
      <c r="AU28" s="178"/>
    </row>
    <row r="29" spans="1:47" s="110" customFormat="1" ht="30" outlineLevel="1" x14ac:dyDescent="0.25">
      <c r="A29" s="335"/>
      <c r="B29" s="1478"/>
      <c r="C29" s="1410"/>
      <c r="D29" s="2417"/>
      <c r="E29" s="2401"/>
      <c r="F29" s="797" t="str">
        <f t="shared" si="10"/>
        <v>Outdoor Coil (Condenser) Cleaning / MFMR</v>
      </c>
      <c r="G29" s="1059">
        <v>31</v>
      </c>
      <c r="H29" s="890"/>
      <c r="I29" s="2278"/>
      <c r="J29" s="2278"/>
      <c r="K29" s="2278"/>
      <c r="L29" s="2278"/>
      <c r="M29" s="313"/>
      <c r="N29" s="313"/>
      <c r="O29" s="313"/>
      <c r="P29" s="313"/>
      <c r="Q29" s="313"/>
      <c r="R29" s="313"/>
      <c r="S29" s="313"/>
      <c r="T29" s="313"/>
      <c r="U29" s="313"/>
      <c r="V29" s="2401"/>
      <c r="W29" s="353">
        <v>31</v>
      </c>
      <c r="X29" s="353">
        <v>31</v>
      </c>
      <c r="Y29" s="338"/>
      <c r="Z29" s="338"/>
      <c r="AA29" s="338"/>
      <c r="AB29" s="338"/>
      <c r="AC29" s="338"/>
      <c r="AD29" s="338"/>
      <c r="AE29" s="338"/>
      <c r="AF29" s="338"/>
      <c r="AG29" s="338"/>
      <c r="AU29" s="178"/>
    </row>
    <row r="30" spans="1:47" x14ac:dyDescent="0.25">
      <c r="B30" s="1699"/>
      <c r="C30" s="1700"/>
      <c r="D30" s="1701"/>
      <c r="E30" s="1701"/>
      <c r="F30" s="1699"/>
      <c r="G30" s="1699"/>
      <c r="H30" s="1699"/>
      <c r="I30" s="1699"/>
      <c r="J30" s="1699"/>
      <c r="K30" s="1699"/>
      <c r="L30" s="1699"/>
    </row>
    <row r="31" spans="1:47" x14ac:dyDescent="0.25">
      <c r="B31" s="1699"/>
      <c r="C31" s="1700"/>
      <c r="D31" s="1701"/>
      <c r="E31" s="1701"/>
      <c r="F31" s="1699"/>
      <c r="G31" s="1699"/>
      <c r="H31" s="1699"/>
      <c r="I31" s="1699"/>
      <c r="J31" s="1699"/>
      <c r="K31" s="1699"/>
      <c r="L31" s="1699"/>
    </row>
    <row r="32" spans="1:47" x14ac:dyDescent="0.25">
      <c r="B32" s="2022" t="s">
        <v>1259</v>
      </c>
      <c r="C32" s="2023"/>
      <c r="D32" s="2023"/>
      <c r="E32" s="2023"/>
      <c r="F32" s="2023"/>
      <c r="G32" s="2023"/>
      <c r="H32" s="2023"/>
      <c r="I32" s="1992"/>
      <c r="J32" s="1992"/>
      <c r="K32" s="1992"/>
      <c r="L32" s="1992"/>
      <c r="M32" s="1992"/>
      <c r="N32" s="1992"/>
      <c r="O32" s="1992"/>
      <c r="P32" s="1992"/>
      <c r="Q32" s="1993"/>
      <c r="V32" s="2022" t="str">
        <f>B32</f>
        <v>Ceiling Insulation</v>
      </c>
      <c r="W32" s="2023"/>
      <c r="X32" s="2023"/>
      <c r="Y32" s="2023"/>
      <c r="Z32" s="2023"/>
      <c r="AA32" s="2023"/>
      <c r="AB32" s="2023"/>
      <c r="AC32" s="2024"/>
      <c r="AD32" s="2024"/>
      <c r="AE32" s="2024"/>
      <c r="AF32" s="2024"/>
      <c r="AG32" s="2024"/>
      <c r="AH32" s="2024"/>
      <c r="AI32" s="2025"/>
    </row>
    <row r="33" spans="2:33" x14ac:dyDescent="0.25">
      <c r="B33" s="1530"/>
      <c r="C33" s="1434"/>
      <c r="D33" s="1435"/>
      <c r="E33" s="1435"/>
      <c r="F33" s="1436"/>
      <c r="G33" s="1436"/>
      <c r="H33" s="1436"/>
      <c r="I33" s="1436"/>
      <c r="J33" s="1436"/>
      <c r="K33" s="1436"/>
      <c r="L33" s="1437"/>
      <c r="M33" s="904"/>
      <c r="N33" s="904"/>
      <c r="O33" s="904"/>
      <c r="P33" s="904"/>
      <c r="Q33" s="904"/>
    </row>
    <row r="34" spans="2:33" ht="45" x14ac:dyDescent="0.25">
      <c r="B34" s="1087"/>
      <c r="C34" s="184" t="s">
        <v>16</v>
      </c>
      <c r="D34" s="184" t="s">
        <v>509</v>
      </c>
      <c r="E34" s="184" t="s">
        <v>18</v>
      </c>
      <c r="F34" s="184" t="s">
        <v>19</v>
      </c>
      <c r="G34" s="184" t="s">
        <v>20</v>
      </c>
      <c r="H34" s="184" t="s">
        <v>21</v>
      </c>
      <c r="I34" s="184" t="s">
        <v>724</v>
      </c>
      <c r="J34" s="184" t="s">
        <v>725</v>
      </c>
      <c r="K34" s="184" t="s">
        <v>22</v>
      </c>
      <c r="L34" s="448" t="s">
        <v>23</v>
      </c>
      <c r="M34" s="184" t="s">
        <v>24</v>
      </c>
      <c r="N34" s="184" t="s">
        <v>1260</v>
      </c>
      <c r="V34" s="490" t="s">
        <v>26</v>
      </c>
      <c r="W34" s="49">
        <f>W$6</f>
        <v>43252</v>
      </c>
      <c r="X34" s="49">
        <f t="shared" ref="X34:AG34" si="11">X$6</f>
        <v>43465</v>
      </c>
      <c r="Y34" s="49" t="str">
        <f t="shared" si="11"/>
        <v>-</v>
      </c>
      <c r="Z34" s="49" t="str">
        <f t="shared" si="11"/>
        <v>-</v>
      </c>
      <c r="AA34" s="49" t="str">
        <f t="shared" si="11"/>
        <v>-</v>
      </c>
      <c r="AB34" s="49" t="str">
        <f t="shared" si="11"/>
        <v>-</v>
      </c>
      <c r="AC34" s="49" t="str">
        <f t="shared" si="11"/>
        <v>-</v>
      </c>
      <c r="AD34" s="49" t="str">
        <f t="shared" si="11"/>
        <v>-</v>
      </c>
      <c r="AE34" s="49" t="str">
        <f t="shared" si="11"/>
        <v>-</v>
      </c>
      <c r="AF34" s="49" t="str">
        <f t="shared" si="11"/>
        <v>-</v>
      </c>
      <c r="AG34" s="49" t="str">
        <f t="shared" si="11"/>
        <v>-</v>
      </c>
    </row>
    <row r="35" spans="2:33" x14ac:dyDescent="0.25">
      <c r="B35" s="1087"/>
      <c r="C35" s="1531"/>
      <c r="D35" s="1066" t="s">
        <v>1637</v>
      </c>
      <c r="E35" s="837" t="s">
        <v>1645</v>
      </c>
      <c r="F35" s="1077">
        <f t="shared" ref="F35:F44" si="12">I35+J35</f>
        <v>924.01016928670083</v>
      </c>
      <c r="G35" s="1531" t="s">
        <v>1248</v>
      </c>
      <c r="H35" s="170">
        <f>VLOOKUP(G35,'CP FACTORS'!$A$3:$B$38, 2, FALSE)</f>
        <v>4.6608050000000002E-4</v>
      </c>
      <c r="I35" s="1062">
        <f t="shared" ref="I35:I44" si="13">F53*(1/(F63+5)-1/(F73+5))*F83*(1-F$93)*F$94*24*F$95/(F96*3412)+(F106*F$116*29.3)</f>
        <v>836.23234778135986</v>
      </c>
      <c r="J35" s="1533">
        <f t="shared" ref="J35:J44" si="14">F119*(1/(F63+5)-1/(F73+5))*F83*(1-F$93)*F$117*24*F$118/(F129*1000)</f>
        <v>87.77782150534091</v>
      </c>
      <c r="K35" s="1605">
        <f>H35*F35</f>
        <v>0.43066312170623017</v>
      </c>
      <c r="L35" s="1062">
        <f t="shared" ref="L35:L44" si="15">$F$139</f>
        <v>25</v>
      </c>
      <c r="M35" s="1063">
        <f t="shared" ref="M35:M44" si="16">F140</f>
        <v>1860.46</v>
      </c>
      <c r="N35" s="813">
        <f t="shared" ref="N35:N44" si="17">F83</f>
        <v>875.55000000000007</v>
      </c>
      <c r="V35" s="621" t="str">
        <f>F34</f>
        <v>kWh Annual Savings</v>
      </c>
      <c r="W35" s="1969">
        <v>924.01016928670083</v>
      </c>
      <c r="X35" s="1212">
        <v>924.01016928670083</v>
      </c>
      <c r="Y35" s="176"/>
      <c r="Z35" s="176"/>
      <c r="AA35" s="176"/>
      <c r="AB35" s="176"/>
      <c r="AC35" s="176"/>
      <c r="AD35" s="176"/>
      <c r="AE35" s="176"/>
      <c r="AF35" s="176"/>
      <c r="AG35" s="176"/>
    </row>
    <row r="36" spans="2:33" x14ac:dyDescent="0.25">
      <c r="B36" s="1087"/>
      <c r="C36" s="1531"/>
      <c r="D36" s="1066" t="s">
        <v>1637</v>
      </c>
      <c r="E36" s="837" t="s">
        <v>1646</v>
      </c>
      <c r="F36" s="1077">
        <f t="shared" si="12"/>
        <v>466.18081401488644</v>
      </c>
      <c r="G36" s="1531" t="s">
        <v>1248</v>
      </c>
      <c r="H36" s="170">
        <f>VLOOKUP(G36,'CP FACTORS'!$A$3:$B$38, 2, FALSE)</f>
        <v>4.6608050000000002E-4</v>
      </c>
      <c r="I36" s="1062">
        <f t="shared" si="13"/>
        <v>369.72166950352283</v>
      </c>
      <c r="J36" s="1533">
        <f t="shared" si="14"/>
        <v>96.459144511363633</v>
      </c>
      <c r="K36" s="1605">
        <f t="shared" ref="K36:K44" si="18">H36*F36</f>
        <v>0.21727778688646529</v>
      </c>
      <c r="L36" s="1062">
        <f t="shared" si="15"/>
        <v>25</v>
      </c>
      <c r="M36" s="1063">
        <f t="shared" si="16"/>
        <v>1860.46</v>
      </c>
      <c r="N36" s="813">
        <f t="shared" si="17"/>
        <v>875.55000000000007</v>
      </c>
      <c r="V36" s="621" t="str">
        <f>V35</f>
        <v>kWh Annual Savings</v>
      </c>
      <c r="W36" s="1969">
        <v>466.18081401488644</v>
      </c>
      <c r="X36" s="1212">
        <v>466.18081401488644</v>
      </c>
      <c r="Y36" s="176"/>
      <c r="Z36" s="176"/>
      <c r="AA36" s="176"/>
      <c r="AB36" s="176"/>
      <c r="AC36" s="176"/>
      <c r="AD36" s="176"/>
      <c r="AE36" s="176"/>
      <c r="AF36" s="176"/>
      <c r="AG36" s="176"/>
    </row>
    <row r="37" spans="2:33" x14ac:dyDescent="0.25">
      <c r="B37" s="1087"/>
      <c r="C37" s="1531"/>
      <c r="D37" s="1066" t="s">
        <v>1637</v>
      </c>
      <c r="E37" s="837" t="s">
        <v>1647</v>
      </c>
      <c r="F37" s="1077">
        <f t="shared" si="12"/>
        <v>1232.157975126657</v>
      </c>
      <c r="G37" s="1531" t="s">
        <v>1248</v>
      </c>
      <c r="H37" s="170">
        <f>VLOOKUP(G37,'CP FACTORS'!$A$3:$B$38, 2, FALSE)</f>
        <v>4.6608050000000002E-4</v>
      </c>
      <c r="I37" s="1062">
        <f t="shared" si="13"/>
        <v>1115.1071607502934</v>
      </c>
      <c r="J37" s="1533">
        <f t="shared" si="14"/>
        <v>117.05081437636363</v>
      </c>
      <c r="K37" s="1605">
        <f t="shared" si="18"/>
        <v>0.57428480512601987</v>
      </c>
      <c r="L37" s="1062">
        <f t="shared" si="15"/>
        <v>25</v>
      </c>
      <c r="M37" s="1063">
        <f t="shared" si="16"/>
        <v>836.16</v>
      </c>
      <c r="N37" s="813">
        <f t="shared" si="17"/>
        <v>718.9</v>
      </c>
      <c r="V37" s="621" t="str">
        <f t="shared" ref="V37:V44" si="19">V36</f>
        <v>kWh Annual Savings</v>
      </c>
      <c r="W37" s="1969">
        <v>1232.157975126657</v>
      </c>
      <c r="X37" s="1212">
        <v>1232.157975126657</v>
      </c>
      <c r="Y37" s="176"/>
      <c r="Z37" s="176"/>
      <c r="AA37" s="176"/>
      <c r="AB37" s="176"/>
      <c r="AC37" s="176"/>
      <c r="AD37" s="176"/>
      <c r="AE37" s="176"/>
      <c r="AF37" s="176"/>
      <c r="AG37" s="176"/>
    </row>
    <row r="38" spans="2:33" x14ac:dyDescent="0.25">
      <c r="B38" s="1087"/>
      <c r="C38" s="1531"/>
      <c r="D38" s="1066" t="s">
        <v>1637</v>
      </c>
      <c r="E38" s="837" t="s">
        <v>1648</v>
      </c>
      <c r="F38" s="1077">
        <f t="shared" si="12"/>
        <v>621.647279361546</v>
      </c>
      <c r="G38" s="1531" t="s">
        <v>1248</v>
      </c>
      <c r="H38" s="170">
        <f>VLOOKUP(G38,'CP FACTORS'!$A$3:$B$38, 2, FALSE)</f>
        <v>4.6608050000000002E-4</v>
      </c>
      <c r="I38" s="1062">
        <f t="shared" si="13"/>
        <v>493.02001081609149</v>
      </c>
      <c r="J38" s="1533">
        <f t="shared" si="14"/>
        <v>128.62726854545457</v>
      </c>
      <c r="K38" s="1605">
        <f t="shared" si="18"/>
        <v>0.28973767478846907</v>
      </c>
      <c r="L38" s="1062">
        <f t="shared" si="15"/>
        <v>25</v>
      </c>
      <c r="M38" s="1063">
        <f t="shared" si="16"/>
        <v>836.16</v>
      </c>
      <c r="N38" s="813">
        <f t="shared" si="17"/>
        <v>718.9</v>
      </c>
      <c r="V38" s="621" t="str">
        <f t="shared" si="19"/>
        <v>kWh Annual Savings</v>
      </c>
      <c r="W38" s="1969">
        <v>621.647279361546</v>
      </c>
      <c r="X38" s="1212">
        <v>621.647279361546</v>
      </c>
      <c r="Y38" s="176"/>
      <c r="Z38" s="176"/>
      <c r="AA38" s="176"/>
      <c r="AB38" s="176"/>
      <c r="AC38" s="176"/>
      <c r="AD38" s="176"/>
      <c r="AE38" s="176"/>
      <c r="AF38" s="176"/>
      <c r="AG38" s="176"/>
    </row>
    <row r="39" spans="2:33" x14ac:dyDescent="0.25">
      <c r="B39" s="1087"/>
      <c r="C39" s="1531"/>
      <c r="D39" s="1066" t="s">
        <v>1637</v>
      </c>
      <c r="E39" s="837" t="s">
        <v>1649</v>
      </c>
      <c r="F39" s="1077">
        <f t="shared" si="12"/>
        <v>1323.8534523453845</v>
      </c>
      <c r="G39" s="1531" t="s">
        <v>1248</v>
      </c>
      <c r="H39" s="170">
        <f>VLOOKUP(G39,'CP FACTORS'!$A$3:$B$38, 2, FALSE)</f>
        <v>4.6608050000000002E-4</v>
      </c>
      <c r="I39" s="1062">
        <f t="shared" si="13"/>
        <v>1198.0918796898497</v>
      </c>
      <c r="J39" s="1533">
        <f t="shared" si="14"/>
        <v>125.76157265553488</v>
      </c>
      <c r="K39" s="1605">
        <f t="shared" si="18"/>
        <v>0.61702227899586304</v>
      </c>
      <c r="L39" s="1062">
        <f t="shared" si="15"/>
        <v>25</v>
      </c>
      <c r="M39" s="1063">
        <f t="shared" si="16"/>
        <v>1208.5</v>
      </c>
      <c r="N39" s="813">
        <f t="shared" si="17"/>
        <v>718.9</v>
      </c>
      <c r="V39" s="621" t="str">
        <f t="shared" si="19"/>
        <v>kWh Annual Savings</v>
      </c>
      <c r="W39" s="1969">
        <v>1323.8534523453845</v>
      </c>
      <c r="X39" s="1212">
        <v>1323.8534523453845</v>
      </c>
      <c r="Y39" s="176"/>
      <c r="Z39" s="176"/>
      <c r="AA39" s="176"/>
      <c r="AB39" s="176"/>
      <c r="AC39" s="176"/>
      <c r="AD39" s="176"/>
      <c r="AE39" s="176"/>
      <c r="AF39" s="176"/>
      <c r="AG39" s="176"/>
    </row>
    <row r="40" spans="2:33" x14ac:dyDescent="0.25">
      <c r="B40" s="1087"/>
      <c r="C40" s="1531"/>
      <c r="D40" s="1066" t="s">
        <v>1637</v>
      </c>
      <c r="E40" s="837" t="s">
        <v>1650</v>
      </c>
      <c r="F40" s="1077">
        <f t="shared" si="12"/>
        <v>667.90940247682386</v>
      </c>
      <c r="G40" s="1531" t="s">
        <v>1248</v>
      </c>
      <c r="H40" s="170">
        <f>VLOOKUP(G40,'CP FACTORS'!$A$3:$B$38, 2, FALSE)</f>
        <v>4.6608050000000002E-4</v>
      </c>
      <c r="I40" s="1062">
        <f t="shared" si="13"/>
        <v>529.70987208612621</v>
      </c>
      <c r="J40" s="1533">
        <f t="shared" si="14"/>
        <v>138.19953039069765</v>
      </c>
      <c r="K40" s="1605">
        <f t="shared" si="18"/>
        <v>0.31129954826109929</v>
      </c>
      <c r="L40" s="1062">
        <f t="shared" si="15"/>
        <v>25</v>
      </c>
      <c r="M40" s="1063">
        <f t="shared" si="16"/>
        <v>1208.5</v>
      </c>
      <c r="N40" s="813">
        <f t="shared" si="17"/>
        <v>718.9</v>
      </c>
      <c r="V40" s="621" t="str">
        <f t="shared" si="19"/>
        <v>kWh Annual Savings</v>
      </c>
      <c r="W40" s="1969">
        <v>667.90940247682386</v>
      </c>
      <c r="X40" s="1212">
        <v>667.90940247682386</v>
      </c>
      <c r="Y40" s="176"/>
      <c r="Z40" s="176"/>
      <c r="AA40" s="176"/>
      <c r="AB40" s="176"/>
      <c r="AC40" s="176"/>
      <c r="AD40" s="176"/>
      <c r="AE40" s="176"/>
      <c r="AF40" s="176"/>
      <c r="AG40" s="176"/>
    </row>
    <row r="41" spans="2:33" x14ac:dyDescent="0.25">
      <c r="B41" s="1087"/>
      <c r="C41" s="1531"/>
      <c r="D41" s="1066" t="s">
        <v>1637</v>
      </c>
      <c r="E41" s="837" t="s">
        <v>1651</v>
      </c>
      <c r="F41" s="1077">
        <f t="shared" si="12"/>
        <v>1405.5728012555933</v>
      </c>
      <c r="G41" s="1531" t="s">
        <v>1248</v>
      </c>
      <c r="H41" s="170">
        <f>VLOOKUP(G41,'CP FACTORS'!$A$3:$B$38, 2, FALSE)</f>
        <v>4.6608050000000002E-4</v>
      </c>
      <c r="I41" s="1062">
        <f t="shared" si="13"/>
        <v>1272.0481685595933</v>
      </c>
      <c r="J41" s="1533">
        <f t="shared" si="14"/>
        <v>133.524632696</v>
      </c>
      <c r="K41" s="1605">
        <f t="shared" si="18"/>
        <v>0.65511007399560761</v>
      </c>
      <c r="L41" s="1062">
        <f t="shared" si="15"/>
        <v>25</v>
      </c>
      <c r="M41" s="1063">
        <f t="shared" si="16"/>
        <v>1846.68</v>
      </c>
      <c r="N41" s="813">
        <f t="shared" si="17"/>
        <v>718.9</v>
      </c>
      <c r="V41" s="621" t="str">
        <f t="shared" si="19"/>
        <v>kWh Annual Savings</v>
      </c>
      <c r="W41" s="1969">
        <v>1405.5728012555933</v>
      </c>
      <c r="X41" s="1212">
        <v>1405.5728012555933</v>
      </c>
      <c r="Y41" s="176"/>
      <c r="Z41" s="176"/>
      <c r="AA41" s="176"/>
      <c r="AB41" s="176"/>
      <c r="AC41" s="176"/>
      <c r="AD41" s="176"/>
      <c r="AE41" s="176"/>
      <c r="AF41" s="176"/>
      <c r="AG41" s="176"/>
    </row>
    <row r="42" spans="2:33" x14ac:dyDescent="0.25">
      <c r="B42" s="1087"/>
      <c r="C42" s="1531"/>
      <c r="D42" s="1066" t="s">
        <v>1637</v>
      </c>
      <c r="E42" s="837" t="s">
        <v>1652</v>
      </c>
      <c r="F42" s="1077">
        <f t="shared" si="12"/>
        <v>709.13837793835614</v>
      </c>
      <c r="G42" s="1531" t="s">
        <v>1248</v>
      </c>
      <c r="H42" s="170">
        <f>VLOOKUP(G42,'CP FACTORS'!$A$3:$B$38, 2, FALSE)</f>
        <v>4.6608050000000002E-4</v>
      </c>
      <c r="I42" s="1062">
        <f t="shared" si="13"/>
        <v>562.40801233835612</v>
      </c>
      <c r="J42" s="1533">
        <f t="shared" si="14"/>
        <v>146.73036559999997</v>
      </c>
      <c r="K42" s="1605">
        <f t="shared" si="18"/>
        <v>0.330515569758698</v>
      </c>
      <c r="L42" s="1062">
        <f t="shared" si="15"/>
        <v>25</v>
      </c>
      <c r="M42" s="1063">
        <f t="shared" si="16"/>
        <v>1846.68</v>
      </c>
      <c r="N42" s="813">
        <f t="shared" si="17"/>
        <v>718.9</v>
      </c>
      <c r="V42" s="621" t="str">
        <f t="shared" si="19"/>
        <v>kWh Annual Savings</v>
      </c>
      <c r="W42" s="1969">
        <v>709.13837793835614</v>
      </c>
      <c r="X42" s="1212">
        <v>709.13837793835614</v>
      </c>
      <c r="Y42" s="176"/>
      <c r="Z42" s="176"/>
      <c r="AA42" s="176"/>
      <c r="AB42" s="176"/>
      <c r="AC42" s="176"/>
      <c r="AD42" s="176"/>
      <c r="AE42" s="176"/>
      <c r="AF42" s="176"/>
      <c r="AG42" s="176"/>
    </row>
    <row r="43" spans="2:33" x14ac:dyDescent="0.25">
      <c r="B43" s="1087"/>
      <c r="C43" s="1531"/>
      <c r="D43" s="1066" t="s">
        <v>1637</v>
      </c>
      <c r="E43" s="837" t="s">
        <v>1653</v>
      </c>
      <c r="F43" s="1077">
        <f t="shared" si="12"/>
        <v>1459.6332936115778</v>
      </c>
      <c r="G43" s="1531" t="s">
        <v>1248</v>
      </c>
      <c r="H43" s="170">
        <f>VLOOKUP(G43,'CP FACTORS'!$A$3:$B$38, 2, FALSE)</f>
        <v>4.6608050000000002E-4</v>
      </c>
      <c r="I43" s="1062">
        <f t="shared" si="13"/>
        <v>1320.9730981195778</v>
      </c>
      <c r="J43" s="1533">
        <f t="shared" si="14"/>
        <v>138.66019549199999</v>
      </c>
      <c r="K43" s="1605">
        <f t="shared" si="18"/>
        <v>0.68030661530313097</v>
      </c>
      <c r="L43" s="1062">
        <f t="shared" si="15"/>
        <v>25</v>
      </c>
      <c r="M43" s="1063">
        <f t="shared" si="16"/>
        <v>2461.73</v>
      </c>
      <c r="N43" s="813">
        <f t="shared" si="17"/>
        <v>718.9</v>
      </c>
      <c r="V43" s="621" t="str">
        <f t="shared" si="19"/>
        <v>kWh Annual Savings</v>
      </c>
      <c r="W43" s="1969">
        <v>1459.6332936115778</v>
      </c>
      <c r="X43" s="1212">
        <v>1459.6332936115778</v>
      </c>
      <c r="Y43" s="176"/>
      <c r="Z43" s="176"/>
      <c r="AA43" s="176"/>
      <c r="AB43" s="176"/>
      <c r="AC43" s="176"/>
      <c r="AD43" s="176"/>
      <c r="AE43" s="176"/>
      <c r="AF43" s="176"/>
      <c r="AG43" s="176"/>
    </row>
    <row r="44" spans="2:33" x14ac:dyDescent="0.25">
      <c r="B44" s="1087"/>
      <c r="C44" s="1531"/>
      <c r="D44" s="1066" t="s">
        <v>1637</v>
      </c>
      <c r="E44" s="837" t="s">
        <v>1654</v>
      </c>
      <c r="F44" s="1077">
        <f t="shared" si="12"/>
        <v>736.41293093598529</v>
      </c>
      <c r="G44" s="1531" t="s">
        <v>1248</v>
      </c>
      <c r="H44" s="170">
        <f>VLOOKUP(G44,'CP FACTORS'!$A$3:$B$38, 2, FALSE)</f>
        <v>4.6608050000000002E-4</v>
      </c>
      <c r="I44" s="1062">
        <f t="shared" si="13"/>
        <v>584.03908973598527</v>
      </c>
      <c r="J44" s="1533">
        <f t="shared" si="14"/>
        <v>152.37384119999996</v>
      </c>
      <c r="K44" s="1605">
        <f t="shared" si="18"/>
        <v>0.34322770705710948</v>
      </c>
      <c r="L44" s="1062">
        <f t="shared" si="15"/>
        <v>25</v>
      </c>
      <c r="M44" s="1063">
        <f t="shared" si="16"/>
        <v>2461.73</v>
      </c>
      <c r="N44" s="813">
        <f t="shared" si="17"/>
        <v>718.9</v>
      </c>
      <c r="V44" s="621" t="str">
        <f t="shared" si="19"/>
        <v>kWh Annual Savings</v>
      </c>
      <c r="W44" s="1969">
        <v>736.41293093598529</v>
      </c>
      <c r="X44" s="1212">
        <v>736.41293093598529</v>
      </c>
      <c r="Y44" s="176"/>
      <c r="Z44" s="176"/>
      <c r="AA44" s="176"/>
      <c r="AB44" s="176"/>
      <c r="AC44" s="176"/>
      <c r="AD44" s="176"/>
      <c r="AE44" s="176"/>
      <c r="AF44" s="176"/>
      <c r="AG44" s="176"/>
    </row>
    <row r="45" spans="2:33" hidden="1" outlineLevel="1" x14ac:dyDescent="0.25">
      <c r="B45" s="1087"/>
      <c r="C45" s="1535"/>
      <c r="D45" s="1546"/>
      <c r="E45" s="1546"/>
      <c r="F45" s="1547"/>
      <c r="G45" s="1548"/>
      <c r="H45" s="1548"/>
      <c r="I45" s="1548"/>
      <c r="J45" s="1548"/>
      <c r="K45" s="1548"/>
      <c r="L45" s="1548"/>
      <c r="M45" s="1548"/>
      <c r="N45" s="1548"/>
      <c r="O45" s="904"/>
      <c r="P45" s="904"/>
      <c r="Q45" s="904"/>
      <c r="W45" s="1958"/>
      <c r="X45" s="1958"/>
    </row>
    <row r="46" spans="2:33" hidden="1" outlineLevel="1" x14ac:dyDescent="0.25">
      <c r="B46" s="1087"/>
      <c r="C46" s="1535"/>
      <c r="D46" s="1546" t="s">
        <v>463</v>
      </c>
      <c r="E46" s="1546"/>
      <c r="F46" s="1547"/>
      <c r="G46" s="1548"/>
      <c r="H46" s="1548"/>
      <c r="I46" s="1548"/>
      <c r="J46" s="1548"/>
      <c r="K46" s="1548"/>
      <c r="L46" s="1548"/>
      <c r="M46" s="1548"/>
      <c r="N46" s="1548"/>
      <c r="O46" s="904"/>
      <c r="P46" s="904"/>
      <c r="Q46" s="904"/>
      <c r="W46" s="1958"/>
      <c r="X46" s="1958"/>
    </row>
    <row r="47" spans="2:33" hidden="1" outlineLevel="1" x14ac:dyDescent="0.25">
      <c r="B47" s="1087"/>
      <c r="C47" s="1735"/>
      <c r="D47" s="2380"/>
      <c r="E47" s="2380"/>
      <c r="F47" s="2380"/>
      <c r="G47" s="2380"/>
      <c r="H47" s="2380"/>
      <c r="I47" s="2380"/>
      <c r="J47" s="2380"/>
      <c r="K47" s="2380"/>
      <c r="L47" s="2380"/>
      <c r="M47" s="1548"/>
      <c r="N47" s="1548"/>
      <c r="O47" s="904"/>
      <c r="P47" s="904"/>
      <c r="Q47" s="904"/>
      <c r="W47" s="1958"/>
      <c r="X47" s="1958"/>
    </row>
    <row r="48" spans="2:33" ht="48.75" hidden="1" customHeight="1" outlineLevel="1" x14ac:dyDescent="0.25">
      <c r="B48" s="1087"/>
      <c r="C48" s="1736"/>
      <c r="D48" s="2380"/>
      <c r="E48" s="2380"/>
      <c r="F48" s="2380"/>
      <c r="G48" s="2380"/>
      <c r="H48" s="2380"/>
      <c r="I48" s="2380"/>
      <c r="J48" s="2380"/>
      <c r="K48" s="2380"/>
      <c r="L48" s="2380"/>
      <c r="M48" s="1548"/>
      <c r="N48" s="1548"/>
      <c r="O48" s="904"/>
      <c r="P48" s="904"/>
      <c r="Q48" s="904"/>
      <c r="W48" s="1958"/>
      <c r="X48" s="1958"/>
    </row>
    <row r="49" spans="2:33" hidden="1" outlineLevel="1" x14ac:dyDescent="0.25">
      <c r="B49" s="1087"/>
      <c r="C49" s="1736"/>
      <c r="D49" s="2380"/>
      <c r="E49" s="2380"/>
      <c r="F49" s="2380"/>
      <c r="G49" s="2380"/>
      <c r="H49" s="2380"/>
      <c r="I49" s="2380"/>
      <c r="J49" s="2380"/>
      <c r="K49" s="2380"/>
      <c r="L49" s="2380"/>
      <c r="M49" s="1548"/>
      <c r="N49" s="1548"/>
      <c r="O49" s="904"/>
      <c r="P49" s="904"/>
      <c r="Q49" s="904"/>
      <c r="W49" s="1958"/>
      <c r="X49" s="1958"/>
    </row>
    <row r="50" spans="2:33" hidden="1" outlineLevel="1" x14ac:dyDescent="0.25">
      <c r="B50" s="1087"/>
      <c r="C50" s="1737"/>
      <c r="D50" s="2380"/>
      <c r="E50" s="2380"/>
      <c r="F50" s="2380"/>
      <c r="G50" s="2380"/>
      <c r="H50" s="2380"/>
      <c r="I50" s="2380"/>
      <c r="J50" s="2380"/>
      <c r="K50" s="2380"/>
      <c r="L50" s="2380"/>
      <c r="M50" s="1548"/>
      <c r="N50" s="1548"/>
      <c r="O50" s="904"/>
      <c r="P50" s="904"/>
      <c r="Q50" s="904"/>
      <c r="W50" s="1958"/>
      <c r="X50" s="1958"/>
    </row>
    <row r="51" spans="2:33" hidden="1" outlineLevel="1" x14ac:dyDescent="0.25">
      <c r="B51" s="1087"/>
      <c r="C51" s="1535"/>
      <c r="D51" s="1546"/>
      <c r="E51" s="1546"/>
      <c r="F51" s="1548"/>
      <c r="G51" s="1548"/>
      <c r="H51" s="1548"/>
      <c r="I51" s="1548"/>
      <c r="J51" s="1548"/>
      <c r="K51" s="1548"/>
      <c r="L51" s="1548"/>
      <c r="M51" s="1548"/>
      <c r="N51" s="1548"/>
      <c r="O51" s="904"/>
      <c r="P51" s="904"/>
      <c r="Q51" s="904"/>
      <c r="W51" s="1958"/>
      <c r="X51" s="1958"/>
    </row>
    <row r="52" spans="2:33" hidden="1" outlineLevel="1" x14ac:dyDescent="0.25">
      <c r="B52" s="1087"/>
      <c r="C52" s="1434"/>
      <c r="D52" s="1098" t="s">
        <v>465</v>
      </c>
      <c r="E52" s="1098" t="s">
        <v>466</v>
      </c>
      <c r="F52" s="184" t="s">
        <v>467</v>
      </c>
      <c r="G52" s="184" t="s">
        <v>515</v>
      </c>
      <c r="H52" s="184" t="s">
        <v>592</v>
      </c>
      <c r="I52" s="1548"/>
      <c r="J52" s="1548"/>
      <c r="K52" s="904"/>
      <c r="L52" s="904"/>
      <c r="M52" s="904"/>
      <c r="N52" s="904"/>
      <c r="O52" s="904"/>
      <c r="P52" s="904"/>
      <c r="Q52" s="904"/>
      <c r="V52" s="490" t="s">
        <v>26</v>
      </c>
      <c r="W52" s="1968">
        <f>W$6</f>
        <v>43252</v>
      </c>
      <c r="X52" s="1968">
        <f t="shared" ref="X52:AG52" si="20">X$6</f>
        <v>43465</v>
      </c>
      <c r="Y52" s="49" t="str">
        <f t="shared" si="20"/>
        <v>-</v>
      </c>
      <c r="Z52" s="49" t="str">
        <f t="shared" si="20"/>
        <v>-</v>
      </c>
      <c r="AA52" s="49" t="str">
        <f t="shared" si="20"/>
        <v>-</v>
      </c>
      <c r="AB52" s="49" t="str">
        <f t="shared" si="20"/>
        <v>-</v>
      </c>
      <c r="AC52" s="49" t="str">
        <f t="shared" si="20"/>
        <v>-</v>
      </c>
      <c r="AD52" s="49" t="str">
        <f t="shared" si="20"/>
        <v>-</v>
      </c>
      <c r="AE52" s="49" t="str">
        <f t="shared" si="20"/>
        <v>-</v>
      </c>
      <c r="AF52" s="49" t="str">
        <f t="shared" si="20"/>
        <v>-</v>
      </c>
      <c r="AG52" s="49" t="str">
        <f t="shared" si="20"/>
        <v>-</v>
      </c>
    </row>
    <row r="53" spans="2:33" hidden="1" outlineLevel="1" x14ac:dyDescent="0.25">
      <c r="B53" s="1087"/>
      <c r="C53" s="1434"/>
      <c r="D53" s="2369" t="s">
        <v>146</v>
      </c>
      <c r="E53" s="1066" t="s">
        <v>1655</v>
      </c>
      <c r="F53" s="1142">
        <v>1</v>
      </c>
      <c r="G53" s="952"/>
      <c r="H53" s="1068"/>
      <c r="I53" s="1548"/>
      <c r="J53" s="1548"/>
      <c r="K53" s="904"/>
      <c r="L53" s="904"/>
      <c r="M53" s="904"/>
      <c r="N53" s="904"/>
      <c r="O53" s="904"/>
      <c r="P53" s="904"/>
      <c r="Q53" s="904"/>
      <c r="V53" s="2369" t="str">
        <f>D53</f>
        <v>%ElectricHeat</v>
      </c>
      <c r="W53" s="1965">
        <v>1</v>
      </c>
      <c r="X53" s="1965">
        <v>1</v>
      </c>
      <c r="Y53" s="440"/>
      <c r="Z53" s="440"/>
      <c r="AA53" s="440"/>
      <c r="AB53" s="440"/>
      <c r="AC53" s="440"/>
      <c r="AD53" s="440"/>
      <c r="AE53" s="440"/>
      <c r="AF53" s="440"/>
      <c r="AG53" s="440"/>
    </row>
    <row r="54" spans="2:33" hidden="1" outlineLevel="1" x14ac:dyDescent="0.25">
      <c r="B54" s="1087"/>
      <c r="C54" s="1434"/>
      <c r="D54" s="2370"/>
      <c r="E54" s="1066" t="s">
        <v>1656</v>
      </c>
      <c r="F54" s="1142">
        <v>0</v>
      </c>
      <c r="G54" s="952"/>
      <c r="H54" s="1068"/>
      <c r="I54" s="1548"/>
      <c r="J54" s="1548"/>
      <c r="K54" s="904"/>
      <c r="L54" s="904"/>
      <c r="M54" s="904"/>
      <c r="N54" s="904"/>
      <c r="O54" s="904"/>
      <c r="P54" s="904"/>
      <c r="Q54" s="904"/>
      <c r="V54" s="2370"/>
      <c r="W54" s="1965">
        <v>0</v>
      </c>
      <c r="X54" s="1965">
        <v>0</v>
      </c>
      <c r="Y54" s="440"/>
      <c r="Z54" s="440"/>
      <c r="AA54" s="440"/>
      <c r="AB54" s="440"/>
      <c r="AC54" s="440"/>
      <c r="AD54" s="440"/>
      <c r="AE54" s="440"/>
      <c r="AF54" s="440"/>
      <c r="AG54" s="440"/>
    </row>
    <row r="55" spans="2:33" hidden="1" outlineLevel="1" x14ac:dyDescent="0.25">
      <c r="B55" s="1087"/>
      <c r="C55" s="1434"/>
      <c r="D55" s="2370"/>
      <c r="E55" s="1066" t="s">
        <v>1657</v>
      </c>
      <c r="F55" s="1142">
        <v>1</v>
      </c>
      <c r="G55" s="952"/>
      <c r="H55" s="1068"/>
      <c r="I55" s="1548"/>
      <c r="J55" s="1548"/>
      <c r="K55" s="904"/>
      <c r="L55" s="904"/>
      <c r="M55" s="904"/>
      <c r="N55" s="904"/>
      <c r="O55" s="904"/>
      <c r="P55" s="904"/>
      <c r="Q55" s="904"/>
      <c r="V55" s="2370"/>
      <c r="W55" s="1965">
        <v>1</v>
      </c>
      <c r="X55" s="1965">
        <v>1</v>
      </c>
      <c r="Y55" s="440"/>
      <c r="Z55" s="440"/>
      <c r="AA55" s="440"/>
      <c r="AB55" s="440"/>
      <c r="AC55" s="440"/>
      <c r="AD55" s="440"/>
      <c r="AE55" s="440"/>
      <c r="AF55" s="440"/>
      <c r="AG55" s="440"/>
    </row>
    <row r="56" spans="2:33" hidden="1" outlineLevel="1" x14ac:dyDescent="0.25">
      <c r="B56" s="1087"/>
      <c r="C56" s="1434"/>
      <c r="D56" s="2370"/>
      <c r="E56" s="1066" t="s">
        <v>1658</v>
      </c>
      <c r="F56" s="1142">
        <v>0</v>
      </c>
      <c r="G56" s="952"/>
      <c r="H56" s="1068"/>
      <c r="I56" s="1548"/>
      <c r="J56" s="1548"/>
      <c r="K56" s="904"/>
      <c r="L56" s="904"/>
      <c r="M56" s="904"/>
      <c r="N56" s="904"/>
      <c r="O56" s="904"/>
      <c r="P56" s="904"/>
      <c r="Q56" s="904"/>
      <c r="V56" s="2370"/>
      <c r="W56" s="1965">
        <v>0</v>
      </c>
      <c r="X56" s="1965">
        <v>0</v>
      </c>
      <c r="Y56" s="440"/>
      <c r="Z56" s="440"/>
      <c r="AA56" s="440"/>
      <c r="AB56" s="440"/>
      <c r="AC56" s="440"/>
      <c r="AD56" s="440"/>
      <c r="AE56" s="440"/>
      <c r="AF56" s="440"/>
      <c r="AG56" s="440"/>
    </row>
    <row r="57" spans="2:33" hidden="1" outlineLevel="1" x14ac:dyDescent="0.25">
      <c r="B57" s="1087"/>
      <c r="C57" s="1434"/>
      <c r="D57" s="2370"/>
      <c r="E57" s="1066" t="s">
        <v>1659</v>
      </c>
      <c r="F57" s="1142">
        <v>1</v>
      </c>
      <c r="G57" s="952"/>
      <c r="H57" s="1068"/>
      <c r="I57" s="1548"/>
      <c r="J57" s="1548"/>
      <c r="K57" s="904"/>
      <c r="L57" s="904"/>
      <c r="M57" s="904"/>
      <c r="N57" s="904"/>
      <c r="O57" s="904"/>
      <c r="P57" s="904"/>
      <c r="Q57" s="904"/>
      <c r="V57" s="2370"/>
      <c r="W57" s="1965">
        <v>1</v>
      </c>
      <c r="X57" s="1965">
        <v>1</v>
      </c>
      <c r="Y57" s="440"/>
      <c r="Z57" s="440"/>
      <c r="AA57" s="440"/>
      <c r="AB57" s="440"/>
      <c r="AC57" s="440"/>
      <c r="AD57" s="440"/>
      <c r="AE57" s="440"/>
      <c r="AF57" s="440"/>
      <c r="AG57" s="440"/>
    </row>
    <row r="58" spans="2:33" hidden="1" outlineLevel="1" x14ac:dyDescent="0.25">
      <c r="B58" s="1087"/>
      <c r="C58" s="1434"/>
      <c r="D58" s="2370"/>
      <c r="E58" s="1066" t="s">
        <v>1660</v>
      </c>
      <c r="F58" s="1142">
        <v>0</v>
      </c>
      <c r="G58" s="952"/>
      <c r="H58" s="1068"/>
      <c r="I58" s="1548"/>
      <c r="J58" s="1548"/>
      <c r="K58" s="904"/>
      <c r="L58" s="904"/>
      <c r="M58" s="904"/>
      <c r="N58" s="904"/>
      <c r="O58" s="904"/>
      <c r="P58" s="904"/>
      <c r="Q58" s="904"/>
      <c r="V58" s="2370"/>
      <c r="W58" s="1965">
        <v>0</v>
      </c>
      <c r="X58" s="1965">
        <v>0</v>
      </c>
      <c r="Y58" s="440"/>
      <c r="Z58" s="440"/>
      <c r="AA58" s="440"/>
      <c r="AB58" s="440"/>
      <c r="AC58" s="440"/>
      <c r="AD58" s="440"/>
      <c r="AE58" s="440"/>
      <c r="AF58" s="440"/>
      <c r="AG58" s="440"/>
    </row>
    <row r="59" spans="2:33" hidden="1" outlineLevel="1" x14ac:dyDescent="0.25">
      <c r="B59" s="1087"/>
      <c r="C59" s="1434"/>
      <c r="D59" s="2370"/>
      <c r="E59" s="1066" t="s">
        <v>1661</v>
      </c>
      <c r="F59" s="1142">
        <v>1</v>
      </c>
      <c r="G59" s="952"/>
      <c r="H59" s="1068"/>
      <c r="I59" s="1548"/>
      <c r="J59" s="1548"/>
      <c r="K59" s="904"/>
      <c r="L59" s="904"/>
      <c r="M59" s="904"/>
      <c r="N59" s="904"/>
      <c r="O59" s="904"/>
      <c r="P59" s="904"/>
      <c r="Q59" s="904"/>
      <c r="V59" s="2370"/>
      <c r="W59" s="1965">
        <v>1</v>
      </c>
      <c r="X59" s="1965">
        <v>1</v>
      </c>
      <c r="Y59" s="440"/>
      <c r="Z59" s="440"/>
      <c r="AA59" s="440"/>
      <c r="AB59" s="440"/>
      <c r="AC59" s="440"/>
      <c r="AD59" s="440"/>
      <c r="AE59" s="440"/>
      <c r="AF59" s="440"/>
      <c r="AG59" s="440"/>
    </row>
    <row r="60" spans="2:33" hidden="1" outlineLevel="1" x14ac:dyDescent="0.25">
      <c r="B60" s="1087"/>
      <c r="C60" s="1434"/>
      <c r="D60" s="2370"/>
      <c r="E60" s="1066" t="s">
        <v>1662</v>
      </c>
      <c r="F60" s="1142">
        <v>0</v>
      </c>
      <c r="G60" s="952"/>
      <c r="H60" s="1068"/>
      <c r="I60" s="1548"/>
      <c r="J60" s="1548"/>
      <c r="K60" s="904"/>
      <c r="L60" s="904"/>
      <c r="M60" s="904"/>
      <c r="N60" s="904"/>
      <c r="O60" s="904"/>
      <c r="P60" s="904"/>
      <c r="Q60" s="904"/>
      <c r="V60" s="2370"/>
      <c r="W60" s="1965">
        <v>0</v>
      </c>
      <c r="X60" s="1965">
        <v>0</v>
      </c>
      <c r="Y60" s="440"/>
      <c r="Z60" s="440"/>
      <c r="AA60" s="440"/>
      <c r="AB60" s="440"/>
      <c r="AC60" s="440"/>
      <c r="AD60" s="440"/>
      <c r="AE60" s="440"/>
      <c r="AF60" s="440"/>
      <c r="AG60" s="440"/>
    </row>
    <row r="61" spans="2:33" hidden="1" outlineLevel="1" x14ac:dyDescent="0.25">
      <c r="B61" s="1087"/>
      <c r="C61" s="1434"/>
      <c r="D61" s="2370"/>
      <c r="E61" s="1066" t="s">
        <v>1663</v>
      </c>
      <c r="F61" s="1142">
        <v>1</v>
      </c>
      <c r="G61" s="952"/>
      <c r="H61" s="1068"/>
      <c r="I61" s="1548"/>
      <c r="J61" s="1548"/>
      <c r="K61" s="904"/>
      <c r="L61" s="904"/>
      <c r="M61" s="904"/>
      <c r="N61" s="904"/>
      <c r="O61" s="904"/>
      <c r="P61" s="904"/>
      <c r="Q61" s="904"/>
      <c r="V61" s="2370"/>
      <c r="W61" s="1965">
        <v>1</v>
      </c>
      <c r="X61" s="1965">
        <v>1</v>
      </c>
      <c r="Y61" s="440"/>
      <c r="Z61" s="440"/>
      <c r="AA61" s="440"/>
      <c r="AB61" s="440"/>
      <c r="AC61" s="440"/>
      <c r="AD61" s="440"/>
      <c r="AE61" s="440"/>
      <c r="AF61" s="440"/>
      <c r="AG61" s="440"/>
    </row>
    <row r="62" spans="2:33" hidden="1" outlineLevel="1" x14ac:dyDescent="0.25">
      <c r="B62" s="1087"/>
      <c r="C62" s="1434"/>
      <c r="D62" s="2370"/>
      <c r="E62" s="1066" t="s">
        <v>1664</v>
      </c>
      <c r="F62" s="1142">
        <v>0</v>
      </c>
      <c r="G62" s="952"/>
      <c r="H62" s="1068"/>
      <c r="I62" s="1548"/>
      <c r="J62" s="1548"/>
      <c r="K62" s="904"/>
      <c r="L62" s="904"/>
      <c r="M62" s="904"/>
      <c r="N62" s="904"/>
      <c r="O62" s="904"/>
      <c r="P62" s="904"/>
      <c r="Q62" s="904"/>
      <c r="V62" s="2370"/>
      <c r="W62" s="1965">
        <v>0</v>
      </c>
      <c r="X62" s="1965">
        <v>0</v>
      </c>
      <c r="Y62" s="440"/>
      <c r="Z62" s="440"/>
      <c r="AA62" s="440"/>
      <c r="AB62" s="440"/>
      <c r="AC62" s="440"/>
      <c r="AD62" s="440"/>
      <c r="AE62" s="440"/>
      <c r="AF62" s="440"/>
      <c r="AG62" s="440"/>
    </row>
    <row r="63" spans="2:33" ht="15" hidden="1" customHeight="1" outlineLevel="1" x14ac:dyDescent="0.25">
      <c r="B63" s="1087"/>
      <c r="C63" s="1434"/>
      <c r="D63" s="2369" t="s">
        <v>1887</v>
      </c>
      <c r="E63" s="1066" t="s">
        <v>1655</v>
      </c>
      <c r="F63" s="1067">
        <v>11</v>
      </c>
      <c r="G63" s="952"/>
      <c r="H63" s="1068" t="s">
        <v>1291</v>
      </c>
      <c r="I63" s="1548"/>
      <c r="J63" s="1548"/>
      <c r="K63" s="904"/>
      <c r="L63" s="904"/>
      <c r="M63" s="904"/>
      <c r="N63" s="904"/>
      <c r="O63" s="904"/>
      <c r="P63" s="904"/>
      <c r="Q63" s="904"/>
      <c r="V63" s="2369" t="str">
        <f>D63</f>
        <v>Rold</v>
      </c>
      <c r="W63" s="1965">
        <v>11</v>
      </c>
      <c r="X63" s="1965">
        <v>11</v>
      </c>
      <c r="Y63" s="1064"/>
      <c r="Z63" s="1064"/>
      <c r="AA63" s="1064"/>
      <c r="AB63" s="1064"/>
      <c r="AC63" s="1064"/>
      <c r="AD63" s="1064"/>
      <c r="AE63" s="1064"/>
      <c r="AF63" s="1064"/>
      <c r="AG63" s="1064"/>
    </row>
    <row r="64" spans="2:33" hidden="1" outlineLevel="1" x14ac:dyDescent="0.25">
      <c r="B64" s="1087"/>
      <c r="C64" s="1434"/>
      <c r="D64" s="2370"/>
      <c r="E64" s="1066" t="s">
        <v>1656</v>
      </c>
      <c r="F64" s="1067">
        <v>11</v>
      </c>
      <c r="G64" s="952"/>
      <c r="H64" s="1068" t="s">
        <v>1291</v>
      </c>
      <c r="I64" s="1548"/>
      <c r="J64" s="1548"/>
      <c r="K64" s="904"/>
      <c r="L64" s="904"/>
      <c r="M64" s="904"/>
      <c r="N64" s="904"/>
      <c r="O64" s="904"/>
      <c r="P64" s="904"/>
      <c r="Q64" s="904"/>
      <c r="V64" s="2370"/>
      <c r="W64" s="1965">
        <v>11</v>
      </c>
      <c r="X64" s="1965">
        <v>11</v>
      </c>
      <c r="Y64" s="1064"/>
      <c r="Z64" s="1064"/>
      <c r="AA64" s="1064"/>
      <c r="AB64" s="1064"/>
      <c r="AC64" s="1064"/>
      <c r="AD64" s="1064"/>
      <c r="AE64" s="1064"/>
      <c r="AF64" s="1064"/>
      <c r="AG64" s="1064"/>
    </row>
    <row r="65" spans="2:33" hidden="1" outlineLevel="1" x14ac:dyDescent="0.25">
      <c r="B65" s="1087"/>
      <c r="C65" s="1434"/>
      <c r="D65" s="2370"/>
      <c r="E65" s="1066" t="s">
        <v>1657</v>
      </c>
      <c r="F65" s="1067">
        <v>5</v>
      </c>
      <c r="G65" s="952"/>
      <c r="H65" s="1068" t="s">
        <v>1291</v>
      </c>
      <c r="I65" s="1548"/>
      <c r="J65" s="1548"/>
      <c r="K65" s="904"/>
      <c r="L65" s="904"/>
      <c r="M65" s="904"/>
      <c r="N65" s="904"/>
      <c r="O65" s="904"/>
      <c r="P65" s="904"/>
      <c r="Q65" s="904"/>
      <c r="V65" s="2370"/>
      <c r="W65" s="1965">
        <v>5</v>
      </c>
      <c r="X65" s="1965">
        <v>5</v>
      </c>
      <c r="Y65" s="1064"/>
      <c r="Z65" s="1064"/>
      <c r="AA65" s="1064"/>
      <c r="AB65" s="1064"/>
      <c r="AC65" s="1064"/>
      <c r="AD65" s="1064"/>
      <c r="AE65" s="1064"/>
      <c r="AF65" s="1064"/>
      <c r="AG65" s="1064"/>
    </row>
    <row r="66" spans="2:33" hidden="1" outlineLevel="1" x14ac:dyDescent="0.25">
      <c r="B66" s="1087"/>
      <c r="C66" s="1434"/>
      <c r="D66" s="2370"/>
      <c r="E66" s="1066" t="s">
        <v>1658</v>
      </c>
      <c r="F66" s="1067">
        <v>5</v>
      </c>
      <c r="G66" s="952"/>
      <c r="H66" s="1068" t="s">
        <v>1291</v>
      </c>
      <c r="I66" s="1548"/>
      <c r="J66" s="1548"/>
      <c r="K66" s="904"/>
      <c r="L66" s="904"/>
      <c r="M66" s="904"/>
      <c r="N66" s="904"/>
      <c r="O66" s="904"/>
      <c r="P66" s="904"/>
      <c r="Q66" s="904"/>
      <c r="V66" s="2370"/>
      <c r="W66" s="1965">
        <v>5</v>
      </c>
      <c r="X66" s="1965">
        <v>5</v>
      </c>
      <c r="Y66" s="1064"/>
      <c r="Z66" s="1064"/>
      <c r="AA66" s="1064"/>
      <c r="AB66" s="1064"/>
      <c r="AC66" s="1064"/>
      <c r="AD66" s="1064"/>
      <c r="AE66" s="1064"/>
      <c r="AF66" s="1064"/>
      <c r="AG66" s="1064"/>
    </row>
    <row r="67" spans="2:33" hidden="1" outlineLevel="1" x14ac:dyDescent="0.25">
      <c r="B67" s="1087"/>
      <c r="C67" s="1434"/>
      <c r="D67" s="2370"/>
      <c r="E67" s="1066" t="s">
        <v>1659</v>
      </c>
      <c r="F67" s="1067">
        <v>5</v>
      </c>
      <c r="G67" s="952"/>
      <c r="H67" s="1068" t="s">
        <v>1291</v>
      </c>
      <c r="I67" s="1548"/>
      <c r="J67" s="1548"/>
      <c r="K67" s="904"/>
      <c r="L67" s="904"/>
      <c r="M67" s="904"/>
      <c r="N67" s="904"/>
      <c r="O67" s="904"/>
      <c r="P67" s="904"/>
      <c r="Q67" s="904"/>
      <c r="V67" s="2370"/>
      <c r="W67" s="1965">
        <v>5</v>
      </c>
      <c r="X67" s="1965">
        <v>5</v>
      </c>
      <c r="Y67" s="1064"/>
      <c r="Z67" s="1064"/>
      <c r="AA67" s="1064"/>
      <c r="AB67" s="1064"/>
      <c r="AC67" s="1064"/>
      <c r="AD67" s="1064"/>
      <c r="AE67" s="1064"/>
      <c r="AF67" s="1064"/>
      <c r="AG67" s="1064"/>
    </row>
    <row r="68" spans="2:33" hidden="1" outlineLevel="1" x14ac:dyDescent="0.25">
      <c r="B68" s="1087"/>
      <c r="C68" s="1434"/>
      <c r="D68" s="2370"/>
      <c r="E68" s="1066" t="s">
        <v>1660</v>
      </c>
      <c r="F68" s="1067">
        <v>5</v>
      </c>
      <c r="G68" s="952"/>
      <c r="H68" s="1068" t="s">
        <v>1291</v>
      </c>
      <c r="I68" s="1548"/>
      <c r="J68" s="1548"/>
      <c r="K68" s="904"/>
      <c r="L68" s="904"/>
      <c r="M68" s="904"/>
      <c r="N68" s="904"/>
      <c r="O68" s="904"/>
      <c r="P68" s="904"/>
      <c r="Q68" s="904"/>
      <c r="V68" s="2370"/>
      <c r="W68" s="1965">
        <v>5</v>
      </c>
      <c r="X68" s="1965">
        <v>5</v>
      </c>
      <c r="Y68" s="1064"/>
      <c r="Z68" s="1064"/>
      <c r="AA68" s="1064"/>
      <c r="AB68" s="1064"/>
      <c r="AC68" s="1064"/>
      <c r="AD68" s="1064"/>
      <c r="AE68" s="1064"/>
      <c r="AF68" s="1064"/>
      <c r="AG68" s="1064"/>
    </row>
    <row r="69" spans="2:33" hidden="1" outlineLevel="1" x14ac:dyDescent="0.25">
      <c r="B69" s="1087"/>
      <c r="C69" s="1434"/>
      <c r="D69" s="2370"/>
      <c r="E69" s="1066" t="s">
        <v>1661</v>
      </c>
      <c r="F69" s="1067">
        <v>5</v>
      </c>
      <c r="G69" s="952"/>
      <c r="H69" s="1068" t="s">
        <v>1291</v>
      </c>
      <c r="I69" s="1548"/>
      <c r="J69" s="1548"/>
      <c r="K69" s="904"/>
      <c r="L69" s="904"/>
      <c r="M69" s="904"/>
      <c r="N69" s="904"/>
      <c r="O69" s="904"/>
      <c r="P69" s="904"/>
      <c r="Q69" s="904"/>
      <c r="V69" s="2370"/>
      <c r="W69" s="1965">
        <v>5</v>
      </c>
      <c r="X69" s="1965">
        <v>5</v>
      </c>
      <c r="Y69" s="1064"/>
      <c r="Z69" s="1064"/>
      <c r="AA69" s="1064"/>
      <c r="AB69" s="1064"/>
      <c r="AC69" s="1064"/>
      <c r="AD69" s="1064"/>
      <c r="AE69" s="1064"/>
      <c r="AF69" s="1064"/>
      <c r="AG69" s="1064"/>
    </row>
    <row r="70" spans="2:33" hidden="1" outlineLevel="1" x14ac:dyDescent="0.25">
      <c r="B70" s="1087"/>
      <c r="C70" s="1434"/>
      <c r="D70" s="2370"/>
      <c r="E70" s="1066" t="s">
        <v>1662</v>
      </c>
      <c r="F70" s="1067">
        <v>5</v>
      </c>
      <c r="G70" s="952"/>
      <c r="H70" s="1068" t="s">
        <v>1291</v>
      </c>
      <c r="I70" s="1548"/>
      <c r="J70" s="1548"/>
      <c r="K70" s="904"/>
      <c r="L70" s="904"/>
      <c r="M70" s="904"/>
      <c r="N70" s="904"/>
      <c r="O70" s="904"/>
      <c r="P70" s="904"/>
      <c r="Q70" s="904"/>
      <c r="V70" s="2370"/>
      <c r="W70" s="1965">
        <v>5</v>
      </c>
      <c r="X70" s="1965">
        <v>5</v>
      </c>
      <c r="Y70" s="1064"/>
      <c r="Z70" s="1064"/>
      <c r="AA70" s="1064"/>
      <c r="AB70" s="1064"/>
      <c r="AC70" s="1064"/>
      <c r="AD70" s="1064"/>
      <c r="AE70" s="1064"/>
      <c r="AF70" s="1064"/>
      <c r="AG70" s="1064"/>
    </row>
    <row r="71" spans="2:33" hidden="1" outlineLevel="1" x14ac:dyDescent="0.25">
      <c r="B71" s="1087"/>
      <c r="C71" s="1434"/>
      <c r="D71" s="2370"/>
      <c r="E71" s="1066" t="s">
        <v>1663</v>
      </c>
      <c r="F71" s="1067">
        <v>5</v>
      </c>
      <c r="G71" s="952"/>
      <c r="H71" s="1068" t="s">
        <v>1291</v>
      </c>
      <c r="I71" s="1548"/>
      <c r="J71" s="1548"/>
      <c r="K71" s="904"/>
      <c r="L71" s="904"/>
      <c r="M71" s="904"/>
      <c r="N71" s="904"/>
      <c r="O71" s="904"/>
      <c r="P71" s="904"/>
      <c r="Q71" s="904"/>
      <c r="V71" s="2370"/>
      <c r="W71" s="1965">
        <v>5</v>
      </c>
      <c r="X71" s="1965">
        <v>5</v>
      </c>
      <c r="Y71" s="1064"/>
      <c r="Z71" s="1064"/>
      <c r="AA71" s="1064"/>
      <c r="AB71" s="1064"/>
      <c r="AC71" s="1064"/>
      <c r="AD71" s="1064"/>
      <c r="AE71" s="1064"/>
      <c r="AF71" s="1064"/>
      <c r="AG71" s="1064"/>
    </row>
    <row r="72" spans="2:33" hidden="1" outlineLevel="1" x14ac:dyDescent="0.25">
      <c r="B72" s="1087"/>
      <c r="C72" s="1434"/>
      <c r="D72" s="2370"/>
      <c r="E72" s="1066" t="s">
        <v>1664</v>
      </c>
      <c r="F72" s="1067">
        <v>5</v>
      </c>
      <c r="G72" s="952"/>
      <c r="H72" s="1068" t="s">
        <v>1291</v>
      </c>
      <c r="I72" s="1548"/>
      <c r="J72" s="1548"/>
      <c r="K72" s="904"/>
      <c r="L72" s="904"/>
      <c r="M72" s="904"/>
      <c r="N72" s="904"/>
      <c r="O72" s="904"/>
      <c r="P72" s="904"/>
      <c r="Q72" s="904"/>
      <c r="V72" s="2370"/>
      <c r="W72" s="1965">
        <v>5</v>
      </c>
      <c r="X72" s="1965">
        <v>5</v>
      </c>
      <c r="Y72" s="1064"/>
      <c r="Z72" s="1064"/>
      <c r="AA72" s="1064"/>
      <c r="AB72" s="1064"/>
      <c r="AC72" s="1064"/>
      <c r="AD72" s="1064"/>
      <c r="AE72" s="1064"/>
      <c r="AF72" s="1064"/>
      <c r="AG72" s="1064"/>
    </row>
    <row r="73" spans="2:33" ht="15" hidden="1" customHeight="1" outlineLevel="1" x14ac:dyDescent="0.25">
      <c r="B73" s="1087"/>
      <c r="C73" s="1434"/>
      <c r="D73" s="2369" t="s">
        <v>1888</v>
      </c>
      <c r="E73" s="1066" t="s">
        <v>1655</v>
      </c>
      <c r="F73" s="1067">
        <v>49</v>
      </c>
      <c r="G73" s="952"/>
      <c r="H73" s="1068" t="s">
        <v>1291</v>
      </c>
      <c r="I73" s="1548"/>
      <c r="J73" s="1548"/>
      <c r="K73" s="904"/>
      <c r="L73" s="904"/>
      <c r="M73" s="904"/>
      <c r="N73" s="904"/>
      <c r="O73" s="904"/>
      <c r="P73" s="904"/>
      <c r="Q73" s="904"/>
      <c r="V73" s="2369" t="str">
        <f>D73</f>
        <v>RAttic</v>
      </c>
      <c r="W73" s="1965">
        <v>49</v>
      </c>
      <c r="X73" s="1965">
        <v>49</v>
      </c>
      <c r="Y73" s="1064"/>
      <c r="Z73" s="1064"/>
      <c r="AA73" s="1064"/>
      <c r="AB73" s="1064"/>
      <c r="AC73" s="1064"/>
      <c r="AD73" s="1064"/>
      <c r="AE73" s="1064"/>
      <c r="AF73" s="1064"/>
      <c r="AG73" s="1064"/>
    </row>
    <row r="74" spans="2:33" hidden="1" outlineLevel="1" x14ac:dyDescent="0.25">
      <c r="B74" s="1087"/>
      <c r="C74" s="1434"/>
      <c r="D74" s="2370"/>
      <c r="E74" s="1066" t="s">
        <v>1656</v>
      </c>
      <c r="F74" s="1067">
        <v>49</v>
      </c>
      <c r="G74" s="952"/>
      <c r="H74" s="1068" t="s">
        <v>1291</v>
      </c>
      <c r="I74" s="1548"/>
      <c r="J74" s="1548"/>
      <c r="K74" s="904"/>
      <c r="L74" s="904"/>
      <c r="M74" s="904"/>
      <c r="N74" s="904"/>
      <c r="O74" s="904"/>
      <c r="P74" s="904"/>
      <c r="Q74" s="904"/>
      <c r="V74" s="2370"/>
      <c r="W74" s="1965">
        <v>49</v>
      </c>
      <c r="X74" s="1965">
        <v>49</v>
      </c>
      <c r="Y74" s="1064"/>
      <c r="Z74" s="1064"/>
      <c r="AA74" s="1064"/>
      <c r="AB74" s="1064"/>
      <c r="AC74" s="1064"/>
      <c r="AD74" s="1064"/>
      <c r="AE74" s="1064"/>
      <c r="AF74" s="1064"/>
      <c r="AG74" s="1064"/>
    </row>
    <row r="75" spans="2:33" hidden="1" outlineLevel="1" x14ac:dyDescent="0.25">
      <c r="B75" s="1087"/>
      <c r="C75" s="1434"/>
      <c r="D75" s="2370"/>
      <c r="E75" s="1066" t="s">
        <v>1657</v>
      </c>
      <c r="F75" s="1067">
        <v>30</v>
      </c>
      <c r="G75" s="952"/>
      <c r="H75" s="1068" t="s">
        <v>1291</v>
      </c>
      <c r="I75" s="1548"/>
      <c r="J75" s="1548"/>
      <c r="K75" s="904"/>
      <c r="L75" s="904"/>
      <c r="M75" s="904"/>
      <c r="N75" s="904"/>
      <c r="O75" s="904"/>
      <c r="P75" s="904"/>
      <c r="Q75" s="904"/>
      <c r="V75" s="2370"/>
      <c r="W75" s="1965">
        <v>30</v>
      </c>
      <c r="X75" s="1965">
        <v>30</v>
      </c>
      <c r="Y75" s="1064"/>
      <c r="Z75" s="1064"/>
      <c r="AA75" s="1064"/>
      <c r="AB75" s="1064"/>
      <c r="AC75" s="1064"/>
      <c r="AD75" s="1064"/>
      <c r="AE75" s="1064"/>
      <c r="AF75" s="1064"/>
      <c r="AG75" s="1064"/>
    </row>
    <row r="76" spans="2:33" hidden="1" outlineLevel="1" x14ac:dyDescent="0.25">
      <c r="B76" s="1087"/>
      <c r="C76" s="1434"/>
      <c r="D76" s="2370"/>
      <c r="E76" s="1066" t="s">
        <v>1658</v>
      </c>
      <c r="F76" s="1067">
        <v>30</v>
      </c>
      <c r="G76" s="952"/>
      <c r="H76" s="1068" t="s">
        <v>1291</v>
      </c>
      <c r="I76" s="1548"/>
      <c r="J76" s="1548"/>
      <c r="K76" s="904"/>
      <c r="L76" s="904"/>
      <c r="M76" s="904"/>
      <c r="N76" s="904"/>
      <c r="O76" s="904"/>
      <c r="P76" s="904"/>
      <c r="Q76" s="904"/>
      <c r="V76" s="2370"/>
      <c r="W76" s="1965">
        <v>30</v>
      </c>
      <c r="X76" s="1965">
        <v>30</v>
      </c>
      <c r="Y76" s="1064"/>
      <c r="Z76" s="1064"/>
      <c r="AA76" s="1064"/>
      <c r="AB76" s="1064"/>
      <c r="AC76" s="1064"/>
      <c r="AD76" s="1064"/>
      <c r="AE76" s="1064"/>
      <c r="AF76" s="1064"/>
      <c r="AG76" s="1064"/>
    </row>
    <row r="77" spans="2:33" hidden="1" outlineLevel="1" x14ac:dyDescent="0.25">
      <c r="B77" s="1087"/>
      <c r="C77" s="1434"/>
      <c r="D77" s="2370"/>
      <c r="E77" s="1066" t="s">
        <v>1659</v>
      </c>
      <c r="F77" s="1067">
        <v>38</v>
      </c>
      <c r="G77" s="952"/>
      <c r="H77" s="1068" t="s">
        <v>1291</v>
      </c>
      <c r="I77" s="1548"/>
      <c r="J77" s="1548"/>
      <c r="K77" s="904"/>
      <c r="L77" s="904"/>
      <c r="M77" s="904"/>
      <c r="N77" s="904"/>
      <c r="O77" s="904"/>
      <c r="P77" s="904"/>
      <c r="Q77" s="904"/>
      <c r="V77" s="2370"/>
      <c r="W77" s="1965">
        <v>38</v>
      </c>
      <c r="X77" s="1965">
        <v>38</v>
      </c>
      <c r="Y77" s="1064"/>
      <c r="Z77" s="1064"/>
      <c r="AA77" s="1064"/>
      <c r="AB77" s="1064"/>
      <c r="AC77" s="1064"/>
      <c r="AD77" s="1064"/>
      <c r="AE77" s="1064"/>
      <c r="AF77" s="1064"/>
      <c r="AG77" s="1064"/>
    </row>
    <row r="78" spans="2:33" hidden="1" outlineLevel="1" x14ac:dyDescent="0.25">
      <c r="B78" s="1087"/>
      <c r="C78" s="1434"/>
      <c r="D78" s="2370"/>
      <c r="E78" s="1066" t="s">
        <v>1660</v>
      </c>
      <c r="F78" s="1067">
        <v>38</v>
      </c>
      <c r="G78" s="952"/>
      <c r="H78" s="1068" t="s">
        <v>1291</v>
      </c>
      <c r="I78" s="1548"/>
      <c r="J78" s="1548"/>
      <c r="K78" s="904"/>
      <c r="L78" s="904"/>
      <c r="M78" s="904"/>
      <c r="N78" s="904"/>
      <c r="O78" s="904"/>
      <c r="P78" s="904"/>
      <c r="Q78" s="904"/>
      <c r="V78" s="2370"/>
      <c r="W78" s="1965">
        <v>38</v>
      </c>
      <c r="X78" s="1965">
        <v>38</v>
      </c>
      <c r="Y78" s="1064"/>
      <c r="Z78" s="1064"/>
      <c r="AA78" s="1064"/>
      <c r="AB78" s="1064"/>
      <c r="AC78" s="1064"/>
      <c r="AD78" s="1064"/>
      <c r="AE78" s="1064"/>
      <c r="AF78" s="1064"/>
      <c r="AG78" s="1064"/>
    </row>
    <row r="79" spans="2:33" hidden="1" outlineLevel="1" x14ac:dyDescent="0.25">
      <c r="B79" s="1087"/>
      <c r="C79" s="1434"/>
      <c r="D79" s="2370"/>
      <c r="E79" s="1066" t="s">
        <v>1661</v>
      </c>
      <c r="F79" s="1067">
        <v>49</v>
      </c>
      <c r="G79" s="952"/>
      <c r="H79" s="1068" t="s">
        <v>1291</v>
      </c>
      <c r="I79" s="1548"/>
      <c r="J79" s="1548"/>
      <c r="K79" s="904"/>
      <c r="L79" s="904"/>
      <c r="M79" s="904"/>
      <c r="N79" s="904"/>
      <c r="O79" s="904"/>
      <c r="P79" s="904"/>
      <c r="Q79" s="904"/>
      <c r="V79" s="2370"/>
      <c r="W79" s="1965">
        <v>49</v>
      </c>
      <c r="X79" s="1965">
        <v>49</v>
      </c>
      <c r="Y79" s="1064"/>
      <c r="Z79" s="1064"/>
      <c r="AA79" s="1064"/>
      <c r="AB79" s="1064"/>
      <c r="AC79" s="1064"/>
      <c r="AD79" s="1064"/>
      <c r="AE79" s="1064"/>
      <c r="AF79" s="1064"/>
      <c r="AG79" s="1064"/>
    </row>
    <row r="80" spans="2:33" hidden="1" outlineLevel="1" x14ac:dyDescent="0.25">
      <c r="B80" s="1087"/>
      <c r="C80" s="1434"/>
      <c r="D80" s="2370"/>
      <c r="E80" s="1066" t="s">
        <v>1662</v>
      </c>
      <c r="F80" s="1067">
        <v>49</v>
      </c>
      <c r="G80" s="952"/>
      <c r="H80" s="1068" t="s">
        <v>1291</v>
      </c>
      <c r="I80" s="1548"/>
      <c r="J80" s="1548"/>
      <c r="K80" s="904"/>
      <c r="L80" s="904"/>
      <c r="M80" s="904"/>
      <c r="N80" s="904"/>
      <c r="O80" s="904"/>
      <c r="P80" s="904"/>
      <c r="Q80" s="904"/>
      <c r="V80" s="2370"/>
      <c r="W80" s="1965">
        <v>49</v>
      </c>
      <c r="X80" s="1965">
        <v>49</v>
      </c>
      <c r="Y80" s="1064"/>
      <c r="Z80" s="1064"/>
      <c r="AA80" s="1064"/>
      <c r="AB80" s="1064"/>
      <c r="AC80" s="1064"/>
      <c r="AD80" s="1064"/>
      <c r="AE80" s="1064"/>
      <c r="AF80" s="1064"/>
      <c r="AG80" s="1064"/>
    </row>
    <row r="81" spans="2:33" hidden="1" outlineLevel="1" x14ac:dyDescent="0.25">
      <c r="B81" s="1087"/>
      <c r="C81" s="1434"/>
      <c r="D81" s="2370"/>
      <c r="E81" s="1066" t="s">
        <v>1663</v>
      </c>
      <c r="F81" s="1067">
        <v>60</v>
      </c>
      <c r="G81" s="952"/>
      <c r="H81" s="1068" t="s">
        <v>1291</v>
      </c>
      <c r="I81" s="1548"/>
      <c r="J81" s="1548"/>
      <c r="K81" s="904"/>
      <c r="L81" s="904"/>
      <c r="M81" s="904"/>
      <c r="N81" s="904"/>
      <c r="O81" s="904"/>
      <c r="P81" s="904"/>
      <c r="Q81" s="904"/>
      <c r="V81" s="2370"/>
      <c r="W81" s="1965">
        <v>60</v>
      </c>
      <c r="X81" s="1965">
        <v>60</v>
      </c>
      <c r="Y81" s="1064"/>
      <c r="Z81" s="1064"/>
      <c r="AA81" s="1064"/>
      <c r="AB81" s="1064"/>
      <c r="AC81" s="1064"/>
      <c r="AD81" s="1064"/>
      <c r="AE81" s="1064"/>
      <c r="AF81" s="1064"/>
      <c r="AG81" s="1064"/>
    </row>
    <row r="82" spans="2:33" hidden="1" outlineLevel="1" x14ac:dyDescent="0.25">
      <c r="B82" s="1087"/>
      <c r="C82" s="1434"/>
      <c r="D82" s="2370"/>
      <c r="E82" s="1066" t="s">
        <v>1664</v>
      </c>
      <c r="F82" s="1067">
        <v>60</v>
      </c>
      <c r="G82" s="952"/>
      <c r="H82" s="1068" t="s">
        <v>1291</v>
      </c>
      <c r="I82" s="1548"/>
      <c r="J82" s="1548"/>
      <c r="K82" s="904"/>
      <c r="L82" s="904"/>
      <c r="M82" s="904"/>
      <c r="N82" s="904"/>
      <c r="O82" s="904"/>
      <c r="P82" s="904"/>
      <c r="Q82" s="904"/>
      <c r="V82" s="2370"/>
      <c r="W82" s="1965">
        <v>60</v>
      </c>
      <c r="X82" s="1965">
        <v>60</v>
      </c>
      <c r="Y82" s="1064"/>
      <c r="Z82" s="1064"/>
      <c r="AA82" s="1064"/>
      <c r="AB82" s="1064"/>
      <c r="AC82" s="1064"/>
      <c r="AD82" s="1064"/>
      <c r="AE82" s="1064"/>
      <c r="AF82" s="1064"/>
      <c r="AG82" s="1064"/>
    </row>
    <row r="83" spans="2:33" ht="15" hidden="1" customHeight="1" outlineLevel="1" x14ac:dyDescent="0.25">
      <c r="B83" s="905"/>
      <c r="C83" s="1434"/>
      <c r="D83" s="2369" t="s">
        <v>1889</v>
      </c>
      <c r="E83" s="1066" t="s">
        <v>1655</v>
      </c>
      <c r="F83" s="1067">
        <f>1347*0.65</f>
        <v>875.55000000000007</v>
      </c>
      <c r="G83" s="952"/>
      <c r="H83" s="1068" t="s">
        <v>1292</v>
      </c>
      <c r="I83" s="1545"/>
      <c r="J83" s="1545"/>
      <c r="K83" s="905"/>
      <c r="L83" s="905"/>
      <c r="M83" s="905"/>
      <c r="N83" s="905"/>
      <c r="O83" s="905"/>
      <c r="P83" s="905"/>
      <c r="Q83" s="905"/>
      <c r="V83" s="2369" t="str">
        <f>D83</f>
        <v>AAttic</v>
      </c>
      <c r="W83" s="1965">
        <f>1347*0.65</f>
        <v>875.55000000000007</v>
      </c>
      <c r="X83" s="1965">
        <f>1347*0.65</f>
        <v>875.55000000000007</v>
      </c>
      <c r="Y83" s="1064"/>
      <c r="Z83" s="1064"/>
      <c r="AA83" s="1064"/>
      <c r="AB83" s="1064"/>
      <c r="AC83" s="1064"/>
      <c r="AD83" s="1064"/>
      <c r="AE83" s="1064"/>
      <c r="AF83" s="1064"/>
      <c r="AG83" s="1064"/>
    </row>
    <row r="84" spans="2:33" hidden="1" outlineLevel="1" x14ac:dyDescent="0.25">
      <c r="B84" s="1087"/>
      <c r="C84" s="1434"/>
      <c r="D84" s="2370"/>
      <c r="E84" s="1066" t="s">
        <v>1656</v>
      </c>
      <c r="F84" s="1067">
        <f>1347*0.65</f>
        <v>875.55000000000007</v>
      </c>
      <c r="G84" s="952"/>
      <c r="H84" s="1068" t="s">
        <v>1292</v>
      </c>
      <c r="I84" s="1548"/>
      <c r="J84" s="1548"/>
      <c r="K84" s="904"/>
      <c r="L84" s="904"/>
      <c r="M84" s="904"/>
      <c r="N84" s="904"/>
      <c r="O84" s="904"/>
      <c r="P84" s="904"/>
      <c r="Q84" s="904"/>
      <c r="V84" s="2370"/>
      <c r="W84" s="1965">
        <f>1347*0.65</f>
        <v>875.55000000000007</v>
      </c>
      <c r="X84" s="1965">
        <f>1347*0.65</f>
        <v>875.55000000000007</v>
      </c>
      <c r="Y84" s="1064"/>
      <c r="Z84" s="1064"/>
      <c r="AA84" s="1064"/>
      <c r="AB84" s="1064"/>
      <c r="AC84" s="1064"/>
      <c r="AD84" s="1064"/>
      <c r="AE84" s="1064"/>
      <c r="AF84" s="1064"/>
      <c r="AG84" s="1064"/>
    </row>
    <row r="85" spans="2:33" hidden="1" outlineLevel="1" x14ac:dyDescent="0.25">
      <c r="B85" s="1087"/>
      <c r="C85" s="1434"/>
      <c r="D85" s="2370"/>
      <c r="E85" s="1066" t="s">
        <v>1657</v>
      </c>
      <c r="F85" s="1067">
        <f t="shared" ref="F85:F92" si="21">1106*0.65</f>
        <v>718.9</v>
      </c>
      <c r="G85" s="952"/>
      <c r="H85" s="1068" t="s">
        <v>1665</v>
      </c>
      <c r="I85" s="1548"/>
      <c r="J85" s="1548"/>
      <c r="K85" s="904"/>
      <c r="L85" s="904"/>
      <c r="M85" s="904"/>
      <c r="N85" s="904"/>
      <c r="O85" s="904"/>
      <c r="P85" s="904"/>
      <c r="Q85" s="904"/>
      <c r="V85" s="2370"/>
      <c r="W85" s="1965">
        <f t="shared" ref="W85:X92" si="22">1106*0.65</f>
        <v>718.9</v>
      </c>
      <c r="X85" s="1965">
        <f t="shared" si="22"/>
        <v>718.9</v>
      </c>
      <c r="Y85" s="1064"/>
      <c r="Z85" s="1064"/>
      <c r="AA85" s="1064"/>
      <c r="AB85" s="1064"/>
      <c r="AC85" s="1064"/>
      <c r="AD85" s="1064"/>
      <c r="AE85" s="1064"/>
      <c r="AF85" s="1064"/>
      <c r="AG85" s="1064"/>
    </row>
    <row r="86" spans="2:33" hidden="1" outlineLevel="1" x14ac:dyDescent="0.25">
      <c r="B86" s="1087"/>
      <c r="C86" s="1434"/>
      <c r="D86" s="2370"/>
      <c r="E86" s="1066" t="s">
        <v>1658</v>
      </c>
      <c r="F86" s="1067">
        <f t="shared" si="21"/>
        <v>718.9</v>
      </c>
      <c r="G86" s="952"/>
      <c r="H86" s="1068" t="s">
        <v>1665</v>
      </c>
      <c r="I86" s="1548"/>
      <c r="J86" s="1548"/>
      <c r="K86" s="904"/>
      <c r="L86" s="904"/>
      <c r="M86" s="904"/>
      <c r="N86" s="904"/>
      <c r="O86" s="904"/>
      <c r="P86" s="904"/>
      <c r="Q86" s="904"/>
      <c r="V86" s="2370"/>
      <c r="W86" s="1965">
        <f t="shared" si="22"/>
        <v>718.9</v>
      </c>
      <c r="X86" s="1965">
        <f t="shared" si="22"/>
        <v>718.9</v>
      </c>
      <c r="Y86" s="1064"/>
      <c r="Z86" s="1064"/>
      <c r="AA86" s="1064"/>
      <c r="AB86" s="1064"/>
      <c r="AC86" s="1064"/>
      <c r="AD86" s="1064"/>
      <c r="AE86" s="1064"/>
      <c r="AF86" s="1064"/>
      <c r="AG86" s="1064"/>
    </row>
    <row r="87" spans="2:33" hidden="1" outlineLevel="1" x14ac:dyDescent="0.25">
      <c r="B87" s="1087"/>
      <c r="C87" s="1434"/>
      <c r="D87" s="2370"/>
      <c r="E87" s="1066" t="s">
        <v>1659</v>
      </c>
      <c r="F87" s="1067">
        <f t="shared" si="21"/>
        <v>718.9</v>
      </c>
      <c r="G87" s="952"/>
      <c r="H87" s="1068" t="s">
        <v>1665</v>
      </c>
      <c r="I87" s="1548"/>
      <c r="J87" s="1548"/>
      <c r="K87" s="904"/>
      <c r="L87" s="904"/>
      <c r="M87" s="904"/>
      <c r="N87" s="904"/>
      <c r="O87" s="904"/>
      <c r="P87" s="904"/>
      <c r="Q87" s="904"/>
      <c r="V87" s="2370"/>
      <c r="W87" s="1965">
        <f t="shared" si="22"/>
        <v>718.9</v>
      </c>
      <c r="X87" s="1965">
        <f t="shared" si="22"/>
        <v>718.9</v>
      </c>
      <c r="Y87" s="1064"/>
      <c r="Z87" s="1064"/>
      <c r="AA87" s="1064"/>
      <c r="AB87" s="1064"/>
      <c r="AC87" s="1064"/>
      <c r="AD87" s="1064"/>
      <c r="AE87" s="1064"/>
      <c r="AF87" s="1064"/>
      <c r="AG87" s="1064"/>
    </row>
    <row r="88" spans="2:33" hidden="1" outlineLevel="1" x14ac:dyDescent="0.25">
      <c r="B88" s="1087"/>
      <c r="C88" s="1434"/>
      <c r="D88" s="2370"/>
      <c r="E88" s="1066" t="s">
        <v>1660</v>
      </c>
      <c r="F88" s="1067">
        <f t="shared" si="21"/>
        <v>718.9</v>
      </c>
      <c r="G88" s="952"/>
      <c r="H88" s="1068" t="s">
        <v>1665</v>
      </c>
      <c r="I88" s="1548"/>
      <c r="J88" s="1548"/>
      <c r="K88" s="904"/>
      <c r="L88" s="904"/>
      <c r="M88" s="904"/>
      <c r="N88" s="904"/>
      <c r="O88" s="904"/>
      <c r="P88" s="904"/>
      <c r="Q88" s="904"/>
      <c r="V88" s="2370"/>
      <c r="W88" s="1965">
        <f t="shared" si="22"/>
        <v>718.9</v>
      </c>
      <c r="X88" s="1965">
        <f t="shared" si="22"/>
        <v>718.9</v>
      </c>
      <c r="Y88" s="1064"/>
      <c r="Z88" s="1064"/>
      <c r="AA88" s="1064"/>
      <c r="AB88" s="1064"/>
      <c r="AC88" s="1064"/>
      <c r="AD88" s="1064"/>
      <c r="AE88" s="1064"/>
      <c r="AF88" s="1064"/>
      <c r="AG88" s="1064"/>
    </row>
    <row r="89" spans="2:33" hidden="1" outlineLevel="1" x14ac:dyDescent="0.25">
      <c r="B89" s="1087"/>
      <c r="C89" s="1434"/>
      <c r="D89" s="2370"/>
      <c r="E89" s="1066" t="s">
        <v>1661</v>
      </c>
      <c r="F89" s="1067">
        <f t="shared" si="21"/>
        <v>718.9</v>
      </c>
      <c r="G89" s="952"/>
      <c r="H89" s="1068" t="s">
        <v>1292</v>
      </c>
      <c r="I89" s="1548"/>
      <c r="J89" s="1548"/>
      <c r="K89" s="904"/>
      <c r="L89" s="904"/>
      <c r="M89" s="904"/>
      <c r="N89" s="904"/>
      <c r="O89" s="904"/>
      <c r="P89" s="904"/>
      <c r="Q89" s="904"/>
      <c r="V89" s="2370"/>
      <c r="W89" s="1965">
        <f t="shared" si="22"/>
        <v>718.9</v>
      </c>
      <c r="X89" s="1965">
        <f t="shared" si="22"/>
        <v>718.9</v>
      </c>
      <c r="Y89" s="1064"/>
      <c r="Z89" s="1064"/>
      <c r="AA89" s="1064"/>
      <c r="AB89" s="1064"/>
      <c r="AC89" s="1064"/>
      <c r="AD89" s="1064"/>
      <c r="AE89" s="1064"/>
      <c r="AF89" s="1064"/>
      <c r="AG89" s="1064"/>
    </row>
    <row r="90" spans="2:33" hidden="1" outlineLevel="1" x14ac:dyDescent="0.25">
      <c r="B90" s="1087"/>
      <c r="C90" s="1434"/>
      <c r="D90" s="2370"/>
      <c r="E90" s="1066" t="s">
        <v>1662</v>
      </c>
      <c r="F90" s="1067">
        <f t="shared" si="21"/>
        <v>718.9</v>
      </c>
      <c r="G90" s="952"/>
      <c r="H90" s="1068" t="s">
        <v>1292</v>
      </c>
      <c r="I90" s="1548"/>
      <c r="J90" s="1548"/>
      <c r="K90" s="904"/>
      <c r="L90" s="904"/>
      <c r="M90" s="904"/>
      <c r="N90" s="904"/>
      <c r="O90" s="904"/>
      <c r="P90" s="904"/>
      <c r="Q90" s="904"/>
      <c r="V90" s="2370"/>
      <c r="W90" s="1965">
        <f t="shared" si="22"/>
        <v>718.9</v>
      </c>
      <c r="X90" s="1965">
        <f t="shared" si="22"/>
        <v>718.9</v>
      </c>
      <c r="Y90" s="1064"/>
      <c r="Z90" s="1064"/>
      <c r="AA90" s="1064"/>
      <c r="AB90" s="1064"/>
      <c r="AC90" s="1064"/>
      <c r="AD90" s="1064"/>
      <c r="AE90" s="1064"/>
      <c r="AF90" s="1064"/>
      <c r="AG90" s="1064"/>
    </row>
    <row r="91" spans="2:33" hidden="1" outlineLevel="1" x14ac:dyDescent="0.25">
      <c r="B91" s="1087"/>
      <c r="C91" s="1434"/>
      <c r="D91" s="2370"/>
      <c r="E91" s="1066" t="s">
        <v>1663</v>
      </c>
      <c r="F91" s="1067">
        <f t="shared" si="21"/>
        <v>718.9</v>
      </c>
      <c r="G91" s="952"/>
      <c r="H91" s="1068" t="s">
        <v>1665</v>
      </c>
      <c r="I91" s="1548"/>
      <c r="J91" s="1548"/>
      <c r="K91" s="904"/>
      <c r="L91" s="904"/>
      <c r="M91" s="904"/>
      <c r="N91" s="904"/>
      <c r="O91" s="904"/>
      <c r="P91" s="904"/>
      <c r="Q91" s="904"/>
      <c r="V91" s="2370"/>
      <c r="W91" s="1965">
        <f t="shared" si="22"/>
        <v>718.9</v>
      </c>
      <c r="X91" s="1965">
        <f t="shared" si="22"/>
        <v>718.9</v>
      </c>
      <c r="Y91" s="1064"/>
      <c r="Z91" s="1064"/>
      <c r="AA91" s="1064"/>
      <c r="AB91" s="1064"/>
      <c r="AC91" s="1064"/>
      <c r="AD91" s="1064"/>
      <c r="AE91" s="1064"/>
      <c r="AF91" s="1064"/>
      <c r="AG91" s="1064"/>
    </row>
    <row r="92" spans="2:33" hidden="1" outlineLevel="1" x14ac:dyDescent="0.25">
      <c r="B92" s="1087"/>
      <c r="C92" s="1434"/>
      <c r="D92" s="2370"/>
      <c r="E92" s="1066" t="s">
        <v>1664</v>
      </c>
      <c r="F92" s="1067">
        <f t="shared" si="21"/>
        <v>718.9</v>
      </c>
      <c r="G92" s="952"/>
      <c r="H92" s="1068" t="s">
        <v>1666</v>
      </c>
      <c r="I92" s="1548"/>
      <c r="J92" s="1548"/>
      <c r="K92" s="904"/>
      <c r="L92" s="904"/>
      <c r="M92" s="904"/>
      <c r="N92" s="904"/>
      <c r="O92" s="904"/>
      <c r="P92" s="904"/>
      <c r="Q92" s="904"/>
      <c r="V92" s="2370"/>
      <c r="W92" s="1965">
        <f t="shared" si="22"/>
        <v>718.9</v>
      </c>
      <c r="X92" s="1965">
        <f t="shared" si="22"/>
        <v>718.9</v>
      </c>
      <c r="Y92" s="1064"/>
      <c r="Z92" s="1064"/>
      <c r="AA92" s="1064"/>
      <c r="AB92" s="1064"/>
      <c r="AC92" s="1064"/>
      <c r="AD92" s="1064"/>
      <c r="AE92" s="1064"/>
      <c r="AF92" s="1064"/>
      <c r="AG92" s="1064"/>
    </row>
    <row r="93" spans="2:33" ht="18" hidden="1" outlineLevel="1" x14ac:dyDescent="0.25">
      <c r="B93" s="905"/>
      <c r="C93" s="1434"/>
      <c r="D93" s="1740" t="s">
        <v>1890</v>
      </c>
      <c r="E93" s="1066" t="s">
        <v>483</v>
      </c>
      <c r="F93" s="1142">
        <v>7.0000000000000007E-2</v>
      </c>
      <c r="G93" s="952" t="s">
        <v>1294</v>
      </c>
      <c r="H93" s="1068"/>
      <c r="I93" s="1545"/>
      <c r="J93" s="1545"/>
      <c r="K93" s="905"/>
      <c r="L93" s="905"/>
      <c r="M93" s="905"/>
      <c r="N93" s="905"/>
      <c r="O93" s="905"/>
      <c r="P93" s="905"/>
      <c r="Q93" s="905"/>
      <c r="V93" s="1740" t="str">
        <f>D93</f>
        <v>Framing FactorAttic</v>
      </c>
      <c r="W93" s="1965">
        <v>7.0000000000000007E-2</v>
      </c>
      <c r="X93" s="1965">
        <v>7.0000000000000007E-2</v>
      </c>
      <c r="Y93" s="440"/>
      <c r="Z93" s="440"/>
      <c r="AA93" s="440"/>
      <c r="AB93" s="440"/>
      <c r="AC93" s="440"/>
      <c r="AD93" s="440"/>
      <c r="AE93" s="440"/>
      <c r="AF93" s="440"/>
      <c r="AG93" s="440"/>
    </row>
    <row r="94" spans="2:33" hidden="1" outlineLevel="1" x14ac:dyDescent="0.25">
      <c r="B94" s="905"/>
      <c r="C94" s="1434"/>
      <c r="D94" s="1740" t="s">
        <v>1295</v>
      </c>
      <c r="E94" s="1066" t="s">
        <v>483</v>
      </c>
      <c r="F94" s="1067">
        <v>4486</v>
      </c>
      <c r="G94" s="952" t="s">
        <v>610</v>
      </c>
      <c r="H94" s="1068" t="s">
        <v>1296</v>
      </c>
      <c r="I94" s="1545"/>
      <c r="J94" s="1545"/>
      <c r="K94" s="905"/>
      <c r="L94" s="905"/>
      <c r="M94" s="905"/>
      <c r="N94" s="905"/>
      <c r="O94" s="905"/>
      <c r="P94" s="905"/>
      <c r="Q94" s="905"/>
      <c r="V94" s="1740" t="str">
        <f t="shared" ref="V94:V95" si="23">D94</f>
        <v>HDD</v>
      </c>
      <c r="W94" s="1965">
        <v>4486</v>
      </c>
      <c r="X94" s="1965">
        <v>4486</v>
      </c>
      <c r="Y94" s="1064"/>
      <c r="Z94" s="1064"/>
      <c r="AA94" s="1064"/>
      <c r="AB94" s="1064"/>
      <c r="AC94" s="1064"/>
      <c r="AD94" s="1064"/>
      <c r="AE94" s="1064"/>
      <c r="AF94" s="1064"/>
      <c r="AG94" s="1064"/>
    </row>
    <row r="95" spans="2:33" ht="18" hidden="1" outlineLevel="1" x14ac:dyDescent="0.25">
      <c r="B95" s="905"/>
      <c r="C95" s="1434"/>
      <c r="D95" s="1740" t="s">
        <v>1891</v>
      </c>
      <c r="E95" s="1066" t="s">
        <v>483</v>
      </c>
      <c r="F95" s="1142">
        <v>0.74</v>
      </c>
      <c r="G95" s="952" t="s">
        <v>593</v>
      </c>
      <c r="H95" s="1068"/>
      <c r="I95" s="1545"/>
      <c r="J95" s="1545"/>
      <c r="K95" s="905"/>
      <c r="L95" s="905"/>
      <c r="M95" s="905"/>
      <c r="N95" s="905"/>
      <c r="O95" s="905"/>
      <c r="P95" s="905"/>
      <c r="Q95" s="905"/>
      <c r="V95" s="1740" t="str">
        <f t="shared" si="23"/>
        <v>AdjAttic</v>
      </c>
      <c r="W95" s="1965">
        <v>0.74</v>
      </c>
      <c r="X95" s="1965">
        <v>0.74</v>
      </c>
      <c r="Y95" s="440"/>
      <c r="Z95" s="440"/>
      <c r="AA95" s="440"/>
      <c r="AB95" s="440"/>
      <c r="AC95" s="440"/>
      <c r="AD95" s="440"/>
      <c r="AE95" s="440"/>
      <c r="AF95" s="440"/>
      <c r="AG95" s="440"/>
    </row>
    <row r="96" spans="2:33" hidden="1" outlineLevel="1" x14ac:dyDescent="0.25">
      <c r="B96" s="905"/>
      <c r="C96" s="1434"/>
      <c r="D96" s="2369" t="s">
        <v>1297</v>
      </c>
      <c r="E96" s="1066" t="s">
        <v>1655</v>
      </c>
      <c r="F96" s="1741">
        <v>1</v>
      </c>
      <c r="G96" s="952" t="s">
        <v>593</v>
      </c>
      <c r="H96" s="1068" t="s">
        <v>1298</v>
      </c>
      <c r="I96" s="1545"/>
      <c r="J96" s="1545"/>
      <c r="K96" s="905"/>
      <c r="L96" s="905"/>
      <c r="M96" s="905"/>
      <c r="N96" s="905"/>
      <c r="O96" s="905"/>
      <c r="P96" s="905"/>
      <c r="Q96" s="905"/>
      <c r="V96" s="2369" t="str">
        <f>D96</f>
        <v>ƞheat</v>
      </c>
      <c r="W96" s="1965">
        <v>1</v>
      </c>
      <c r="X96" s="1965">
        <v>1</v>
      </c>
      <c r="Y96" s="1065"/>
      <c r="Z96" s="1065"/>
      <c r="AA96" s="1065"/>
      <c r="AB96" s="1065"/>
      <c r="AC96" s="1065"/>
      <c r="AD96" s="1065"/>
      <c r="AE96" s="1065"/>
      <c r="AF96" s="1065"/>
      <c r="AG96" s="1065"/>
    </row>
    <row r="97" spans="2:33" hidden="1" outlineLevel="1" x14ac:dyDescent="0.25">
      <c r="B97" s="905"/>
      <c r="C97" s="1434"/>
      <c r="D97" s="2370"/>
      <c r="E97" s="1066" t="s">
        <v>1656</v>
      </c>
      <c r="F97" s="1142">
        <v>0.71</v>
      </c>
      <c r="G97" s="952" t="s">
        <v>593</v>
      </c>
      <c r="H97" s="1068" t="s">
        <v>1292</v>
      </c>
      <c r="I97" s="1545"/>
      <c r="J97" s="1545"/>
      <c r="K97" s="905"/>
      <c r="L97" s="905"/>
      <c r="M97" s="905"/>
      <c r="N97" s="905"/>
      <c r="O97" s="905"/>
      <c r="P97" s="905"/>
      <c r="Q97" s="905"/>
      <c r="V97" s="2370"/>
      <c r="W97" s="1965">
        <v>0.71</v>
      </c>
      <c r="X97" s="1965">
        <v>0.71</v>
      </c>
      <c r="Y97" s="440"/>
      <c r="Z97" s="440"/>
      <c r="AA97" s="440"/>
      <c r="AB97" s="440"/>
      <c r="AC97" s="440"/>
      <c r="AD97" s="440"/>
      <c r="AE97" s="440"/>
      <c r="AF97" s="440"/>
      <c r="AG97" s="440"/>
    </row>
    <row r="98" spans="2:33" hidden="1" outlineLevel="1" x14ac:dyDescent="0.25">
      <c r="B98" s="905"/>
      <c r="C98" s="1434"/>
      <c r="D98" s="2370"/>
      <c r="E98" s="1066" t="s">
        <v>1657</v>
      </c>
      <c r="F98" s="1741">
        <v>1</v>
      </c>
      <c r="G98" s="952" t="s">
        <v>593</v>
      </c>
      <c r="H98" s="1068"/>
      <c r="I98" s="1545"/>
      <c r="J98" s="1545"/>
      <c r="K98" s="905"/>
      <c r="L98" s="905"/>
      <c r="M98" s="905"/>
      <c r="N98" s="905"/>
      <c r="O98" s="905"/>
      <c r="P98" s="905"/>
      <c r="Q98" s="905"/>
      <c r="V98" s="2370"/>
      <c r="W98" s="1965">
        <v>1</v>
      </c>
      <c r="X98" s="1965">
        <v>1</v>
      </c>
      <c r="Y98" s="1065"/>
      <c r="Z98" s="1065"/>
      <c r="AA98" s="1065"/>
      <c r="AB98" s="1065"/>
      <c r="AC98" s="1065"/>
      <c r="AD98" s="1065"/>
      <c r="AE98" s="1065"/>
      <c r="AF98" s="1065"/>
      <c r="AG98" s="1065"/>
    </row>
    <row r="99" spans="2:33" hidden="1" outlineLevel="1" x14ac:dyDescent="0.25">
      <c r="B99" s="905"/>
      <c r="C99" s="1434"/>
      <c r="D99" s="2370"/>
      <c r="E99" s="1066" t="s">
        <v>1658</v>
      </c>
      <c r="F99" s="1142">
        <v>0.71</v>
      </c>
      <c r="G99" s="952" t="s">
        <v>593</v>
      </c>
      <c r="H99" s="1068" t="s">
        <v>1292</v>
      </c>
      <c r="I99" s="1545"/>
      <c r="J99" s="1545"/>
      <c r="K99" s="905"/>
      <c r="L99" s="905"/>
      <c r="M99" s="905"/>
      <c r="N99" s="905"/>
      <c r="O99" s="905"/>
      <c r="P99" s="905"/>
      <c r="Q99" s="905"/>
      <c r="V99" s="2370"/>
      <c r="W99" s="1965">
        <v>0.71</v>
      </c>
      <c r="X99" s="1965">
        <v>0.71</v>
      </c>
      <c r="Y99" s="440"/>
      <c r="Z99" s="440"/>
      <c r="AA99" s="440"/>
      <c r="AB99" s="440"/>
      <c r="AC99" s="440"/>
      <c r="AD99" s="440"/>
      <c r="AE99" s="440"/>
      <c r="AF99" s="440"/>
      <c r="AG99" s="440"/>
    </row>
    <row r="100" spans="2:33" hidden="1" outlineLevel="1" x14ac:dyDescent="0.25">
      <c r="B100" s="905"/>
      <c r="C100" s="1434"/>
      <c r="D100" s="2370"/>
      <c r="E100" s="1066" t="s">
        <v>1659</v>
      </c>
      <c r="F100" s="1741">
        <v>1</v>
      </c>
      <c r="G100" s="952" t="s">
        <v>593</v>
      </c>
      <c r="H100" s="1068"/>
      <c r="I100" s="1545"/>
      <c r="J100" s="1545"/>
      <c r="K100" s="905"/>
      <c r="L100" s="905"/>
      <c r="M100" s="905"/>
      <c r="N100" s="905"/>
      <c r="O100" s="905"/>
      <c r="P100" s="905"/>
      <c r="Q100" s="905"/>
      <c r="V100" s="2370"/>
      <c r="W100" s="1965">
        <v>1</v>
      </c>
      <c r="X100" s="1965">
        <v>1</v>
      </c>
      <c r="Y100" s="1065"/>
      <c r="Z100" s="1065"/>
      <c r="AA100" s="1065"/>
      <c r="AB100" s="1065"/>
      <c r="AC100" s="1065"/>
      <c r="AD100" s="1065"/>
      <c r="AE100" s="1065"/>
      <c r="AF100" s="1065"/>
      <c r="AG100" s="1065"/>
    </row>
    <row r="101" spans="2:33" hidden="1" outlineLevel="1" x14ac:dyDescent="0.25">
      <c r="B101" s="905"/>
      <c r="C101" s="1434"/>
      <c r="D101" s="2370"/>
      <c r="E101" s="1066" t="s">
        <v>1660</v>
      </c>
      <c r="F101" s="1142">
        <v>0.71</v>
      </c>
      <c r="G101" s="952" t="s">
        <v>593</v>
      </c>
      <c r="H101" s="1068" t="s">
        <v>1292</v>
      </c>
      <c r="I101" s="1545"/>
      <c r="J101" s="1545"/>
      <c r="K101" s="905"/>
      <c r="L101" s="905"/>
      <c r="M101" s="905"/>
      <c r="N101" s="905"/>
      <c r="O101" s="905"/>
      <c r="P101" s="905"/>
      <c r="Q101" s="905"/>
      <c r="V101" s="2370"/>
      <c r="W101" s="1965">
        <v>0.71</v>
      </c>
      <c r="X101" s="1965">
        <v>0.71</v>
      </c>
      <c r="Y101" s="440"/>
      <c r="Z101" s="440"/>
      <c r="AA101" s="440"/>
      <c r="AB101" s="440"/>
      <c r="AC101" s="440"/>
      <c r="AD101" s="440"/>
      <c r="AE101" s="440"/>
      <c r="AF101" s="440"/>
      <c r="AG101" s="440"/>
    </row>
    <row r="102" spans="2:33" hidden="1" outlineLevel="1" x14ac:dyDescent="0.25">
      <c r="B102" s="905"/>
      <c r="C102" s="1434"/>
      <c r="D102" s="2370"/>
      <c r="E102" s="1066" t="s">
        <v>1661</v>
      </c>
      <c r="F102" s="1741">
        <v>1</v>
      </c>
      <c r="G102" s="952" t="s">
        <v>593</v>
      </c>
      <c r="H102" s="1068"/>
      <c r="I102" s="1545"/>
      <c r="J102" s="1545"/>
      <c r="K102" s="905"/>
      <c r="L102" s="905"/>
      <c r="M102" s="905"/>
      <c r="N102" s="905"/>
      <c r="O102" s="905"/>
      <c r="P102" s="905"/>
      <c r="Q102" s="905"/>
      <c r="V102" s="2370"/>
      <c r="W102" s="1965">
        <v>1</v>
      </c>
      <c r="X102" s="1965">
        <v>1</v>
      </c>
      <c r="Y102" s="1065"/>
      <c r="Z102" s="1065"/>
      <c r="AA102" s="1065"/>
      <c r="AB102" s="1065"/>
      <c r="AC102" s="1065"/>
      <c r="AD102" s="1065"/>
      <c r="AE102" s="1065"/>
      <c r="AF102" s="1065"/>
      <c r="AG102" s="1065"/>
    </row>
    <row r="103" spans="2:33" hidden="1" outlineLevel="1" x14ac:dyDescent="0.25">
      <c r="B103" s="905"/>
      <c r="C103" s="1434"/>
      <c r="D103" s="2370"/>
      <c r="E103" s="1066" t="s">
        <v>1662</v>
      </c>
      <c r="F103" s="1142">
        <v>0.71</v>
      </c>
      <c r="G103" s="952" t="s">
        <v>593</v>
      </c>
      <c r="H103" s="1068" t="s">
        <v>1292</v>
      </c>
      <c r="I103" s="1545"/>
      <c r="J103" s="1545"/>
      <c r="K103" s="905"/>
      <c r="L103" s="905"/>
      <c r="M103" s="905"/>
      <c r="N103" s="905"/>
      <c r="O103" s="905"/>
      <c r="P103" s="905"/>
      <c r="Q103" s="905"/>
      <c r="V103" s="2370"/>
      <c r="W103" s="1965">
        <v>0.71</v>
      </c>
      <c r="X103" s="1965">
        <v>0.71</v>
      </c>
      <c r="Y103" s="440"/>
      <c r="Z103" s="440"/>
      <c r="AA103" s="440"/>
      <c r="AB103" s="440"/>
      <c r="AC103" s="440"/>
      <c r="AD103" s="440"/>
      <c r="AE103" s="440"/>
      <c r="AF103" s="440"/>
      <c r="AG103" s="440"/>
    </row>
    <row r="104" spans="2:33" hidden="1" outlineLevel="1" x14ac:dyDescent="0.25">
      <c r="B104" s="905"/>
      <c r="C104" s="1434"/>
      <c r="D104" s="2370"/>
      <c r="E104" s="1066" t="s">
        <v>1663</v>
      </c>
      <c r="F104" s="1741">
        <v>1</v>
      </c>
      <c r="G104" s="952" t="s">
        <v>593</v>
      </c>
      <c r="H104" s="1068"/>
      <c r="I104" s="1545"/>
      <c r="J104" s="1545"/>
      <c r="K104" s="905"/>
      <c r="L104" s="905"/>
      <c r="M104" s="905"/>
      <c r="N104" s="905"/>
      <c r="O104" s="905"/>
      <c r="P104" s="905"/>
      <c r="Q104" s="905"/>
      <c r="V104" s="2370"/>
      <c r="W104" s="1965">
        <v>1</v>
      </c>
      <c r="X104" s="1965">
        <v>1</v>
      </c>
      <c r="Y104" s="1065"/>
      <c r="Z104" s="1065"/>
      <c r="AA104" s="1065"/>
      <c r="AB104" s="1065"/>
      <c r="AC104" s="1065"/>
      <c r="AD104" s="1065"/>
      <c r="AE104" s="1065"/>
      <c r="AF104" s="1065"/>
      <c r="AG104" s="1065"/>
    </row>
    <row r="105" spans="2:33" hidden="1" outlineLevel="1" x14ac:dyDescent="0.25">
      <c r="B105" s="905"/>
      <c r="C105" s="1434"/>
      <c r="D105" s="2370"/>
      <c r="E105" s="1066" t="s">
        <v>1664</v>
      </c>
      <c r="F105" s="1142">
        <v>0.71</v>
      </c>
      <c r="G105" s="952" t="s">
        <v>593</v>
      </c>
      <c r="H105" s="1068" t="s">
        <v>1292</v>
      </c>
      <c r="I105" s="1545"/>
      <c r="J105" s="1545"/>
      <c r="K105" s="905"/>
      <c r="L105" s="905"/>
      <c r="M105" s="905"/>
      <c r="N105" s="905"/>
      <c r="O105" s="905"/>
      <c r="P105" s="905"/>
      <c r="Q105" s="905"/>
      <c r="V105" s="2370"/>
      <c r="W105" s="1965">
        <v>0.71</v>
      </c>
      <c r="X105" s="1965">
        <v>0.71</v>
      </c>
      <c r="Y105" s="440"/>
      <c r="Z105" s="440"/>
      <c r="AA105" s="440"/>
      <c r="AB105" s="440"/>
      <c r="AC105" s="440"/>
      <c r="AD105" s="440"/>
      <c r="AE105" s="440"/>
      <c r="AF105" s="440"/>
      <c r="AG105" s="440"/>
    </row>
    <row r="106" spans="2:33" hidden="1" outlineLevel="1" x14ac:dyDescent="0.25">
      <c r="B106" s="905"/>
      <c r="C106" s="1434"/>
      <c r="D106" s="2377" t="s">
        <v>604</v>
      </c>
      <c r="E106" s="1066" t="s">
        <v>1655</v>
      </c>
      <c r="F106" s="1741">
        <f t="shared" ref="F106:F115" si="24">(1-F53)*(1/(F63+5)-1/(F73+5))*F83*(1-F$93)*F$94*24*F$95/(F96*10000)</f>
        <v>0</v>
      </c>
      <c r="G106" s="952" t="s">
        <v>605</v>
      </c>
      <c r="H106" s="1068"/>
      <c r="I106" s="1545"/>
      <c r="J106" s="1545"/>
      <c r="K106" s="905"/>
      <c r="L106" s="905"/>
      <c r="M106" s="905"/>
      <c r="N106" s="905"/>
      <c r="O106" s="905"/>
      <c r="P106" s="905"/>
      <c r="Q106" s="905"/>
      <c r="V106" s="2377" t="str">
        <f>D106</f>
        <v>∆Therms</v>
      </c>
      <c r="W106" s="1965">
        <f t="shared" ref="W106:X115" si="25">(1-W53)*(1/(W63+5)-1/(W73+5))*W83*(1-W$93)*W$94*24*W$95/(W96*10000)</f>
        <v>0</v>
      </c>
      <c r="X106" s="1965">
        <f t="shared" si="25"/>
        <v>0</v>
      </c>
      <c r="Y106" s="1065"/>
      <c r="Z106" s="1065"/>
      <c r="AA106" s="1065"/>
      <c r="AB106" s="1065"/>
      <c r="AC106" s="1065"/>
      <c r="AD106" s="1065"/>
      <c r="AE106" s="1065"/>
      <c r="AF106" s="1065"/>
      <c r="AG106" s="1065"/>
    </row>
    <row r="107" spans="2:33" hidden="1" outlineLevel="1" x14ac:dyDescent="0.25">
      <c r="B107" s="905"/>
      <c r="C107" s="1434"/>
      <c r="D107" s="2378"/>
      <c r="E107" s="1066" t="s">
        <v>1656</v>
      </c>
      <c r="F107" s="1741">
        <f t="shared" si="24"/>
        <v>401.86264375070419</v>
      </c>
      <c r="G107" s="952" t="s">
        <v>605</v>
      </c>
      <c r="H107" s="1068"/>
      <c r="I107" s="1545"/>
      <c r="J107" s="1545"/>
      <c r="K107" s="905"/>
      <c r="L107" s="905"/>
      <c r="M107" s="905"/>
      <c r="N107" s="905"/>
      <c r="O107" s="905"/>
      <c r="P107" s="905"/>
      <c r="Q107" s="905"/>
      <c r="V107" s="2378"/>
      <c r="W107" s="1965">
        <f t="shared" si="25"/>
        <v>401.86264375070419</v>
      </c>
      <c r="X107" s="1965">
        <f t="shared" si="25"/>
        <v>401.86264375070419</v>
      </c>
      <c r="Y107" s="1065"/>
      <c r="Z107" s="1065"/>
      <c r="AA107" s="1065"/>
      <c r="AB107" s="1065"/>
      <c r="AC107" s="1065"/>
      <c r="AD107" s="1065"/>
      <c r="AE107" s="1065"/>
      <c r="AF107" s="1065"/>
      <c r="AG107" s="1065"/>
    </row>
    <row r="108" spans="2:33" hidden="1" outlineLevel="1" x14ac:dyDescent="0.25">
      <c r="B108" s="905"/>
      <c r="C108" s="1434"/>
      <c r="D108" s="2378"/>
      <c r="E108" s="1066" t="s">
        <v>1657</v>
      </c>
      <c r="F108" s="1741">
        <f t="shared" si="24"/>
        <v>0</v>
      </c>
      <c r="G108" s="952" t="s">
        <v>605</v>
      </c>
      <c r="H108" s="1068"/>
      <c r="I108" s="1545"/>
      <c r="J108" s="1545"/>
      <c r="K108" s="905"/>
      <c r="L108" s="905"/>
      <c r="M108" s="905"/>
      <c r="N108" s="905"/>
      <c r="O108" s="905"/>
      <c r="P108" s="905"/>
      <c r="Q108" s="905"/>
      <c r="V108" s="2378"/>
      <c r="W108" s="1965">
        <f t="shared" si="25"/>
        <v>0</v>
      </c>
      <c r="X108" s="1965">
        <f t="shared" si="25"/>
        <v>0</v>
      </c>
      <c r="Y108" s="1065"/>
      <c r="Z108" s="1065"/>
      <c r="AA108" s="1065"/>
      <c r="AB108" s="1065"/>
      <c r="AC108" s="1065"/>
      <c r="AD108" s="1065"/>
      <c r="AE108" s="1065"/>
      <c r="AF108" s="1065"/>
      <c r="AG108" s="1065"/>
    </row>
    <row r="109" spans="2:33" hidden="1" outlineLevel="1" x14ac:dyDescent="0.25">
      <c r="B109" s="905"/>
      <c r="C109" s="1434"/>
      <c r="D109" s="2378"/>
      <c r="E109" s="1066" t="s">
        <v>1658</v>
      </c>
      <c r="F109" s="1741">
        <f t="shared" si="24"/>
        <v>535.87966654647892</v>
      </c>
      <c r="G109" s="952" t="s">
        <v>605</v>
      </c>
      <c r="H109" s="1068"/>
      <c r="I109" s="1545"/>
      <c r="J109" s="1545"/>
      <c r="K109" s="905"/>
      <c r="L109" s="905"/>
      <c r="M109" s="905"/>
      <c r="N109" s="905"/>
      <c r="O109" s="905"/>
      <c r="P109" s="905"/>
      <c r="Q109" s="905"/>
      <c r="V109" s="2378"/>
      <c r="W109" s="1965">
        <f t="shared" si="25"/>
        <v>535.87966654647892</v>
      </c>
      <c r="X109" s="1965">
        <f t="shared" si="25"/>
        <v>535.87966654647892</v>
      </c>
      <c r="Y109" s="1065"/>
      <c r="Z109" s="1065"/>
      <c r="AA109" s="1065"/>
      <c r="AB109" s="1065"/>
      <c r="AC109" s="1065"/>
      <c r="AD109" s="1065"/>
      <c r="AE109" s="1065"/>
      <c r="AF109" s="1065"/>
      <c r="AG109" s="1065"/>
    </row>
    <row r="110" spans="2:33" hidden="1" outlineLevel="1" x14ac:dyDescent="0.25">
      <c r="B110" s="905"/>
      <c r="C110" s="1434"/>
      <c r="D110" s="2378"/>
      <c r="E110" s="1066" t="s">
        <v>1659</v>
      </c>
      <c r="F110" s="1741">
        <f t="shared" si="24"/>
        <v>0</v>
      </c>
      <c r="G110" s="952" t="s">
        <v>605</v>
      </c>
      <c r="H110" s="1068"/>
      <c r="I110" s="1545"/>
      <c r="J110" s="1545"/>
      <c r="K110" s="905"/>
      <c r="L110" s="905"/>
      <c r="M110" s="905"/>
      <c r="N110" s="905"/>
      <c r="O110" s="905"/>
      <c r="P110" s="905"/>
      <c r="Q110" s="905"/>
      <c r="V110" s="2378"/>
      <c r="W110" s="1965">
        <f t="shared" si="25"/>
        <v>0</v>
      </c>
      <c r="X110" s="1965">
        <f t="shared" si="25"/>
        <v>0</v>
      </c>
      <c r="Y110" s="1065"/>
      <c r="Z110" s="1065"/>
      <c r="AA110" s="1065"/>
      <c r="AB110" s="1065"/>
      <c r="AC110" s="1065"/>
      <c r="AD110" s="1065"/>
      <c r="AE110" s="1065"/>
      <c r="AF110" s="1065"/>
      <c r="AG110" s="1065"/>
    </row>
    <row r="111" spans="2:33" hidden="1" outlineLevel="1" x14ac:dyDescent="0.25">
      <c r="B111" s="905"/>
      <c r="C111" s="1434"/>
      <c r="D111" s="2378"/>
      <c r="E111" s="1066" t="s">
        <v>1660</v>
      </c>
      <c r="F111" s="1741">
        <f t="shared" si="24"/>
        <v>575.75908359179823</v>
      </c>
      <c r="G111" s="952" t="s">
        <v>605</v>
      </c>
      <c r="H111" s="1068"/>
      <c r="I111" s="1545"/>
      <c r="J111" s="1545"/>
      <c r="K111" s="905"/>
      <c r="L111" s="905"/>
      <c r="M111" s="905"/>
      <c r="N111" s="905"/>
      <c r="O111" s="905"/>
      <c r="P111" s="905"/>
      <c r="Q111" s="905"/>
      <c r="V111" s="2378"/>
      <c r="W111" s="1965">
        <f t="shared" si="25"/>
        <v>575.75908359179823</v>
      </c>
      <c r="X111" s="1965">
        <f t="shared" si="25"/>
        <v>575.75908359179823</v>
      </c>
      <c r="Y111" s="1065"/>
      <c r="Z111" s="1065"/>
      <c r="AA111" s="1065"/>
      <c r="AB111" s="1065"/>
      <c r="AC111" s="1065"/>
      <c r="AD111" s="1065"/>
      <c r="AE111" s="1065"/>
      <c r="AF111" s="1065"/>
      <c r="AG111" s="1065"/>
    </row>
    <row r="112" spans="2:33" hidden="1" outlineLevel="1" x14ac:dyDescent="0.25">
      <c r="B112" s="905"/>
      <c r="C112" s="1434"/>
      <c r="D112" s="2378"/>
      <c r="E112" s="1066" t="s">
        <v>1661</v>
      </c>
      <c r="F112" s="1741">
        <f t="shared" si="24"/>
        <v>0</v>
      </c>
      <c r="G112" s="952" t="s">
        <v>605</v>
      </c>
      <c r="H112" s="1068"/>
      <c r="I112" s="1545"/>
      <c r="J112" s="1545"/>
      <c r="K112" s="905"/>
      <c r="L112" s="905"/>
      <c r="M112" s="905"/>
      <c r="N112" s="905"/>
      <c r="O112" s="905"/>
      <c r="P112" s="905"/>
      <c r="Q112" s="905"/>
      <c r="V112" s="2378"/>
      <c r="W112" s="1965">
        <f t="shared" si="25"/>
        <v>0</v>
      </c>
      <c r="X112" s="1965">
        <f t="shared" si="25"/>
        <v>0</v>
      </c>
      <c r="Y112" s="1065"/>
      <c r="Z112" s="1065"/>
      <c r="AA112" s="1065"/>
      <c r="AB112" s="1065"/>
      <c r="AC112" s="1065"/>
      <c r="AD112" s="1065"/>
      <c r="AE112" s="1065"/>
      <c r="AF112" s="1065"/>
      <c r="AG112" s="1065"/>
    </row>
    <row r="113" spans="2:33" hidden="1" outlineLevel="1" x14ac:dyDescent="0.25">
      <c r="B113" s="905"/>
      <c r="C113" s="1434"/>
      <c r="D113" s="2378"/>
      <c r="E113" s="1066" t="s">
        <v>1662</v>
      </c>
      <c r="F113" s="1741">
        <f t="shared" si="24"/>
        <v>611.29976776413139</v>
      </c>
      <c r="G113" s="952" t="s">
        <v>605</v>
      </c>
      <c r="H113" s="1068"/>
      <c r="I113" s="1545"/>
      <c r="J113" s="1545"/>
      <c r="K113" s="905"/>
      <c r="L113" s="905"/>
      <c r="M113" s="905"/>
      <c r="N113" s="905"/>
      <c r="O113" s="905"/>
      <c r="P113" s="905"/>
      <c r="Q113" s="905"/>
      <c r="V113" s="2378"/>
      <c r="W113" s="1965">
        <f t="shared" si="25"/>
        <v>611.29976776413139</v>
      </c>
      <c r="X113" s="1965">
        <f t="shared" si="25"/>
        <v>611.29976776413139</v>
      </c>
      <c r="Y113" s="1065"/>
      <c r="Z113" s="1065"/>
      <c r="AA113" s="1065"/>
      <c r="AB113" s="1065"/>
      <c r="AC113" s="1065"/>
      <c r="AD113" s="1065"/>
      <c r="AE113" s="1065"/>
      <c r="AF113" s="1065"/>
      <c r="AG113" s="1065"/>
    </row>
    <row r="114" spans="2:33" hidden="1" outlineLevel="1" x14ac:dyDescent="0.25">
      <c r="B114" s="905"/>
      <c r="C114" s="1434"/>
      <c r="D114" s="2378"/>
      <c r="E114" s="1066" t="s">
        <v>1663</v>
      </c>
      <c r="F114" s="1741">
        <f t="shared" si="24"/>
        <v>0</v>
      </c>
      <c r="G114" s="952" t="s">
        <v>605</v>
      </c>
      <c r="H114" s="1068"/>
      <c r="I114" s="1545"/>
      <c r="J114" s="1545"/>
      <c r="K114" s="905"/>
      <c r="L114" s="905"/>
      <c r="M114" s="905"/>
      <c r="N114" s="905"/>
      <c r="O114" s="905"/>
      <c r="P114" s="905"/>
      <c r="Q114" s="905"/>
      <c r="V114" s="2378"/>
      <c r="W114" s="1965">
        <f t="shared" si="25"/>
        <v>0</v>
      </c>
      <c r="X114" s="1965">
        <f t="shared" si="25"/>
        <v>0</v>
      </c>
      <c r="Y114" s="1065"/>
      <c r="Z114" s="1065"/>
      <c r="AA114" s="1065"/>
      <c r="AB114" s="1065"/>
      <c r="AC114" s="1065"/>
      <c r="AD114" s="1065"/>
      <c r="AE114" s="1065"/>
      <c r="AF114" s="1065"/>
      <c r="AG114" s="1065"/>
    </row>
    <row r="115" spans="2:33" hidden="1" outlineLevel="1" x14ac:dyDescent="0.25">
      <c r="B115" s="905"/>
      <c r="C115" s="1434"/>
      <c r="D115" s="2378"/>
      <c r="E115" s="1066" t="s">
        <v>1664</v>
      </c>
      <c r="F115" s="1741">
        <f t="shared" si="24"/>
        <v>634.81129729352108</v>
      </c>
      <c r="G115" s="952" t="s">
        <v>605</v>
      </c>
      <c r="H115" s="1068"/>
      <c r="I115" s="1545"/>
      <c r="J115" s="1545"/>
      <c r="K115" s="905"/>
      <c r="L115" s="905"/>
      <c r="M115" s="905"/>
      <c r="N115" s="905"/>
      <c r="O115" s="905"/>
      <c r="P115" s="905"/>
      <c r="Q115" s="905"/>
      <c r="V115" s="2378"/>
      <c r="W115" s="1965">
        <f t="shared" si="25"/>
        <v>634.81129729352108</v>
      </c>
      <c r="X115" s="1965">
        <f t="shared" si="25"/>
        <v>634.81129729352108</v>
      </c>
      <c r="Y115" s="1065"/>
      <c r="Z115" s="1065"/>
      <c r="AA115" s="1065"/>
      <c r="AB115" s="1065"/>
      <c r="AC115" s="1065"/>
      <c r="AD115" s="1065"/>
      <c r="AE115" s="1065"/>
      <c r="AF115" s="1065"/>
      <c r="AG115" s="1065"/>
    </row>
    <row r="116" spans="2:33" hidden="1" outlineLevel="1" x14ac:dyDescent="0.25">
      <c r="B116" s="905"/>
      <c r="C116" s="1434"/>
      <c r="D116" s="1740" t="s">
        <v>606</v>
      </c>
      <c r="E116" s="1066" t="s">
        <v>483</v>
      </c>
      <c r="F116" s="1742">
        <v>3.1399999999999997E-2</v>
      </c>
      <c r="G116" s="952" t="s">
        <v>593</v>
      </c>
      <c r="H116" s="1068"/>
      <c r="I116" s="1545"/>
      <c r="J116" s="1545"/>
      <c r="K116" s="905"/>
      <c r="L116" s="905"/>
      <c r="M116" s="905"/>
      <c r="N116" s="905"/>
      <c r="O116" s="905"/>
      <c r="P116" s="905"/>
      <c r="Q116" s="905"/>
      <c r="V116" s="1740" t="str">
        <f>D116</f>
        <v>Fe</v>
      </c>
      <c r="W116" s="1965">
        <v>3.1399999999999997E-2</v>
      </c>
      <c r="X116" s="1965">
        <v>3.1399999999999997E-2</v>
      </c>
      <c r="Y116" s="522"/>
      <c r="Z116" s="522"/>
      <c r="AA116" s="522"/>
      <c r="AB116" s="522"/>
      <c r="AC116" s="522"/>
      <c r="AD116" s="522"/>
      <c r="AE116" s="522"/>
      <c r="AF116" s="522"/>
      <c r="AG116" s="522"/>
    </row>
    <row r="117" spans="2:33" hidden="1" outlineLevel="1" x14ac:dyDescent="0.25">
      <c r="B117" s="905"/>
      <c r="C117" s="1434"/>
      <c r="D117" s="1740" t="s">
        <v>1299</v>
      </c>
      <c r="E117" s="1066" t="s">
        <v>483</v>
      </c>
      <c r="F117" s="1067">
        <v>1646</v>
      </c>
      <c r="G117" s="952" t="s">
        <v>610</v>
      </c>
      <c r="H117" s="1068" t="s">
        <v>1300</v>
      </c>
      <c r="I117" s="1545"/>
      <c r="J117" s="1545"/>
      <c r="K117" s="905"/>
      <c r="L117" s="905"/>
      <c r="M117" s="905"/>
      <c r="N117" s="905"/>
      <c r="O117" s="905"/>
      <c r="P117" s="905"/>
      <c r="Q117" s="905"/>
      <c r="V117" s="1740" t="str">
        <f t="shared" ref="V117:V118" si="26">D117</f>
        <v>CDD</v>
      </c>
      <c r="W117" s="1965">
        <v>1646</v>
      </c>
      <c r="X117" s="1965">
        <v>1646</v>
      </c>
      <c r="Y117" s="1064"/>
      <c r="Z117" s="1064"/>
      <c r="AA117" s="1064"/>
      <c r="AB117" s="1064"/>
      <c r="AC117" s="1064"/>
      <c r="AD117" s="1064"/>
      <c r="AE117" s="1064"/>
      <c r="AF117" s="1064"/>
      <c r="AG117" s="1064"/>
    </row>
    <row r="118" spans="2:33" hidden="1" outlineLevel="1" x14ac:dyDescent="0.25">
      <c r="B118" s="905"/>
      <c r="C118" s="1434"/>
      <c r="D118" s="1740" t="s">
        <v>1301</v>
      </c>
      <c r="E118" s="1066" t="s">
        <v>483</v>
      </c>
      <c r="F118" s="1142">
        <v>0.75</v>
      </c>
      <c r="G118" s="952" t="s">
        <v>593</v>
      </c>
      <c r="H118" s="1068"/>
      <c r="I118" s="1545"/>
      <c r="J118" s="1545"/>
      <c r="K118" s="905"/>
      <c r="L118" s="905"/>
      <c r="M118" s="905"/>
      <c r="N118" s="905"/>
      <c r="O118" s="905"/>
      <c r="P118" s="905"/>
      <c r="Q118" s="905"/>
      <c r="V118" s="1740" t="str">
        <f t="shared" si="26"/>
        <v>DUA</v>
      </c>
      <c r="W118" s="1965">
        <v>0.75</v>
      </c>
      <c r="X118" s="1965">
        <v>0.75</v>
      </c>
      <c r="Y118" s="440"/>
      <c r="Z118" s="440"/>
      <c r="AA118" s="440"/>
      <c r="AB118" s="440"/>
      <c r="AC118" s="440"/>
      <c r="AD118" s="440"/>
      <c r="AE118" s="440"/>
      <c r="AF118" s="440"/>
      <c r="AG118" s="440"/>
    </row>
    <row r="119" spans="2:33" hidden="1" outlineLevel="1" x14ac:dyDescent="0.25">
      <c r="B119" s="905"/>
      <c r="C119" s="1434"/>
      <c r="D119" s="2369" t="s">
        <v>1302</v>
      </c>
      <c r="E119" s="1066" t="s">
        <v>1655</v>
      </c>
      <c r="F119" s="1142">
        <v>0.91</v>
      </c>
      <c r="G119" s="952" t="s">
        <v>593</v>
      </c>
      <c r="H119" s="1068" t="s">
        <v>1304</v>
      </c>
      <c r="I119" s="1545"/>
      <c r="J119" s="1545"/>
      <c r="K119" s="905"/>
      <c r="L119" s="905"/>
      <c r="M119" s="905"/>
      <c r="N119" s="905"/>
      <c r="O119" s="905"/>
      <c r="P119" s="905"/>
      <c r="Q119" s="905"/>
      <c r="V119" s="2369" t="str">
        <f>D119</f>
        <v>%cool</v>
      </c>
      <c r="W119" s="1965">
        <v>0.91</v>
      </c>
      <c r="X119" s="1965">
        <v>0.91</v>
      </c>
      <c r="Y119" s="440"/>
      <c r="Z119" s="440"/>
      <c r="AA119" s="440"/>
      <c r="AB119" s="440"/>
      <c r="AC119" s="440"/>
      <c r="AD119" s="440"/>
      <c r="AE119" s="440"/>
      <c r="AF119" s="440"/>
      <c r="AG119" s="440"/>
    </row>
    <row r="120" spans="2:33" hidden="1" outlineLevel="1" x14ac:dyDescent="0.25">
      <c r="B120" s="905"/>
      <c r="C120" s="1434"/>
      <c r="D120" s="2370"/>
      <c r="E120" s="1066" t="s">
        <v>1656</v>
      </c>
      <c r="F120" s="1142">
        <v>1</v>
      </c>
      <c r="G120" s="952" t="s">
        <v>615</v>
      </c>
      <c r="H120" s="1068" t="s">
        <v>1304</v>
      </c>
      <c r="I120" s="1545"/>
      <c r="J120" s="1545"/>
      <c r="K120" s="905"/>
      <c r="L120" s="905"/>
      <c r="M120" s="905"/>
      <c r="N120" s="905"/>
      <c r="O120" s="905"/>
      <c r="P120" s="905"/>
      <c r="Q120" s="905"/>
      <c r="V120" s="2370"/>
      <c r="W120" s="1965">
        <v>1</v>
      </c>
      <c r="X120" s="1965">
        <v>1</v>
      </c>
      <c r="Y120" s="440"/>
      <c r="Z120" s="440"/>
      <c r="AA120" s="440"/>
      <c r="AB120" s="440"/>
      <c r="AC120" s="440"/>
      <c r="AD120" s="440"/>
      <c r="AE120" s="440"/>
      <c r="AF120" s="440"/>
      <c r="AG120" s="440"/>
    </row>
    <row r="121" spans="2:33" hidden="1" outlineLevel="1" x14ac:dyDescent="0.25">
      <c r="B121" s="905"/>
      <c r="C121" s="1434"/>
      <c r="D121" s="2370"/>
      <c r="E121" s="1066" t="s">
        <v>1657</v>
      </c>
      <c r="F121" s="1142">
        <v>0.91</v>
      </c>
      <c r="G121" s="952" t="s">
        <v>593</v>
      </c>
      <c r="H121" s="1068" t="s">
        <v>1304</v>
      </c>
      <c r="I121" s="1545"/>
      <c r="J121" s="1545"/>
      <c r="K121" s="905"/>
      <c r="L121" s="905"/>
      <c r="M121" s="905"/>
      <c r="N121" s="905"/>
      <c r="O121" s="905"/>
      <c r="P121" s="905"/>
      <c r="Q121" s="905"/>
      <c r="V121" s="2370"/>
      <c r="W121" s="1965">
        <v>0.91</v>
      </c>
      <c r="X121" s="1965">
        <v>0.91</v>
      </c>
      <c r="Y121" s="440"/>
      <c r="Z121" s="440"/>
      <c r="AA121" s="440"/>
      <c r="AB121" s="440"/>
      <c r="AC121" s="440"/>
      <c r="AD121" s="440"/>
      <c r="AE121" s="440"/>
      <c r="AF121" s="440"/>
      <c r="AG121" s="440"/>
    </row>
    <row r="122" spans="2:33" hidden="1" outlineLevel="1" x14ac:dyDescent="0.25">
      <c r="B122" s="905"/>
      <c r="C122" s="1434"/>
      <c r="D122" s="2370"/>
      <c r="E122" s="1066" t="s">
        <v>1658</v>
      </c>
      <c r="F122" s="1142">
        <v>1</v>
      </c>
      <c r="G122" s="952" t="s">
        <v>593</v>
      </c>
      <c r="H122" s="1068" t="s">
        <v>1304</v>
      </c>
      <c r="I122" s="1545"/>
      <c r="J122" s="1545"/>
      <c r="K122" s="905"/>
      <c r="L122" s="905"/>
      <c r="M122" s="905"/>
      <c r="N122" s="905"/>
      <c r="O122" s="905"/>
      <c r="P122" s="905"/>
      <c r="Q122" s="905"/>
      <c r="V122" s="2370"/>
      <c r="W122" s="1965">
        <v>1</v>
      </c>
      <c r="X122" s="1965">
        <v>1</v>
      </c>
      <c r="Y122" s="440"/>
      <c r="Z122" s="440"/>
      <c r="AA122" s="440"/>
      <c r="AB122" s="440"/>
      <c r="AC122" s="440"/>
      <c r="AD122" s="440"/>
      <c r="AE122" s="440"/>
      <c r="AF122" s="440"/>
      <c r="AG122" s="440"/>
    </row>
    <row r="123" spans="2:33" hidden="1" outlineLevel="1" x14ac:dyDescent="0.25">
      <c r="B123" s="905"/>
      <c r="C123" s="1434"/>
      <c r="D123" s="2370"/>
      <c r="E123" s="1066" t="s">
        <v>1659</v>
      </c>
      <c r="F123" s="1142">
        <v>0.91</v>
      </c>
      <c r="G123" s="952" t="s">
        <v>593</v>
      </c>
      <c r="H123" s="1068" t="s">
        <v>1304</v>
      </c>
      <c r="I123" s="1545"/>
      <c r="J123" s="1545"/>
      <c r="K123" s="905"/>
      <c r="L123" s="905"/>
      <c r="M123" s="905"/>
      <c r="N123" s="905"/>
      <c r="O123" s="905"/>
      <c r="P123" s="905"/>
      <c r="Q123" s="905"/>
      <c r="V123" s="2370"/>
      <c r="W123" s="1965">
        <v>0.91</v>
      </c>
      <c r="X123" s="1965">
        <v>0.91</v>
      </c>
      <c r="Y123" s="440"/>
      <c r="Z123" s="440"/>
      <c r="AA123" s="440"/>
      <c r="AB123" s="440"/>
      <c r="AC123" s="440"/>
      <c r="AD123" s="440"/>
      <c r="AE123" s="440"/>
      <c r="AF123" s="440"/>
      <c r="AG123" s="440"/>
    </row>
    <row r="124" spans="2:33" hidden="1" outlineLevel="1" x14ac:dyDescent="0.25">
      <c r="B124" s="905"/>
      <c r="C124" s="1434"/>
      <c r="D124" s="2370"/>
      <c r="E124" s="1066" t="s">
        <v>1660</v>
      </c>
      <c r="F124" s="1142">
        <v>1</v>
      </c>
      <c r="G124" s="952" t="s">
        <v>593</v>
      </c>
      <c r="H124" s="1068" t="s">
        <v>1304</v>
      </c>
      <c r="I124" s="1545"/>
      <c r="J124" s="1545"/>
      <c r="K124" s="905"/>
      <c r="L124" s="905"/>
      <c r="M124" s="905"/>
      <c r="N124" s="905"/>
      <c r="O124" s="905"/>
      <c r="P124" s="905"/>
      <c r="Q124" s="905"/>
      <c r="V124" s="2370"/>
      <c r="W124" s="1965">
        <v>1</v>
      </c>
      <c r="X124" s="1965">
        <v>1</v>
      </c>
      <c r="Y124" s="440"/>
      <c r="Z124" s="440"/>
      <c r="AA124" s="440"/>
      <c r="AB124" s="440"/>
      <c r="AC124" s="440"/>
      <c r="AD124" s="440"/>
      <c r="AE124" s="440"/>
      <c r="AF124" s="440"/>
      <c r="AG124" s="440"/>
    </row>
    <row r="125" spans="2:33" hidden="1" outlineLevel="1" x14ac:dyDescent="0.25">
      <c r="B125" s="905"/>
      <c r="C125" s="1434"/>
      <c r="D125" s="2370"/>
      <c r="E125" s="1066" t="s">
        <v>1661</v>
      </c>
      <c r="F125" s="1142">
        <v>0.91</v>
      </c>
      <c r="G125" s="952" t="s">
        <v>593</v>
      </c>
      <c r="H125" s="1068" t="s">
        <v>1304</v>
      </c>
      <c r="I125" s="1545"/>
      <c r="J125" s="1545"/>
      <c r="K125" s="905"/>
      <c r="L125" s="905"/>
      <c r="M125" s="905"/>
      <c r="N125" s="905"/>
      <c r="O125" s="905"/>
      <c r="P125" s="905"/>
      <c r="Q125" s="905"/>
      <c r="V125" s="2370"/>
      <c r="W125" s="1965">
        <v>0.91</v>
      </c>
      <c r="X125" s="1965">
        <v>0.91</v>
      </c>
      <c r="Y125" s="440"/>
      <c r="Z125" s="440"/>
      <c r="AA125" s="440"/>
      <c r="AB125" s="440"/>
      <c r="AC125" s="440"/>
      <c r="AD125" s="440"/>
      <c r="AE125" s="440"/>
      <c r="AF125" s="440"/>
      <c r="AG125" s="440"/>
    </row>
    <row r="126" spans="2:33" hidden="1" outlineLevel="1" x14ac:dyDescent="0.25">
      <c r="B126" s="905"/>
      <c r="C126" s="1434"/>
      <c r="D126" s="2370"/>
      <c r="E126" s="1066" t="s">
        <v>1662</v>
      </c>
      <c r="F126" s="1142">
        <v>1</v>
      </c>
      <c r="G126" s="952" t="s">
        <v>593</v>
      </c>
      <c r="H126" s="1068" t="s">
        <v>1304</v>
      </c>
      <c r="I126" s="1545"/>
      <c r="J126" s="1545"/>
      <c r="K126" s="905"/>
      <c r="L126" s="905"/>
      <c r="M126" s="905"/>
      <c r="N126" s="905"/>
      <c r="O126" s="905"/>
      <c r="P126" s="905"/>
      <c r="Q126" s="905"/>
      <c r="V126" s="2370"/>
      <c r="W126" s="1965">
        <v>1</v>
      </c>
      <c r="X126" s="1965">
        <v>1</v>
      </c>
      <c r="Y126" s="440"/>
      <c r="Z126" s="440"/>
      <c r="AA126" s="440"/>
      <c r="AB126" s="440"/>
      <c r="AC126" s="440"/>
      <c r="AD126" s="440"/>
      <c r="AE126" s="440"/>
      <c r="AF126" s="440"/>
      <c r="AG126" s="440"/>
    </row>
    <row r="127" spans="2:33" hidden="1" outlineLevel="1" x14ac:dyDescent="0.25">
      <c r="B127" s="905"/>
      <c r="C127" s="1434"/>
      <c r="D127" s="2370"/>
      <c r="E127" s="1066" t="s">
        <v>1663</v>
      </c>
      <c r="F127" s="1142">
        <v>0.91</v>
      </c>
      <c r="G127" s="952" t="s">
        <v>593</v>
      </c>
      <c r="H127" s="1068" t="s">
        <v>1304</v>
      </c>
      <c r="I127" s="1545"/>
      <c r="J127" s="1545"/>
      <c r="K127" s="905"/>
      <c r="L127" s="905"/>
      <c r="M127" s="905"/>
      <c r="N127" s="905"/>
      <c r="O127" s="905"/>
      <c r="P127" s="905"/>
      <c r="Q127" s="905"/>
      <c r="V127" s="2370"/>
      <c r="W127" s="1965">
        <v>0.91</v>
      </c>
      <c r="X127" s="1965">
        <v>0.91</v>
      </c>
      <c r="Y127" s="440"/>
      <c r="Z127" s="440"/>
      <c r="AA127" s="440"/>
      <c r="AB127" s="440"/>
      <c r="AC127" s="440"/>
      <c r="AD127" s="440"/>
      <c r="AE127" s="440"/>
      <c r="AF127" s="440"/>
      <c r="AG127" s="440"/>
    </row>
    <row r="128" spans="2:33" hidden="1" outlineLevel="1" x14ac:dyDescent="0.25">
      <c r="B128" s="905"/>
      <c r="C128" s="1434"/>
      <c r="D128" s="2370"/>
      <c r="E128" s="1066" t="s">
        <v>1664</v>
      </c>
      <c r="F128" s="1142">
        <v>1</v>
      </c>
      <c r="G128" s="952" t="s">
        <v>593</v>
      </c>
      <c r="H128" s="1068" t="s">
        <v>1304</v>
      </c>
      <c r="I128" s="1545"/>
      <c r="J128" s="1545"/>
      <c r="K128" s="905"/>
      <c r="L128" s="905"/>
      <c r="M128" s="905"/>
      <c r="N128" s="905"/>
      <c r="O128" s="905"/>
      <c r="P128" s="905"/>
      <c r="Q128" s="905"/>
      <c r="V128" s="2370"/>
      <c r="W128" s="1965">
        <v>1</v>
      </c>
      <c r="X128" s="1965">
        <v>1</v>
      </c>
      <c r="Y128" s="440"/>
      <c r="Z128" s="440"/>
      <c r="AA128" s="440"/>
      <c r="AB128" s="440"/>
      <c r="AC128" s="440"/>
      <c r="AD128" s="440"/>
      <c r="AE128" s="440"/>
      <c r="AF128" s="440"/>
      <c r="AG128" s="440"/>
    </row>
    <row r="129" spans="2:33" hidden="1" outlineLevel="1" x14ac:dyDescent="0.25">
      <c r="B129" s="905"/>
      <c r="C129" s="1434"/>
      <c r="D129" s="2369" t="s">
        <v>1305</v>
      </c>
      <c r="E129" s="1066" t="s">
        <v>1655</v>
      </c>
      <c r="F129" s="1067">
        <v>11</v>
      </c>
      <c r="G129" s="952"/>
      <c r="H129" s="1068" t="s">
        <v>1292</v>
      </c>
      <c r="I129" s="1545"/>
      <c r="J129" s="1545"/>
      <c r="K129" s="905"/>
      <c r="L129" s="905"/>
      <c r="M129" s="905"/>
      <c r="N129" s="905"/>
      <c r="O129" s="905"/>
      <c r="P129" s="905"/>
      <c r="Q129" s="905"/>
      <c r="V129" s="2369" t="str">
        <f>D129</f>
        <v>ƞcool</v>
      </c>
      <c r="W129" s="1965">
        <v>11</v>
      </c>
      <c r="X129" s="1965">
        <v>11</v>
      </c>
      <c r="Y129" s="1064"/>
      <c r="Z129" s="1064"/>
      <c r="AA129" s="1064"/>
      <c r="AB129" s="1064"/>
      <c r="AC129" s="1064"/>
      <c r="AD129" s="1064"/>
      <c r="AE129" s="1064"/>
      <c r="AF129" s="1064"/>
      <c r="AG129" s="1064"/>
    </row>
    <row r="130" spans="2:33" hidden="1" outlineLevel="1" x14ac:dyDescent="0.25">
      <c r="B130" s="905"/>
      <c r="C130" s="1434"/>
      <c r="D130" s="2370"/>
      <c r="E130" s="1066" t="s">
        <v>1656</v>
      </c>
      <c r="F130" s="1067">
        <v>11</v>
      </c>
      <c r="G130" s="952"/>
      <c r="H130" s="1068" t="s">
        <v>1292</v>
      </c>
      <c r="I130" s="1545"/>
      <c r="J130" s="1545"/>
      <c r="K130" s="905"/>
      <c r="L130" s="905"/>
      <c r="M130" s="905"/>
      <c r="N130" s="905"/>
      <c r="O130" s="905"/>
      <c r="P130" s="905"/>
      <c r="Q130" s="905"/>
      <c r="V130" s="2370"/>
      <c r="W130" s="1965">
        <v>11</v>
      </c>
      <c r="X130" s="1965">
        <v>11</v>
      </c>
      <c r="Y130" s="1064"/>
      <c r="Z130" s="1064"/>
      <c r="AA130" s="1064"/>
      <c r="AB130" s="1064"/>
      <c r="AC130" s="1064"/>
      <c r="AD130" s="1064"/>
      <c r="AE130" s="1064"/>
      <c r="AF130" s="1064"/>
      <c r="AG130" s="1064"/>
    </row>
    <row r="131" spans="2:33" hidden="1" outlineLevel="1" x14ac:dyDescent="0.25">
      <c r="B131" s="905"/>
      <c r="C131" s="1434"/>
      <c r="D131" s="2370"/>
      <c r="E131" s="1066" t="s">
        <v>1657</v>
      </c>
      <c r="F131" s="1067">
        <v>11</v>
      </c>
      <c r="G131" s="952"/>
      <c r="H131" s="1068" t="s">
        <v>1292</v>
      </c>
      <c r="I131" s="1545"/>
      <c r="J131" s="1545"/>
      <c r="K131" s="905"/>
      <c r="L131" s="905"/>
      <c r="M131" s="905"/>
      <c r="N131" s="905"/>
      <c r="O131" s="905"/>
      <c r="P131" s="905"/>
      <c r="Q131" s="905"/>
      <c r="V131" s="2370"/>
      <c r="W131" s="1965">
        <v>11</v>
      </c>
      <c r="X131" s="1965">
        <v>11</v>
      </c>
      <c r="Y131" s="1064"/>
      <c r="Z131" s="1064"/>
      <c r="AA131" s="1064"/>
      <c r="AB131" s="1064"/>
      <c r="AC131" s="1064"/>
      <c r="AD131" s="1064"/>
      <c r="AE131" s="1064"/>
      <c r="AF131" s="1064"/>
      <c r="AG131" s="1064"/>
    </row>
    <row r="132" spans="2:33" hidden="1" outlineLevel="1" x14ac:dyDescent="0.25">
      <c r="B132" s="905"/>
      <c r="C132" s="1434"/>
      <c r="D132" s="2370"/>
      <c r="E132" s="1066" t="s">
        <v>1658</v>
      </c>
      <c r="F132" s="1067">
        <v>11</v>
      </c>
      <c r="G132" s="952"/>
      <c r="H132" s="1068" t="s">
        <v>1292</v>
      </c>
      <c r="I132" s="1545"/>
      <c r="J132" s="1545"/>
      <c r="K132" s="905"/>
      <c r="L132" s="905"/>
      <c r="M132" s="905"/>
      <c r="N132" s="905"/>
      <c r="O132" s="905"/>
      <c r="P132" s="905"/>
      <c r="Q132" s="905"/>
      <c r="V132" s="2370"/>
      <c r="W132" s="1965">
        <v>11</v>
      </c>
      <c r="X132" s="1965">
        <v>11</v>
      </c>
      <c r="Y132" s="1064"/>
      <c r="Z132" s="1064"/>
      <c r="AA132" s="1064"/>
      <c r="AB132" s="1064"/>
      <c r="AC132" s="1064"/>
      <c r="AD132" s="1064"/>
      <c r="AE132" s="1064"/>
      <c r="AF132" s="1064"/>
      <c r="AG132" s="1064"/>
    </row>
    <row r="133" spans="2:33" hidden="1" outlineLevel="1" x14ac:dyDescent="0.25">
      <c r="B133" s="905"/>
      <c r="C133" s="1434"/>
      <c r="D133" s="2370"/>
      <c r="E133" s="1066" t="s">
        <v>1659</v>
      </c>
      <c r="F133" s="1067">
        <v>11</v>
      </c>
      <c r="G133" s="952"/>
      <c r="H133" s="1068" t="s">
        <v>1292</v>
      </c>
      <c r="I133" s="1545"/>
      <c r="J133" s="1545"/>
      <c r="K133" s="905"/>
      <c r="L133" s="905"/>
      <c r="M133" s="905"/>
      <c r="N133" s="905"/>
      <c r="O133" s="905"/>
      <c r="P133" s="905"/>
      <c r="Q133" s="905"/>
      <c r="V133" s="2370"/>
      <c r="W133" s="1965">
        <v>11</v>
      </c>
      <c r="X133" s="1965">
        <v>11</v>
      </c>
      <c r="Y133" s="1064"/>
      <c r="Z133" s="1064"/>
      <c r="AA133" s="1064"/>
      <c r="AB133" s="1064"/>
      <c r="AC133" s="1064"/>
      <c r="AD133" s="1064"/>
      <c r="AE133" s="1064"/>
      <c r="AF133" s="1064"/>
      <c r="AG133" s="1064"/>
    </row>
    <row r="134" spans="2:33" hidden="1" outlineLevel="1" x14ac:dyDescent="0.25">
      <c r="B134" s="905"/>
      <c r="C134" s="1434"/>
      <c r="D134" s="2370"/>
      <c r="E134" s="1066" t="s">
        <v>1660</v>
      </c>
      <c r="F134" s="1067">
        <v>11</v>
      </c>
      <c r="G134" s="952"/>
      <c r="H134" s="1068" t="s">
        <v>1292</v>
      </c>
      <c r="I134" s="1545"/>
      <c r="J134" s="1545"/>
      <c r="K134" s="905"/>
      <c r="L134" s="905"/>
      <c r="M134" s="905"/>
      <c r="N134" s="905"/>
      <c r="O134" s="905"/>
      <c r="P134" s="905"/>
      <c r="Q134" s="905"/>
      <c r="V134" s="2370"/>
      <c r="W134" s="1965">
        <v>11</v>
      </c>
      <c r="X134" s="1965">
        <v>11</v>
      </c>
      <c r="Y134" s="1064"/>
      <c r="Z134" s="1064"/>
      <c r="AA134" s="1064"/>
      <c r="AB134" s="1064"/>
      <c r="AC134" s="1064"/>
      <c r="AD134" s="1064"/>
      <c r="AE134" s="1064"/>
      <c r="AF134" s="1064"/>
      <c r="AG134" s="1064"/>
    </row>
    <row r="135" spans="2:33" hidden="1" outlineLevel="1" x14ac:dyDescent="0.25">
      <c r="B135" s="905"/>
      <c r="C135" s="1434"/>
      <c r="D135" s="2370"/>
      <c r="E135" s="1066" t="s">
        <v>1661</v>
      </c>
      <c r="F135" s="1067">
        <v>11</v>
      </c>
      <c r="G135" s="952"/>
      <c r="H135" s="1068" t="s">
        <v>1292</v>
      </c>
      <c r="I135" s="1545"/>
      <c r="J135" s="1545"/>
      <c r="K135" s="905"/>
      <c r="L135" s="905"/>
      <c r="M135" s="905"/>
      <c r="N135" s="905"/>
      <c r="O135" s="905"/>
      <c r="P135" s="905"/>
      <c r="Q135" s="905"/>
      <c r="V135" s="2370"/>
      <c r="W135" s="1965">
        <v>11</v>
      </c>
      <c r="X135" s="1965">
        <v>11</v>
      </c>
      <c r="Y135" s="1064"/>
      <c r="Z135" s="1064"/>
      <c r="AA135" s="1064"/>
      <c r="AB135" s="1064"/>
      <c r="AC135" s="1064"/>
      <c r="AD135" s="1064"/>
      <c r="AE135" s="1064"/>
      <c r="AF135" s="1064"/>
      <c r="AG135" s="1064"/>
    </row>
    <row r="136" spans="2:33" hidden="1" outlineLevel="1" x14ac:dyDescent="0.25">
      <c r="B136" s="905"/>
      <c r="C136" s="1434"/>
      <c r="D136" s="2370"/>
      <c r="E136" s="1066" t="s">
        <v>1662</v>
      </c>
      <c r="F136" s="1067">
        <v>11</v>
      </c>
      <c r="G136" s="952"/>
      <c r="H136" s="1068" t="s">
        <v>1292</v>
      </c>
      <c r="I136" s="1545"/>
      <c r="J136" s="1545"/>
      <c r="K136" s="905"/>
      <c r="L136" s="905"/>
      <c r="M136" s="905"/>
      <c r="N136" s="905"/>
      <c r="O136" s="905"/>
      <c r="P136" s="905"/>
      <c r="Q136" s="905"/>
      <c r="V136" s="2370"/>
      <c r="W136" s="1965">
        <v>11</v>
      </c>
      <c r="X136" s="1965">
        <v>11</v>
      </c>
      <c r="Y136" s="1064"/>
      <c r="Z136" s="1064"/>
      <c r="AA136" s="1064"/>
      <c r="AB136" s="1064"/>
      <c r="AC136" s="1064"/>
      <c r="AD136" s="1064"/>
      <c r="AE136" s="1064"/>
      <c r="AF136" s="1064"/>
      <c r="AG136" s="1064"/>
    </row>
    <row r="137" spans="2:33" hidden="1" outlineLevel="1" x14ac:dyDescent="0.25">
      <c r="B137" s="905"/>
      <c r="C137" s="1434"/>
      <c r="D137" s="2370"/>
      <c r="E137" s="1066" t="s">
        <v>1663</v>
      </c>
      <c r="F137" s="1067">
        <v>11</v>
      </c>
      <c r="G137" s="952"/>
      <c r="H137" s="1068" t="s">
        <v>1292</v>
      </c>
      <c r="I137" s="1545"/>
      <c r="J137" s="1545"/>
      <c r="K137" s="905"/>
      <c r="L137" s="905"/>
      <c r="M137" s="905"/>
      <c r="N137" s="905"/>
      <c r="O137" s="905"/>
      <c r="P137" s="905"/>
      <c r="Q137" s="905"/>
      <c r="V137" s="2370"/>
      <c r="W137" s="1965">
        <v>11</v>
      </c>
      <c r="X137" s="1965">
        <v>11</v>
      </c>
      <c r="Y137" s="1064"/>
      <c r="Z137" s="1064"/>
      <c r="AA137" s="1064"/>
      <c r="AB137" s="1064"/>
      <c r="AC137" s="1064"/>
      <c r="AD137" s="1064"/>
      <c r="AE137" s="1064"/>
      <c r="AF137" s="1064"/>
      <c r="AG137" s="1064"/>
    </row>
    <row r="138" spans="2:33" hidden="1" outlineLevel="1" x14ac:dyDescent="0.25">
      <c r="B138" s="905"/>
      <c r="C138" s="1434"/>
      <c r="D138" s="2372"/>
      <c r="E138" s="1066" t="s">
        <v>1664</v>
      </c>
      <c r="F138" s="1067">
        <v>11</v>
      </c>
      <c r="G138" s="952"/>
      <c r="H138" s="1068" t="s">
        <v>1292</v>
      </c>
      <c r="I138" s="1545"/>
      <c r="J138" s="1545"/>
      <c r="K138" s="905"/>
      <c r="L138" s="905"/>
      <c r="M138" s="905"/>
      <c r="N138" s="905"/>
      <c r="O138" s="905"/>
      <c r="P138" s="905"/>
      <c r="Q138" s="905"/>
      <c r="V138" s="2372"/>
      <c r="W138" s="1965">
        <v>11</v>
      </c>
      <c r="X138" s="1965">
        <v>11</v>
      </c>
      <c r="Y138" s="1064"/>
      <c r="Z138" s="1064"/>
      <c r="AA138" s="1064"/>
      <c r="AB138" s="1064"/>
      <c r="AC138" s="1064"/>
      <c r="AD138" s="1064"/>
      <c r="AE138" s="1064"/>
      <c r="AF138" s="1064"/>
      <c r="AG138" s="1064"/>
    </row>
    <row r="139" spans="2:33" hidden="1" outlineLevel="1" x14ac:dyDescent="0.25">
      <c r="B139" s="905"/>
      <c r="C139" s="1434"/>
      <c r="D139" s="1906" t="str">
        <f>$D$25</f>
        <v>EUL</v>
      </c>
      <c r="E139" s="1066"/>
      <c r="F139" s="1067">
        <v>25</v>
      </c>
      <c r="G139" s="952"/>
      <c r="H139" s="1068"/>
      <c r="I139" s="1545"/>
      <c r="J139" s="1545"/>
      <c r="K139" s="905"/>
      <c r="L139" s="905"/>
      <c r="M139" s="905"/>
      <c r="N139" s="905"/>
      <c r="O139" s="905"/>
      <c r="P139" s="905"/>
      <c r="Q139" s="905"/>
      <c r="V139" s="1740" t="str">
        <f t="shared" ref="V139" si="27">D139</f>
        <v>EUL</v>
      </c>
      <c r="W139" s="1960">
        <v>25</v>
      </c>
      <c r="X139" s="1960">
        <v>25</v>
      </c>
      <c r="Y139" s="440"/>
      <c r="Z139" s="440"/>
      <c r="AA139" s="440"/>
      <c r="AB139" s="440"/>
      <c r="AC139" s="440"/>
      <c r="AD139" s="440"/>
      <c r="AE139" s="440"/>
      <c r="AF139" s="440"/>
      <c r="AG139" s="440"/>
    </row>
    <row r="140" spans="2:33" hidden="1" outlineLevel="1" x14ac:dyDescent="0.25">
      <c r="B140" s="905"/>
      <c r="C140" s="1434"/>
      <c r="D140" s="2419" t="str">
        <f>$D$26</f>
        <v>Inc. Cost</v>
      </c>
      <c r="E140" s="1066"/>
      <c r="F140" s="1063">
        <v>1860.46</v>
      </c>
      <c r="G140" s="952"/>
      <c r="H140" s="1068"/>
      <c r="I140" s="1545"/>
      <c r="J140" s="1545"/>
      <c r="K140" s="905"/>
      <c r="L140" s="905"/>
      <c r="M140" s="905"/>
      <c r="N140" s="905"/>
      <c r="O140" s="905"/>
      <c r="P140" s="905"/>
      <c r="Q140" s="905"/>
      <c r="V140" s="2420" t="str">
        <f>D140</f>
        <v>Inc. Cost</v>
      </c>
      <c r="W140" s="1961">
        <v>1860.46</v>
      </c>
      <c r="X140" s="1961">
        <v>1860.46</v>
      </c>
      <c r="Y140" s="440"/>
      <c r="Z140" s="440"/>
      <c r="AA140" s="440"/>
      <c r="AB140" s="440"/>
      <c r="AC140" s="440"/>
      <c r="AD140" s="440"/>
      <c r="AE140" s="440"/>
      <c r="AF140" s="440"/>
      <c r="AG140" s="440"/>
    </row>
    <row r="141" spans="2:33" hidden="1" outlineLevel="1" x14ac:dyDescent="0.25">
      <c r="B141" s="905"/>
      <c r="C141" s="1434"/>
      <c r="D141" s="2420"/>
      <c r="E141" s="1066"/>
      <c r="F141" s="1063">
        <v>1860.46</v>
      </c>
      <c r="G141" s="952"/>
      <c r="H141" s="1068"/>
      <c r="I141" s="1545"/>
      <c r="J141" s="1545"/>
      <c r="K141" s="905"/>
      <c r="L141" s="905"/>
      <c r="M141" s="905"/>
      <c r="N141" s="905"/>
      <c r="O141" s="905"/>
      <c r="P141" s="905"/>
      <c r="Q141" s="905"/>
      <c r="V141" s="2420"/>
      <c r="W141" s="1961">
        <v>1860.46</v>
      </c>
      <c r="X141" s="1961">
        <v>1860.46</v>
      </c>
      <c r="Y141" s="440"/>
      <c r="Z141" s="440"/>
      <c r="AA141" s="440"/>
      <c r="AB141" s="440"/>
      <c r="AC141" s="440"/>
      <c r="AD141" s="440"/>
      <c r="AE141" s="440"/>
      <c r="AF141" s="440"/>
      <c r="AG141" s="440"/>
    </row>
    <row r="142" spans="2:33" hidden="1" outlineLevel="1" x14ac:dyDescent="0.25">
      <c r="B142" s="905"/>
      <c r="C142" s="1434"/>
      <c r="D142" s="2420"/>
      <c r="E142" s="1066"/>
      <c r="F142" s="1063">
        <v>836.16</v>
      </c>
      <c r="G142" s="952"/>
      <c r="H142" s="1068"/>
      <c r="I142" s="1545"/>
      <c r="J142" s="1545"/>
      <c r="K142" s="905"/>
      <c r="L142" s="905"/>
      <c r="M142" s="905"/>
      <c r="N142" s="905"/>
      <c r="O142" s="905"/>
      <c r="P142" s="905"/>
      <c r="Q142" s="905"/>
      <c r="V142" s="2420"/>
      <c r="W142" s="1961">
        <v>836.16</v>
      </c>
      <c r="X142" s="1961">
        <v>836.16</v>
      </c>
      <c r="Y142" s="440"/>
      <c r="Z142" s="440"/>
      <c r="AA142" s="440"/>
      <c r="AB142" s="440"/>
      <c r="AC142" s="440"/>
      <c r="AD142" s="440"/>
      <c r="AE142" s="440"/>
      <c r="AF142" s="440"/>
      <c r="AG142" s="440"/>
    </row>
    <row r="143" spans="2:33" hidden="1" outlineLevel="1" x14ac:dyDescent="0.25">
      <c r="B143" s="905"/>
      <c r="C143" s="1434"/>
      <c r="D143" s="2420"/>
      <c r="E143" s="1066"/>
      <c r="F143" s="1063">
        <v>836.16</v>
      </c>
      <c r="G143" s="952"/>
      <c r="H143" s="1068"/>
      <c r="I143" s="1545"/>
      <c r="J143" s="1545"/>
      <c r="K143" s="905"/>
      <c r="L143" s="905"/>
      <c r="M143" s="905"/>
      <c r="N143" s="905"/>
      <c r="O143" s="905"/>
      <c r="P143" s="905"/>
      <c r="Q143" s="905"/>
      <c r="V143" s="2420"/>
      <c r="W143" s="1961">
        <v>836.16</v>
      </c>
      <c r="X143" s="1961">
        <v>836.16</v>
      </c>
      <c r="Y143" s="440"/>
      <c r="Z143" s="440"/>
      <c r="AA143" s="440"/>
      <c r="AB143" s="440"/>
      <c r="AC143" s="440"/>
      <c r="AD143" s="440"/>
      <c r="AE143" s="440"/>
      <c r="AF143" s="440"/>
      <c r="AG143" s="440"/>
    </row>
    <row r="144" spans="2:33" hidden="1" outlineLevel="1" x14ac:dyDescent="0.25">
      <c r="B144" s="905"/>
      <c r="C144" s="1434"/>
      <c r="D144" s="2420"/>
      <c r="E144" s="1066"/>
      <c r="F144" s="1063">
        <v>1208.5</v>
      </c>
      <c r="G144" s="952"/>
      <c r="H144" s="1068"/>
      <c r="I144" s="1545"/>
      <c r="J144" s="1545"/>
      <c r="K144" s="905"/>
      <c r="L144" s="905"/>
      <c r="M144" s="905"/>
      <c r="N144" s="905"/>
      <c r="O144" s="905"/>
      <c r="P144" s="905"/>
      <c r="Q144" s="905"/>
      <c r="V144" s="2420"/>
      <c r="W144" s="1961">
        <v>1208.5</v>
      </c>
      <c r="X144" s="1961">
        <v>1208.5</v>
      </c>
      <c r="Y144" s="440"/>
      <c r="Z144" s="440"/>
      <c r="AA144" s="440"/>
      <c r="AB144" s="440"/>
      <c r="AC144" s="440"/>
      <c r="AD144" s="440"/>
      <c r="AE144" s="440"/>
      <c r="AF144" s="440"/>
      <c r="AG144" s="440"/>
    </row>
    <row r="145" spans="2:35" hidden="1" outlineLevel="1" x14ac:dyDescent="0.25">
      <c r="B145" s="905"/>
      <c r="C145" s="1434"/>
      <c r="D145" s="2420"/>
      <c r="E145" s="1066"/>
      <c r="F145" s="1063">
        <v>1208.5</v>
      </c>
      <c r="G145" s="952"/>
      <c r="H145" s="1068"/>
      <c r="I145" s="1545"/>
      <c r="J145" s="1545"/>
      <c r="K145" s="905"/>
      <c r="L145" s="905"/>
      <c r="M145" s="905"/>
      <c r="N145" s="905"/>
      <c r="O145" s="905"/>
      <c r="P145" s="905"/>
      <c r="Q145" s="905"/>
      <c r="V145" s="2420"/>
      <c r="W145" s="1961">
        <v>1208.5</v>
      </c>
      <c r="X145" s="1961">
        <v>1208.5</v>
      </c>
      <c r="Y145" s="440"/>
      <c r="Z145" s="440"/>
      <c r="AA145" s="440"/>
      <c r="AB145" s="440"/>
      <c r="AC145" s="440"/>
      <c r="AD145" s="440"/>
      <c r="AE145" s="440"/>
      <c r="AF145" s="440"/>
      <c r="AG145" s="440"/>
    </row>
    <row r="146" spans="2:35" hidden="1" outlineLevel="1" x14ac:dyDescent="0.25">
      <c r="B146" s="905"/>
      <c r="C146" s="1434"/>
      <c r="D146" s="2420"/>
      <c r="E146" s="1066"/>
      <c r="F146" s="1063">
        <v>1846.68</v>
      </c>
      <c r="G146" s="952"/>
      <c r="H146" s="1068"/>
      <c r="I146" s="1545"/>
      <c r="J146" s="1545"/>
      <c r="K146" s="905"/>
      <c r="L146" s="905"/>
      <c r="M146" s="905"/>
      <c r="N146" s="905"/>
      <c r="O146" s="905"/>
      <c r="P146" s="905"/>
      <c r="Q146" s="905"/>
      <c r="V146" s="2420"/>
      <c r="W146" s="1961">
        <v>1846.68</v>
      </c>
      <c r="X146" s="1961">
        <v>1846.68</v>
      </c>
      <c r="Y146" s="440"/>
      <c r="Z146" s="440"/>
      <c r="AA146" s="440"/>
      <c r="AB146" s="440"/>
      <c r="AC146" s="440"/>
      <c r="AD146" s="440"/>
      <c r="AE146" s="440"/>
      <c r="AF146" s="440"/>
      <c r="AG146" s="440"/>
    </row>
    <row r="147" spans="2:35" hidden="1" outlineLevel="1" x14ac:dyDescent="0.25">
      <c r="B147" s="905"/>
      <c r="C147" s="1434"/>
      <c r="D147" s="2420"/>
      <c r="E147" s="1066"/>
      <c r="F147" s="1063">
        <v>1846.68</v>
      </c>
      <c r="G147" s="952"/>
      <c r="H147" s="1068"/>
      <c r="I147" s="1545"/>
      <c r="J147" s="1545"/>
      <c r="K147" s="905"/>
      <c r="L147" s="905"/>
      <c r="M147" s="905"/>
      <c r="N147" s="905"/>
      <c r="O147" s="905"/>
      <c r="P147" s="905"/>
      <c r="Q147" s="905"/>
      <c r="V147" s="2420"/>
      <c r="W147" s="1961">
        <v>1846.68</v>
      </c>
      <c r="X147" s="1961">
        <v>1846.68</v>
      </c>
      <c r="Y147" s="440"/>
      <c r="Z147" s="440"/>
      <c r="AA147" s="440"/>
      <c r="AB147" s="440"/>
      <c r="AC147" s="440"/>
      <c r="AD147" s="440"/>
      <c r="AE147" s="440"/>
      <c r="AF147" s="440"/>
      <c r="AG147" s="440"/>
    </row>
    <row r="148" spans="2:35" hidden="1" outlineLevel="1" x14ac:dyDescent="0.25">
      <c r="B148" s="905"/>
      <c r="C148" s="1434"/>
      <c r="D148" s="2420"/>
      <c r="E148" s="1066"/>
      <c r="F148" s="1063">
        <v>2461.73</v>
      </c>
      <c r="G148" s="952"/>
      <c r="H148" s="1068"/>
      <c r="I148" s="1545"/>
      <c r="J148" s="1545"/>
      <c r="K148" s="905"/>
      <c r="L148" s="905"/>
      <c r="M148" s="905"/>
      <c r="N148" s="905"/>
      <c r="O148" s="905"/>
      <c r="P148" s="905"/>
      <c r="Q148" s="905"/>
      <c r="V148" s="2420"/>
      <c r="W148" s="1961">
        <v>2461.73</v>
      </c>
      <c r="X148" s="1961">
        <v>2461.73</v>
      </c>
      <c r="Y148" s="440"/>
      <c r="Z148" s="440"/>
      <c r="AA148" s="440"/>
      <c r="AB148" s="440"/>
      <c r="AC148" s="440"/>
      <c r="AD148" s="440"/>
      <c r="AE148" s="440"/>
      <c r="AF148" s="440"/>
      <c r="AG148" s="440"/>
    </row>
    <row r="149" spans="2:35" hidden="1" outlineLevel="1" x14ac:dyDescent="0.25">
      <c r="B149" s="905"/>
      <c r="C149" s="1434"/>
      <c r="D149" s="2420"/>
      <c r="E149" s="1066"/>
      <c r="F149" s="1063">
        <v>2461.73</v>
      </c>
      <c r="G149" s="952"/>
      <c r="H149" s="1068"/>
      <c r="I149" s="1545"/>
      <c r="J149" s="1545"/>
      <c r="K149" s="905"/>
      <c r="L149" s="905"/>
      <c r="M149" s="905"/>
      <c r="N149" s="905"/>
      <c r="O149" s="905"/>
      <c r="P149" s="905"/>
      <c r="Q149" s="905"/>
      <c r="V149" s="2420"/>
      <c r="W149" s="1961">
        <v>2461.73</v>
      </c>
      <c r="X149" s="1961">
        <v>2461.73</v>
      </c>
      <c r="Y149" s="440"/>
      <c r="Z149" s="440"/>
      <c r="AA149" s="440"/>
      <c r="AB149" s="440"/>
      <c r="AC149" s="440"/>
      <c r="AD149" s="440"/>
      <c r="AE149" s="440"/>
      <c r="AF149" s="440"/>
      <c r="AG149" s="440"/>
    </row>
    <row r="150" spans="2:35" collapsed="1" x14ac:dyDescent="0.25">
      <c r="B150" s="1087"/>
      <c r="C150" s="1434"/>
      <c r="D150" s="1444"/>
      <c r="E150" s="1444"/>
      <c r="F150" s="904"/>
      <c r="G150" s="904"/>
      <c r="H150" s="904"/>
      <c r="I150" s="904"/>
      <c r="J150" s="904"/>
      <c r="K150" s="904"/>
      <c r="L150" s="904"/>
      <c r="M150" s="904"/>
      <c r="N150" s="904"/>
      <c r="O150" s="904"/>
      <c r="P150" s="904"/>
      <c r="Q150" s="904"/>
      <c r="W150" s="1958"/>
      <c r="X150" s="1958"/>
    </row>
    <row r="152" spans="2:35" x14ac:dyDescent="0.25">
      <c r="B152" s="2022" t="s">
        <v>723</v>
      </c>
      <c r="C152" s="2023"/>
      <c r="D152" s="2023"/>
      <c r="E152" s="2023"/>
      <c r="F152" s="2023"/>
      <c r="G152" s="2023"/>
      <c r="H152" s="2023"/>
      <c r="I152" s="1992"/>
      <c r="J152" s="1992"/>
      <c r="K152" s="1992"/>
      <c r="L152" s="1992"/>
      <c r="M152" s="1992"/>
      <c r="N152" s="1992"/>
      <c r="O152" s="1992"/>
      <c r="P152" s="1992"/>
      <c r="Q152" s="1993"/>
      <c r="V152" s="2022" t="str">
        <f>B152</f>
        <v>Dirty Filter Alarm</v>
      </c>
      <c r="W152" s="2023"/>
      <c r="X152" s="2023"/>
      <c r="Y152" s="2023"/>
      <c r="Z152" s="2023"/>
      <c r="AA152" s="2023"/>
      <c r="AB152" s="2023"/>
      <c r="AC152" s="2024"/>
      <c r="AD152" s="2024"/>
      <c r="AE152" s="2024"/>
      <c r="AF152" s="2024"/>
      <c r="AG152" s="2024"/>
      <c r="AH152" s="2024"/>
      <c r="AI152" s="2025"/>
    </row>
    <row r="153" spans="2:35" x14ac:dyDescent="0.25">
      <c r="B153" s="1087"/>
      <c r="C153" s="1434"/>
      <c r="D153" s="1435"/>
      <c r="E153" s="1435"/>
      <c r="F153" s="1436"/>
      <c r="G153" s="1436"/>
      <c r="H153" s="1436"/>
      <c r="I153" s="1436"/>
      <c r="J153" s="1436"/>
      <c r="K153" s="1436"/>
      <c r="L153" s="1437"/>
      <c r="M153" s="904"/>
      <c r="N153" s="904"/>
      <c r="O153" s="904"/>
      <c r="P153" s="904"/>
      <c r="Q153" s="904"/>
    </row>
    <row r="154" spans="2:35" ht="45" x14ac:dyDescent="0.25">
      <c r="B154" s="1087"/>
      <c r="C154" s="184" t="s">
        <v>16</v>
      </c>
      <c r="D154" s="184" t="s">
        <v>509</v>
      </c>
      <c r="E154" s="184" t="s">
        <v>18</v>
      </c>
      <c r="F154" s="184" t="s">
        <v>19</v>
      </c>
      <c r="G154" s="184" t="s">
        <v>20</v>
      </c>
      <c r="H154" s="184" t="s">
        <v>21</v>
      </c>
      <c r="I154" s="184" t="s">
        <v>724</v>
      </c>
      <c r="J154" s="184" t="s">
        <v>725</v>
      </c>
      <c r="K154" s="184" t="s">
        <v>22</v>
      </c>
      <c r="L154" s="448" t="s">
        <v>23</v>
      </c>
      <c r="M154" s="184" t="s">
        <v>24</v>
      </c>
      <c r="N154" s="184" t="s">
        <v>25</v>
      </c>
      <c r="V154" s="490" t="s">
        <v>26</v>
      </c>
      <c r="W154" s="49">
        <f>W$6</f>
        <v>43252</v>
      </c>
      <c r="X154" s="49">
        <f t="shared" ref="X154:AG154" si="28">X$6</f>
        <v>43465</v>
      </c>
      <c r="Y154" s="49" t="str">
        <f t="shared" si="28"/>
        <v>-</v>
      </c>
      <c r="Z154" s="49" t="str">
        <f t="shared" si="28"/>
        <v>-</v>
      </c>
      <c r="AA154" s="49" t="str">
        <f t="shared" si="28"/>
        <v>-</v>
      </c>
      <c r="AB154" s="49" t="str">
        <f t="shared" si="28"/>
        <v>-</v>
      </c>
      <c r="AC154" s="49" t="str">
        <f t="shared" si="28"/>
        <v>-</v>
      </c>
      <c r="AD154" s="49" t="str">
        <f t="shared" si="28"/>
        <v>-</v>
      </c>
      <c r="AE154" s="49" t="str">
        <f t="shared" si="28"/>
        <v>-</v>
      </c>
      <c r="AF154" s="49" t="str">
        <f t="shared" si="28"/>
        <v>-</v>
      </c>
      <c r="AG154" s="49" t="str">
        <f t="shared" si="28"/>
        <v>-</v>
      </c>
    </row>
    <row r="155" spans="2:35" x14ac:dyDescent="0.25">
      <c r="B155" s="1087"/>
      <c r="C155" s="1438"/>
      <c r="D155" s="1066" t="s">
        <v>1637</v>
      </c>
      <c r="E155" s="158" t="s">
        <v>1667</v>
      </c>
      <c r="F155" s="1907">
        <f>I155+J155</f>
        <v>79.197937499999995</v>
      </c>
      <c r="G155" s="559" t="s">
        <v>728</v>
      </c>
      <c r="H155" s="170">
        <f>VLOOKUP(G155,'CP FACTORS'!$A$3:$B$38, 2, FALSE)</f>
        <v>4.6608050000000002E-4</v>
      </c>
      <c r="I155" s="1069">
        <f>F$164*F$165*F$166*F$167*F168*F169</f>
        <v>50.097299999999997</v>
      </c>
      <c r="J155" s="1069">
        <f>F$170*F$165*F$171*F$167*F168*F169</f>
        <v>29.100637499999994</v>
      </c>
      <c r="K155" s="1908">
        <f>H155*F155</f>
        <v>3.691261430896875E-2</v>
      </c>
      <c r="L155" s="1069">
        <f>F172</f>
        <v>14</v>
      </c>
      <c r="M155" s="1063">
        <f>F173</f>
        <v>5</v>
      </c>
      <c r="N155" s="1903" t="s">
        <v>31</v>
      </c>
      <c r="V155" s="621" t="str">
        <f>F154</f>
        <v>kWh Annual Savings</v>
      </c>
      <c r="W155" s="394">
        <v>79.197937499999995</v>
      </c>
      <c r="X155" s="1070">
        <v>79.197937499999995</v>
      </c>
      <c r="Y155" s="176"/>
      <c r="Z155" s="176"/>
      <c r="AA155" s="176"/>
      <c r="AB155" s="176"/>
      <c r="AC155" s="176"/>
      <c r="AD155" s="176"/>
      <c r="AE155" s="176"/>
      <c r="AF155" s="176"/>
      <c r="AG155" s="176"/>
    </row>
    <row r="156" spans="2:35" hidden="1" outlineLevel="1" x14ac:dyDescent="0.25">
      <c r="B156" s="1087"/>
      <c r="C156" s="1434"/>
      <c r="D156" s="1795"/>
      <c r="E156" s="1795"/>
      <c r="F156" s="1909"/>
      <c r="G156" s="1538"/>
      <c r="H156" s="1539"/>
      <c r="I156" s="1910"/>
      <c r="J156" s="1911"/>
      <c r="K156" s="1799"/>
      <c r="L156" s="1799"/>
      <c r="M156" s="1912"/>
      <c r="N156" s="1913"/>
      <c r="O156" s="1912"/>
      <c r="P156" s="1874"/>
      <c r="Q156" s="905"/>
    </row>
    <row r="157" spans="2:35" hidden="1" outlineLevel="1" x14ac:dyDescent="0.25">
      <c r="B157" s="1087"/>
      <c r="C157" s="1434"/>
      <c r="D157" s="1418" t="s">
        <v>463</v>
      </c>
      <c r="E157" s="1762"/>
      <c r="F157" s="1914"/>
      <c r="G157" s="851"/>
      <c r="H157" s="851"/>
      <c r="I157" s="851"/>
      <c r="J157" s="851"/>
      <c r="K157" s="851"/>
      <c r="L157" s="851"/>
      <c r="M157" s="1548"/>
      <c r="N157" s="1548"/>
      <c r="O157" s="904"/>
      <c r="P157" s="904"/>
      <c r="Q157" s="904"/>
    </row>
    <row r="158" spans="2:35" hidden="1" outlineLevel="1" x14ac:dyDescent="0.25">
      <c r="B158" s="1087"/>
      <c r="C158" s="1434"/>
      <c r="D158" s="2411"/>
      <c r="E158" s="2411"/>
      <c r="F158" s="2411"/>
      <c r="G158" s="2411"/>
      <c r="H158" s="2411"/>
      <c r="I158" s="2411"/>
      <c r="J158" s="2411"/>
      <c r="K158" s="2411"/>
      <c r="L158" s="2411"/>
      <c r="M158" s="1548"/>
      <c r="N158" s="1548"/>
      <c r="O158" s="904"/>
      <c r="P158" s="904"/>
      <c r="Q158" s="904"/>
    </row>
    <row r="159" spans="2:35" hidden="1" outlineLevel="1" x14ac:dyDescent="0.25">
      <c r="B159" s="1087"/>
      <c r="C159" s="1434"/>
      <c r="D159" s="2411"/>
      <c r="E159" s="2411"/>
      <c r="F159" s="2411"/>
      <c r="G159" s="2411"/>
      <c r="H159" s="2411"/>
      <c r="I159" s="2411"/>
      <c r="J159" s="2411"/>
      <c r="K159" s="2411"/>
      <c r="L159" s="2411"/>
      <c r="M159" s="1548"/>
      <c r="N159" s="1548"/>
      <c r="O159" s="904"/>
      <c r="P159" s="904"/>
      <c r="Q159" s="904"/>
    </row>
    <row r="160" spans="2:35" hidden="1" outlineLevel="1" x14ac:dyDescent="0.25">
      <c r="B160" s="1087"/>
      <c r="C160" s="1434"/>
      <c r="D160" s="2411"/>
      <c r="E160" s="2411"/>
      <c r="F160" s="2411"/>
      <c r="G160" s="2411"/>
      <c r="H160" s="2411"/>
      <c r="I160" s="2411"/>
      <c r="J160" s="2411"/>
      <c r="K160" s="2411"/>
      <c r="L160" s="2411"/>
      <c r="M160" s="1548"/>
      <c r="N160" s="1548"/>
      <c r="O160" s="904"/>
      <c r="P160" s="904"/>
      <c r="Q160" s="904"/>
    </row>
    <row r="161" spans="2:33" hidden="1" outlineLevel="1" x14ac:dyDescent="0.25">
      <c r="B161" s="1087"/>
      <c r="C161" s="1434"/>
      <c r="D161" s="2411"/>
      <c r="E161" s="2411"/>
      <c r="F161" s="2411"/>
      <c r="G161" s="2411"/>
      <c r="H161" s="2411"/>
      <c r="I161" s="2411"/>
      <c r="J161" s="2411"/>
      <c r="K161" s="2411"/>
      <c r="L161" s="2411"/>
      <c r="M161" s="1548"/>
      <c r="N161" s="1548"/>
      <c r="O161" s="904"/>
      <c r="P161" s="904"/>
      <c r="Q161" s="904"/>
    </row>
    <row r="162" spans="2:33" hidden="1" outlineLevel="1" x14ac:dyDescent="0.25">
      <c r="B162" s="1087"/>
      <c r="C162" s="1434"/>
      <c r="D162" s="1444"/>
      <c r="E162" s="1444"/>
      <c r="F162" s="904"/>
      <c r="G162" s="904"/>
      <c r="H162" s="904"/>
      <c r="I162" s="904"/>
      <c r="J162" s="904"/>
      <c r="K162" s="904"/>
      <c r="L162" s="904"/>
      <c r="M162" s="904"/>
      <c r="N162" s="904"/>
      <c r="O162" s="904"/>
      <c r="P162" s="904"/>
      <c r="Q162" s="904"/>
    </row>
    <row r="163" spans="2:33" hidden="1" outlineLevel="1" x14ac:dyDescent="0.25">
      <c r="B163" s="1087"/>
      <c r="C163" s="1434"/>
      <c r="D163" s="1098" t="s">
        <v>465</v>
      </c>
      <c r="E163" s="1098" t="s">
        <v>466</v>
      </c>
      <c r="F163" s="184" t="s">
        <v>467</v>
      </c>
      <c r="G163" s="184" t="s">
        <v>515</v>
      </c>
      <c r="H163" s="184" t="s">
        <v>592</v>
      </c>
      <c r="I163" s="904"/>
      <c r="J163" s="904"/>
      <c r="K163" s="904"/>
      <c r="L163" s="904"/>
      <c r="M163" s="904"/>
      <c r="N163" s="904"/>
      <c r="O163" s="904"/>
      <c r="P163" s="904"/>
      <c r="Q163" s="904"/>
      <c r="V163" s="490" t="s">
        <v>26</v>
      </c>
      <c r="W163" s="49">
        <f>W$6</f>
        <v>43252</v>
      </c>
      <c r="X163" s="49">
        <f t="shared" ref="X163:AG163" si="29">X$6</f>
        <v>43465</v>
      </c>
      <c r="Y163" s="49" t="str">
        <f t="shared" si="29"/>
        <v>-</v>
      </c>
      <c r="Z163" s="49" t="str">
        <f t="shared" si="29"/>
        <v>-</v>
      </c>
      <c r="AA163" s="49" t="str">
        <f t="shared" si="29"/>
        <v>-</v>
      </c>
      <c r="AB163" s="49" t="str">
        <f t="shared" si="29"/>
        <v>-</v>
      </c>
      <c r="AC163" s="49" t="str">
        <f t="shared" si="29"/>
        <v>-</v>
      </c>
      <c r="AD163" s="49" t="str">
        <f t="shared" si="29"/>
        <v>-</v>
      </c>
      <c r="AE163" s="49" t="str">
        <f t="shared" si="29"/>
        <v>-</v>
      </c>
      <c r="AF163" s="49" t="str">
        <f t="shared" si="29"/>
        <v>-</v>
      </c>
      <c r="AG163" s="49" t="str">
        <f t="shared" si="29"/>
        <v>-</v>
      </c>
    </row>
    <row r="164" spans="2:33" hidden="1" outlineLevel="1" x14ac:dyDescent="0.25">
      <c r="B164" s="1087"/>
      <c r="C164" s="1434"/>
      <c r="D164" s="1915" t="s">
        <v>730</v>
      </c>
      <c r="E164" s="1848" t="s">
        <v>483</v>
      </c>
      <c r="F164" s="400">
        <v>0.95</v>
      </c>
      <c r="G164" s="1042" t="s">
        <v>1317</v>
      </c>
      <c r="H164" s="1043"/>
      <c r="I164" s="904"/>
      <c r="J164" s="904"/>
      <c r="K164" s="904"/>
      <c r="L164" s="904"/>
      <c r="M164" s="904"/>
      <c r="N164" s="904"/>
      <c r="O164" s="904"/>
      <c r="P164" s="904"/>
      <c r="Q164" s="904"/>
      <c r="V164" s="807" t="str">
        <f>D164</f>
        <v>%Heating</v>
      </c>
      <c r="W164" s="269">
        <v>0.95</v>
      </c>
      <c r="X164" s="269">
        <v>0.95</v>
      </c>
      <c r="Y164" s="269"/>
      <c r="Z164" s="269"/>
      <c r="AA164" s="269"/>
      <c r="AB164" s="269"/>
      <c r="AC164" s="269"/>
      <c r="AD164" s="269"/>
      <c r="AE164" s="269"/>
      <c r="AF164" s="269"/>
      <c r="AG164" s="269"/>
    </row>
    <row r="165" spans="2:33" hidden="1" outlineLevel="1" x14ac:dyDescent="0.25">
      <c r="B165" s="1087"/>
      <c r="C165" s="1434"/>
      <c r="D165" s="1915" t="s">
        <v>22</v>
      </c>
      <c r="E165" s="1848" t="s">
        <v>483</v>
      </c>
      <c r="F165" s="403">
        <v>0.5</v>
      </c>
      <c r="G165" s="1042" t="s">
        <v>593</v>
      </c>
      <c r="H165" s="1043"/>
      <c r="I165" s="904"/>
      <c r="J165" s="904"/>
      <c r="K165" s="904"/>
      <c r="L165" s="904"/>
      <c r="M165" s="904"/>
      <c r="N165" s="904"/>
      <c r="O165" s="904"/>
      <c r="P165" s="904"/>
      <c r="Q165" s="904"/>
      <c r="V165" s="807" t="str">
        <f t="shared" ref="V165:V171" si="30">D165</f>
        <v>kW</v>
      </c>
      <c r="W165" s="1071">
        <v>0.5</v>
      </c>
      <c r="X165" s="1071">
        <v>0.5</v>
      </c>
      <c r="Y165" s="1071"/>
      <c r="Z165" s="1071"/>
      <c r="AA165" s="1071"/>
      <c r="AB165" s="1071"/>
      <c r="AC165" s="1071"/>
      <c r="AD165" s="1071"/>
      <c r="AE165" s="1071"/>
      <c r="AF165" s="1071"/>
      <c r="AG165" s="1071"/>
    </row>
    <row r="166" spans="2:33" ht="18" hidden="1" outlineLevel="1" x14ac:dyDescent="0.25">
      <c r="B166" s="1087"/>
      <c r="C166" s="1434"/>
      <c r="D166" s="1915" t="s">
        <v>733</v>
      </c>
      <c r="E166" s="1848" t="s">
        <v>483</v>
      </c>
      <c r="F166" s="300">
        <v>1496</v>
      </c>
      <c r="G166" s="1042" t="s">
        <v>593</v>
      </c>
      <c r="H166" s="1043"/>
      <c r="I166" s="904"/>
      <c r="J166" s="904"/>
      <c r="K166" s="904"/>
      <c r="L166" s="904"/>
      <c r="M166" s="904"/>
      <c r="N166" s="904"/>
      <c r="O166" s="904"/>
      <c r="P166" s="904"/>
      <c r="Q166" s="904"/>
      <c r="V166" s="807" t="str">
        <f t="shared" si="30"/>
        <v>EFLHheat</v>
      </c>
      <c r="W166" s="272">
        <v>1496</v>
      </c>
      <c r="X166" s="272">
        <v>1496</v>
      </c>
      <c r="Y166" s="272"/>
      <c r="Z166" s="272"/>
      <c r="AA166" s="272"/>
      <c r="AB166" s="272"/>
      <c r="AC166" s="272"/>
      <c r="AD166" s="272"/>
      <c r="AE166" s="272"/>
      <c r="AF166" s="272"/>
      <c r="AG166" s="272"/>
    </row>
    <row r="167" spans="2:33" hidden="1" outlineLevel="1" x14ac:dyDescent="0.25">
      <c r="B167" s="1087"/>
      <c r="C167" s="1434"/>
      <c r="D167" s="1848" t="s">
        <v>734</v>
      </c>
      <c r="E167" s="1848" t="s">
        <v>483</v>
      </c>
      <c r="F167" s="400">
        <v>0.15</v>
      </c>
      <c r="G167" s="1042" t="s">
        <v>593</v>
      </c>
      <c r="H167" s="1043"/>
      <c r="I167" s="904"/>
      <c r="J167" s="904"/>
      <c r="K167" s="904"/>
      <c r="L167" s="904"/>
      <c r="M167" s="904"/>
      <c r="N167" s="904"/>
      <c r="O167" s="904"/>
      <c r="P167" s="904"/>
      <c r="Q167" s="904"/>
      <c r="V167" s="807" t="str">
        <f t="shared" si="30"/>
        <v>EI</v>
      </c>
      <c r="W167" s="269">
        <v>0.15</v>
      </c>
      <c r="X167" s="269">
        <v>0.15</v>
      </c>
      <c r="Y167" s="269"/>
      <c r="Z167" s="269"/>
      <c r="AA167" s="269"/>
      <c r="AB167" s="269"/>
      <c r="AC167" s="269"/>
      <c r="AD167" s="269"/>
      <c r="AE167" s="269"/>
      <c r="AF167" s="269"/>
      <c r="AG167" s="269"/>
    </row>
    <row r="168" spans="2:33" ht="15" hidden="1" customHeight="1" outlineLevel="1" x14ac:dyDescent="0.25">
      <c r="B168" s="1087"/>
      <c r="C168" s="1434"/>
      <c r="D168" s="1915" t="s">
        <v>736</v>
      </c>
      <c r="E168" s="1848" t="s">
        <v>1667</v>
      </c>
      <c r="F168" s="400">
        <v>1</v>
      </c>
      <c r="G168" s="1042" t="s">
        <v>593</v>
      </c>
      <c r="H168" s="1043" t="s">
        <v>1668</v>
      </c>
      <c r="I168" s="904"/>
      <c r="J168" s="904"/>
      <c r="K168" s="904"/>
      <c r="L168" s="904"/>
      <c r="M168" s="904"/>
      <c r="N168" s="904"/>
      <c r="O168" s="904"/>
      <c r="P168" s="904"/>
      <c r="Q168" s="904"/>
      <c r="V168" s="807" t="str">
        <f t="shared" si="30"/>
        <v>Utility Adjustment</v>
      </c>
      <c r="W168" s="269">
        <v>1</v>
      </c>
      <c r="X168" s="269">
        <v>1</v>
      </c>
      <c r="Y168" s="269"/>
      <c r="Z168" s="269"/>
      <c r="AA168" s="269"/>
      <c r="AB168" s="269"/>
      <c r="AC168" s="269"/>
      <c r="AD168" s="269"/>
      <c r="AE168" s="269"/>
      <c r="AF168" s="269"/>
      <c r="AG168" s="269"/>
    </row>
    <row r="169" spans="2:33" hidden="1" outlineLevel="1" x14ac:dyDescent="0.25">
      <c r="B169" s="1087"/>
      <c r="C169" s="1434"/>
      <c r="D169" s="1915" t="s">
        <v>58</v>
      </c>
      <c r="E169" s="1848" t="s">
        <v>1667</v>
      </c>
      <c r="F169" s="404">
        <v>0.47</v>
      </c>
      <c r="G169" s="1042" t="s">
        <v>593</v>
      </c>
      <c r="H169" s="1043" t="s">
        <v>1669</v>
      </c>
      <c r="I169" s="904"/>
      <c r="J169" s="904"/>
      <c r="K169" s="904"/>
      <c r="L169" s="904"/>
      <c r="M169" s="904"/>
      <c r="N169" s="904"/>
      <c r="O169" s="904"/>
      <c r="P169" s="904"/>
      <c r="Q169" s="904"/>
      <c r="V169" s="807" t="str">
        <f t="shared" si="30"/>
        <v>ISR</v>
      </c>
      <c r="W169" s="284">
        <v>0.47</v>
      </c>
      <c r="X169" s="284">
        <v>0.47</v>
      </c>
      <c r="Y169" s="284"/>
      <c r="Z169" s="284"/>
      <c r="AA169" s="284"/>
      <c r="AB169" s="284"/>
      <c r="AC169" s="284"/>
      <c r="AD169" s="284"/>
      <c r="AE169" s="284"/>
      <c r="AF169" s="284"/>
      <c r="AG169" s="284"/>
    </row>
    <row r="170" spans="2:33" hidden="1" outlineLevel="1" x14ac:dyDescent="0.25">
      <c r="B170" s="1087"/>
      <c r="C170" s="1434"/>
      <c r="D170" s="1915" t="s">
        <v>608</v>
      </c>
      <c r="E170" s="1848" t="s">
        <v>483</v>
      </c>
      <c r="F170" s="400">
        <v>0.95</v>
      </c>
      <c r="G170" s="1042" t="s">
        <v>1321</v>
      </c>
      <c r="H170" s="1043"/>
      <c r="I170" s="904"/>
      <c r="J170" s="904"/>
      <c r="K170" s="904"/>
      <c r="L170" s="904"/>
      <c r="M170" s="904"/>
      <c r="N170" s="904"/>
      <c r="O170" s="904"/>
      <c r="P170" s="904"/>
      <c r="Q170" s="904"/>
      <c r="V170" s="807" t="str">
        <f t="shared" si="30"/>
        <v>%AC</v>
      </c>
      <c r="W170" s="269">
        <v>0.95</v>
      </c>
      <c r="X170" s="269">
        <v>0.95</v>
      </c>
      <c r="Y170" s="269"/>
      <c r="Z170" s="269"/>
      <c r="AA170" s="269"/>
      <c r="AB170" s="269"/>
      <c r="AC170" s="269"/>
      <c r="AD170" s="269"/>
      <c r="AE170" s="269"/>
      <c r="AF170" s="269"/>
      <c r="AG170" s="269"/>
    </row>
    <row r="171" spans="2:33" ht="18" hidden="1" outlineLevel="1" x14ac:dyDescent="0.25">
      <c r="B171" s="1087"/>
      <c r="C171" s="1434"/>
      <c r="D171" s="1915" t="s">
        <v>737</v>
      </c>
      <c r="E171" s="1848" t="s">
        <v>483</v>
      </c>
      <c r="F171" s="300">
        <v>869</v>
      </c>
      <c r="G171" s="1042" t="s">
        <v>593</v>
      </c>
      <c r="H171" s="1043"/>
      <c r="I171" s="904"/>
      <c r="J171" s="904"/>
      <c r="K171" s="904"/>
      <c r="L171" s="904"/>
      <c r="M171" s="904"/>
      <c r="N171" s="904"/>
      <c r="O171" s="904"/>
      <c r="P171" s="904"/>
      <c r="Q171" s="904"/>
      <c r="V171" s="807" t="str">
        <f t="shared" si="30"/>
        <v>EFLHcool</v>
      </c>
      <c r="W171" s="272">
        <v>869</v>
      </c>
      <c r="X171" s="272">
        <v>869</v>
      </c>
      <c r="Y171" s="272"/>
      <c r="Z171" s="272"/>
      <c r="AA171" s="272"/>
      <c r="AB171" s="272"/>
      <c r="AC171" s="272"/>
      <c r="AD171" s="272"/>
      <c r="AE171" s="272"/>
      <c r="AF171" s="272"/>
      <c r="AG171" s="272"/>
    </row>
    <row r="172" spans="2:33" hidden="1" outlineLevel="1" x14ac:dyDescent="0.25">
      <c r="B172" s="1087"/>
      <c r="C172" s="1434"/>
      <c r="D172" s="899" t="s">
        <v>738</v>
      </c>
      <c r="E172" s="899" t="s">
        <v>504</v>
      </c>
      <c r="F172" s="525">
        <v>14</v>
      </c>
      <c r="G172" s="402"/>
      <c r="H172" s="268"/>
      <c r="I172" s="904"/>
      <c r="J172" s="904"/>
      <c r="K172" s="904"/>
      <c r="L172" s="904"/>
      <c r="M172" s="1452"/>
      <c r="N172" s="904"/>
      <c r="O172" s="904"/>
      <c r="P172" s="904"/>
      <c r="Q172" s="904"/>
      <c r="V172" s="1915" t="str">
        <f>D172</f>
        <v xml:space="preserve">EUL </v>
      </c>
      <c r="W172" s="406">
        <f>F172</f>
        <v>14</v>
      </c>
      <c r="X172" s="406">
        <f>W172</f>
        <v>14</v>
      </c>
      <c r="Y172" s="406"/>
      <c r="Z172" s="406"/>
      <c r="AA172" s="406"/>
      <c r="AB172" s="406"/>
      <c r="AC172" s="406"/>
      <c r="AD172" s="406"/>
      <c r="AE172" s="406"/>
      <c r="AF172" s="406"/>
      <c r="AG172" s="406"/>
    </row>
    <row r="173" spans="2:33" hidden="1" outlineLevel="1" x14ac:dyDescent="0.25">
      <c r="B173" s="1087"/>
      <c r="C173" s="1434"/>
      <c r="D173" s="407" t="s">
        <v>24</v>
      </c>
      <c r="E173" s="899" t="s">
        <v>739</v>
      </c>
      <c r="F173" s="526">
        <v>5</v>
      </c>
      <c r="G173" s="402"/>
      <c r="H173" s="268"/>
      <c r="I173" s="904"/>
      <c r="J173" s="904"/>
      <c r="K173" s="904"/>
      <c r="L173" s="904"/>
      <c r="M173" s="1452"/>
      <c r="N173" s="904"/>
      <c r="O173" s="904"/>
      <c r="P173" s="904"/>
      <c r="Q173" s="904"/>
      <c r="V173" s="1953" t="str">
        <f>D173</f>
        <v>Inc. Cost</v>
      </c>
      <c r="W173" s="408">
        <f>F173</f>
        <v>5</v>
      </c>
      <c r="X173" s="408">
        <f>W173</f>
        <v>5</v>
      </c>
      <c r="Y173" s="409"/>
      <c r="Z173" s="409"/>
      <c r="AA173" s="409"/>
      <c r="AB173" s="409"/>
      <c r="AC173" s="409"/>
      <c r="AD173" s="409"/>
      <c r="AE173" s="409"/>
      <c r="AF173" s="409"/>
      <c r="AG173" s="409"/>
    </row>
    <row r="174" spans="2:33" collapsed="1" x14ac:dyDescent="0.25">
      <c r="B174" s="1087"/>
      <c r="C174" s="1434"/>
      <c r="D174" s="407" t="s">
        <v>740</v>
      </c>
      <c r="E174" s="899" t="s">
        <v>741</v>
      </c>
      <c r="F174" s="410" t="s">
        <v>742</v>
      </c>
      <c r="G174" s="402"/>
      <c r="H174" s="268"/>
      <c r="I174" s="904"/>
      <c r="J174" s="904"/>
      <c r="K174" s="904"/>
      <c r="L174" s="904"/>
      <c r="M174" s="1452"/>
      <c r="N174" s="904"/>
      <c r="O174" s="904"/>
      <c r="P174" s="904"/>
      <c r="Q174" s="904"/>
      <c r="V174" s="1915" t="str">
        <f>D174</f>
        <v>P</v>
      </c>
      <c r="W174" s="406" t="s">
        <v>742</v>
      </c>
      <c r="X174" s="406" t="s">
        <v>742</v>
      </c>
      <c r="Y174" s="406"/>
      <c r="Z174" s="406"/>
      <c r="AA174" s="406"/>
      <c r="AB174" s="406"/>
      <c r="AC174" s="406"/>
      <c r="AD174" s="406"/>
      <c r="AE174" s="406"/>
      <c r="AF174" s="406"/>
      <c r="AG174" s="406"/>
    </row>
    <row r="175" spans="2:33" x14ac:dyDescent="0.25">
      <c r="B175" s="1087"/>
      <c r="C175" s="1434"/>
      <c r="D175" s="1444"/>
      <c r="E175" s="1458"/>
      <c r="F175" s="904"/>
      <c r="G175" s="904"/>
      <c r="H175" s="904"/>
      <c r="I175" s="904"/>
      <c r="J175" s="904"/>
      <c r="K175" s="904"/>
      <c r="L175" s="904"/>
      <c r="M175" s="904"/>
      <c r="N175" s="904"/>
      <c r="O175" s="904"/>
      <c r="P175" s="904"/>
      <c r="Q175" s="904"/>
    </row>
    <row r="176" spans="2:33" x14ac:dyDescent="0.25">
      <c r="B176" s="1087"/>
      <c r="C176" s="1434"/>
      <c r="D176" s="1444"/>
      <c r="E176" s="1444"/>
      <c r="F176" s="904"/>
      <c r="G176" s="904"/>
      <c r="H176" s="904"/>
      <c r="I176" s="904"/>
      <c r="J176" s="904"/>
      <c r="K176" s="904"/>
      <c r="L176" s="904"/>
      <c r="M176" s="904"/>
      <c r="N176" s="904"/>
      <c r="O176" s="904"/>
      <c r="P176" s="904"/>
      <c r="Q176" s="904"/>
    </row>
    <row r="177" spans="2:35" x14ac:dyDescent="0.25">
      <c r="B177" s="2022" t="str">
        <f>'Income Eligble Deemed Table'!B528:L528</f>
        <v>ECM/ Blower Motor</v>
      </c>
      <c r="C177" s="2023"/>
      <c r="D177" s="2023"/>
      <c r="E177" s="2023"/>
      <c r="F177" s="2023"/>
      <c r="G177" s="2023"/>
      <c r="H177" s="2023"/>
      <c r="I177" s="1992"/>
      <c r="J177" s="1992"/>
      <c r="K177" s="1992"/>
      <c r="L177" s="1992"/>
      <c r="M177" s="1992"/>
      <c r="N177" s="1992"/>
      <c r="O177" s="1992"/>
      <c r="P177" s="1992"/>
      <c r="Q177" s="1993"/>
      <c r="V177" s="2022" t="str">
        <f>B177</f>
        <v>ECM/ Blower Motor</v>
      </c>
      <c r="W177" s="2023"/>
      <c r="X177" s="2023"/>
      <c r="Y177" s="2023"/>
      <c r="Z177" s="2023"/>
      <c r="AA177" s="2023"/>
      <c r="AB177" s="2023"/>
      <c r="AC177" s="2024"/>
      <c r="AD177" s="2024"/>
      <c r="AE177" s="2024"/>
      <c r="AF177" s="2024"/>
      <c r="AG177" s="2024"/>
      <c r="AH177" s="2024"/>
      <c r="AI177" s="2025"/>
    </row>
    <row r="178" spans="2:35" x14ac:dyDescent="0.25">
      <c r="B178" s="1087"/>
      <c r="C178" s="1434"/>
      <c r="D178" s="1435"/>
      <c r="E178" s="1435"/>
      <c r="F178" s="1436"/>
      <c r="G178" s="1436"/>
      <c r="H178" s="1436"/>
      <c r="I178" s="1436"/>
      <c r="J178" s="1436"/>
      <c r="K178" s="1436"/>
      <c r="L178" s="1437"/>
      <c r="M178" s="904"/>
      <c r="N178" s="904"/>
      <c r="O178" s="904"/>
      <c r="P178" s="904"/>
      <c r="Q178" s="904"/>
    </row>
    <row r="179" spans="2:35" ht="45" x14ac:dyDescent="0.25">
      <c r="B179" s="1087"/>
      <c r="C179" s="184" t="s">
        <v>16</v>
      </c>
      <c r="D179" s="184" t="s">
        <v>509</v>
      </c>
      <c r="E179" s="184" t="s">
        <v>18</v>
      </c>
      <c r="F179" s="184" t="s">
        <v>19</v>
      </c>
      <c r="G179" s="184" t="s">
        <v>20</v>
      </c>
      <c r="H179" s="184" t="s">
        <v>21</v>
      </c>
      <c r="I179" s="184" t="s">
        <v>724</v>
      </c>
      <c r="J179" s="184" t="s">
        <v>725</v>
      </c>
      <c r="K179" s="184" t="s">
        <v>879</v>
      </c>
      <c r="L179" s="184" t="s">
        <v>880</v>
      </c>
      <c r="M179" s="184" t="s">
        <v>22</v>
      </c>
      <c r="N179" s="448" t="s">
        <v>1670</v>
      </c>
      <c r="O179" s="184" t="s">
        <v>24</v>
      </c>
      <c r="P179" s="184" t="s">
        <v>25</v>
      </c>
      <c r="R179" s="251"/>
      <c r="S179" s="251"/>
      <c r="T179" s="251"/>
      <c r="U179" s="251"/>
      <c r="V179" s="490" t="s">
        <v>26</v>
      </c>
      <c r="W179" s="49">
        <f>W$6</f>
        <v>43252</v>
      </c>
      <c r="X179" s="49">
        <f t="shared" ref="X179:AG179" si="31">X$6</f>
        <v>43465</v>
      </c>
      <c r="Y179" s="49" t="str">
        <f t="shared" si="31"/>
        <v>-</v>
      </c>
      <c r="Z179" s="49" t="str">
        <f t="shared" si="31"/>
        <v>-</v>
      </c>
      <c r="AA179" s="49" t="str">
        <f t="shared" si="31"/>
        <v>-</v>
      </c>
      <c r="AB179" s="49" t="str">
        <f t="shared" si="31"/>
        <v>-</v>
      </c>
      <c r="AC179" s="49" t="str">
        <f t="shared" si="31"/>
        <v>-</v>
      </c>
      <c r="AD179" s="49" t="str">
        <f t="shared" si="31"/>
        <v>-</v>
      </c>
      <c r="AE179" s="49" t="str">
        <f t="shared" si="31"/>
        <v>-</v>
      </c>
      <c r="AF179" s="49" t="str">
        <f t="shared" si="31"/>
        <v>-</v>
      </c>
      <c r="AG179" s="49" t="str">
        <f t="shared" si="31"/>
        <v>-</v>
      </c>
    </row>
    <row r="180" spans="2:35" x14ac:dyDescent="0.25">
      <c r="B180" s="1087"/>
      <c r="C180" s="1531"/>
      <c r="D180" s="1066" t="s">
        <v>1637</v>
      </c>
      <c r="E180" s="1916" t="s">
        <v>1671</v>
      </c>
      <c r="F180" s="821">
        <f>I180+J180+K180+L180</f>
        <v>513.93550400425124</v>
      </c>
      <c r="G180" s="559" t="s">
        <v>728</v>
      </c>
      <c r="H180" s="170">
        <f>VLOOKUP(G180,'CP FACTORS'!$A$3:$B$38, 2, FALSE)</f>
        <v>4.6608050000000002E-4</v>
      </c>
      <c r="I180" s="406">
        <f>(1-I190)*400*I$192/I$193*I199</f>
        <v>252.58029663097929</v>
      </c>
      <c r="J180" s="406">
        <f>(1-I194)*70*I$196/I$197*I199</f>
        <v>3.762580645161294</v>
      </c>
      <c r="K180" s="406">
        <f>(25*I$196/I$197+2960*10%-30)*I199</f>
        <v>257.59262672811059</v>
      </c>
      <c r="L180" s="406">
        <v>0</v>
      </c>
      <c r="M180" s="1917">
        <f>H180*F180</f>
        <v>0.23953531667405342</v>
      </c>
      <c r="N180" s="406">
        <f>I201</f>
        <v>6</v>
      </c>
      <c r="O180" s="1063">
        <f>I203</f>
        <v>96.828432298395683</v>
      </c>
      <c r="P180" s="1903" t="s">
        <v>31</v>
      </c>
      <c r="R180" s="251"/>
      <c r="S180" s="251"/>
      <c r="T180" s="251"/>
      <c r="U180" s="251"/>
      <c r="V180" s="621" t="str">
        <f>F179</f>
        <v>kWh Annual Savings</v>
      </c>
      <c r="W180" s="1969">
        <v>513.93550400425124</v>
      </c>
      <c r="X180" s="1969">
        <v>513.93550400425124</v>
      </c>
      <c r="Y180" s="394"/>
      <c r="Z180" s="394"/>
      <c r="AA180" s="394"/>
      <c r="AB180" s="394"/>
      <c r="AC180" s="394"/>
      <c r="AD180" s="394"/>
      <c r="AE180" s="394"/>
      <c r="AF180" s="394"/>
      <c r="AG180" s="394"/>
    </row>
    <row r="181" spans="2:35" x14ac:dyDescent="0.25">
      <c r="B181" s="1087"/>
      <c r="C181" s="1531"/>
      <c r="D181" s="1066" t="s">
        <v>1637</v>
      </c>
      <c r="E181" s="1918" t="s">
        <v>1672</v>
      </c>
      <c r="F181" s="821">
        <f>I181+J181+K181+L181</f>
        <v>513.93550400425124</v>
      </c>
      <c r="G181" s="559" t="s">
        <v>1673</v>
      </c>
      <c r="H181" s="170">
        <f>VLOOKUP(G181,'CP FACTORS'!$A$3:$B$38, 2, FALSE)</f>
        <v>4.6608050000000002E-4</v>
      </c>
      <c r="I181" s="406">
        <f>(1-I191)*400*I$192/I$193*I200</f>
        <v>252.58029663097929</v>
      </c>
      <c r="J181" s="406">
        <f>(1-I195)*70*I$196/I$197*I200</f>
        <v>3.762580645161294</v>
      </c>
      <c r="K181" s="406">
        <f>(25*I$196/I$197+2960*10%-30)*I200</f>
        <v>257.59262672811059</v>
      </c>
      <c r="L181" s="406">
        <v>0</v>
      </c>
      <c r="M181" s="1917">
        <f>H181*F181</f>
        <v>0.23953531667405342</v>
      </c>
      <c r="N181" s="406">
        <f>I202</f>
        <v>12</v>
      </c>
      <c r="O181" s="1063"/>
      <c r="P181" s="1903" t="s">
        <v>31</v>
      </c>
      <c r="V181" s="621" t="str">
        <f>V180</f>
        <v>kWh Annual Savings</v>
      </c>
      <c r="W181" s="1969">
        <v>513.93550400425124</v>
      </c>
      <c r="X181" s="1969">
        <v>513.93550400425124</v>
      </c>
      <c r="Y181" s="394"/>
      <c r="Z181" s="394"/>
      <c r="AA181" s="394"/>
      <c r="AB181" s="394"/>
      <c r="AC181" s="394"/>
      <c r="AD181" s="394"/>
      <c r="AE181" s="394"/>
      <c r="AF181" s="394"/>
      <c r="AG181" s="394"/>
    </row>
    <row r="182" spans="2:35" hidden="1" outlineLevel="1" x14ac:dyDescent="0.25">
      <c r="B182" s="1087"/>
      <c r="C182" s="1434"/>
      <c r="D182" s="1608"/>
      <c r="E182" s="1608"/>
      <c r="F182" s="1919"/>
      <c r="G182" s="1551"/>
      <c r="H182" s="1551"/>
      <c r="I182" s="1551"/>
      <c r="J182" s="1551"/>
      <c r="K182" s="851" t="s">
        <v>1674</v>
      </c>
      <c r="L182" s="1551"/>
      <c r="N182" s="1551"/>
      <c r="O182" s="1551"/>
      <c r="P182" s="1551"/>
      <c r="Q182" s="904"/>
    </row>
    <row r="183" spans="2:35" hidden="1" outlineLevel="1" x14ac:dyDescent="0.25">
      <c r="B183" s="1087"/>
      <c r="C183" s="1434"/>
      <c r="D183" s="1418" t="s">
        <v>463</v>
      </c>
      <c r="E183" s="1762"/>
      <c r="F183" s="1914"/>
      <c r="G183" s="851"/>
      <c r="H183" s="851"/>
      <c r="I183" s="851"/>
      <c r="J183" s="851"/>
      <c r="K183" s="851"/>
      <c r="L183" s="851"/>
      <c r="M183" s="851"/>
      <c r="N183" s="1551"/>
      <c r="O183" s="1551"/>
      <c r="P183" s="1551"/>
      <c r="Q183" s="904"/>
    </row>
    <row r="184" spans="2:35" ht="18" hidden="1" customHeight="1" outlineLevel="1" x14ac:dyDescent="0.25">
      <c r="B184" s="1087"/>
      <c r="C184" s="1447"/>
      <c r="D184" s="2411"/>
      <c r="E184" s="2411"/>
      <c r="F184" s="2411"/>
      <c r="G184" s="2411"/>
      <c r="H184" s="2411"/>
      <c r="I184" s="2411"/>
      <c r="J184" s="2411"/>
      <c r="K184" s="2411"/>
      <c r="L184" s="2411"/>
      <c r="M184" s="851"/>
      <c r="N184" s="1551"/>
      <c r="O184" s="1551"/>
      <c r="P184" s="1551"/>
      <c r="Q184" s="904"/>
    </row>
    <row r="185" spans="2:35" hidden="1" outlineLevel="1" x14ac:dyDescent="0.25">
      <c r="B185" s="1087"/>
      <c r="C185" s="1454"/>
      <c r="D185" s="2411"/>
      <c r="E185" s="2411"/>
      <c r="F185" s="2411"/>
      <c r="G185" s="2411"/>
      <c r="H185" s="2411"/>
      <c r="I185" s="2411"/>
      <c r="J185" s="2411"/>
      <c r="K185" s="2411"/>
      <c r="L185" s="2411"/>
      <c r="M185" s="851"/>
      <c r="N185" s="1551"/>
      <c r="O185" s="1551"/>
      <c r="P185" s="1551"/>
      <c r="Q185" s="904"/>
    </row>
    <row r="186" spans="2:35" hidden="1" outlineLevel="1" x14ac:dyDescent="0.25">
      <c r="B186" s="1087"/>
      <c r="C186" s="1454"/>
      <c r="D186" s="2411"/>
      <c r="E186" s="2411"/>
      <c r="F186" s="2411"/>
      <c r="G186" s="2411"/>
      <c r="H186" s="2411"/>
      <c r="I186" s="2411"/>
      <c r="J186" s="2411"/>
      <c r="K186" s="2411"/>
      <c r="L186" s="2411"/>
      <c r="M186" s="851"/>
      <c r="N186" s="1551"/>
      <c r="O186" s="1551"/>
      <c r="P186" s="1551"/>
      <c r="Q186" s="904"/>
    </row>
    <row r="187" spans="2:35" ht="75" hidden="1" customHeight="1" outlineLevel="1" x14ac:dyDescent="0.25">
      <c r="B187" s="1087"/>
      <c r="C187" s="1455"/>
      <c r="D187" s="2411"/>
      <c r="E187" s="2411"/>
      <c r="F187" s="2411"/>
      <c r="G187" s="2411"/>
      <c r="H187" s="2411"/>
      <c r="I187" s="2411"/>
      <c r="J187" s="2411"/>
      <c r="K187" s="2411"/>
      <c r="L187" s="2411"/>
      <c r="M187" s="851"/>
      <c r="N187" s="1551"/>
      <c r="O187" s="1551"/>
      <c r="P187" s="1551"/>
      <c r="Q187" s="904"/>
    </row>
    <row r="188" spans="2:35" hidden="1" outlineLevel="1" x14ac:dyDescent="0.25">
      <c r="B188" s="1087"/>
      <c r="C188" s="1434"/>
      <c r="D188" s="1608"/>
      <c r="E188" s="1608"/>
      <c r="F188" s="1551"/>
      <c r="G188" s="1551"/>
      <c r="H188" s="1551"/>
      <c r="I188" s="1551"/>
      <c r="J188" s="1551"/>
      <c r="K188" s="1551"/>
      <c r="L188" s="1551"/>
      <c r="M188" s="1551"/>
      <c r="N188" s="1551"/>
      <c r="O188" s="1551"/>
      <c r="P188" s="1551"/>
      <c r="Q188" s="904"/>
    </row>
    <row r="189" spans="2:35" hidden="1" outlineLevel="1" x14ac:dyDescent="0.25">
      <c r="B189" s="1087"/>
      <c r="C189" s="1434"/>
      <c r="D189" s="1072" t="s">
        <v>465</v>
      </c>
      <c r="E189" s="1072"/>
      <c r="F189" s="2412" t="s">
        <v>466</v>
      </c>
      <c r="G189" s="2413"/>
      <c r="H189" s="2413"/>
      <c r="I189" s="1072" t="s">
        <v>467</v>
      </c>
      <c r="J189" s="1072" t="s">
        <v>515</v>
      </c>
      <c r="K189" s="1072" t="s">
        <v>592</v>
      </c>
      <c r="L189" s="252"/>
      <c r="M189" s="252"/>
      <c r="N189" s="252"/>
      <c r="O189" s="1551"/>
      <c r="P189" s="1551"/>
      <c r="Q189" s="904"/>
      <c r="V189" s="490" t="s">
        <v>26</v>
      </c>
      <c r="W189" s="49">
        <f t="shared" ref="W189:AG189" si="32">W$6</f>
        <v>43252</v>
      </c>
      <c r="X189" s="49">
        <f t="shared" si="32"/>
        <v>43465</v>
      </c>
      <c r="Y189" s="49" t="str">
        <f t="shared" si="32"/>
        <v>-</v>
      </c>
      <c r="Z189" s="49" t="str">
        <f t="shared" si="32"/>
        <v>-</v>
      </c>
      <c r="AA189" s="49" t="str">
        <f t="shared" si="32"/>
        <v>-</v>
      </c>
      <c r="AB189" s="49" t="str">
        <f t="shared" si="32"/>
        <v>-</v>
      </c>
      <c r="AC189" s="49" t="str">
        <f t="shared" si="32"/>
        <v>-</v>
      </c>
      <c r="AD189" s="49" t="str">
        <f t="shared" si="32"/>
        <v>-</v>
      </c>
      <c r="AE189" s="49" t="str">
        <f t="shared" si="32"/>
        <v>-</v>
      </c>
      <c r="AF189" s="49" t="str">
        <f t="shared" si="32"/>
        <v>-</v>
      </c>
      <c r="AG189" s="49" t="str">
        <f t="shared" si="32"/>
        <v>-</v>
      </c>
    </row>
    <row r="190" spans="2:35" hidden="1" outlineLevel="1" x14ac:dyDescent="0.25">
      <c r="B190" s="1087"/>
      <c r="C190" s="1434"/>
      <c r="D190" s="2414" t="s">
        <v>893</v>
      </c>
      <c r="E190" s="2409" t="s">
        <v>894</v>
      </c>
      <c r="F190" s="2406" t="s">
        <v>1675</v>
      </c>
      <c r="G190" s="2269"/>
      <c r="H190" s="2269"/>
      <c r="I190" s="1920">
        <v>0</v>
      </c>
      <c r="J190" s="1921" t="s">
        <v>593</v>
      </c>
      <c r="K190" s="849"/>
      <c r="L190" s="252"/>
      <c r="M190" s="252"/>
      <c r="N190" s="252"/>
      <c r="O190" s="1551"/>
      <c r="P190" s="1551"/>
      <c r="Q190" s="904"/>
      <c r="V190" s="2414" t="str">
        <f>D190</f>
        <v>% with New ASHP</v>
      </c>
      <c r="W190" s="1073">
        <v>0</v>
      </c>
      <c r="X190" s="1073">
        <v>0</v>
      </c>
      <c r="Y190" s="1073"/>
      <c r="Z190" s="1073"/>
      <c r="AA190" s="1073"/>
      <c r="AB190" s="1073"/>
      <c r="AC190" s="1073"/>
      <c r="AD190" s="1073"/>
      <c r="AE190" s="1073"/>
      <c r="AF190" s="1073"/>
      <c r="AG190" s="1073"/>
    </row>
    <row r="191" spans="2:35" ht="60" hidden="1" outlineLevel="1" x14ac:dyDescent="0.25">
      <c r="B191" s="1087"/>
      <c r="C191" s="1434"/>
      <c r="D191" s="2414"/>
      <c r="E191" s="2409"/>
      <c r="F191" s="2406" t="s">
        <v>1394</v>
      </c>
      <c r="G191" s="2269"/>
      <c r="H191" s="2269"/>
      <c r="I191" s="1920">
        <v>0</v>
      </c>
      <c r="J191" s="1921" t="s">
        <v>593</v>
      </c>
      <c r="K191" s="849"/>
      <c r="L191" s="252"/>
      <c r="M191" s="252"/>
      <c r="N191" s="252"/>
      <c r="O191" s="604" t="s">
        <v>908</v>
      </c>
      <c r="P191" s="1074"/>
      <c r="Q191" s="448"/>
      <c r="R191" s="534" t="s">
        <v>909</v>
      </c>
      <c r="V191" s="2414"/>
      <c r="W191" s="1073">
        <v>0</v>
      </c>
      <c r="X191" s="1073">
        <v>0</v>
      </c>
      <c r="Y191" s="1073"/>
      <c r="Z191" s="1073"/>
      <c r="AA191" s="1073"/>
      <c r="AB191" s="1073"/>
      <c r="AC191" s="1073"/>
      <c r="AD191" s="1073"/>
      <c r="AE191" s="1073"/>
      <c r="AF191" s="1073"/>
      <c r="AG191" s="1073"/>
    </row>
    <row r="192" spans="2:35" ht="18" hidden="1" outlineLevel="1" x14ac:dyDescent="0.25">
      <c r="B192" s="1087"/>
      <c r="C192" s="1434"/>
      <c r="D192" s="162" t="s">
        <v>1932</v>
      </c>
      <c r="E192" s="1709" t="str">
        <f>'HVAC Deemed Table'!E45</f>
        <v>Effective full load heating hours (in St. Louis)</v>
      </c>
      <c r="F192" s="2406" t="s">
        <v>483</v>
      </c>
      <c r="G192" s="2269"/>
      <c r="H192" s="2269"/>
      <c r="I192" s="1922">
        <v>2009</v>
      </c>
      <c r="J192" s="1921" t="s">
        <v>593</v>
      </c>
      <c r="K192" s="849"/>
      <c r="L192" s="252"/>
      <c r="M192" s="252"/>
      <c r="N192" s="252"/>
      <c r="O192" s="579" t="s">
        <v>910</v>
      </c>
      <c r="P192" s="580"/>
      <c r="Q192" s="581">
        <v>0</v>
      </c>
      <c r="R192" s="582">
        <f>($Q$199/1+Q192)-$Q$198/((1+$Q$201)^$Q$202)</f>
        <v>96.828432298395683</v>
      </c>
      <c r="V192" s="162" t="str">
        <f t="shared" ref="V192:V197" si="33">D192</f>
        <v>EFLH heating</v>
      </c>
      <c r="W192" s="275">
        <v>2009</v>
      </c>
      <c r="X192" s="275">
        <v>2009</v>
      </c>
      <c r="Y192" s="275"/>
      <c r="Z192" s="275"/>
      <c r="AA192" s="275"/>
      <c r="AB192" s="275"/>
      <c r="AC192" s="275"/>
      <c r="AD192" s="275"/>
      <c r="AE192" s="275"/>
      <c r="AF192" s="275"/>
      <c r="AG192" s="275"/>
    </row>
    <row r="193" spans="1:35" ht="18" hidden="1" outlineLevel="1" x14ac:dyDescent="0.25">
      <c r="B193" s="1087"/>
      <c r="C193" s="1434"/>
      <c r="D193" s="162" t="s">
        <v>1933</v>
      </c>
      <c r="E193" s="1709" t="str">
        <f>'HVAC Deemed Table'!E46</f>
        <v>Wisconsin effective full load heating hours</v>
      </c>
      <c r="F193" s="2406" t="s">
        <v>483</v>
      </c>
      <c r="G193" s="2269"/>
      <c r="H193" s="2269"/>
      <c r="I193" s="1923">
        <v>2545.25</v>
      </c>
      <c r="J193" s="1921" t="s">
        <v>593</v>
      </c>
      <c r="K193" s="849"/>
      <c r="L193" s="252"/>
      <c r="M193" s="252"/>
      <c r="N193" s="252"/>
      <c r="O193" s="252"/>
      <c r="P193" s="252"/>
      <c r="Q193" s="252"/>
      <c r="R193" s="252"/>
      <c r="V193" s="162" t="str">
        <f t="shared" si="33"/>
        <v>WI_EFLH heating</v>
      </c>
      <c r="W193" s="1075">
        <v>2545.25</v>
      </c>
      <c r="X193" s="1075">
        <v>2545.25</v>
      </c>
      <c r="Y193" s="1075"/>
      <c r="Z193" s="1075"/>
      <c r="AA193" s="1075"/>
      <c r="AB193" s="1075"/>
      <c r="AC193" s="1075"/>
      <c r="AD193" s="1075"/>
      <c r="AE193" s="1075"/>
      <c r="AF193" s="1075"/>
      <c r="AG193" s="1075"/>
    </row>
    <row r="194" spans="1:35" ht="15" hidden="1" customHeight="1" outlineLevel="1" x14ac:dyDescent="0.25">
      <c r="B194" s="1087"/>
      <c r="C194" s="1434"/>
      <c r="D194" s="2410" t="s">
        <v>900</v>
      </c>
      <c r="E194" s="2409" t="str">
        <f>'HVAC Deemed Table'!E47</f>
        <v>% of furnaces with new central cooling</v>
      </c>
      <c r="F194" s="2406" t="s">
        <v>1675</v>
      </c>
      <c r="G194" s="2269"/>
      <c r="H194" s="2269"/>
      <c r="I194" s="404">
        <v>0.97</v>
      </c>
      <c r="J194" s="1921" t="s">
        <v>593</v>
      </c>
      <c r="K194" s="849"/>
      <c r="L194" s="252"/>
      <c r="M194" s="252"/>
      <c r="N194" s="252"/>
      <c r="O194" s="252"/>
      <c r="P194" s="587"/>
      <c r="Q194" s="252"/>
      <c r="R194" s="587"/>
      <c r="S194" s="904"/>
      <c r="V194" s="2410" t="str">
        <f t="shared" si="33"/>
        <v>% with New Central Cooling</v>
      </c>
      <c r="W194" s="284">
        <v>0.97</v>
      </c>
      <c r="X194" s="284">
        <v>0.97</v>
      </c>
      <c r="Y194" s="284"/>
      <c r="Z194" s="284"/>
      <c r="AA194" s="284"/>
      <c r="AB194" s="284"/>
      <c r="AC194" s="284"/>
      <c r="AD194" s="284"/>
      <c r="AE194" s="284"/>
      <c r="AF194" s="284"/>
      <c r="AG194" s="284"/>
    </row>
    <row r="195" spans="1:35" ht="24.75" hidden="1" customHeight="1" outlineLevel="1" x14ac:dyDescent="0.25">
      <c r="B195" s="1087"/>
      <c r="C195" s="1434"/>
      <c r="D195" s="2410"/>
      <c r="E195" s="2409"/>
      <c r="F195" s="2406" t="s">
        <v>1394</v>
      </c>
      <c r="G195" s="2269"/>
      <c r="H195" s="2269"/>
      <c r="I195" s="404">
        <v>0.97</v>
      </c>
      <c r="J195" s="1921" t="s">
        <v>593</v>
      </c>
      <c r="K195" s="849"/>
      <c r="L195" s="252"/>
      <c r="M195" s="252"/>
      <c r="N195" s="252"/>
      <c r="O195" s="252"/>
      <c r="P195" s="252"/>
      <c r="Q195" s="252"/>
      <c r="R195" s="252"/>
      <c r="S195" s="904"/>
      <c r="V195" s="2410">
        <f t="shared" si="33"/>
        <v>0</v>
      </c>
      <c r="W195" s="284">
        <v>0.97</v>
      </c>
      <c r="X195" s="284">
        <v>0.97</v>
      </c>
      <c r="Y195" s="284"/>
      <c r="Z195" s="284"/>
      <c r="AA195" s="284"/>
      <c r="AB195" s="284"/>
      <c r="AC195" s="284"/>
      <c r="AD195" s="284"/>
      <c r="AE195" s="284"/>
      <c r="AF195" s="284"/>
      <c r="AG195" s="284"/>
    </row>
    <row r="196" spans="1:35" ht="18" hidden="1" outlineLevel="1" x14ac:dyDescent="0.25">
      <c r="B196" s="1087"/>
      <c r="C196" s="1434"/>
      <c r="D196" s="162" t="s">
        <v>1934</v>
      </c>
      <c r="E196" s="1709" t="str">
        <f>'HVAC Deemed Table'!E59</f>
        <v>Effective full load cooling hours (in St. Louis)</v>
      </c>
      <c r="F196" s="2406" t="s">
        <v>483</v>
      </c>
      <c r="G196" s="2269"/>
      <c r="H196" s="2269"/>
      <c r="I196" s="1923">
        <v>1215</v>
      </c>
      <c r="J196" s="1921" t="s">
        <v>593</v>
      </c>
      <c r="K196" s="849"/>
      <c r="L196" s="252"/>
      <c r="M196" s="252"/>
      <c r="N196" s="252"/>
      <c r="O196" s="252"/>
      <c r="P196" s="252"/>
      <c r="Q196" s="252"/>
      <c r="R196" s="252"/>
      <c r="S196" s="904"/>
      <c r="T196" s="1634"/>
      <c r="V196" s="162" t="str">
        <f t="shared" si="33"/>
        <v>EFLH cooling</v>
      </c>
      <c r="W196" s="1075">
        <v>1215</v>
      </c>
      <c r="X196" s="1075">
        <v>1215</v>
      </c>
      <c r="Y196" s="1075"/>
      <c r="Z196" s="1075"/>
      <c r="AA196" s="1075"/>
      <c r="AB196" s="1075"/>
      <c r="AC196" s="1075"/>
      <c r="AD196" s="1075"/>
      <c r="AE196" s="1075"/>
      <c r="AF196" s="1075"/>
      <c r="AG196" s="1075"/>
    </row>
    <row r="197" spans="1:35" ht="18" hidden="1" outlineLevel="1" x14ac:dyDescent="0.25">
      <c r="B197" s="1087"/>
      <c r="C197" s="1434"/>
      <c r="D197" s="162" t="s">
        <v>1935</v>
      </c>
      <c r="E197" s="1709" t="str">
        <f>'HVAC Deemed Table'!E60</f>
        <v>Wisconsin effective full load cooling hours</v>
      </c>
      <c r="F197" s="2406" t="s">
        <v>483</v>
      </c>
      <c r="G197" s="2269"/>
      <c r="H197" s="2269"/>
      <c r="I197" s="1924">
        <v>542.5</v>
      </c>
      <c r="J197" s="1921" t="s">
        <v>593</v>
      </c>
      <c r="K197" s="849"/>
      <c r="L197" s="252"/>
      <c r="M197" s="252"/>
      <c r="N197" s="252"/>
      <c r="O197" s="2075" t="s">
        <v>911</v>
      </c>
      <c r="P197" s="2199"/>
      <c r="Q197" s="2200"/>
      <c r="R197" s="252"/>
      <c r="V197" s="162" t="str">
        <f t="shared" si="33"/>
        <v>WI_EFLH cooling</v>
      </c>
      <c r="W197" s="1076">
        <v>542.5</v>
      </c>
      <c r="X197" s="1076">
        <v>542.5</v>
      </c>
      <c r="Y197" s="1076"/>
      <c r="Z197" s="1076"/>
      <c r="AA197" s="1076"/>
      <c r="AB197" s="1076"/>
      <c r="AC197" s="1076"/>
      <c r="AD197" s="1076"/>
      <c r="AE197" s="1076"/>
      <c r="AF197" s="1076"/>
      <c r="AG197" s="1076"/>
    </row>
    <row r="198" spans="1:35" hidden="1" outlineLevel="1" x14ac:dyDescent="0.25">
      <c r="B198" s="1087"/>
      <c r="C198" s="1434"/>
      <c r="D198" s="162"/>
      <c r="E198" s="1709"/>
      <c r="F198" s="2406"/>
      <c r="G198" s="2269"/>
      <c r="H198" s="2269"/>
      <c r="I198" s="404"/>
      <c r="J198" s="1921"/>
      <c r="K198" s="849"/>
      <c r="L198" s="252"/>
      <c r="M198" s="252"/>
      <c r="N198" s="252"/>
      <c r="O198" s="2201" t="s">
        <v>912</v>
      </c>
      <c r="P198" s="2202"/>
      <c r="Q198" s="589">
        <f>Q199*(1+Q200)^Q202</f>
        <v>534.92714915040006</v>
      </c>
      <c r="R198" s="252"/>
      <c r="V198" s="162"/>
      <c r="W198" s="284"/>
      <c r="X198" s="284"/>
      <c r="Y198" s="284"/>
      <c r="Z198" s="284"/>
      <c r="AA198" s="284"/>
      <c r="AB198" s="284"/>
      <c r="AC198" s="284"/>
      <c r="AD198" s="284"/>
      <c r="AE198" s="284"/>
      <c r="AF198" s="284"/>
      <c r="AG198" s="284"/>
    </row>
    <row r="199" spans="1:35" hidden="1" outlineLevel="1" x14ac:dyDescent="0.25">
      <c r="B199" s="1087"/>
      <c r="C199" s="1434"/>
      <c r="D199" s="2405" t="s">
        <v>598</v>
      </c>
      <c r="E199" s="2409" t="str">
        <f>'HVAC Deemed Table'!E62</f>
        <v>65% MF value is not applicable in this case, because it should be based upon pressure drop in the system and many of the components will have the same pressure drop, filters, coils, grills, duct length, etc.</v>
      </c>
      <c r="F199" s="2406" t="s">
        <v>1675</v>
      </c>
      <c r="G199" s="2269"/>
      <c r="H199" s="2269"/>
      <c r="I199" s="404">
        <v>0.8</v>
      </c>
      <c r="J199" s="849"/>
      <c r="K199" s="849"/>
      <c r="L199" s="252"/>
      <c r="M199" s="252"/>
      <c r="N199" s="252"/>
      <c r="O199" s="2201" t="s">
        <v>913</v>
      </c>
      <c r="P199" s="2202"/>
      <c r="Q199" s="590">
        <v>475</v>
      </c>
      <c r="R199" s="591" t="s">
        <v>914</v>
      </c>
      <c r="V199" s="2405" t="str">
        <f>D199</f>
        <v>HF</v>
      </c>
      <c r="W199" s="284">
        <v>0.8</v>
      </c>
      <c r="X199" s="284">
        <v>0.8</v>
      </c>
      <c r="Y199" s="284"/>
      <c r="Z199" s="284"/>
      <c r="AA199" s="284"/>
      <c r="AB199" s="284"/>
      <c r="AC199" s="284"/>
      <c r="AD199" s="284"/>
      <c r="AE199" s="284"/>
      <c r="AF199" s="284"/>
      <c r="AG199" s="284"/>
    </row>
    <row r="200" spans="1:35" hidden="1" outlineLevel="1" x14ac:dyDescent="0.25">
      <c r="B200" s="1087"/>
      <c r="C200" s="1434"/>
      <c r="D200" s="2405"/>
      <c r="E200" s="2409"/>
      <c r="F200" s="2406" t="s">
        <v>1394</v>
      </c>
      <c r="G200" s="2269"/>
      <c r="H200" s="2269"/>
      <c r="I200" s="404">
        <v>0.8</v>
      </c>
      <c r="J200" s="849"/>
      <c r="K200" s="849"/>
      <c r="L200" s="252"/>
      <c r="M200" s="252"/>
      <c r="N200" s="252"/>
      <c r="O200" s="2201" t="s">
        <v>915</v>
      </c>
      <c r="P200" s="2202"/>
      <c r="Q200" s="592">
        <v>0.02</v>
      </c>
      <c r="R200" s="252"/>
      <c r="V200" s="2405">
        <f>D200</f>
        <v>0</v>
      </c>
      <c r="W200" s="284">
        <v>0.8</v>
      </c>
      <c r="X200" s="284">
        <v>0.8</v>
      </c>
      <c r="Y200" s="284"/>
      <c r="Z200" s="284"/>
      <c r="AA200" s="284"/>
      <c r="AB200" s="284"/>
      <c r="AC200" s="284"/>
      <c r="AD200" s="284"/>
      <c r="AE200" s="284"/>
      <c r="AF200" s="284"/>
      <c r="AG200" s="284"/>
    </row>
    <row r="201" spans="1:35" ht="45" hidden="1" customHeight="1" outlineLevel="1" x14ac:dyDescent="0.25">
      <c r="A201" s="395"/>
      <c r="B201" s="1087"/>
      <c r="C201" s="1454"/>
      <c r="D201" s="2407" t="str">
        <f>D25</f>
        <v>EUL</v>
      </c>
      <c r="E201" s="2407" t="str">
        <f>E25</f>
        <v>End Useful Life</v>
      </c>
      <c r="F201" s="2192" t="str">
        <f>E180</f>
        <v>ECM Auto Fan Early Replacement ER1 (Full Cost) - MFMR</v>
      </c>
      <c r="G201" s="2192"/>
      <c r="H201" s="2192"/>
      <c r="I201" s="1077">
        <v>6</v>
      </c>
      <c r="J201" s="569"/>
      <c r="K201" s="569" t="s">
        <v>31</v>
      </c>
      <c r="L201" s="252"/>
      <c r="M201" s="252"/>
      <c r="N201" s="587"/>
      <c r="O201" s="2193" t="s">
        <v>916</v>
      </c>
      <c r="P201" s="2194"/>
      <c r="Q201" s="592">
        <v>5.9499999999999997E-2</v>
      </c>
      <c r="R201" s="252"/>
      <c r="V201" s="2407" t="str">
        <f>E201</f>
        <v>End Useful Life</v>
      </c>
      <c r="W201" s="528">
        <v>6</v>
      </c>
      <c r="X201" s="528">
        <v>6</v>
      </c>
      <c r="Y201" s="528"/>
      <c r="Z201" s="528"/>
      <c r="AA201" s="528"/>
      <c r="AB201" s="528"/>
      <c r="AC201" s="528"/>
      <c r="AD201" s="528"/>
      <c r="AE201" s="528"/>
      <c r="AF201" s="528"/>
      <c r="AG201" s="528"/>
    </row>
    <row r="202" spans="1:35" ht="15.75" hidden="1" outlineLevel="1" thickBot="1" x14ac:dyDescent="0.3">
      <c r="A202" s="395"/>
      <c r="B202" s="1087"/>
      <c r="C202" s="1455"/>
      <c r="D202" s="2408"/>
      <c r="E202" s="2408"/>
      <c r="F202" s="2192" t="str">
        <f>E181</f>
        <v>ECM Auto Fan Early Replacement ER2 (Remaining Life) - MFMR</v>
      </c>
      <c r="G202" s="2192"/>
      <c r="H202" s="2192"/>
      <c r="I202" s="1077">
        <v>12</v>
      </c>
      <c r="J202" s="569"/>
      <c r="K202" s="569" t="s">
        <v>31</v>
      </c>
      <c r="L202" s="252"/>
      <c r="M202" s="252"/>
      <c r="N202" s="587"/>
      <c r="O202" s="594" t="s">
        <v>917</v>
      </c>
      <c r="P202" s="595"/>
      <c r="Q202" s="590">
        <v>6</v>
      </c>
      <c r="R202" s="252"/>
      <c r="V202" s="2408"/>
      <c r="W202" s="528">
        <v>12</v>
      </c>
      <c r="X202" s="528">
        <v>12</v>
      </c>
      <c r="Y202" s="528"/>
      <c r="Z202" s="528"/>
      <c r="AA202" s="528"/>
      <c r="AB202" s="528"/>
      <c r="AC202" s="528"/>
      <c r="AD202" s="528"/>
      <c r="AE202" s="528"/>
      <c r="AF202" s="528"/>
      <c r="AG202" s="528"/>
    </row>
    <row r="203" spans="1:35" ht="18" hidden="1" customHeight="1" outlineLevel="1" x14ac:dyDescent="0.25">
      <c r="A203" s="395"/>
      <c r="B203" s="1087"/>
      <c r="C203" s="1447"/>
      <c r="D203" s="2404" t="str">
        <f>D26</f>
        <v>Inc. Cost</v>
      </c>
      <c r="E203" s="2404" t="str">
        <f>E26</f>
        <v>Incremental Cost ($)</v>
      </c>
      <c r="F203" s="2192" t="str">
        <f>E180</f>
        <v>ECM Auto Fan Early Replacement ER1 (Full Cost) - MFMR</v>
      </c>
      <c r="G203" s="2192"/>
      <c r="H203" s="2192"/>
      <c r="I203" s="1633">
        <f>R192</f>
        <v>96.828432298395683</v>
      </c>
      <c r="J203" s="569"/>
      <c r="K203" s="569" t="s">
        <v>31</v>
      </c>
      <c r="L203" s="252"/>
      <c r="M203" s="1925"/>
      <c r="N203" s="587"/>
      <c r="V203" s="2404" t="str">
        <f>D203</f>
        <v>Inc. Cost</v>
      </c>
      <c r="W203" s="585">
        <v>96.828432298395683</v>
      </c>
      <c r="X203" s="585">
        <v>96.828432298395683</v>
      </c>
      <c r="Y203" s="585"/>
      <c r="Z203" s="585"/>
      <c r="AA203" s="585"/>
      <c r="AB203" s="585"/>
      <c r="AC203" s="585"/>
      <c r="AD203" s="585"/>
      <c r="AE203" s="585"/>
      <c r="AF203" s="585"/>
      <c r="AG203" s="585"/>
    </row>
    <row r="204" spans="1:35" ht="15.75" hidden="1" outlineLevel="1" thickBot="1" x14ac:dyDescent="0.3">
      <c r="A204" s="395"/>
      <c r="B204" s="905"/>
      <c r="C204" s="1434"/>
      <c r="D204" s="2401"/>
      <c r="E204" s="2401"/>
      <c r="F204" s="2192" t="str">
        <f>E181</f>
        <v>ECM Auto Fan Early Replacement ER2 (Remaining Life) - MFMR</v>
      </c>
      <c r="G204" s="2192"/>
      <c r="H204" s="2192"/>
      <c r="I204" s="1633"/>
      <c r="J204" s="569"/>
      <c r="K204" s="569"/>
      <c r="L204" s="252"/>
      <c r="M204" s="252"/>
      <c r="N204" s="587"/>
      <c r="O204" s="904"/>
      <c r="P204" s="904"/>
      <c r="Q204" s="904"/>
      <c r="R204" s="904"/>
      <c r="V204" s="2401"/>
      <c r="W204" s="596"/>
      <c r="X204" s="596"/>
      <c r="Y204" s="596"/>
      <c r="Z204" s="596"/>
      <c r="AA204" s="596"/>
      <c r="AB204" s="596"/>
      <c r="AC204" s="596"/>
      <c r="AD204" s="596"/>
      <c r="AE204" s="596"/>
      <c r="AF204" s="596"/>
      <c r="AG204" s="596"/>
    </row>
    <row r="205" spans="1:35" collapsed="1" x14ac:dyDescent="0.25">
      <c r="D205" s="1651"/>
      <c r="E205" s="1651"/>
      <c r="F205" s="529"/>
      <c r="G205" s="529"/>
      <c r="H205" s="529"/>
      <c r="I205" s="529"/>
      <c r="J205" s="529"/>
      <c r="K205" s="529"/>
      <c r="L205" s="251"/>
      <c r="M205" s="251"/>
      <c r="N205" s="251"/>
      <c r="O205" s="529"/>
      <c r="P205" s="529"/>
    </row>
    <row r="206" spans="1:35" x14ac:dyDescent="0.25">
      <c r="L206" s="251"/>
      <c r="M206" s="251"/>
      <c r="N206" s="251"/>
    </row>
    <row r="207" spans="1:35" x14ac:dyDescent="0.25">
      <c r="B207" s="2022" t="s">
        <v>15</v>
      </c>
      <c r="C207" s="2023"/>
      <c r="D207" s="2023"/>
      <c r="E207" s="2023"/>
      <c r="F207" s="2023"/>
      <c r="G207" s="2023"/>
      <c r="H207" s="2023"/>
      <c r="I207" s="1992"/>
      <c r="J207" s="1992"/>
      <c r="K207" s="1992"/>
      <c r="L207" s="1992"/>
      <c r="M207" s="1992"/>
      <c r="N207" s="1992"/>
      <c r="O207" s="1992"/>
      <c r="P207" s="1992"/>
      <c r="Q207" s="1993"/>
      <c r="V207" s="2022" t="str">
        <f>B207</f>
        <v>Lighting</v>
      </c>
      <c r="W207" s="2023"/>
      <c r="X207" s="2023"/>
      <c r="Y207" s="2023"/>
      <c r="Z207" s="2023"/>
      <c r="AA207" s="2023"/>
      <c r="AB207" s="2023"/>
      <c r="AC207" s="2024"/>
      <c r="AD207" s="2024"/>
      <c r="AE207" s="2024"/>
      <c r="AF207" s="2024"/>
      <c r="AG207" s="2024"/>
      <c r="AH207" s="2024"/>
      <c r="AI207" s="2025"/>
    </row>
    <row r="209" spans="3:33" ht="45" x14ac:dyDescent="0.25">
      <c r="C209" s="184" t="s">
        <v>16</v>
      </c>
      <c r="D209" s="184" t="s">
        <v>509</v>
      </c>
      <c r="E209" s="184" t="s">
        <v>18</v>
      </c>
      <c r="F209" s="184" t="s">
        <v>19</v>
      </c>
      <c r="G209" s="184" t="s">
        <v>427</v>
      </c>
      <c r="H209" s="184" t="s">
        <v>428</v>
      </c>
      <c r="I209" s="184" t="s">
        <v>429</v>
      </c>
      <c r="J209" s="184" t="s">
        <v>430</v>
      </c>
      <c r="K209" s="184" t="s">
        <v>431</v>
      </c>
      <c r="L209" s="184" t="s">
        <v>432</v>
      </c>
      <c r="M209" s="184" t="s">
        <v>22</v>
      </c>
      <c r="N209" s="184" t="s">
        <v>435</v>
      </c>
      <c r="O209" s="184" t="s">
        <v>436</v>
      </c>
      <c r="P209" s="184" t="s">
        <v>437</v>
      </c>
      <c r="Q209" s="184" t="s">
        <v>25</v>
      </c>
      <c r="R209" s="529"/>
      <c r="S209" s="529"/>
      <c r="T209" s="529"/>
      <c r="U209" s="529"/>
      <c r="V209" s="490" t="s">
        <v>26</v>
      </c>
      <c r="W209" s="49">
        <f>W$6</f>
        <v>43252</v>
      </c>
      <c r="X209" s="49">
        <f t="shared" ref="X209:AG209" si="34">X$6</f>
        <v>43465</v>
      </c>
      <c r="Y209" s="49" t="str">
        <f t="shared" si="34"/>
        <v>-</v>
      </c>
      <c r="Z209" s="49" t="str">
        <f t="shared" si="34"/>
        <v>-</v>
      </c>
      <c r="AA209" s="49" t="str">
        <f t="shared" si="34"/>
        <v>-</v>
      </c>
      <c r="AB209" s="49" t="str">
        <f t="shared" si="34"/>
        <v>-</v>
      </c>
      <c r="AC209" s="49" t="str">
        <f t="shared" si="34"/>
        <v>-</v>
      </c>
      <c r="AD209" s="49" t="str">
        <f t="shared" si="34"/>
        <v>-</v>
      </c>
      <c r="AE209" s="49" t="str">
        <f t="shared" si="34"/>
        <v>-</v>
      </c>
      <c r="AF209" s="49" t="str">
        <f t="shared" si="34"/>
        <v>-</v>
      </c>
      <c r="AG209" s="49" t="str">
        <f t="shared" si="34"/>
        <v>-</v>
      </c>
    </row>
    <row r="210" spans="3:33" x14ac:dyDescent="0.25">
      <c r="C210" s="115"/>
      <c r="D210" s="1066" t="s">
        <v>1637</v>
      </c>
      <c r="E210" s="726" t="s">
        <v>442</v>
      </c>
      <c r="F210" s="82">
        <f>K210+L210</f>
        <v>4.1104694483127764</v>
      </c>
      <c r="G210" s="311" t="s">
        <v>439</v>
      </c>
      <c r="H210" s="170">
        <f>VLOOKUP(G210,'CP FACTORS'!$A$3:$B$38, 2, FALSE)</f>
        <v>1.4925290000000001E-4</v>
      </c>
      <c r="I210" s="311" t="s">
        <v>30</v>
      </c>
      <c r="J210" s="170">
        <f>VLOOKUP(I210,'CP FACTORS'!$A$3:$B$38, 2, FALSE)</f>
        <v>1.899635E-4</v>
      </c>
      <c r="K210" s="123">
        <f t="shared" ref="K210:K221" si="35">(((F235-F248)*$F$262*(1-$F$263)*$F$264*$F$265/1000)*$F$268)</f>
        <v>4.1104694483127764</v>
      </c>
      <c r="L210" s="1077">
        <f t="shared" ref="L210:L221" si="36">(((F235-F248)*$F$262*(1-$F$263)*$F$266*$F$267/1000)*(1-$F$268))</f>
        <v>0</v>
      </c>
      <c r="M210" s="1397">
        <f>((K210/F210)*H210+(L210/F210)*J210)*F210</f>
        <v>6.1349948552208205E-4</v>
      </c>
      <c r="N210" s="122">
        <v>19</v>
      </c>
      <c r="O210" s="123">
        <f t="shared" ref="O210:O222" si="37">20000/3351</f>
        <v>5.9683676514473287</v>
      </c>
      <c r="P210" s="1063">
        <v>2.0299999999999998</v>
      </c>
      <c r="Q210" s="1903" t="s">
        <v>31</v>
      </c>
      <c r="V210" s="621" t="str">
        <f>F209</f>
        <v>kWh Annual Savings</v>
      </c>
      <c r="W210" s="1966">
        <v>4.1104694483127764</v>
      </c>
      <c r="X210" s="1966">
        <v>4.1104694483127764</v>
      </c>
      <c r="Y210" s="1078"/>
      <c r="Z210" s="1078"/>
      <c r="AA210" s="1078"/>
      <c r="AB210" s="1078"/>
      <c r="AC210" s="1078"/>
      <c r="AD210" s="1078"/>
      <c r="AE210" s="1078"/>
      <c r="AF210" s="1078"/>
      <c r="AG210" s="1078"/>
    </row>
    <row r="211" spans="3:33" x14ac:dyDescent="0.25">
      <c r="C211" s="115"/>
      <c r="D211" s="1066" t="s">
        <v>1637</v>
      </c>
      <c r="E211" s="726" t="s">
        <v>443</v>
      </c>
      <c r="F211" s="82">
        <f>K211+L211</f>
        <v>22.042392416577254</v>
      </c>
      <c r="G211" s="311" t="s">
        <v>439</v>
      </c>
      <c r="H211" s="170">
        <f>VLOOKUP(G211,'CP FACTORS'!$A$3:$B$38, 2, FALSE)</f>
        <v>1.4925290000000001E-4</v>
      </c>
      <c r="I211" s="311" t="s">
        <v>30</v>
      </c>
      <c r="J211" s="170">
        <f>VLOOKUP(I211,'CP FACTORS'!$A$3:$B$38, 2, FALSE)</f>
        <v>1.899635E-4</v>
      </c>
      <c r="K211" s="123">
        <f t="shared" si="35"/>
        <v>22.042392416577254</v>
      </c>
      <c r="L211" s="1077">
        <f t="shared" si="36"/>
        <v>0</v>
      </c>
      <c r="M211" s="1397">
        <f>((K211/F211)*H211+(L211/F211)*J211)*F211</f>
        <v>3.2898909911121634E-3</v>
      </c>
      <c r="N211" s="122">
        <v>19</v>
      </c>
      <c r="O211" s="123">
        <f t="shared" si="37"/>
        <v>5.9683676514473287</v>
      </c>
      <c r="P211" s="1063">
        <v>2.0299999999999998</v>
      </c>
      <c r="Q211" s="1903" t="s">
        <v>31</v>
      </c>
      <c r="V211" s="621">
        <f t="shared" ref="V211:V222" si="38">F210</f>
        <v>4.1104694483127764</v>
      </c>
      <c r="W211" s="1966">
        <v>22.042392416577254</v>
      </c>
      <c r="X211" s="1966">
        <v>22.042392416577254</v>
      </c>
      <c r="Y211" s="1078"/>
      <c r="Z211" s="1078"/>
      <c r="AA211" s="1078"/>
      <c r="AB211" s="1078"/>
      <c r="AC211" s="1078"/>
      <c r="AD211" s="1078"/>
      <c r="AE211" s="1078"/>
      <c r="AF211" s="1078"/>
      <c r="AG211" s="1078"/>
    </row>
    <row r="212" spans="3:33" x14ac:dyDescent="0.25">
      <c r="C212" s="115"/>
      <c r="D212" s="1066" t="s">
        <v>1637</v>
      </c>
      <c r="E212" s="726" t="s">
        <v>444</v>
      </c>
      <c r="F212" s="82">
        <f>K212+L212</f>
        <v>5.4592172360404048</v>
      </c>
      <c r="G212" s="311" t="s">
        <v>439</v>
      </c>
      <c r="H212" s="170">
        <f>VLOOKUP(G212,'CP FACTORS'!$A$3:$B$38, 2, FALSE)</f>
        <v>1.4925290000000001E-4</v>
      </c>
      <c r="I212" s="311" t="s">
        <v>30</v>
      </c>
      <c r="J212" s="170">
        <f>VLOOKUP(I212,'CP FACTORS'!$A$3:$B$38, 2, FALSE)</f>
        <v>1.899635E-4</v>
      </c>
      <c r="K212" s="123">
        <f t="shared" si="35"/>
        <v>5.4592172360404048</v>
      </c>
      <c r="L212" s="1077">
        <f t="shared" si="36"/>
        <v>0</v>
      </c>
      <c r="M212" s="1397">
        <f>((K212/F212)*H212+(L212/F212)*J212)*F212</f>
        <v>8.14804004209015E-4</v>
      </c>
      <c r="N212" s="122">
        <v>19</v>
      </c>
      <c r="O212" s="123">
        <f t="shared" si="37"/>
        <v>5.9683676514473287</v>
      </c>
      <c r="P212" s="1063">
        <v>4.1399999999999997</v>
      </c>
      <c r="Q212" s="1903" t="s">
        <v>31</v>
      </c>
      <c r="V212" s="621">
        <f t="shared" si="38"/>
        <v>22.042392416577254</v>
      </c>
      <c r="W212" s="1966">
        <v>5.4592172360404048</v>
      </c>
      <c r="X212" s="1966">
        <v>5.4592172360404048</v>
      </c>
      <c r="Y212" s="1078"/>
      <c r="Z212" s="1078"/>
      <c r="AA212" s="1078"/>
      <c r="AB212" s="1078"/>
      <c r="AC212" s="1078"/>
      <c r="AD212" s="1078"/>
      <c r="AE212" s="1078"/>
      <c r="AF212" s="1078"/>
      <c r="AG212" s="1078"/>
    </row>
    <row r="213" spans="3:33" ht="30" x14ac:dyDescent="0.25">
      <c r="C213" s="115"/>
      <c r="D213" s="1066" t="s">
        <v>1637</v>
      </c>
      <c r="E213" s="726" t="s">
        <v>1676</v>
      </c>
      <c r="F213" s="82">
        <f>K213+L213</f>
        <v>42.870911824199645</v>
      </c>
      <c r="G213" s="311" t="s">
        <v>439</v>
      </c>
      <c r="H213" s="170">
        <f>VLOOKUP(G213,'CP FACTORS'!$A$3:$B$38, 2, FALSE)</f>
        <v>1.4925290000000001E-4</v>
      </c>
      <c r="I213" s="311" t="s">
        <v>30</v>
      </c>
      <c r="J213" s="170">
        <f>VLOOKUP(I213,'CP FACTORS'!$A$3:$B$38, 2, FALSE)</f>
        <v>1.899635E-4</v>
      </c>
      <c r="K213" s="123">
        <f t="shared" si="35"/>
        <v>42.870911824199645</v>
      </c>
      <c r="L213" s="1077">
        <f t="shared" si="36"/>
        <v>0</v>
      </c>
      <c r="M213" s="1397">
        <f>((K213/F213)*H213+(L213/F213)*J213)*F213</f>
        <v>6.3986079154060875E-3</v>
      </c>
      <c r="N213" s="122">
        <v>19</v>
      </c>
      <c r="O213" s="123">
        <f t="shared" si="37"/>
        <v>5.9683676514473287</v>
      </c>
      <c r="P213" s="1063">
        <v>4.1399999999999997</v>
      </c>
      <c r="Q213" s="1903" t="s">
        <v>31</v>
      </c>
      <c r="V213" s="621">
        <f t="shared" si="38"/>
        <v>5.4592172360404048</v>
      </c>
      <c r="W213" s="1966">
        <v>42.870911824199645</v>
      </c>
      <c r="X213" s="1966">
        <v>42.870911824199645</v>
      </c>
      <c r="Y213" s="1078"/>
      <c r="Z213" s="1078"/>
      <c r="AA213" s="1078"/>
      <c r="AB213" s="1078"/>
      <c r="AC213" s="1078"/>
      <c r="AD213" s="1078"/>
      <c r="AE213" s="1078"/>
      <c r="AF213" s="1078"/>
      <c r="AG213" s="1078"/>
    </row>
    <row r="214" spans="3:33" x14ac:dyDescent="0.25">
      <c r="C214" s="115"/>
      <c r="D214" s="1066" t="s">
        <v>1637</v>
      </c>
      <c r="E214" s="726" t="s">
        <v>1677</v>
      </c>
      <c r="F214" s="82">
        <f t="shared" ref="F214:F221" si="39">K214+L214</f>
        <v>22.491975012486467</v>
      </c>
      <c r="G214" s="311" t="s">
        <v>439</v>
      </c>
      <c r="H214" s="170">
        <f>VLOOKUP(G214,'CP FACTORS'!$A$3:$B$38, 2, FALSE)</f>
        <v>1.4925290000000001E-4</v>
      </c>
      <c r="I214" s="311" t="s">
        <v>30</v>
      </c>
      <c r="J214" s="170">
        <f>VLOOKUP(I214,'CP FACTORS'!$A$3:$B$38, 2, FALSE)</f>
        <v>1.899635E-4</v>
      </c>
      <c r="K214" s="123">
        <f t="shared" si="35"/>
        <v>22.491975012486467</v>
      </c>
      <c r="L214" s="1077">
        <f t="shared" si="36"/>
        <v>0</v>
      </c>
      <c r="M214" s="1397">
        <f t="shared" ref="M214:M221" si="40">((K214/F214)*H214+(L214/F214)*J214)*F214</f>
        <v>3.3569924973411414E-3</v>
      </c>
      <c r="N214" s="122">
        <v>19</v>
      </c>
      <c r="O214" s="123">
        <f t="shared" si="37"/>
        <v>5.9683676514473287</v>
      </c>
      <c r="P214" s="1063">
        <f>'Income Eligble Deemed Table'!$Q$971</f>
        <v>4.72</v>
      </c>
      <c r="Q214" s="1903" t="s">
        <v>31</v>
      </c>
      <c r="V214" s="621">
        <f t="shared" si="38"/>
        <v>42.870911824199645</v>
      </c>
      <c r="W214" s="1966">
        <v>27.938347031500896</v>
      </c>
      <c r="X214" s="1966">
        <v>22.491975012486467</v>
      </c>
      <c r="Y214" s="1078"/>
      <c r="Z214" s="1078"/>
      <c r="AA214" s="1078"/>
      <c r="AB214" s="1078"/>
      <c r="AC214" s="1078"/>
      <c r="AD214" s="1078"/>
      <c r="AE214" s="1078"/>
      <c r="AF214" s="1078"/>
      <c r="AG214" s="1078"/>
    </row>
    <row r="215" spans="3:33" x14ac:dyDescent="0.25">
      <c r="C215" s="115"/>
      <c r="D215" s="1066" t="s">
        <v>1637</v>
      </c>
      <c r="E215" s="726" t="s">
        <v>1678</v>
      </c>
      <c r="F215" s="82">
        <f t="shared" si="39"/>
        <v>5.4592172360404048</v>
      </c>
      <c r="G215" s="311" t="s">
        <v>439</v>
      </c>
      <c r="H215" s="170">
        <f>VLOOKUP(G215,'CP FACTORS'!$A$3:$B$38, 2, FALSE)</f>
        <v>1.4925290000000001E-4</v>
      </c>
      <c r="I215" s="311" t="s">
        <v>30</v>
      </c>
      <c r="J215" s="170">
        <f>VLOOKUP(I215,'CP FACTORS'!$A$3:$B$38, 2, FALSE)</f>
        <v>1.899635E-4</v>
      </c>
      <c r="K215" s="123">
        <f t="shared" si="35"/>
        <v>5.4592172360404048</v>
      </c>
      <c r="L215" s="1077">
        <f t="shared" si="36"/>
        <v>0</v>
      </c>
      <c r="M215" s="1397">
        <f t="shared" si="40"/>
        <v>8.14804004209015E-4</v>
      </c>
      <c r="N215" s="122">
        <v>19</v>
      </c>
      <c r="O215" s="123">
        <f t="shared" si="37"/>
        <v>5.9683676514473287</v>
      </c>
      <c r="P215" s="1063">
        <f>$P$214</f>
        <v>4.72</v>
      </c>
      <c r="Q215" s="1903" t="s">
        <v>31</v>
      </c>
      <c r="V215" s="621">
        <f t="shared" si="38"/>
        <v>22.491975012486467</v>
      </c>
      <c r="W215" s="1966">
        <v>5.4592172360404048</v>
      </c>
      <c r="X215" s="1966">
        <v>5.4592172360404048</v>
      </c>
      <c r="Y215" s="1078"/>
      <c r="Z215" s="1078"/>
      <c r="AA215" s="1078"/>
      <c r="AB215" s="1078"/>
      <c r="AC215" s="1078"/>
      <c r="AD215" s="1078"/>
      <c r="AE215" s="1078"/>
      <c r="AF215" s="1078"/>
      <c r="AG215" s="1078"/>
    </row>
    <row r="216" spans="3:33" x14ac:dyDescent="0.25">
      <c r="C216" s="115"/>
      <c r="D216" s="1066" t="s">
        <v>1637</v>
      </c>
      <c r="E216" s="726" t="s">
        <v>446</v>
      </c>
      <c r="F216" s="82">
        <f t="shared" si="39"/>
        <v>27.231860095072133</v>
      </c>
      <c r="G216" s="311" t="s">
        <v>439</v>
      </c>
      <c r="H216" s="170">
        <f>VLOOKUP(G216,'CP FACTORS'!$A$3:$B$38, 2, FALSE)</f>
        <v>1.4925290000000001E-4</v>
      </c>
      <c r="I216" s="311" t="s">
        <v>30</v>
      </c>
      <c r="J216" s="170">
        <f>VLOOKUP(I216,'CP FACTORS'!$A$3:$B$38, 2, FALSE)</f>
        <v>1.899635E-4</v>
      </c>
      <c r="K216" s="123">
        <f t="shared" si="35"/>
        <v>27.231860095072133</v>
      </c>
      <c r="L216" s="1077">
        <f t="shared" si="36"/>
        <v>0</v>
      </c>
      <c r="M216" s="1397">
        <f t="shared" si="40"/>
        <v>4.0644340915837913E-3</v>
      </c>
      <c r="N216" s="122">
        <v>19</v>
      </c>
      <c r="O216" s="123">
        <f t="shared" si="37"/>
        <v>5.9683676514473287</v>
      </c>
      <c r="P216" s="1063">
        <f>'Income Eligble Deemed Table'!$Q$973</f>
        <v>6.27</v>
      </c>
      <c r="Q216" s="1903" t="s">
        <v>31</v>
      </c>
      <c r="V216" s="621">
        <f t="shared" si="38"/>
        <v>5.4592172360404048</v>
      </c>
      <c r="W216" s="1966">
        <v>27.231860095072133</v>
      </c>
      <c r="X216" s="1966">
        <v>27.231860095072133</v>
      </c>
      <c r="Y216" s="1078"/>
      <c r="Z216" s="1078"/>
      <c r="AA216" s="1078"/>
      <c r="AB216" s="1078"/>
      <c r="AC216" s="1078"/>
      <c r="AD216" s="1078"/>
      <c r="AE216" s="1078"/>
      <c r="AF216" s="1078"/>
      <c r="AG216" s="1078"/>
    </row>
    <row r="217" spans="3:33" x14ac:dyDescent="0.25">
      <c r="C217" s="115"/>
      <c r="D217" s="1066" t="s">
        <v>1637</v>
      </c>
      <c r="E217" s="726" t="s">
        <v>447</v>
      </c>
      <c r="F217" s="82">
        <f t="shared" si="39"/>
        <v>5.3307650657806303</v>
      </c>
      <c r="G217" s="311" t="s">
        <v>439</v>
      </c>
      <c r="H217" s="170">
        <f>VLOOKUP(G217,'CP FACTORS'!$A$3:$B$38, 2, FALSE)</f>
        <v>1.4925290000000001E-4</v>
      </c>
      <c r="I217" s="311" t="s">
        <v>30</v>
      </c>
      <c r="J217" s="170">
        <f>VLOOKUP(I217,'CP FACTORS'!$A$3:$B$38, 2, FALSE)</f>
        <v>1.899635E-4</v>
      </c>
      <c r="K217" s="123">
        <f t="shared" si="35"/>
        <v>5.3307650657806303</v>
      </c>
      <c r="L217" s="1077">
        <f t="shared" si="36"/>
        <v>0</v>
      </c>
      <c r="M217" s="1397">
        <f t="shared" si="40"/>
        <v>7.9563214528644986E-4</v>
      </c>
      <c r="N217" s="122">
        <v>19</v>
      </c>
      <c r="O217" s="123">
        <f t="shared" si="37"/>
        <v>5.9683676514473287</v>
      </c>
      <c r="P217" s="1063">
        <f>$P$216</f>
        <v>6.27</v>
      </c>
      <c r="Q217" s="1903" t="s">
        <v>31</v>
      </c>
      <c r="V217" s="621">
        <f t="shared" si="38"/>
        <v>27.231860095072133</v>
      </c>
      <c r="W217" s="1966">
        <v>5.3307650657806303</v>
      </c>
      <c r="X217" s="1966">
        <v>5.3307650657806303</v>
      </c>
      <c r="Y217" s="1078"/>
      <c r="Z217" s="1078"/>
      <c r="AA217" s="1078"/>
      <c r="AB217" s="1078"/>
      <c r="AC217" s="1078"/>
      <c r="AD217" s="1078"/>
      <c r="AE217" s="1078"/>
      <c r="AF217" s="1078"/>
      <c r="AG217" s="1078"/>
    </row>
    <row r="218" spans="3:33" x14ac:dyDescent="0.25">
      <c r="C218" s="115"/>
      <c r="D218" s="1066" t="s">
        <v>1637</v>
      </c>
      <c r="E218" s="726" t="s">
        <v>453</v>
      </c>
      <c r="F218" s="82">
        <f t="shared" si="39"/>
        <v>36.60886852403565</v>
      </c>
      <c r="G218" s="311" t="s">
        <v>439</v>
      </c>
      <c r="H218" s="170">
        <f>VLOOKUP(G218,'CP FACTORS'!$A$3:$B$38, 2, FALSE)</f>
        <v>1.4925290000000001E-4</v>
      </c>
      <c r="I218" s="311" t="s">
        <v>30</v>
      </c>
      <c r="J218" s="170">
        <f>VLOOKUP(I218,'CP FACTORS'!$A$3:$B$38, 2, FALSE)</f>
        <v>1.899635E-4</v>
      </c>
      <c r="K218" s="123">
        <f t="shared" si="35"/>
        <v>36.60886852403565</v>
      </c>
      <c r="L218" s="1077">
        <f t="shared" si="36"/>
        <v>0</v>
      </c>
      <c r="M218" s="1397">
        <f t="shared" si="40"/>
        <v>5.463979792931041E-3</v>
      </c>
      <c r="N218" s="122">
        <v>19</v>
      </c>
      <c r="O218" s="123">
        <f t="shared" si="37"/>
        <v>5.9683676514473287</v>
      </c>
      <c r="P218" s="1063">
        <f>'Income Eligble Deemed Table'!$Q$976</f>
        <v>7.83</v>
      </c>
      <c r="Q218" s="1903" t="s">
        <v>31</v>
      </c>
      <c r="V218" s="621">
        <f t="shared" si="38"/>
        <v>5.3307650657806303</v>
      </c>
      <c r="W218" s="1966">
        <v>36.60886852403565</v>
      </c>
      <c r="X218" s="1966">
        <v>36.60886852403565</v>
      </c>
      <c r="Y218" s="1078"/>
      <c r="Z218" s="1078"/>
      <c r="AA218" s="1078"/>
      <c r="AB218" s="1078"/>
      <c r="AC218" s="1078"/>
      <c r="AD218" s="1078"/>
      <c r="AE218" s="1078"/>
      <c r="AF218" s="1078"/>
      <c r="AG218" s="1078"/>
    </row>
    <row r="219" spans="3:33" x14ac:dyDescent="0.25">
      <c r="C219" s="115"/>
      <c r="D219" s="1066" t="s">
        <v>1637</v>
      </c>
      <c r="E219" s="726" t="s">
        <v>452</v>
      </c>
      <c r="F219" s="82">
        <f t="shared" si="39"/>
        <v>6.2941563427289378</v>
      </c>
      <c r="G219" s="311" t="s">
        <v>439</v>
      </c>
      <c r="H219" s="170">
        <f>VLOOKUP(G219,'CP FACTORS'!$A$3:$B$38, 2, FALSE)</f>
        <v>1.4925290000000001E-4</v>
      </c>
      <c r="I219" s="311" t="s">
        <v>30</v>
      </c>
      <c r="J219" s="170">
        <f>VLOOKUP(I219,'CP FACTORS'!$A$3:$B$38, 2, FALSE)</f>
        <v>1.899635E-4</v>
      </c>
      <c r="K219" s="123">
        <f t="shared" si="35"/>
        <v>6.2941563427289378</v>
      </c>
      <c r="L219" s="1077">
        <f t="shared" si="36"/>
        <v>0</v>
      </c>
      <c r="M219" s="1397">
        <f t="shared" si="40"/>
        <v>9.3942108720568795E-4</v>
      </c>
      <c r="N219" s="122">
        <v>19</v>
      </c>
      <c r="O219" s="123">
        <f t="shared" si="37"/>
        <v>5.9683676514473287</v>
      </c>
      <c r="P219" s="1063">
        <f>$P$218</f>
        <v>7.83</v>
      </c>
      <c r="Q219" s="1903" t="s">
        <v>31</v>
      </c>
      <c r="V219" s="621">
        <f t="shared" si="38"/>
        <v>36.60886852403565</v>
      </c>
      <c r="W219" s="1966">
        <v>6.2941563427289378</v>
      </c>
      <c r="X219" s="1966">
        <v>6.2941563427289378</v>
      </c>
      <c r="Y219" s="1078"/>
      <c r="Z219" s="1078"/>
      <c r="AA219" s="1078"/>
      <c r="AB219" s="1078"/>
      <c r="AC219" s="1078"/>
      <c r="AD219" s="1078"/>
      <c r="AE219" s="1078"/>
      <c r="AF219" s="1078"/>
      <c r="AG219" s="1078"/>
    </row>
    <row r="220" spans="3:33" x14ac:dyDescent="0.25">
      <c r="C220" s="115"/>
      <c r="D220" s="1066" t="s">
        <v>1637</v>
      </c>
      <c r="E220" s="726" t="s">
        <v>449</v>
      </c>
      <c r="F220" s="82">
        <f>K220+L220</f>
        <v>32.305720820333214</v>
      </c>
      <c r="G220" s="311" t="s">
        <v>439</v>
      </c>
      <c r="H220" s="170">
        <f>VLOOKUP(G220,'CP FACTORS'!$A$3:$B$38, 2, FALSE)</f>
        <v>1.4925290000000001E-4</v>
      </c>
      <c r="I220" s="311" t="s">
        <v>30</v>
      </c>
      <c r="J220" s="170">
        <f>VLOOKUP(I220,'CP FACTORS'!$A$3:$B$38, 2, FALSE)</f>
        <v>1.899635E-4</v>
      </c>
      <c r="K220" s="123">
        <f t="shared" si="35"/>
        <v>32.305720820333214</v>
      </c>
      <c r="L220" s="1077">
        <f t="shared" si="36"/>
        <v>0</v>
      </c>
      <c r="M220" s="1397">
        <f>((K220/F220)*H220+(L220/F220)*J220)*F220</f>
        <v>4.8217225190251116E-3</v>
      </c>
      <c r="N220" s="122">
        <v>19</v>
      </c>
      <c r="O220" s="123">
        <f t="shared" si="37"/>
        <v>5.9683676514473287</v>
      </c>
      <c r="P220" s="1063">
        <f>$P$221</f>
        <v>3.05</v>
      </c>
      <c r="Q220" s="1903" t="s">
        <v>31</v>
      </c>
      <c r="V220" s="621">
        <f t="shared" si="38"/>
        <v>6.2941563427289378</v>
      </c>
      <c r="W220" s="1966">
        <v>32.691077331112538</v>
      </c>
      <c r="X220" s="1966">
        <v>32.305720820333214</v>
      </c>
      <c r="Y220" s="1078"/>
      <c r="Z220" s="1078"/>
      <c r="AA220" s="1078"/>
      <c r="AB220" s="1078"/>
      <c r="AC220" s="1078"/>
      <c r="AD220" s="1078"/>
      <c r="AE220" s="1078"/>
      <c r="AF220" s="1078"/>
      <c r="AG220" s="1078"/>
    </row>
    <row r="221" spans="3:33" x14ac:dyDescent="0.25">
      <c r="C221" s="115"/>
      <c r="D221" s="1066" t="s">
        <v>1637</v>
      </c>
      <c r="E221" s="726" t="s">
        <v>448</v>
      </c>
      <c r="F221" s="82">
        <f t="shared" si="39"/>
        <v>3.0828520862345816</v>
      </c>
      <c r="G221" s="311" t="s">
        <v>439</v>
      </c>
      <c r="H221" s="170">
        <f>VLOOKUP(G221,'CP FACTORS'!$A$3:$B$38, 2, FALSE)</f>
        <v>1.4925290000000001E-4</v>
      </c>
      <c r="I221" s="311" t="s">
        <v>30</v>
      </c>
      <c r="J221" s="170">
        <f>VLOOKUP(I221,'CP FACTORS'!$A$3:$B$38, 2, FALSE)</f>
        <v>1.899635E-4</v>
      </c>
      <c r="K221" s="123">
        <f t="shared" si="35"/>
        <v>3.0828520862345816</v>
      </c>
      <c r="L221" s="1077">
        <f t="shared" si="36"/>
        <v>0</v>
      </c>
      <c r="M221" s="1397">
        <f t="shared" si="40"/>
        <v>4.6012461414156141E-4</v>
      </c>
      <c r="N221" s="122">
        <v>19</v>
      </c>
      <c r="O221" s="123">
        <f t="shared" si="37"/>
        <v>5.9683676514473287</v>
      </c>
      <c r="P221" s="1063">
        <v>3.05</v>
      </c>
      <c r="Q221" s="1903" t="s">
        <v>31</v>
      </c>
      <c r="V221" s="621">
        <f t="shared" si="38"/>
        <v>32.305720820333214</v>
      </c>
      <c r="W221" s="1966">
        <v>3.0828520862345816</v>
      </c>
      <c r="X221" s="1966">
        <v>3.0828520862345816</v>
      </c>
      <c r="Y221" s="1078"/>
      <c r="Z221" s="1078"/>
      <c r="AA221" s="1078"/>
      <c r="AB221" s="1078"/>
      <c r="AC221" s="1078"/>
      <c r="AD221" s="1078"/>
      <c r="AE221" s="1078"/>
      <c r="AF221" s="1078"/>
      <c r="AG221" s="1078"/>
    </row>
    <row r="222" spans="3:33" x14ac:dyDescent="0.25">
      <c r="C222" s="115"/>
      <c r="D222" s="1066" t="s">
        <v>1637</v>
      </c>
      <c r="E222" s="1709" t="s">
        <v>1679</v>
      </c>
      <c r="F222" s="82">
        <f>K222+L222</f>
        <v>22</v>
      </c>
      <c r="G222" s="311" t="s">
        <v>439</v>
      </c>
      <c r="H222" s="170">
        <f>VLOOKUP(G222,'CP FACTORS'!$A$3:$B$38, 2, FALSE)</f>
        <v>1.4925290000000001E-4</v>
      </c>
      <c r="I222" s="311" t="s">
        <v>30</v>
      </c>
      <c r="J222" s="170">
        <f>VLOOKUP(I222,'CP FACTORS'!$A$3:$B$38, 2, FALSE)</f>
        <v>1.899635E-4</v>
      </c>
      <c r="K222" s="123">
        <f>22*F268</f>
        <v>22</v>
      </c>
      <c r="L222" s="1077">
        <f>22*(1-F268)</f>
        <v>0</v>
      </c>
      <c r="M222" s="1397">
        <f>((K222/F222)*H222+(L222/F222)*J222)*F222</f>
        <v>3.2835638E-3</v>
      </c>
      <c r="N222" s="122">
        <v>19</v>
      </c>
      <c r="O222" s="123">
        <f t="shared" si="37"/>
        <v>5.9683676514473287</v>
      </c>
      <c r="P222" s="1063">
        <v>0.35</v>
      </c>
      <c r="Q222" s="1903" t="s">
        <v>31</v>
      </c>
      <c r="V222" s="621">
        <f t="shared" si="38"/>
        <v>3.0828520862345816</v>
      </c>
      <c r="W222" s="1966">
        <v>22</v>
      </c>
      <c r="X222" s="1966">
        <v>22</v>
      </c>
      <c r="Y222" s="1078"/>
      <c r="Z222" s="1078"/>
      <c r="AA222" s="1078"/>
      <c r="AB222" s="1078"/>
      <c r="AC222" s="1078"/>
      <c r="AD222" s="1078"/>
      <c r="AE222" s="1078"/>
      <c r="AF222" s="1078"/>
      <c r="AG222" s="1078"/>
    </row>
    <row r="223" spans="3:33" hidden="1" outlineLevel="1" x14ac:dyDescent="0.25">
      <c r="D223" s="1584"/>
      <c r="E223" s="986"/>
      <c r="F223" s="1594"/>
      <c r="G223" s="1868"/>
      <c r="H223" s="1079"/>
      <c r="I223" s="1926"/>
      <c r="J223" s="130" t="s">
        <v>462</v>
      </c>
      <c r="L223" s="1874"/>
      <c r="M223" s="1594"/>
    </row>
    <row r="224" spans="3:33" hidden="1" outlineLevel="1" x14ac:dyDescent="0.25">
      <c r="D224" s="1584"/>
      <c r="E224" s="1080" t="s">
        <v>1680</v>
      </c>
      <c r="L224" s="1874"/>
      <c r="M224" s="1594"/>
    </row>
    <row r="225" spans="4:33" hidden="1" outlineLevel="1" x14ac:dyDescent="0.25">
      <c r="D225" s="1584"/>
      <c r="L225" s="1874"/>
      <c r="M225" s="1594"/>
    </row>
    <row r="226" spans="4:33" hidden="1" outlineLevel="1" x14ac:dyDescent="0.25">
      <c r="D226" s="1584"/>
      <c r="L226" s="1874"/>
      <c r="M226" s="1594"/>
    </row>
    <row r="227" spans="4:33" hidden="1" outlineLevel="1" x14ac:dyDescent="0.25">
      <c r="D227" s="1584"/>
      <c r="L227" s="1874"/>
      <c r="M227" s="1594"/>
    </row>
    <row r="228" spans="4:33" hidden="1" outlineLevel="1" x14ac:dyDescent="0.25">
      <c r="D228" s="1584"/>
      <c r="L228" s="1874"/>
      <c r="M228" s="1594"/>
    </row>
    <row r="229" spans="4:33" hidden="1" outlineLevel="1" x14ac:dyDescent="0.25">
      <c r="D229" s="1584"/>
      <c r="L229" s="1874"/>
      <c r="M229" s="1594"/>
    </row>
    <row r="230" spans="4:33" hidden="1" outlineLevel="1" x14ac:dyDescent="0.25">
      <c r="D230" s="1584"/>
      <c r="L230" s="1874"/>
      <c r="M230" s="1594"/>
    </row>
    <row r="231" spans="4:33" hidden="1" outlineLevel="1" x14ac:dyDescent="0.25"/>
    <row r="232" spans="4:33" hidden="1" outlineLevel="1" x14ac:dyDescent="0.25"/>
    <row r="233" spans="4:33" hidden="1" outlineLevel="1" x14ac:dyDescent="0.25"/>
    <row r="234" spans="4:33" hidden="1" outlineLevel="1" x14ac:dyDescent="0.25">
      <c r="D234" s="991" t="s">
        <v>466</v>
      </c>
      <c r="E234" s="991" t="s">
        <v>53</v>
      </c>
      <c r="F234" s="131" t="s">
        <v>467</v>
      </c>
      <c r="G234" s="2026" t="s">
        <v>468</v>
      </c>
      <c r="H234" s="2026"/>
      <c r="V234" s="490" t="s">
        <v>26</v>
      </c>
      <c r="W234" s="49">
        <f>W$6</f>
        <v>43252</v>
      </c>
      <c r="X234" s="49">
        <f t="shared" ref="X234:AG234" si="41">X$6</f>
        <v>43465</v>
      </c>
      <c r="Y234" s="49" t="str">
        <f t="shared" si="41"/>
        <v>-</v>
      </c>
      <c r="Z234" s="49" t="str">
        <f t="shared" si="41"/>
        <v>-</v>
      </c>
      <c r="AA234" s="49" t="str">
        <f t="shared" si="41"/>
        <v>-</v>
      </c>
      <c r="AB234" s="49" t="str">
        <f t="shared" si="41"/>
        <v>-</v>
      </c>
      <c r="AC234" s="49" t="str">
        <f t="shared" si="41"/>
        <v>-</v>
      </c>
      <c r="AD234" s="49" t="str">
        <f t="shared" si="41"/>
        <v>-</v>
      </c>
      <c r="AE234" s="49" t="str">
        <f t="shared" si="41"/>
        <v>-</v>
      </c>
      <c r="AF234" s="49" t="str">
        <f t="shared" si="41"/>
        <v>-</v>
      </c>
      <c r="AG234" s="49" t="str">
        <f t="shared" si="41"/>
        <v>-</v>
      </c>
    </row>
    <row r="235" spans="4:33" ht="15" hidden="1" customHeight="1" outlineLevel="1" x14ac:dyDescent="0.25">
      <c r="D235" s="1878" t="s">
        <v>1681</v>
      </c>
      <c r="E235" s="1709" t="str">
        <f t="shared" ref="E235:E247" si="42">E210</f>
        <v>LED - 10W (CFL baseline)</v>
      </c>
      <c r="F235" s="81">
        <v>13.4</v>
      </c>
      <c r="G235" s="2402"/>
      <c r="H235" s="2403"/>
      <c r="V235" s="807" t="str">
        <f>D235</f>
        <v xml:space="preserve"> Watts Base CFL</v>
      </c>
      <c r="W235" s="66">
        <v>13.4</v>
      </c>
      <c r="X235" s="66">
        <v>13.4</v>
      </c>
      <c r="Y235" s="66"/>
      <c r="Z235" s="66"/>
      <c r="AA235" s="66"/>
      <c r="AB235" s="66"/>
      <c r="AC235" s="66"/>
      <c r="AD235" s="66"/>
      <c r="AE235" s="66"/>
      <c r="AF235" s="66"/>
      <c r="AG235" s="66"/>
    </row>
    <row r="236" spans="4:33" ht="15" hidden="1" customHeight="1" outlineLevel="1" x14ac:dyDescent="0.25">
      <c r="D236" s="1878" t="s">
        <v>1556</v>
      </c>
      <c r="E236" s="1709" t="str">
        <f t="shared" si="42"/>
        <v>LED - 10W (Halogen baseline)</v>
      </c>
      <c r="F236" s="81">
        <v>41.32</v>
      </c>
      <c r="G236" s="2402" t="s">
        <v>471</v>
      </c>
      <c r="H236" s="2403"/>
      <c r="V236" s="807" t="str">
        <f t="shared" ref="V236:V268" si="43">D236</f>
        <v>Watts Base EISA</v>
      </c>
      <c r="W236" s="66">
        <v>41.32</v>
      </c>
      <c r="X236" s="66">
        <v>41.32</v>
      </c>
      <c r="Y236" s="66"/>
      <c r="Z236" s="66"/>
      <c r="AA236" s="66"/>
      <c r="AB236" s="66"/>
      <c r="AC236" s="66"/>
      <c r="AD236" s="66"/>
      <c r="AE236" s="66"/>
      <c r="AF236" s="66"/>
      <c r="AG236" s="66"/>
    </row>
    <row r="237" spans="4:33" ht="15" hidden="1" customHeight="1" outlineLevel="1" x14ac:dyDescent="0.25">
      <c r="D237" s="1878" t="s">
        <v>1681</v>
      </c>
      <c r="E237" s="1709" t="str">
        <f t="shared" si="42"/>
        <v>LED - 12W Dimmable Light Bulb (Replacing CFL)</v>
      </c>
      <c r="F237" s="76">
        <v>18</v>
      </c>
      <c r="G237" s="2402"/>
      <c r="H237" s="2403"/>
      <c r="V237" s="807" t="str">
        <f t="shared" si="43"/>
        <v xml:space="preserve"> Watts Base CFL</v>
      </c>
      <c r="W237" s="600">
        <f>'Lighting Deemed Table'!W43</f>
        <v>18</v>
      </c>
      <c r="X237" s="600">
        <f>'Lighting Deemed Table'!X43</f>
        <v>18</v>
      </c>
      <c r="Y237" s="600"/>
      <c r="Z237" s="600"/>
      <c r="AA237" s="600"/>
      <c r="AB237" s="600"/>
      <c r="AC237" s="600"/>
      <c r="AD237" s="600"/>
      <c r="AE237" s="600"/>
      <c r="AF237" s="600"/>
      <c r="AG237" s="600"/>
    </row>
    <row r="238" spans="4:33" ht="15" hidden="1" customHeight="1" outlineLevel="1" x14ac:dyDescent="0.25">
      <c r="D238" s="998" t="s">
        <v>1556</v>
      </c>
      <c r="E238" s="1709" t="str">
        <f t="shared" si="42"/>
        <v>LED - 12W Dimmable Light Bulb (Replacing Specialty Incandescent)</v>
      </c>
      <c r="F238" s="76">
        <v>76.25</v>
      </c>
      <c r="G238" s="2402" t="s">
        <v>471</v>
      </c>
      <c r="H238" s="2403"/>
      <c r="V238" s="807" t="str">
        <f t="shared" si="43"/>
        <v>Watts Base EISA</v>
      </c>
      <c r="W238" s="600">
        <v>76.25</v>
      </c>
      <c r="X238" s="600">
        <v>76.25</v>
      </c>
      <c r="Y238" s="600"/>
      <c r="Z238" s="600"/>
      <c r="AA238" s="600"/>
      <c r="AB238" s="600"/>
      <c r="AC238" s="600"/>
      <c r="AD238" s="600"/>
      <c r="AE238" s="600"/>
      <c r="AF238" s="600"/>
      <c r="AG238" s="600"/>
    </row>
    <row r="239" spans="4:33" ht="15" hidden="1" customHeight="1" outlineLevel="1" x14ac:dyDescent="0.25">
      <c r="D239" s="998" t="s">
        <v>1681</v>
      </c>
      <c r="E239" s="1709" t="str">
        <f t="shared" si="42"/>
        <v>LED - 12W (Halogen baseline)</v>
      </c>
      <c r="F239" s="76">
        <v>44.25</v>
      </c>
      <c r="G239" s="2402" t="s">
        <v>1825</v>
      </c>
      <c r="H239" s="2403"/>
      <c r="V239" s="807" t="str">
        <f t="shared" si="43"/>
        <v xml:space="preserve"> Watts Base CFL</v>
      </c>
      <c r="W239" s="600">
        <f>'Income Eligble Deemed Table'!W1003</f>
        <v>53</v>
      </c>
      <c r="X239" s="1081">
        <f>'Income Eligble Deemed Table'!X1003</f>
        <v>44.25</v>
      </c>
      <c r="Y239" s="600"/>
      <c r="Z239" s="600"/>
      <c r="AA239" s="600"/>
      <c r="AB239" s="600"/>
      <c r="AC239" s="600"/>
      <c r="AD239" s="600"/>
      <c r="AE239" s="600"/>
      <c r="AF239" s="600"/>
      <c r="AG239" s="600"/>
    </row>
    <row r="240" spans="4:33" ht="15" hidden="1" customHeight="1" outlineLevel="1" x14ac:dyDescent="0.25">
      <c r="D240" s="998" t="s">
        <v>1681</v>
      </c>
      <c r="E240" s="1709" t="str">
        <f t="shared" si="42"/>
        <v>LED - 12W (Replacing CFL)</v>
      </c>
      <c r="F240" s="76">
        <v>18</v>
      </c>
      <c r="G240" s="2402"/>
      <c r="H240" s="2403"/>
      <c r="V240" s="807" t="str">
        <f t="shared" si="43"/>
        <v xml:space="preserve"> Watts Base CFL</v>
      </c>
      <c r="W240" s="600">
        <f>'Income Eligble Deemed Table'!W1016</f>
        <v>18</v>
      </c>
      <c r="X240" s="600">
        <f>'Income Eligble Deemed Table'!X1016</f>
        <v>18</v>
      </c>
      <c r="Y240" s="600"/>
      <c r="Z240" s="600"/>
      <c r="AA240" s="600"/>
      <c r="AB240" s="600"/>
      <c r="AC240" s="600"/>
      <c r="AD240" s="600"/>
      <c r="AE240" s="600"/>
      <c r="AF240" s="600"/>
      <c r="AG240" s="600"/>
    </row>
    <row r="241" spans="4:33" ht="15" hidden="1" customHeight="1" outlineLevel="1" x14ac:dyDescent="0.25">
      <c r="D241" s="998" t="s">
        <v>1681</v>
      </c>
      <c r="E241" s="1709" t="str">
        <f t="shared" si="42"/>
        <v>LED - 15W (Halogen baseline)</v>
      </c>
      <c r="F241" s="76">
        <v>53</v>
      </c>
      <c r="G241" s="2402" t="str">
        <f>'Income Eligble Deemed Table'!H1005</f>
        <v>Average lumen-equivalent halogen wattage for program bulbs</v>
      </c>
      <c r="H241" s="2403"/>
      <c r="V241" s="807" t="str">
        <f t="shared" si="43"/>
        <v xml:space="preserve"> Watts Base CFL</v>
      </c>
      <c r="W241" s="600">
        <f>'Income Eligble Deemed Table'!W1005</f>
        <v>53</v>
      </c>
      <c r="X241" s="600">
        <f>'Income Eligble Deemed Table'!X1005</f>
        <v>53</v>
      </c>
      <c r="Y241" s="600"/>
      <c r="Z241" s="600"/>
      <c r="AA241" s="600"/>
      <c r="AB241" s="600"/>
      <c r="AC241" s="600"/>
      <c r="AD241" s="600"/>
      <c r="AE241" s="600"/>
      <c r="AF241" s="600"/>
      <c r="AG241" s="600"/>
    </row>
    <row r="242" spans="4:33" ht="15" hidden="1" customHeight="1" outlineLevel="1" x14ac:dyDescent="0.25">
      <c r="D242" s="998" t="s">
        <v>1681</v>
      </c>
      <c r="E242" s="1709" t="str">
        <f t="shared" si="42"/>
        <v>LED - 15W (CFL baseline)</v>
      </c>
      <c r="F242" s="76">
        <v>18.899999999999999</v>
      </c>
      <c r="G242" s="2402"/>
      <c r="H242" s="2403"/>
      <c r="V242" s="807" t="str">
        <f t="shared" si="43"/>
        <v xml:space="preserve"> Watts Base CFL</v>
      </c>
      <c r="W242" s="600">
        <f>'Income Eligble Deemed Table'!W1017</f>
        <v>18.899999999999999</v>
      </c>
      <c r="X242" s="600">
        <f>'Income Eligble Deemed Table'!X1017</f>
        <v>18.899999999999999</v>
      </c>
      <c r="Y242" s="600"/>
      <c r="Z242" s="600"/>
      <c r="AA242" s="600"/>
      <c r="AB242" s="600"/>
      <c r="AC242" s="600"/>
      <c r="AD242" s="600"/>
      <c r="AE242" s="600"/>
      <c r="AF242" s="600"/>
      <c r="AG242" s="600"/>
    </row>
    <row r="243" spans="4:33" ht="15" hidden="1" customHeight="1" outlineLevel="1" x14ac:dyDescent="0.25">
      <c r="D243" s="998" t="s">
        <v>1681</v>
      </c>
      <c r="E243" s="1709" t="str">
        <f t="shared" si="42"/>
        <v>LED - 20W (Halogen baseline)</v>
      </c>
      <c r="F243" s="76">
        <v>72</v>
      </c>
      <c r="G243" s="2402" t="str">
        <f>'Income Eligble Deemed Table'!H1008</f>
        <v>Average lumen-equivalent halogen wattage for program bulbs</v>
      </c>
      <c r="H243" s="2403"/>
      <c r="V243" s="807" t="str">
        <f t="shared" si="43"/>
        <v xml:space="preserve"> Watts Base CFL</v>
      </c>
      <c r="W243" s="600">
        <f>'Income Eligble Deemed Table'!W1008</f>
        <v>72</v>
      </c>
      <c r="X243" s="600">
        <f>'Income Eligble Deemed Table'!X1008</f>
        <v>72</v>
      </c>
      <c r="Y243" s="600"/>
      <c r="Z243" s="600"/>
      <c r="AA243" s="600"/>
      <c r="AB243" s="600"/>
      <c r="AC243" s="600"/>
      <c r="AD243" s="600"/>
      <c r="AE243" s="600"/>
      <c r="AF243" s="600"/>
      <c r="AG243" s="600"/>
    </row>
    <row r="244" spans="4:33" ht="15" hidden="1" customHeight="1" outlineLevel="1" x14ac:dyDescent="0.25">
      <c r="D244" s="998" t="s">
        <v>1681</v>
      </c>
      <c r="E244" s="1709" t="str">
        <f t="shared" si="42"/>
        <v>LED - 20W (CFL baseline)</v>
      </c>
      <c r="F244" s="76">
        <v>24.8</v>
      </c>
      <c r="G244" s="2402"/>
      <c r="H244" s="2403"/>
      <c r="V244" s="807" t="str">
        <f t="shared" si="43"/>
        <v xml:space="preserve"> Watts Base CFL</v>
      </c>
      <c r="W244" s="600">
        <f>'Income Eligble Deemed Table'!W1020</f>
        <v>24.8</v>
      </c>
      <c r="X244" s="600">
        <f>'Income Eligble Deemed Table'!X1020</f>
        <v>24.8</v>
      </c>
      <c r="Y244" s="600"/>
      <c r="Z244" s="600"/>
      <c r="AA244" s="600"/>
      <c r="AB244" s="600"/>
      <c r="AC244" s="600"/>
      <c r="AD244" s="600"/>
      <c r="AE244" s="600"/>
      <c r="AF244" s="600"/>
      <c r="AG244" s="600"/>
    </row>
    <row r="245" spans="4:33" ht="15" hidden="1" customHeight="1" outlineLevel="1" x14ac:dyDescent="0.25">
      <c r="D245" s="1878" t="s">
        <v>1556</v>
      </c>
      <c r="E245" s="1709" t="str">
        <f t="shared" si="42"/>
        <v>LED - 15W Flood Light PAR30 Bulb (Halogen baseline)</v>
      </c>
      <c r="F245" s="76">
        <v>60.9</v>
      </c>
      <c r="G245" s="2402" t="s">
        <v>1825</v>
      </c>
      <c r="H245" s="2403"/>
      <c r="V245" s="807" t="str">
        <f t="shared" si="43"/>
        <v>Watts Base EISA</v>
      </c>
      <c r="W245" s="600">
        <f>'Lighting Deemed Table'!W48</f>
        <v>62.1</v>
      </c>
      <c r="X245" s="1081">
        <f>'Lighting Deemed Table'!X48</f>
        <v>60.9</v>
      </c>
      <c r="Y245" s="600"/>
      <c r="Z245" s="600"/>
      <c r="AA245" s="600"/>
      <c r="AB245" s="600"/>
      <c r="AC245" s="600"/>
      <c r="AD245" s="600"/>
      <c r="AE245" s="600"/>
      <c r="AF245" s="600"/>
      <c r="AG245" s="600"/>
    </row>
    <row r="246" spans="4:33" ht="15" hidden="1" customHeight="1" outlineLevel="1" x14ac:dyDescent="0.25">
      <c r="D246" s="1878" t="s">
        <v>1681</v>
      </c>
      <c r="E246" s="1709" t="str">
        <f t="shared" si="42"/>
        <v>LED - 15W Flood Light PAR30 Bulb (CFL baseline)</v>
      </c>
      <c r="F246" s="1009">
        <v>16</v>
      </c>
      <c r="G246" s="2402"/>
      <c r="H246" s="2403"/>
      <c r="V246" s="807" t="str">
        <f t="shared" si="43"/>
        <v xml:space="preserve"> Watts Base CFL</v>
      </c>
      <c r="W246" s="1009">
        <f>'Lighting Deemed Table'!W47</f>
        <v>16</v>
      </c>
      <c r="X246" s="1009">
        <f>'Lighting Deemed Table'!X47</f>
        <v>16</v>
      </c>
      <c r="Y246" s="1009"/>
      <c r="Z246" s="1009"/>
      <c r="AA246" s="1009"/>
      <c r="AB246" s="1009"/>
      <c r="AC246" s="1009"/>
      <c r="AD246" s="1009"/>
      <c r="AE246" s="1009"/>
      <c r="AF246" s="1009"/>
      <c r="AG246" s="1009"/>
    </row>
    <row r="247" spans="4:33" ht="15" hidden="1" customHeight="1" outlineLevel="1" x14ac:dyDescent="0.25">
      <c r="D247" s="992" t="s">
        <v>1682</v>
      </c>
      <c r="E247" s="1709" t="str">
        <f t="shared" si="42"/>
        <v>LED Nightlights</v>
      </c>
      <c r="F247" s="626" t="s">
        <v>709</v>
      </c>
      <c r="G247" s="2402" t="s">
        <v>1683</v>
      </c>
      <c r="H247" s="2403"/>
      <c r="V247" s="807" t="str">
        <f t="shared" si="43"/>
        <v>Watts Base Nightlights</v>
      </c>
      <c r="W247" s="718" t="s">
        <v>709</v>
      </c>
      <c r="X247" s="718" t="s">
        <v>709</v>
      </c>
      <c r="Y247" s="718"/>
      <c r="Z247" s="718"/>
      <c r="AA247" s="718"/>
      <c r="AB247" s="718"/>
      <c r="AC247" s="718"/>
      <c r="AD247" s="718"/>
      <c r="AE247" s="718"/>
      <c r="AF247" s="718"/>
      <c r="AG247" s="718"/>
    </row>
    <row r="248" spans="4:33" hidden="1" outlineLevel="1" x14ac:dyDescent="0.25">
      <c r="D248" s="1878" t="s">
        <v>1684</v>
      </c>
      <c r="E248" s="1709" t="str">
        <f>E210</f>
        <v>LED - 10W (CFL baseline)</v>
      </c>
      <c r="F248" s="76">
        <v>7</v>
      </c>
      <c r="G248" s="2402" t="s">
        <v>481</v>
      </c>
      <c r="H248" s="2403"/>
      <c r="V248" s="807" t="str">
        <f t="shared" si="43"/>
        <v xml:space="preserve"> Watts EE CFL</v>
      </c>
      <c r="W248" s="600">
        <v>7</v>
      </c>
      <c r="X248" s="600">
        <v>7</v>
      </c>
      <c r="Y248" s="600"/>
      <c r="Z248" s="600"/>
      <c r="AA248" s="600"/>
      <c r="AB248" s="600"/>
      <c r="AC248" s="600"/>
      <c r="AD248" s="600"/>
      <c r="AE248" s="600"/>
      <c r="AF248" s="600"/>
      <c r="AG248" s="600"/>
    </row>
    <row r="249" spans="4:33" hidden="1" outlineLevel="1" x14ac:dyDescent="0.25">
      <c r="D249" s="1878" t="s">
        <v>1559</v>
      </c>
      <c r="E249" s="1709" t="str">
        <f>E211</f>
        <v>LED - 10W (Halogen baseline)</v>
      </c>
      <c r="F249" s="76">
        <v>7</v>
      </c>
      <c r="G249" s="2402" t="s">
        <v>481</v>
      </c>
      <c r="H249" s="2403"/>
      <c r="V249" s="807" t="str">
        <f t="shared" si="43"/>
        <v>Watts EE EISA</v>
      </c>
      <c r="W249" s="600">
        <v>7</v>
      </c>
      <c r="X249" s="600">
        <v>7</v>
      </c>
      <c r="Y249" s="600"/>
      <c r="Z249" s="600"/>
      <c r="AA249" s="600"/>
      <c r="AB249" s="600"/>
      <c r="AC249" s="600"/>
      <c r="AD249" s="600"/>
      <c r="AE249" s="600"/>
      <c r="AF249" s="600"/>
      <c r="AG249" s="600"/>
    </row>
    <row r="250" spans="4:33" hidden="1" outlineLevel="1" x14ac:dyDescent="0.25">
      <c r="D250" s="992" t="s">
        <v>1684</v>
      </c>
      <c r="E250" s="1709" t="str">
        <f>E212</f>
        <v>LED - 12W Dimmable Light Bulb (Replacing CFL)</v>
      </c>
      <c r="F250" s="76">
        <v>9.5</v>
      </c>
      <c r="G250" s="2402" t="s">
        <v>481</v>
      </c>
      <c r="H250" s="2403"/>
      <c r="V250" s="807" t="str">
        <f t="shared" si="43"/>
        <v xml:space="preserve"> Watts EE CFL</v>
      </c>
      <c r="W250" s="600">
        <f>'Lighting Deemed Table'!W64</f>
        <v>9.5</v>
      </c>
      <c r="X250" s="600">
        <f>'Lighting Deemed Table'!X64</f>
        <v>9.5</v>
      </c>
      <c r="Y250" s="76"/>
      <c r="Z250" s="76"/>
      <c r="AA250" s="76"/>
      <c r="AB250" s="76"/>
      <c r="AC250" s="76"/>
      <c r="AD250" s="76"/>
      <c r="AE250" s="76"/>
      <c r="AF250" s="76"/>
      <c r="AG250" s="76"/>
    </row>
    <row r="251" spans="4:33" hidden="1" outlineLevel="1" x14ac:dyDescent="0.25">
      <c r="D251" s="998" t="s">
        <v>1559</v>
      </c>
      <c r="E251" s="1709" t="str">
        <f>E213</f>
        <v>LED - 12W Dimmable Light Bulb (Replacing Specialty Incandescent)</v>
      </c>
      <c r="F251" s="76">
        <v>9.5</v>
      </c>
      <c r="G251" s="2402" t="s">
        <v>481</v>
      </c>
      <c r="H251" s="2403"/>
      <c r="V251" s="807" t="str">
        <f t="shared" si="43"/>
        <v>Watts EE EISA</v>
      </c>
      <c r="W251" s="76">
        <v>9.5</v>
      </c>
      <c r="X251" s="76">
        <v>9.5</v>
      </c>
      <c r="Y251" s="76"/>
      <c r="Z251" s="76"/>
      <c r="AA251" s="76"/>
      <c r="AB251" s="76"/>
      <c r="AC251" s="76"/>
      <c r="AD251" s="76"/>
      <c r="AE251" s="76"/>
      <c r="AF251" s="76"/>
      <c r="AG251" s="76"/>
    </row>
    <row r="252" spans="4:33" ht="15" hidden="1" customHeight="1" outlineLevel="1" x14ac:dyDescent="0.25">
      <c r="D252" s="998" t="s">
        <v>1684</v>
      </c>
      <c r="E252" s="1709" t="str">
        <f t="shared" ref="E252:E257" si="44">E214</f>
        <v>LED - 12W (Halogen baseline)</v>
      </c>
      <c r="F252" s="76">
        <v>9.23</v>
      </c>
      <c r="G252" s="2402" t="str">
        <f>'Income Eligble Deemed Table'!H1023</f>
        <v>Program Wattage - Ameren Missouri Community Savers Evaluation PY2017 workpapers</v>
      </c>
      <c r="H252" s="2403"/>
      <c r="V252" s="807" t="str">
        <f t="shared" si="43"/>
        <v xml:space="preserve"> Watts EE CFL</v>
      </c>
      <c r="W252" s="600">
        <f>'Income Eligble Deemed Table'!W1023</f>
        <v>9.5</v>
      </c>
      <c r="X252" s="1081">
        <f>'Income Eligble Deemed Table'!X1023</f>
        <v>9.23</v>
      </c>
      <c r="Y252" s="600"/>
      <c r="Z252" s="600"/>
      <c r="AA252" s="600"/>
      <c r="AB252" s="600"/>
      <c r="AC252" s="600"/>
      <c r="AD252" s="600"/>
      <c r="AE252" s="600"/>
      <c r="AF252" s="600"/>
      <c r="AG252" s="600"/>
    </row>
    <row r="253" spans="4:33" ht="15" hidden="1" customHeight="1" outlineLevel="1" x14ac:dyDescent="0.25">
      <c r="D253" s="998" t="s">
        <v>1684</v>
      </c>
      <c r="E253" s="1709" t="str">
        <f t="shared" si="44"/>
        <v>LED - 12W (Replacing CFL)</v>
      </c>
      <c r="F253" s="76">
        <v>9.5</v>
      </c>
      <c r="G253" s="2402"/>
      <c r="H253" s="2403"/>
      <c r="V253" s="807" t="str">
        <f t="shared" si="43"/>
        <v xml:space="preserve"> Watts EE CFL</v>
      </c>
      <c r="W253" s="600">
        <f>'Income Eligble Deemed Table'!W1036</f>
        <v>9.5</v>
      </c>
      <c r="X253" s="600">
        <f>'Income Eligble Deemed Table'!X1036</f>
        <v>9.5</v>
      </c>
      <c r="Y253" s="600"/>
      <c r="Z253" s="600"/>
      <c r="AA253" s="600"/>
      <c r="AB253" s="600"/>
      <c r="AC253" s="600"/>
      <c r="AD253" s="600"/>
      <c r="AE253" s="600"/>
      <c r="AF253" s="600"/>
      <c r="AG253" s="600"/>
    </row>
    <row r="254" spans="4:33" ht="15" hidden="1" customHeight="1" outlineLevel="1" x14ac:dyDescent="0.25">
      <c r="D254" s="998" t="s">
        <v>1684</v>
      </c>
      <c r="E254" s="1709" t="str">
        <f t="shared" si="44"/>
        <v>LED - 15W (Halogen baseline)</v>
      </c>
      <c r="F254" s="76">
        <v>10.6</v>
      </c>
      <c r="G254" s="2402" t="str">
        <f>'Income Eligble Deemed Table'!H1025</f>
        <v>Program Wattage</v>
      </c>
      <c r="H254" s="2403"/>
      <c r="V254" s="807" t="str">
        <f t="shared" si="43"/>
        <v xml:space="preserve"> Watts EE CFL</v>
      </c>
      <c r="W254" s="600">
        <f>'Income Eligble Deemed Table'!W1025</f>
        <v>10.6</v>
      </c>
      <c r="X254" s="600">
        <f>'Income Eligble Deemed Table'!X1025</f>
        <v>10.6</v>
      </c>
      <c r="Y254" s="600"/>
      <c r="Z254" s="600"/>
      <c r="AA254" s="600"/>
      <c r="AB254" s="600"/>
      <c r="AC254" s="600"/>
      <c r="AD254" s="600"/>
      <c r="AE254" s="600"/>
      <c r="AF254" s="600"/>
      <c r="AG254" s="600"/>
    </row>
    <row r="255" spans="4:33" ht="15" hidden="1" customHeight="1" outlineLevel="1" x14ac:dyDescent="0.25">
      <c r="D255" s="998" t="s">
        <v>1684</v>
      </c>
      <c r="E255" s="1709" t="str">
        <f t="shared" si="44"/>
        <v>LED - 15W (CFL baseline)</v>
      </c>
      <c r="F255" s="76">
        <v>10.6</v>
      </c>
      <c r="G255" s="2402"/>
      <c r="H255" s="2403"/>
      <c r="V255" s="807" t="str">
        <f t="shared" si="43"/>
        <v xml:space="preserve"> Watts EE CFL</v>
      </c>
      <c r="W255" s="600">
        <f>'Income Eligble Deemed Table'!W1037</f>
        <v>10.6</v>
      </c>
      <c r="X255" s="600">
        <f>'Income Eligble Deemed Table'!X1037</f>
        <v>10.6</v>
      </c>
      <c r="Y255" s="600"/>
      <c r="Z255" s="600"/>
      <c r="AA255" s="600"/>
      <c r="AB255" s="600"/>
      <c r="AC255" s="600"/>
      <c r="AD255" s="600"/>
      <c r="AE255" s="600"/>
      <c r="AF255" s="600"/>
      <c r="AG255" s="600"/>
    </row>
    <row r="256" spans="4:33" ht="15" hidden="1" customHeight="1" outlineLevel="1" x14ac:dyDescent="0.25">
      <c r="D256" s="998" t="s">
        <v>1684</v>
      </c>
      <c r="E256" s="1709" t="str">
        <f t="shared" si="44"/>
        <v>LED - 20W (Halogen baseline)</v>
      </c>
      <c r="F256" s="76">
        <v>15</v>
      </c>
      <c r="G256" s="2402" t="str">
        <f>'Income Eligble Deemed Table'!H1028</f>
        <v>Program Wattage</v>
      </c>
      <c r="H256" s="2403"/>
      <c r="V256" s="807" t="str">
        <f t="shared" si="43"/>
        <v xml:space="preserve"> Watts EE CFL</v>
      </c>
      <c r="W256" s="600">
        <f>'Income Eligble Deemed Table'!W1028</f>
        <v>15</v>
      </c>
      <c r="X256" s="600">
        <f>'Income Eligble Deemed Table'!X1028</f>
        <v>15</v>
      </c>
      <c r="Y256" s="600"/>
      <c r="Z256" s="600"/>
      <c r="AA256" s="600"/>
      <c r="AB256" s="600"/>
      <c r="AC256" s="600"/>
      <c r="AD256" s="600"/>
      <c r="AE256" s="600"/>
      <c r="AF256" s="600"/>
      <c r="AG256" s="600"/>
    </row>
    <row r="257" spans="2:33" ht="15" hidden="1" customHeight="1" outlineLevel="1" x14ac:dyDescent="0.25">
      <c r="D257" s="998" t="s">
        <v>1684</v>
      </c>
      <c r="E257" s="1709" t="str">
        <f t="shared" si="44"/>
        <v>LED - 20W (CFL baseline)</v>
      </c>
      <c r="F257" s="76">
        <v>15</v>
      </c>
      <c r="G257" s="2402"/>
      <c r="H257" s="2403"/>
      <c r="V257" s="807" t="str">
        <f t="shared" si="43"/>
        <v xml:space="preserve"> Watts EE CFL</v>
      </c>
      <c r="W257" s="600">
        <f>'Income Eligble Deemed Table'!W1040</f>
        <v>15</v>
      </c>
      <c r="X257" s="600">
        <f>'Income Eligble Deemed Table'!X1040</f>
        <v>15</v>
      </c>
      <c r="Y257" s="600"/>
      <c r="Z257" s="600"/>
      <c r="AA257" s="600"/>
      <c r="AB257" s="600"/>
      <c r="AC257" s="600"/>
      <c r="AD257" s="600"/>
      <c r="AE257" s="600"/>
      <c r="AF257" s="600"/>
      <c r="AG257" s="600"/>
    </row>
    <row r="258" spans="2:33" ht="15" hidden="1" customHeight="1" outlineLevel="1" x14ac:dyDescent="0.25">
      <c r="D258" s="998" t="s">
        <v>1559</v>
      </c>
      <c r="E258" s="1709" t="str">
        <f>E220</f>
        <v>LED - 15W Flood Light PAR30 Bulb (Halogen baseline)</v>
      </c>
      <c r="F258" s="76">
        <v>10.6</v>
      </c>
      <c r="G258" s="2402" t="s">
        <v>1825</v>
      </c>
      <c r="H258" s="2403"/>
      <c r="V258" s="807" t="str">
        <f t="shared" si="43"/>
        <v>Watts EE EISA</v>
      </c>
      <c r="W258" s="600">
        <f>'Lighting Deemed Table'!W69</f>
        <v>11.2</v>
      </c>
      <c r="X258" s="1081">
        <f>'Lighting Deemed Table'!X69</f>
        <v>10.6</v>
      </c>
      <c r="Y258" s="600"/>
      <c r="Z258" s="600"/>
      <c r="AA258" s="600"/>
      <c r="AB258" s="600"/>
      <c r="AC258" s="600"/>
      <c r="AD258" s="600"/>
      <c r="AE258" s="600"/>
      <c r="AF258" s="600"/>
      <c r="AG258" s="600"/>
    </row>
    <row r="259" spans="2:33" hidden="1" outlineLevel="1" x14ac:dyDescent="0.25">
      <c r="D259" s="1878" t="s">
        <v>1684</v>
      </c>
      <c r="E259" s="1709" t="str">
        <f>E221</f>
        <v>LED - 15W Flood Light PAR30 Bulb (CFL baseline)</v>
      </c>
      <c r="F259" s="76">
        <v>11.2</v>
      </c>
      <c r="G259" s="2402" t="s">
        <v>481</v>
      </c>
      <c r="H259" s="2403"/>
      <c r="V259" s="807" t="str">
        <f t="shared" si="43"/>
        <v xml:space="preserve"> Watts EE CFL</v>
      </c>
      <c r="W259" s="600">
        <f>'Lighting Deemed Table'!W68</f>
        <v>11.2</v>
      </c>
      <c r="X259" s="600">
        <f>'Lighting Deemed Table'!X68</f>
        <v>11.2</v>
      </c>
      <c r="Y259" s="600"/>
      <c r="Z259" s="600"/>
      <c r="AA259" s="600"/>
      <c r="AB259" s="600"/>
      <c r="AC259" s="600"/>
      <c r="AD259" s="600"/>
      <c r="AE259" s="600"/>
      <c r="AF259" s="600"/>
      <c r="AG259" s="600"/>
    </row>
    <row r="260" spans="2:33" hidden="1" outlineLevel="1" x14ac:dyDescent="0.25">
      <c r="D260" s="1878"/>
      <c r="E260" s="1709"/>
      <c r="F260" s="76"/>
      <c r="G260" s="2402"/>
      <c r="H260" s="2403"/>
      <c r="V260" s="807">
        <f t="shared" si="43"/>
        <v>0</v>
      </c>
      <c r="W260" s="600"/>
      <c r="X260" s="600"/>
      <c r="Y260" s="600"/>
      <c r="Z260" s="600"/>
      <c r="AA260" s="600"/>
      <c r="AB260" s="600"/>
      <c r="AC260" s="600"/>
      <c r="AD260" s="600"/>
      <c r="AE260" s="600"/>
      <c r="AF260" s="600"/>
      <c r="AG260" s="600"/>
    </row>
    <row r="261" spans="2:33" ht="15" hidden="1" customHeight="1" outlineLevel="1" x14ac:dyDescent="0.25">
      <c r="D261" s="1878" t="s">
        <v>1685</v>
      </c>
      <c r="E261" s="1709" t="s">
        <v>1679</v>
      </c>
      <c r="F261" s="626" t="s">
        <v>709</v>
      </c>
      <c r="G261" s="2402" t="s">
        <v>1683</v>
      </c>
      <c r="H261" s="2403"/>
      <c r="V261" s="807" t="str">
        <f t="shared" si="43"/>
        <v xml:space="preserve"> Watts EE Nightlights</v>
      </c>
      <c r="W261" s="718" t="s">
        <v>709</v>
      </c>
      <c r="X261" s="718" t="s">
        <v>709</v>
      </c>
      <c r="Y261" s="718"/>
      <c r="Z261" s="718"/>
      <c r="AA261" s="718"/>
      <c r="AB261" s="718"/>
      <c r="AC261" s="718"/>
      <c r="AD261" s="718"/>
      <c r="AE261" s="718"/>
      <c r="AF261" s="718"/>
      <c r="AG261" s="718"/>
    </row>
    <row r="262" spans="2:33" ht="15" hidden="1" customHeight="1" outlineLevel="1" x14ac:dyDescent="0.25">
      <c r="D262" s="1878" t="s">
        <v>58</v>
      </c>
      <c r="E262" s="1878" t="s">
        <v>483</v>
      </c>
      <c r="F262" s="1927">
        <v>0.95118909047730049</v>
      </c>
      <c r="G262" s="2402" t="s">
        <v>484</v>
      </c>
      <c r="H262" s="2403"/>
      <c r="V262" s="807" t="str">
        <f t="shared" si="43"/>
        <v>ISR</v>
      </c>
      <c r="W262" s="1083">
        <v>0.95118909047730049</v>
      </c>
      <c r="X262" s="1083">
        <v>0.95118909047730049</v>
      </c>
      <c r="Y262" s="1083"/>
      <c r="Z262" s="1083"/>
      <c r="AA262" s="1083"/>
      <c r="AB262" s="1083"/>
      <c r="AC262" s="1083"/>
      <c r="AD262" s="1083"/>
      <c r="AE262" s="1083"/>
      <c r="AF262" s="1083"/>
      <c r="AG262" s="1083"/>
    </row>
    <row r="263" spans="2:33" ht="15" hidden="1" customHeight="1" outlineLevel="1" x14ac:dyDescent="0.25">
      <c r="D263" s="1878" t="s">
        <v>485</v>
      </c>
      <c r="E263" s="1878" t="s">
        <v>483</v>
      </c>
      <c r="F263" s="1927">
        <v>1.6525893496695268E-2</v>
      </c>
      <c r="G263" s="2402" t="s">
        <v>487</v>
      </c>
      <c r="H263" s="2403"/>
      <c r="V263" s="807" t="str">
        <f t="shared" si="43"/>
        <v>Leakage</v>
      </c>
      <c r="W263" s="1083">
        <v>1.6525893496695268E-2</v>
      </c>
      <c r="X263" s="1083">
        <v>1.6525893496695268E-2</v>
      </c>
      <c r="Y263" s="1083"/>
      <c r="Z263" s="1083"/>
      <c r="AA263" s="1083"/>
      <c r="AB263" s="1083"/>
      <c r="AC263" s="1083"/>
      <c r="AD263" s="1083"/>
      <c r="AE263" s="1083"/>
      <c r="AF263" s="1083"/>
      <c r="AG263" s="1083"/>
    </row>
    <row r="264" spans="2:33" ht="15" hidden="1" customHeight="1" outlineLevel="1" x14ac:dyDescent="0.25">
      <c r="D264" s="1878" t="s">
        <v>488</v>
      </c>
      <c r="E264" s="1878" t="s">
        <v>490</v>
      </c>
      <c r="F264" s="149">
        <v>693.5</v>
      </c>
      <c r="G264" s="2402" t="s">
        <v>1686</v>
      </c>
      <c r="H264" s="2403"/>
      <c r="V264" s="807" t="str">
        <f t="shared" si="43"/>
        <v>HOU_Res</v>
      </c>
      <c r="W264" s="147">
        <f>1.9*365</f>
        <v>693.5</v>
      </c>
      <c r="X264" s="147">
        <f>1.9*365</f>
        <v>693.5</v>
      </c>
      <c r="Y264" s="147"/>
      <c r="Z264" s="147"/>
      <c r="AA264" s="147"/>
      <c r="AB264" s="147"/>
      <c r="AC264" s="147"/>
      <c r="AD264" s="147"/>
      <c r="AE264" s="147"/>
      <c r="AF264" s="147"/>
      <c r="AG264" s="147"/>
    </row>
    <row r="265" spans="2:33" hidden="1" outlineLevel="1" x14ac:dyDescent="0.25">
      <c r="D265" s="1878" t="s">
        <v>491</v>
      </c>
      <c r="E265" s="1878" t="s">
        <v>493</v>
      </c>
      <c r="F265" s="149">
        <v>0.99</v>
      </c>
      <c r="G265" s="2402" t="s">
        <v>494</v>
      </c>
      <c r="H265" s="2403"/>
      <c r="V265" s="807" t="str">
        <f t="shared" si="43"/>
        <v>WHF_Res</v>
      </c>
      <c r="W265" s="147">
        <v>0.99</v>
      </c>
      <c r="X265" s="147">
        <v>0.99</v>
      </c>
      <c r="Y265" s="147"/>
      <c r="Z265" s="147"/>
      <c r="AA265" s="147"/>
      <c r="AB265" s="147"/>
      <c r="AC265" s="147"/>
      <c r="AD265" s="147"/>
      <c r="AE265" s="147"/>
      <c r="AF265" s="147"/>
      <c r="AG265" s="147"/>
    </row>
    <row r="266" spans="2:33" ht="15" hidden="1" customHeight="1" outlineLevel="1" x14ac:dyDescent="0.25">
      <c r="D266" s="1878" t="s">
        <v>495</v>
      </c>
      <c r="E266" s="1878" t="s">
        <v>497</v>
      </c>
      <c r="F266" s="149">
        <v>3611.9999999999986</v>
      </c>
      <c r="G266" s="2402" t="s">
        <v>498</v>
      </c>
      <c r="H266" s="2403"/>
      <c r="V266" s="807" t="str">
        <f t="shared" si="43"/>
        <v>HOU_NRES</v>
      </c>
      <c r="W266" s="147">
        <f>9.8958904109589*365</f>
        <v>3611.9999999999986</v>
      </c>
      <c r="X266" s="147">
        <f>9.8958904109589*365</f>
        <v>3611.9999999999986</v>
      </c>
      <c r="Y266" s="147"/>
      <c r="Z266" s="147"/>
      <c r="AA266" s="147"/>
      <c r="AB266" s="147"/>
      <c r="AC266" s="147"/>
      <c r="AD266" s="147"/>
      <c r="AE266" s="147"/>
      <c r="AF266" s="147"/>
      <c r="AG266" s="147"/>
    </row>
    <row r="267" spans="2:33" ht="15" hidden="1" customHeight="1" outlineLevel="1" x14ac:dyDescent="0.25">
      <c r="D267" s="1878" t="s">
        <v>499</v>
      </c>
      <c r="E267" s="1878" t="s">
        <v>490</v>
      </c>
      <c r="F267" s="149">
        <v>1.1000000000000001</v>
      </c>
      <c r="G267" s="2402" t="s">
        <v>500</v>
      </c>
      <c r="H267" s="2403"/>
      <c r="V267" s="807" t="str">
        <f t="shared" si="43"/>
        <v>WHF_Nres</v>
      </c>
      <c r="W267" s="147">
        <v>1.1000000000000001</v>
      </c>
      <c r="X267" s="147">
        <v>1.1000000000000001</v>
      </c>
      <c r="Y267" s="147"/>
      <c r="Z267" s="147"/>
      <c r="AA267" s="147"/>
      <c r="AB267" s="147"/>
      <c r="AC267" s="147"/>
      <c r="AD267" s="147"/>
      <c r="AE267" s="147"/>
      <c r="AF267" s="147"/>
      <c r="AG267" s="147"/>
    </row>
    <row r="268" spans="2:33" ht="15" hidden="1" customHeight="1" outlineLevel="1" x14ac:dyDescent="0.25">
      <c r="D268" s="1878" t="s">
        <v>501</v>
      </c>
      <c r="E268" s="1878" t="s">
        <v>483</v>
      </c>
      <c r="F268" s="1084">
        <v>1</v>
      </c>
      <c r="G268" s="2402" t="s">
        <v>487</v>
      </c>
      <c r="H268" s="2403"/>
      <c r="V268" s="807" t="str">
        <f t="shared" si="43"/>
        <v>%Res</v>
      </c>
      <c r="W268" s="1084">
        <v>1</v>
      </c>
      <c r="X268" s="1084">
        <v>1</v>
      </c>
      <c r="Y268" s="1084"/>
      <c r="Z268" s="1084"/>
      <c r="AA268" s="1084"/>
      <c r="AB268" s="1084"/>
      <c r="AC268" s="1084"/>
      <c r="AD268" s="1084"/>
      <c r="AE268" s="1084"/>
      <c r="AF268" s="1084"/>
      <c r="AG268" s="1084"/>
    </row>
    <row r="269" spans="2:33" hidden="1" outlineLevel="1" x14ac:dyDescent="0.25">
      <c r="B269" s="1087"/>
      <c r="C269" s="1434"/>
      <c r="D269" s="899" t="s">
        <v>738</v>
      </c>
      <c r="E269" s="899" t="s">
        <v>504</v>
      </c>
      <c r="F269" s="417">
        <v>19</v>
      </c>
      <c r="G269" s="2402"/>
      <c r="H269" s="2403"/>
      <c r="K269" s="904"/>
      <c r="L269" s="904"/>
      <c r="M269" s="1452"/>
      <c r="N269" s="904"/>
      <c r="O269" s="904"/>
      <c r="P269" s="904"/>
      <c r="Q269" s="904"/>
      <c r="V269" s="899" t="str">
        <f>D269</f>
        <v xml:space="preserve">EUL </v>
      </c>
      <c r="W269" s="417">
        <v>19</v>
      </c>
      <c r="X269" s="417">
        <v>19</v>
      </c>
      <c r="Y269" s="1085"/>
      <c r="Z269" s="1085"/>
      <c r="AA269" s="1085"/>
      <c r="AB269" s="1085"/>
      <c r="AC269" s="1085"/>
      <c r="AD269" s="1085"/>
      <c r="AE269" s="1085"/>
      <c r="AF269" s="1085"/>
      <c r="AG269" s="1085"/>
    </row>
    <row r="270" spans="2:33" ht="15" hidden="1" customHeight="1" outlineLevel="1" x14ac:dyDescent="0.25">
      <c r="B270" s="1087"/>
      <c r="C270" s="1434"/>
      <c r="D270" s="2399" t="s">
        <v>24</v>
      </c>
      <c r="E270" s="2399" t="s">
        <v>506</v>
      </c>
      <c r="F270" s="1063">
        <v>2.0299999999999998</v>
      </c>
      <c r="G270" s="2402"/>
      <c r="H270" s="2403"/>
      <c r="K270" s="904"/>
      <c r="L270" s="904"/>
      <c r="M270" s="1452"/>
      <c r="N270" s="904"/>
      <c r="O270" s="904"/>
      <c r="P270" s="904"/>
      <c r="Q270" s="904"/>
      <c r="V270" s="2399" t="str">
        <f>D270</f>
        <v>Inc. Cost</v>
      </c>
      <c r="W270" s="1063">
        <v>2.0299999999999998</v>
      </c>
      <c r="X270" s="1063">
        <v>2.0299999999999998</v>
      </c>
      <c r="Y270" s="1086"/>
      <c r="Z270" s="1086"/>
      <c r="AA270" s="1086"/>
      <c r="AB270" s="1086"/>
      <c r="AC270" s="1086"/>
      <c r="AD270" s="1086"/>
      <c r="AE270" s="1086"/>
      <c r="AF270" s="1086"/>
      <c r="AG270" s="1086"/>
    </row>
    <row r="271" spans="2:33" ht="15" hidden="1" customHeight="1" outlineLevel="1" x14ac:dyDescent="0.25">
      <c r="D271" s="2400"/>
      <c r="E271" s="2400" t="s">
        <v>506</v>
      </c>
      <c r="F271" s="1063">
        <v>2.0299999999999998</v>
      </c>
      <c r="G271" s="2009"/>
      <c r="H271" s="2009"/>
      <c r="V271" s="2400"/>
      <c r="W271" s="1063">
        <v>2.0299999999999998</v>
      </c>
      <c r="X271" s="1063">
        <v>2.0299999999999998</v>
      </c>
      <c r="Y271" s="1086"/>
      <c r="Z271" s="1086"/>
      <c r="AA271" s="1086"/>
      <c r="AB271" s="1086"/>
      <c r="AC271" s="1086"/>
      <c r="AD271" s="1086"/>
      <c r="AE271" s="1086"/>
      <c r="AF271" s="1086"/>
      <c r="AG271" s="1086"/>
    </row>
    <row r="272" spans="2:33" ht="15" hidden="1" customHeight="1" outlineLevel="1" x14ac:dyDescent="0.25">
      <c r="D272" s="2400"/>
      <c r="E272" s="2400" t="s">
        <v>506</v>
      </c>
      <c r="F272" s="1063">
        <v>4.1399999999999997</v>
      </c>
      <c r="G272" s="2009"/>
      <c r="H272" s="2009"/>
      <c r="V272" s="2400"/>
      <c r="W272" s="1063">
        <v>4.1399999999999997</v>
      </c>
      <c r="X272" s="1063">
        <v>4.1399999999999997</v>
      </c>
      <c r="Y272" s="1086"/>
      <c r="Z272" s="1086"/>
      <c r="AA272" s="1086"/>
      <c r="AB272" s="1086"/>
      <c r="AC272" s="1086"/>
      <c r="AD272" s="1086"/>
      <c r="AE272" s="1086"/>
      <c r="AF272" s="1086"/>
      <c r="AG272" s="1086"/>
    </row>
    <row r="273" spans="2:36" ht="15" hidden="1" customHeight="1" outlineLevel="1" x14ac:dyDescent="0.25">
      <c r="D273" s="2400"/>
      <c r="E273" s="2400" t="s">
        <v>506</v>
      </c>
      <c r="F273" s="1063">
        <v>4.1399999999999997</v>
      </c>
      <c r="G273" s="2009"/>
      <c r="H273" s="2009"/>
      <c r="V273" s="2400"/>
      <c r="W273" s="1063">
        <v>4.1399999999999997</v>
      </c>
      <c r="X273" s="1063">
        <v>4.1399999999999997</v>
      </c>
      <c r="Y273" s="1086"/>
      <c r="Z273" s="1086"/>
      <c r="AA273" s="1086"/>
      <c r="AB273" s="1086"/>
      <c r="AC273" s="1086"/>
      <c r="AD273" s="1086"/>
      <c r="AE273" s="1086"/>
      <c r="AF273" s="1086"/>
      <c r="AG273" s="1086"/>
    </row>
    <row r="274" spans="2:36" ht="15" hidden="1" customHeight="1" outlineLevel="1" x14ac:dyDescent="0.25">
      <c r="D274" s="2400"/>
      <c r="E274" s="2400" t="s">
        <v>506</v>
      </c>
      <c r="F274" s="1063">
        <f>'Income Eligble Deemed Table'!$Q$971</f>
        <v>4.72</v>
      </c>
      <c r="G274" s="2009"/>
      <c r="H274" s="2009"/>
      <c r="V274" s="2400"/>
      <c r="W274" s="1063">
        <f>'Income Eligble Deemed Table'!$Q$971</f>
        <v>4.72</v>
      </c>
      <c r="X274" s="1063">
        <v>4.72</v>
      </c>
      <c r="Y274" s="1086"/>
      <c r="Z274" s="1086"/>
      <c r="AA274" s="1086"/>
      <c r="AB274" s="1086"/>
      <c r="AC274" s="1086"/>
      <c r="AD274" s="1086"/>
      <c r="AE274" s="1086"/>
      <c r="AF274" s="1086"/>
      <c r="AG274" s="1086"/>
    </row>
    <row r="275" spans="2:36" ht="15" hidden="1" customHeight="1" outlineLevel="1" x14ac:dyDescent="0.25">
      <c r="D275" s="2400"/>
      <c r="E275" s="2400" t="s">
        <v>506</v>
      </c>
      <c r="F275" s="1063">
        <f>$P$214</f>
        <v>4.72</v>
      </c>
      <c r="G275" s="2009"/>
      <c r="H275" s="2009"/>
      <c r="V275" s="2400"/>
      <c r="W275" s="1063">
        <f>$P$214</f>
        <v>4.72</v>
      </c>
      <c r="X275" s="1063">
        <v>4.72</v>
      </c>
      <c r="Y275" s="1086"/>
      <c r="Z275" s="1086"/>
      <c r="AA275" s="1086"/>
      <c r="AB275" s="1086"/>
      <c r="AC275" s="1086"/>
      <c r="AD275" s="1086"/>
      <c r="AE275" s="1086"/>
      <c r="AF275" s="1086"/>
      <c r="AG275" s="1086"/>
    </row>
    <row r="276" spans="2:36" ht="15" hidden="1" customHeight="1" outlineLevel="1" x14ac:dyDescent="0.25">
      <c r="D276" s="2400"/>
      <c r="E276" s="2400" t="s">
        <v>506</v>
      </c>
      <c r="F276" s="1063">
        <f>'Income Eligble Deemed Table'!$Q$973</f>
        <v>6.27</v>
      </c>
      <c r="G276" s="2009"/>
      <c r="H276" s="2009"/>
      <c r="V276" s="2400"/>
      <c r="W276" s="1063">
        <f>'Income Eligble Deemed Table'!$Q$973</f>
        <v>6.27</v>
      </c>
      <c r="X276" s="1063">
        <v>6.27</v>
      </c>
      <c r="Y276" s="1086"/>
      <c r="Z276" s="1086"/>
      <c r="AA276" s="1086"/>
      <c r="AB276" s="1086"/>
      <c r="AC276" s="1086"/>
      <c r="AD276" s="1086"/>
      <c r="AE276" s="1086"/>
      <c r="AF276" s="1086"/>
      <c r="AG276" s="1086"/>
    </row>
    <row r="277" spans="2:36" ht="15" hidden="1" customHeight="1" outlineLevel="1" x14ac:dyDescent="0.25">
      <c r="D277" s="2400"/>
      <c r="E277" s="2400" t="s">
        <v>506</v>
      </c>
      <c r="F277" s="1063">
        <f>$P$216</f>
        <v>6.27</v>
      </c>
      <c r="G277" s="2009"/>
      <c r="H277" s="2009"/>
      <c r="V277" s="2400"/>
      <c r="W277" s="1063">
        <f>$P$216</f>
        <v>6.27</v>
      </c>
      <c r="X277" s="1063">
        <v>6.27</v>
      </c>
      <c r="Y277" s="1086"/>
      <c r="Z277" s="1086"/>
      <c r="AA277" s="1086"/>
      <c r="AB277" s="1086"/>
      <c r="AC277" s="1086"/>
      <c r="AD277" s="1086"/>
      <c r="AE277" s="1086"/>
      <c r="AF277" s="1086"/>
      <c r="AG277" s="1086"/>
    </row>
    <row r="278" spans="2:36" ht="15" hidden="1" customHeight="1" outlineLevel="1" x14ac:dyDescent="0.25">
      <c r="D278" s="2400"/>
      <c r="E278" s="2400" t="s">
        <v>506</v>
      </c>
      <c r="F278" s="1063">
        <f>'Income Eligble Deemed Table'!$Q$976</f>
        <v>7.83</v>
      </c>
      <c r="G278" s="2009"/>
      <c r="H278" s="2009"/>
      <c r="V278" s="2400"/>
      <c r="W278" s="1063">
        <f>'Income Eligble Deemed Table'!$Q$976</f>
        <v>7.83</v>
      </c>
      <c r="X278" s="1063">
        <v>7.83</v>
      </c>
      <c r="Y278" s="1086"/>
      <c r="Z278" s="1086"/>
      <c r="AA278" s="1086"/>
      <c r="AB278" s="1086"/>
      <c r="AC278" s="1086"/>
      <c r="AD278" s="1086"/>
      <c r="AE278" s="1086"/>
      <c r="AF278" s="1086"/>
      <c r="AG278" s="1086"/>
    </row>
    <row r="279" spans="2:36" ht="15" hidden="1" customHeight="1" outlineLevel="1" x14ac:dyDescent="0.25">
      <c r="D279" s="2400"/>
      <c r="E279" s="2400" t="s">
        <v>506</v>
      </c>
      <c r="F279" s="1063">
        <f>$P$218</f>
        <v>7.83</v>
      </c>
      <c r="G279" s="2009"/>
      <c r="H279" s="2009"/>
      <c r="V279" s="2400"/>
      <c r="W279" s="1063">
        <f>$P$218</f>
        <v>7.83</v>
      </c>
      <c r="X279" s="1063">
        <v>7.83</v>
      </c>
      <c r="Y279" s="1086"/>
      <c r="Z279" s="1086"/>
      <c r="AA279" s="1086"/>
      <c r="AB279" s="1086"/>
      <c r="AC279" s="1086"/>
      <c r="AD279" s="1086"/>
      <c r="AE279" s="1086"/>
      <c r="AF279" s="1086"/>
      <c r="AG279" s="1086"/>
    </row>
    <row r="280" spans="2:36" ht="15" hidden="1" customHeight="1" outlineLevel="1" x14ac:dyDescent="0.25">
      <c r="D280" s="2400"/>
      <c r="E280" s="2400" t="s">
        <v>506</v>
      </c>
      <c r="F280" s="1063">
        <f>$P$221</f>
        <v>3.05</v>
      </c>
      <c r="G280" s="2009"/>
      <c r="H280" s="2009"/>
      <c r="V280" s="2400"/>
      <c r="W280" s="1063">
        <f>$P$221</f>
        <v>3.05</v>
      </c>
      <c r="X280" s="1063">
        <v>3.05</v>
      </c>
      <c r="Y280" s="1086"/>
      <c r="Z280" s="1086"/>
      <c r="AA280" s="1086"/>
      <c r="AB280" s="1086"/>
      <c r="AC280" s="1086"/>
      <c r="AD280" s="1086"/>
      <c r="AE280" s="1086"/>
      <c r="AF280" s="1086"/>
      <c r="AG280" s="1086"/>
    </row>
    <row r="281" spans="2:36" ht="15" hidden="1" customHeight="1" outlineLevel="1" x14ac:dyDescent="0.25">
      <c r="D281" s="2400"/>
      <c r="E281" s="2400" t="s">
        <v>506</v>
      </c>
      <c r="F281" s="1063">
        <v>3.05</v>
      </c>
      <c r="G281" s="2009"/>
      <c r="H281" s="2009"/>
      <c r="V281" s="2400"/>
      <c r="W281" s="1063">
        <v>3.05</v>
      </c>
      <c r="X281" s="1063">
        <v>3.05</v>
      </c>
      <c r="Y281" s="1086"/>
      <c r="Z281" s="1086"/>
      <c r="AA281" s="1086"/>
      <c r="AB281" s="1086"/>
      <c r="AC281" s="1086"/>
      <c r="AD281" s="1086"/>
      <c r="AE281" s="1086"/>
      <c r="AF281" s="1086"/>
      <c r="AG281" s="1086"/>
    </row>
    <row r="282" spans="2:36" ht="15" hidden="1" customHeight="1" outlineLevel="1" x14ac:dyDescent="0.25">
      <c r="D282" s="2401"/>
      <c r="E282" s="2401" t="s">
        <v>506</v>
      </c>
      <c r="F282" s="1063">
        <v>0.35</v>
      </c>
      <c r="G282" s="2009"/>
      <c r="H282" s="2009"/>
      <c r="V282" s="2401"/>
      <c r="W282" s="1063">
        <v>0.35</v>
      </c>
      <c r="X282" s="1063">
        <v>0.35</v>
      </c>
      <c r="Y282" s="1086"/>
      <c r="Z282" s="1086"/>
      <c r="AA282" s="1086"/>
      <c r="AB282" s="1086"/>
      <c r="AC282" s="1086"/>
      <c r="AD282" s="1086"/>
      <c r="AE282" s="1086"/>
      <c r="AF282" s="1086"/>
      <c r="AG282" s="1086"/>
    </row>
    <row r="283" spans="2:36" collapsed="1" x14ac:dyDescent="0.25">
      <c r="N283" s="1928"/>
    </row>
    <row r="285" spans="2:36" s="165" customFormat="1" x14ac:dyDescent="0.25">
      <c r="B285" s="2022" t="s">
        <v>1687</v>
      </c>
      <c r="C285" s="2023"/>
      <c r="D285" s="2023"/>
      <c r="E285" s="2023"/>
      <c r="F285" s="2023"/>
      <c r="G285" s="2023"/>
      <c r="H285" s="2023"/>
      <c r="I285" s="1992"/>
      <c r="J285" s="1992"/>
      <c r="K285" s="1992"/>
      <c r="L285" s="1992"/>
      <c r="M285" s="1992"/>
      <c r="N285" s="1992"/>
      <c r="O285" s="1992"/>
      <c r="P285" s="1992"/>
      <c r="Q285" s="1993"/>
      <c r="V285" s="2022" t="str">
        <f>B285</f>
        <v>Faucet Aerators (Kitchen)</v>
      </c>
      <c r="W285" s="2023"/>
      <c r="X285" s="2023"/>
      <c r="Y285" s="2023"/>
      <c r="Z285" s="2023"/>
      <c r="AA285" s="2023"/>
      <c r="AB285" s="2023"/>
      <c r="AC285" s="2024"/>
      <c r="AD285" s="2024"/>
      <c r="AE285" s="2024"/>
      <c r="AF285" s="2024"/>
      <c r="AG285" s="2024"/>
      <c r="AH285" s="2024"/>
      <c r="AI285" s="2025"/>
      <c r="AJ285"/>
    </row>
    <row r="286" spans="2:36" ht="18" customHeight="1" x14ac:dyDescent="0.25"/>
    <row r="287" spans="2:36" ht="45" x14ac:dyDescent="0.25">
      <c r="C287" s="184" t="s">
        <v>16</v>
      </c>
      <c r="D287" s="184" t="s">
        <v>509</v>
      </c>
      <c r="E287" s="184" t="s">
        <v>18</v>
      </c>
      <c r="F287" s="184" t="s">
        <v>19</v>
      </c>
      <c r="G287" s="184" t="s">
        <v>20</v>
      </c>
      <c r="H287" s="184" t="s">
        <v>21</v>
      </c>
      <c r="I287" s="184" t="s">
        <v>771</v>
      </c>
      <c r="J287" s="184" t="s">
        <v>22</v>
      </c>
      <c r="K287" s="184" t="s">
        <v>23</v>
      </c>
      <c r="L287" s="184" t="s">
        <v>24</v>
      </c>
      <c r="M287" s="184" t="s">
        <v>25</v>
      </c>
      <c r="V287" s="490" t="s">
        <v>26</v>
      </c>
      <c r="W287" s="49">
        <f>W$6</f>
        <v>43252</v>
      </c>
      <c r="X287" s="49">
        <f t="shared" ref="X287:AG287" si="45">X$6</f>
        <v>43465</v>
      </c>
      <c r="Y287" s="49" t="str">
        <f t="shared" si="45"/>
        <v>-</v>
      </c>
      <c r="Z287" s="49" t="str">
        <f t="shared" si="45"/>
        <v>-</v>
      </c>
      <c r="AA287" s="49" t="str">
        <f t="shared" si="45"/>
        <v>-</v>
      </c>
      <c r="AB287" s="49" t="str">
        <f t="shared" si="45"/>
        <v>-</v>
      </c>
      <c r="AC287" s="49" t="str">
        <f t="shared" si="45"/>
        <v>-</v>
      </c>
      <c r="AD287" s="49" t="str">
        <f t="shared" si="45"/>
        <v>-</v>
      </c>
      <c r="AE287" s="49" t="str">
        <f t="shared" si="45"/>
        <v>-</v>
      </c>
      <c r="AF287" s="49" t="str">
        <f t="shared" si="45"/>
        <v>-</v>
      </c>
      <c r="AG287" s="49" t="str">
        <f t="shared" si="45"/>
        <v>-</v>
      </c>
    </row>
    <row r="288" spans="2:36" x14ac:dyDescent="0.25">
      <c r="C288" s="115"/>
      <c r="D288" s="1066" t="s">
        <v>1637</v>
      </c>
      <c r="E288" s="1929" t="s">
        <v>1688</v>
      </c>
      <c r="F288" s="123">
        <f>F299*(F300*F301-F302*F303)*F304*F305*F306/F307*I288*F315*F314</f>
        <v>115.90265988240036</v>
      </c>
      <c r="G288" s="1039" t="s">
        <v>513</v>
      </c>
      <c r="H288" s="170">
        <f>VLOOKUP(G288,'CP FACTORS'!$A$3:$B$38, 2, FALSE)</f>
        <v>8.8731800000000003E-5</v>
      </c>
      <c r="I288" s="474">
        <f>F308*F309*(F310-F311)/(F312*F313)</f>
        <v>7.8971277842907403E-2</v>
      </c>
      <c r="J288" s="1397">
        <f>F288*H288</f>
        <v>1.0284251636153173E-2</v>
      </c>
      <c r="K288" s="122">
        <f>F316</f>
        <v>10</v>
      </c>
      <c r="L288" s="1063">
        <f>F317</f>
        <v>8</v>
      </c>
      <c r="M288" s="1903" t="s">
        <v>31</v>
      </c>
      <c r="V288" s="621" t="str">
        <f>F287</f>
        <v>kWh Annual Savings</v>
      </c>
      <c r="W288" s="1970">
        <v>115.90265988240036</v>
      </c>
      <c r="X288" s="1972">
        <v>115.90265988240036</v>
      </c>
      <c r="Y288" s="176"/>
      <c r="Z288" s="176"/>
      <c r="AA288" s="176"/>
      <c r="AB288" s="176"/>
      <c r="AC288" s="176"/>
      <c r="AD288" s="176"/>
      <c r="AE288" s="176"/>
      <c r="AF288" s="176"/>
      <c r="AG288" s="176"/>
    </row>
    <row r="289" spans="4:33" hidden="1" outlineLevel="1" x14ac:dyDescent="0.25">
      <c r="G289" s="1582"/>
    </row>
    <row r="290" spans="4:33" hidden="1" outlineLevel="1" x14ac:dyDescent="0.25">
      <c r="D290" s="1418" t="s">
        <v>463</v>
      </c>
    </row>
    <row r="291" spans="4:33" hidden="1" outlineLevel="1" x14ac:dyDescent="0.25"/>
    <row r="292" spans="4:33" hidden="1" outlineLevel="1" x14ac:dyDescent="0.25"/>
    <row r="293" spans="4:33" hidden="1" outlineLevel="1" x14ac:dyDescent="0.25"/>
    <row r="294" spans="4:33" hidden="1" outlineLevel="1" x14ac:dyDescent="0.25"/>
    <row r="295" spans="4:33" hidden="1" outlineLevel="1" x14ac:dyDescent="0.25"/>
    <row r="296" spans="4:33" hidden="1" outlineLevel="1" x14ac:dyDescent="0.25">
      <c r="D296" s="1930"/>
      <c r="E296" s="1930"/>
      <c r="F296" s="514"/>
      <c r="G296" s="514"/>
      <c r="H296" s="514"/>
      <c r="I296" s="514"/>
      <c r="J296" s="514"/>
      <c r="K296" s="514"/>
      <c r="L296" s="514"/>
      <c r="M296" s="514"/>
    </row>
    <row r="297" spans="4:33" hidden="1" outlineLevel="1" x14ac:dyDescent="0.25">
      <c r="D297" s="1930"/>
      <c r="E297" s="1930"/>
      <c r="F297" s="514"/>
      <c r="G297" s="514"/>
      <c r="H297" s="514"/>
      <c r="I297" s="514"/>
      <c r="J297" s="514"/>
      <c r="K297" s="514"/>
      <c r="L297" s="514"/>
      <c r="M297" s="514"/>
    </row>
    <row r="298" spans="4:33" hidden="1" outlineLevel="1" x14ac:dyDescent="0.25">
      <c r="D298" s="1098" t="s">
        <v>465</v>
      </c>
      <c r="E298" s="1098" t="s">
        <v>466</v>
      </c>
      <c r="F298" s="184" t="s">
        <v>467</v>
      </c>
      <c r="G298" s="2050" t="s">
        <v>515</v>
      </c>
      <c r="H298" s="2050"/>
      <c r="I298" s="2075" t="s">
        <v>468</v>
      </c>
      <c r="J298" s="2081"/>
      <c r="K298" s="2076"/>
      <c r="V298" s="490" t="s">
        <v>26</v>
      </c>
      <c r="W298" s="49">
        <f>W$6</f>
        <v>43252</v>
      </c>
      <c r="X298" s="49">
        <f t="shared" ref="X298:AG298" si="46">X$6</f>
        <v>43465</v>
      </c>
      <c r="Y298" s="49" t="str">
        <f t="shared" si="46"/>
        <v>-</v>
      </c>
      <c r="Z298" s="49" t="str">
        <f t="shared" si="46"/>
        <v>-</v>
      </c>
      <c r="AA298" s="49" t="str">
        <f t="shared" si="46"/>
        <v>-</v>
      </c>
      <c r="AB298" s="49" t="str">
        <f t="shared" si="46"/>
        <v>-</v>
      </c>
      <c r="AC298" s="49" t="str">
        <f t="shared" si="46"/>
        <v>-</v>
      </c>
      <c r="AD298" s="49" t="str">
        <f t="shared" si="46"/>
        <v>-</v>
      </c>
      <c r="AE298" s="49" t="str">
        <f t="shared" si="46"/>
        <v>-</v>
      </c>
      <c r="AF298" s="49" t="str">
        <f t="shared" si="46"/>
        <v>-</v>
      </c>
      <c r="AG298" s="49" t="str">
        <f t="shared" si="46"/>
        <v>-</v>
      </c>
    </row>
    <row r="299" spans="4:33" hidden="1" outlineLevel="1" x14ac:dyDescent="0.25">
      <c r="D299" s="890" t="s">
        <v>773</v>
      </c>
      <c r="E299" s="890" t="s">
        <v>774</v>
      </c>
      <c r="F299" s="908">
        <v>1</v>
      </c>
      <c r="G299" s="2271" t="s">
        <v>1367</v>
      </c>
      <c r="H299" s="2271"/>
      <c r="I299" s="2046" t="s">
        <v>1689</v>
      </c>
      <c r="J299" s="2046"/>
      <c r="K299" s="2046"/>
      <c r="L299" s="514"/>
      <c r="V299" s="807" t="str">
        <f>D299</f>
        <v>%Electric DHW</v>
      </c>
      <c r="W299" s="453">
        <v>1</v>
      </c>
      <c r="X299" s="453">
        <v>1</v>
      </c>
      <c r="Y299" s="453"/>
      <c r="Z299" s="453"/>
      <c r="AA299" s="453"/>
      <c r="AB299" s="453"/>
      <c r="AC299" s="453"/>
      <c r="AD299" s="453"/>
      <c r="AE299" s="453"/>
      <c r="AF299" s="453"/>
      <c r="AG299" s="453"/>
    </row>
    <row r="300" spans="4:33" ht="31.5" hidden="1" customHeight="1" outlineLevel="1" x14ac:dyDescent="0.25">
      <c r="D300" s="890" t="s">
        <v>775</v>
      </c>
      <c r="E300" s="890" t="s">
        <v>776</v>
      </c>
      <c r="F300" s="1039">
        <v>2.2000000000000002</v>
      </c>
      <c r="G300" s="2080" t="s">
        <v>777</v>
      </c>
      <c r="H300" s="2080"/>
      <c r="I300" s="2046" t="s">
        <v>1690</v>
      </c>
      <c r="J300" s="2046"/>
      <c r="K300" s="2046"/>
      <c r="L300" s="514"/>
      <c r="V300" s="807" t="str">
        <f t="shared" ref="V300:V315" si="47">D300</f>
        <v>GPM_base</v>
      </c>
      <c r="W300" s="444">
        <v>2.2000000000000002</v>
      </c>
      <c r="X300" s="444">
        <v>2.2000000000000002</v>
      </c>
      <c r="Y300" s="444"/>
      <c r="Z300" s="444"/>
      <c r="AA300" s="444"/>
      <c r="AB300" s="444"/>
      <c r="AC300" s="444"/>
      <c r="AD300" s="444"/>
      <c r="AE300" s="444"/>
      <c r="AF300" s="444"/>
      <c r="AG300" s="444"/>
    </row>
    <row r="301" spans="4:33" ht="30" hidden="1" outlineLevel="1" x14ac:dyDescent="0.25">
      <c r="D301" s="890" t="s">
        <v>778</v>
      </c>
      <c r="E301" s="726" t="s">
        <v>779</v>
      </c>
      <c r="F301" s="1039">
        <v>3.7</v>
      </c>
      <c r="G301" s="2080" t="s">
        <v>781</v>
      </c>
      <c r="H301" s="2080"/>
      <c r="I301" s="2046" t="s">
        <v>1690</v>
      </c>
      <c r="J301" s="2046"/>
      <c r="K301" s="2046"/>
      <c r="L301" s="514"/>
      <c r="V301" s="807" t="str">
        <f t="shared" si="47"/>
        <v>L_base</v>
      </c>
      <c r="W301" s="444">
        <v>3.7</v>
      </c>
      <c r="X301" s="444">
        <v>3.7</v>
      </c>
      <c r="Y301" s="444"/>
      <c r="Z301" s="444"/>
      <c r="AA301" s="444"/>
      <c r="AB301" s="444"/>
      <c r="AC301" s="444"/>
      <c r="AD301" s="444"/>
      <c r="AE301" s="444"/>
      <c r="AF301" s="444"/>
      <c r="AG301" s="444"/>
    </row>
    <row r="302" spans="4:33" hidden="1" outlineLevel="1" x14ac:dyDescent="0.25">
      <c r="D302" s="890" t="s">
        <v>782</v>
      </c>
      <c r="E302" s="890" t="s">
        <v>783</v>
      </c>
      <c r="F302" s="417">
        <v>1.5</v>
      </c>
      <c r="G302" s="2080" t="s">
        <v>391</v>
      </c>
      <c r="H302" s="2080"/>
      <c r="I302" s="2046" t="s">
        <v>1690</v>
      </c>
      <c r="J302" s="2046"/>
      <c r="K302" s="2046"/>
      <c r="L302" s="514"/>
      <c r="V302" s="807" t="str">
        <f t="shared" si="47"/>
        <v>GPM_low</v>
      </c>
      <c r="W302" s="356">
        <v>1.5</v>
      </c>
      <c r="X302" s="356">
        <v>1.5</v>
      </c>
      <c r="Y302" s="356"/>
      <c r="Z302" s="356"/>
      <c r="AA302" s="356"/>
      <c r="AB302" s="356"/>
      <c r="AC302" s="356"/>
      <c r="AD302" s="356"/>
      <c r="AE302" s="356"/>
      <c r="AF302" s="356"/>
      <c r="AG302" s="356"/>
    </row>
    <row r="303" spans="4:33" ht="30" hidden="1" outlineLevel="1" x14ac:dyDescent="0.25">
      <c r="D303" s="890" t="s">
        <v>784</v>
      </c>
      <c r="E303" s="726" t="s">
        <v>785</v>
      </c>
      <c r="F303" s="1039">
        <v>3.7</v>
      </c>
      <c r="G303" s="2080" t="s">
        <v>781</v>
      </c>
      <c r="H303" s="2080"/>
      <c r="I303" s="2046" t="s">
        <v>1690</v>
      </c>
      <c r="J303" s="2046"/>
      <c r="K303" s="2046"/>
      <c r="L303" s="514"/>
      <c r="V303" s="807" t="str">
        <f t="shared" si="47"/>
        <v>L_low</v>
      </c>
      <c r="W303" s="444">
        <v>3.7</v>
      </c>
      <c r="X303" s="444">
        <v>3.7</v>
      </c>
      <c r="Y303" s="444"/>
      <c r="Z303" s="444"/>
      <c r="AA303" s="444"/>
      <c r="AB303" s="444"/>
      <c r="AC303" s="444"/>
      <c r="AD303" s="444"/>
      <c r="AE303" s="444"/>
      <c r="AF303" s="444"/>
      <c r="AG303" s="444"/>
    </row>
    <row r="304" spans="4:33" hidden="1" outlineLevel="1" x14ac:dyDescent="0.25">
      <c r="D304" s="890" t="s">
        <v>528</v>
      </c>
      <c r="E304" s="726" t="s">
        <v>786</v>
      </c>
      <c r="F304" s="1039">
        <v>2.0699999999999998</v>
      </c>
      <c r="G304" s="2080" t="s">
        <v>1691</v>
      </c>
      <c r="H304" s="2080"/>
      <c r="I304" s="2046" t="s">
        <v>1690</v>
      </c>
      <c r="J304" s="2046"/>
      <c r="K304" s="2046"/>
      <c r="L304" s="514"/>
      <c r="V304" s="807" t="str">
        <f t="shared" si="47"/>
        <v>Household</v>
      </c>
      <c r="W304" s="444">
        <v>2.0699999999999998</v>
      </c>
      <c r="X304" s="444">
        <v>2.0699999999999998</v>
      </c>
      <c r="Y304" s="444"/>
      <c r="Z304" s="444"/>
      <c r="AA304" s="444"/>
      <c r="AB304" s="444"/>
      <c r="AC304" s="444"/>
      <c r="AD304" s="444"/>
      <c r="AE304" s="444"/>
      <c r="AF304" s="444"/>
      <c r="AG304" s="444"/>
    </row>
    <row r="305" spans="2:37" ht="78.75" hidden="1" customHeight="1" outlineLevel="1" x14ac:dyDescent="0.25">
      <c r="D305" s="1555" t="s">
        <v>788</v>
      </c>
      <c r="E305" s="726" t="s">
        <v>789</v>
      </c>
      <c r="F305" s="1039">
        <v>0.75</v>
      </c>
      <c r="G305" s="2134" t="s">
        <v>790</v>
      </c>
      <c r="H305" s="2134"/>
      <c r="I305" s="2046" t="s">
        <v>1690</v>
      </c>
      <c r="J305" s="2046"/>
      <c r="K305" s="2046"/>
      <c r="L305" s="514"/>
      <c r="V305" s="807" t="str">
        <f t="shared" si="47"/>
        <v>DF</v>
      </c>
      <c r="W305" s="444">
        <v>0.75</v>
      </c>
      <c r="X305" s="444">
        <v>0.75</v>
      </c>
      <c r="Y305" s="444"/>
      <c r="Z305" s="444"/>
      <c r="AA305" s="444"/>
      <c r="AB305" s="444"/>
      <c r="AC305" s="444"/>
      <c r="AD305" s="444"/>
      <c r="AE305" s="444"/>
      <c r="AF305" s="444"/>
      <c r="AG305" s="444"/>
    </row>
    <row r="306" spans="2:37" hidden="1" outlineLevel="1" x14ac:dyDescent="0.25">
      <c r="D306" s="1555">
        <v>365.25</v>
      </c>
      <c r="E306" s="726" t="s">
        <v>173</v>
      </c>
      <c r="F306" s="1150">
        <v>365</v>
      </c>
      <c r="G306" s="2080" t="s">
        <v>760</v>
      </c>
      <c r="H306" s="2080"/>
      <c r="I306" s="2046" t="s">
        <v>1690</v>
      </c>
      <c r="J306" s="2046"/>
      <c r="K306" s="2046"/>
      <c r="L306" s="514"/>
      <c r="V306" s="807">
        <f t="shared" si="47"/>
        <v>365.25</v>
      </c>
      <c r="W306" s="310">
        <v>365</v>
      </c>
      <c r="X306" s="310">
        <v>365</v>
      </c>
      <c r="Y306" s="310"/>
      <c r="Z306" s="310"/>
      <c r="AA306" s="310"/>
      <c r="AB306" s="310"/>
      <c r="AC306" s="310"/>
      <c r="AD306" s="310"/>
      <c r="AE306" s="310"/>
      <c r="AF306" s="310"/>
      <c r="AG306" s="310"/>
    </row>
    <row r="307" spans="2:37" hidden="1" outlineLevel="1" x14ac:dyDescent="0.25">
      <c r="D307" s="1555" t="s">
        <v>791</v>
      </c>
      <c r="E307" s="726" t="s">
        <v>792</v>
      </c>
      <c r="F307" s="504">
        <v>1</v>
      </c>
      <c r="G307" s="2271" t="s">
        <v>1692</v>
      </c>
      <c r="H307" s="2271"/>
      <c r="I307" s="2046" t="s">
        <v>1690</v>
      </c>
      <c r="J307" s="2046"/>
      <c r="K307" s="2046"/>
      <c r="L307" s="514"/>
      <c r="V307" s="807" t="str">
        <f t="shared" si="47"/>
        <v>FPH</v>
      </c>
      <c r="W307" s="460">
        <v>1</v>
      </c>
      <c r="X307" s="460">
        <v>1</v>
      </c>
      <c r="Y307" s="460"/>
      <c r="Z307" s="460"/>
      <c r="AA307" s="460"/>
      <c r="AB307" s="460"/>
      <c r="AC307" s="460"/>
      <c r="AD307" s="460"/>
      <c r="AE307" s="460"/>
      <c r="AF307" s="460"/>
      <c r="AG307" s="460"/>
    </row>
    <row r="308" spans="2:37" hidden="1" outlineLevel="1" x14ac:dyDescent="0.25">
      <c r="D308" s="1555">
        <v>8.33</v>
      </c>
      <c r="E308" s="1931" t="s">
        <v>793</v>
      </c>
      <c r="F308" s="1150">
        <v>8.33</v>
      </c>
      <c r="G308" s="2397" t="s">
        <v>794</v>
      </c>
      <c r="H308" s="2397"/>
      <c r="I308" s="2046" t="s">
        <v>1690</v>
      </c>
      <c r="J308" s="2046"/>
      <c r="K308" s="2046"/>
      <c r="L308" s="514"/>
      <c r="V308" s="807">
        <f t="shared" si="47"/>
        <v>8.33</v>
      </c>
      <c r="W308" s="310">
        <v>8.33</v>
      </c>
      <c r="X308" s="310">
        <v>8.33</v>
      </c>
      <c r="Y308" s="310"/>
      <c r="Z308" s="310"/>
      <c r="AA308" s="310"/>
      <c r="AB308" s="310"/>
      <c r="AC308" s="310"/>
      <c r="AD308" s="310"/>
      <c r="AE308" s="310"/>
      <c r="AF308" s="310"/>
      <c r="AG308" s="310"/>
    </row>
    <row r="309" spans="2:37" hidden="1" outlineLevel="1" x14ac:dyDescent="0.25">
      <c r="D309" s="1555">
        <v>1</v>
      </c>
      <c r="E309" s="726" t="s">
        <v>795</v>
      </c>
      <c r="F309" s="122">
        <v>1</v>
      </c>
      <c r="G309" s="2134" t="s">
        <v>796</v>
      </c>
      <c r="H309" s="2134"/>
      <c r="I309" s="2046" t="s">
        <v>1690</v>
      </c>
      <c r="J309" s="2046"/>
      <c r="K309" s="2046"/>
      <c r="L309" s="514"/>
      <c r="V309" s="807">
        <f t="shared" si="47"/>
        <v>1</v>
      </c>
      <c r="W309" s="312">
        <v>1</v>
      </c>
      <c r="X309" s="312">
        <v>1</v>
      </c>
      <c r="Y309" s="312"/>
      <c r="Z309" s="312"/>
      <c r="AA309" s="312"/>
      <c r="AB309" s="312"/>
      <c r="AC309" s="312"/>
      <c r="AD309" s="312"/>
      <c r="AE309" s="312"/>
      <c r="AF309" s="312"/>
      <c r="AG309" s="312"/>
    </row>
    <row r="310" spans="2:37" ht="78" hidden="1" customHeight="1" outlineLevel="1" x14ac:dyDescent="0.25">
      <c r="D310" s="890" t="s">
        <v>797</v>
      </c>
      <c r="E310" s="726" t="s">
        <v>798</v>
      </c>
      <c r="F310" s="1150">
        <v>93</v>
      </c>
      <c r="G310" s="2134" t="s">
        <v>799</v>
      </c>
      <c r="H310" s="2134"/>
      <c r="I310" s="2046" t="s">
        <v>1690</v>
      </c>
      <c r="J310" s="2046"/>
      <c r="K310" s="2046"/>
      <c r="L310" s="514"/>
      <c r="V310" s="807" t="str">
        <f t="shared" si="47"/>
        <v>WaterTemp</v>
      </c>
      <c r="W310" s="310">
        <v>93</v>
      </c>
      <c r="X310" s="310">
        <v>93</v>
      </c>
      <c r="Y310" s="310"/>
      <c r="Z310" s="310"/>
      <c r="AA310" s="310"/>
      <c r="AB310" s="310"/>
      <c r="AC310" s="310"/>
      <c r="AD310" s="310"/>
      <c r="AE310" s="310"/>
      <c r="AF310" s="310"/>
      <c r="AG310" s="310"/>
    </row>
    <row r="311" spans="2:37" s="422" customFormat="1" ht="60.75" hidden="1" customHeight="1" outlineLevel="1" x14ac:dyDescent="0.25">
      <c r="B311" s="514"/>
      <c r="C311" s="1572"/>
      <c r="D311" s="890" t="s">
        <v>800</v>
      </c>
      <c r="E311" s="726" t="s">
        <v>801</v>
      </c>
      <c r="F311" s="1150">
        <v>61.3</v>
      </c>
      <c r="G311" s="2134" t="s">
        <v>802</v>
      </c>
      <c r="H311" s="2134"/>
      <c r="I311" s="2046" t="s">
        <v>1690</v>
      </c>
      <c r="J311" s="2046"/>
      <c r="K311" s="2046"/>
      <c r="L311" s="514"/>
      <c r="M311" s="514"/>
      <c r="N311" s="514"/>
      <c r="O311" s="514"/>
      <c r="P311" s="514"/>
      <c r="Q311" s="514"/>
      <c r="R311" s="514"/>
      <c r="S311" s="514"/>
      <c r="T311" s="514"/>
      <c r="U311" s="514"/>
      <c r="V311" s="807" t="str">
        <f t="shared" si="47"/>
        <v>SupplyTemp</v>
      </c>
      <c r="W311" s="310">
        <v>61.3</v>
      </c>
      <c r="X311" s="310">
        <v>61.3</v>
      </c>
      <c r="Y311" s="310"/>
      <c r="Z311" s="310"/>
      <c r="AA311" s="310"/>
      <c r="AB311" s="310"/>
      <c r="AC311" s="310"/>
      <c r="AD311" s="310"/>
      <c r="AE311" s="310"/>
      <c r="AF311" s="310"/>
      <c r="AG311" s="310"/>
      <c r="AH311"/>
      <c r="AI311"/>
      <c r="AJ311"/>
    </row>
    <row r="312" spans="2:37" s="422" customFormat="1" ht="59.25" hidden="1" customHeight="1" outlineLevel="1" x14ac:dyDescent="0.25">
      <c r="B312" s="514"/>
      <c r="C312" s="1572"/>
      <c r="D312" s="890" t="s">
        <v>803</v>
      </c>
      <c r="E312" s="726" t="s">
        <v>804</v>
      </c>
      <c r="F312" s="1150">
        <v>0.98</v>
      </c>
      <c r="G312" s="2397" t="s">
        <v>805</v>
      </c>
      <c r="H312" s="2397"/>
      <c r="I312" s="2046" t="s">
        <v>1690</v>
      </c>
      <c r="J312" s="2046"/>
      <c r="K312" s="2046"/>
      <c r="L312" s="514"/>
      <c r="M312" s="514"/>
      <c r="N312" s="514"/>
      <c r="O312" s="514"/>
      <c r="P312" s="514"/>
      <c r="Q312" s="514"/>
      <c r="R312" s="514"/>
      <c r="S312" s="514"/>
      <c r="T312" s="514"/>
      <c r="U312" s="514"/>
      <c r="V312" s="807" t="str">
        <f t="shared" si="47"/>
        <v>RE_electric</v>
      </c>
      <c r="W312" s="310">
        <v>0.98</v>
      </c>
      <c r="X312" s="310">
        <v>0.98</v>
      </c>
      <c r="Y312" s="310"/>
      <c r="Z312" s="310"/>
      <c r="AA312" s="310"/>
      <c r="AB312" s="310"/>
      <c r="AC312" s="310"/>
      <c r="AD312" s="310"/>
      <c r="AE312" s="310"/>
      <c r="AF312" s="310"/>
      <c r="AG312" s="310"/>
      <c r="AH312"/>
      <c r="AI312"/>
      <c r="AJ312"/>
    </row>
    <row r="313" spans="2:37" s="422" customFormat="1" hidden="1" outlineLevel="1" x14ac:dyDescent="0.25">
      <c r="B313" s="514"/>
      <c r="C313" s="1572"/>
      <c r="D313" s="890">
        <v>3412</v>
      </c>
      <c r="E313" s="1931" t="s">
        <v>806</v>
      </c>
      <c r="F313" s="1932">
        <v>3412</v>
      </c>
      <c r="G313" s="2397" t="s">
        <v>546</v>
      </c>
      <c r="H313" s="2397"/>
      <c r="I313" s="2046" t="s">
        <v>1690</v>
      </c>
      <c r="J313" s="2046"/>
      <c r="K313" s="2046"/>
      <c r="L313" s="514"/>
      <c r="M313" s="514"/>
      <c r="N313" s="514"/>
      <c r="O313" s="514"/>
      <c r="P313" s="514"/>
      <c r="Q313" s="514"/>
      <c r="R313" s="514"/>
      <c r="S313" s="514"/>
      <c r="T313" s="514"/>
      <c r="U313" s="514"/>
      <c r="V313" s="807">
        <f t="shared" si="47"/>
        <v>3412</v>
      </c>
      <c r="W313" s="463">
        <v>3412</v>
      </c>
      <c r="X313" s="463">
        <v>3412</v>
      </c>
      <c r="Y313" s="463"/>
      <c r="Z313" s="463"/>
      <c r="AA313" s="463"/>
      <c r="AB313" s="463"/>
      <c r="AC313" s="463"/>
      <c r="AD313" s="463"/>
      <c r="AE313" s="463"/>
      <c r="AF313" s="463"/>
      <c r="AG313" s="463"/>
      <c r="AH313"/>
      <c r="AI313"/>
      <c r="AJ313"/>
    </row>
    <row r="314" spans="2:37" s="422" customFormat="1" ht="15" hidden="1" customHeight="1" outlineLevel="1" x14ac:dyDescent="0.25">
      <c r="B314" s="514"/>
      <c r="C314" s="1572"/>
      <c r="D314" s="890" t="s">
        <v>736</v>
      </c>
      <c r="E314" s="890" t="s">
        <v>769</v>
      </c>
      <c r="F314" s="908">
        <v>1</v>
      </c>
      <c r="G314" s="2271" t="s">
        <v>1367</v>
      </c>
      <c r="H314" s="2271"/>
      <c r="I314" s="2046" t="s">
        <v>1689</v>
      </c>
      <c r="J314" s="2046"/>
      <c r="K314" s="2046"/>
      <c r="L314" s="514"/>
      <c r="M314" s="514"/>
      <c r="N314" s="514"/>
      <c r="O314" s="514"/>
      <c r="P314" s="514"/>
      <c r="Q314" s="514"/>
      <c r="R314" s="514"/>
      <c r="S314" s="514"/>
      <c r="T314" s="514"/>
      <c r="U314" s="514"/>
      <c r="V314" s="807" t="str">
        <f t="shared" si="47"/>
        <v>Utility Adjustment</v>
      </c>
      <c r="W314" s="453">
        <v>1</v>
      </c>
      <c r="X314" s="453">
        <v>1</v>
      </c>
      <c r="Y314" s="453"/>
      <c r="Z314" s="453"/>
      <c r="AA314" s="453"/>
      <c r="AB314" s="453"/>
      <c r="AC314" s="453"/>
      <c r="AD314" s="453"/>
      <c r="AE314" s="453"/>
      <c r="AF314" s="453"/>
      <c r="AG314" s="453"/>
      <c r="AH314"/>
      <c r="AI314"/>
      <c r="AJ314"/>
    </row>
    <row r="315" spans="2:37" s="422" customFormat="1" hidden="1" outlineLevel="1" x14ac:dyDescent="0.25">
      <c r="B315" s="514"/>
      <c r="C315" s="1572"/>
      <c r="D315" s="890" t="s">
        <v>58</v>
      </c>
      <c r="E315" s="890" t="s">
        <v>574</v>
      </c>
      <c r="F315" s="908">
        <v>1</v>
      </c>
      <c r="G315" s="2271" t="s">
        <v>1693</v>
      </c>
      <c r="H315" s="2271"/>
      <c r="I315" s="2046" t="s">
        <v>1690</v>
      </c>
      <c r="J315" s="2046"/>
      <c r="K315" s="2046"/>
      <c r="L315" s="514"/>
      <c r="M315" s="514"/>
      <c r="N315" s="514"/>
      <c r="O315" s="514"/>
      <c r="P315" s="514"/>
      <c r="Q315" s="514"/>
      <c r="R315" s="514"/>
      <c r="S315" s="514"/>
      <c r="T315" s="514"/>
      <c r="U315" s="514"/>
      <c r="V315" s="807" t="str">
        <f t="shared" si="47"/>
        <v>ISR</v>
      </c>
      <c r="W315" s="453">
        <v>1</v>
      </c>
      <c r="X315" s="453">
        <v>1</v>
      </c>
      <c r="Y315" s="453"/>
      <c r="Z315" s="453"/>
      <c r="AA315" s="453"/>
      <c r="AB315" s="453"/>
      <c r="AC315" s="453"/>
      <c r="AD315" s="453"/>
      <c r="AE315" s="453"/>
      <c r="AF315" s="453"/>
      <c r="AG315" s="453"/>
      <c r="AH315"/>
      <c r="AI315"/>
      <c r="AJ315"/>
    </row>
    <row r="316" spans="2:37" s="904" customFormat="1" ht="15" hidden="1" customHeight="1" outlineLevel="1" x14ac:dyDescent="0.25">
      <c r="B316" s="1087"/>
      <c r="C316" s="1088"/>
      <c r="D316" s="1754" t="str">
        <f>$D$25</f>
        <v>EUL</v>
      </c>
      <c r="E316" s="890" t="s">
        <v>483</v>
      </c>
      <c r="F316" s="912">
        <v>10</v>
      </c>
      <c r="G316" s="2271"/>
      <c r="H316" s="2271"/>
      <c r="I316" s="2046"/>
      <c r="J316" s="2046"/>
      <c r="K316" s="2046"/>
      <c r="V316" s="926" t="str">
        <f>D316</f>
        <v>EUL</v>
      </c>
      <c r="W316" s="912">
        <v>10</v>
      </c>
      <c r="X316" s="912">
        <v>10</v>
      </c>
      <c r="Y316" s="1043"/>
      <c r="Z316" s="1043"/>
      <c r="AA316" s="1043"/>
      <c r="AB316" s="1043"/>
      <c r="AC316" s="1043"/>
      <c r="AD316" s="1043"/>
      <c r="AE316" s="1043"/>
      <c r="AF316" s="1043"/>
      <c r="AG316" s="1043"/>
      <c r="AK316" s="1089"/>
    </row>
    <row r="317" spans="2:37" s="904" customFormat="1" ht="15" hidden="1" customHeight="1" outlineLevel="1" x14ac:dyDescent="0.25">
      <c r="B317" s="1087"/>
      <c r="C317" s="1088"/>
      <c r="D317" s="1754" t="str">
        <f>$D$26</f>
        <v>Inc. Cost</v>
      </c>
      <c r="E317" s="890" t="s">
        <v>1447</v>
      </c>
      <c r="F317" s="928">
        <v>8</v>
      </c>
      <c r="G317" s="2271"/>
      <c r="H317" s="2271"/>
      <c r="I317" s="2046"/>
      <c r="J317" s="2046"/>
      <c r="K317" s="2046"/>
      <c r="V317" s="926" t="str">
        <f>D317</f>
        <v>Inc. Cost</v>
      </c>
      <c r="W317" s="928">
        <v>8</v>
      </c>
      <c r="X317" s="928">
        <v>8</v>
      </c>
      <c r="Y317" s="1043"/>
      <c r="Z317" s="1043"/>
      <c r="AA317" s="1043"/>
      <c r="AB317" s="1043"/>
      <c r="AC317" s="1043"/>
      <c r="AD317" s="1043"/>
      <c r="AE317" s="1043"/>
      <c r="AF317" s="1043"/>
      <c r="AG317" s="1043"/>
      <c r="AK317" s="1089"/>
    </row>
    <row r="318" spans="2:37" collapsed="1" x14ac:dyDescent="0.25">
      <c r="B318" s="1699"/>
      <c r="C318" s="1700"/>
      <c r="D318" s="1701"/>
      <c r="E318" s="1701"/>
      <c r="F318" s="1699"/>
      <c r="G318" s="1699"/>
      <c r="H318" s="1699"/>
      <c r="I318" s="1699"/>
      <c r="J318" s="1699"/>
      <c r="K318" s="1699"/>
      <c r="L318" s="1699"/>
    </row>
    <row r="319" spans="2:37" x14ac:dyDescent="0.25">
      <c r="B319" s="1699"/>
      <c r="C319" s="1700"/>
      <c r="D319" s="1701"/>
      <c r="E319" s="1701"/>
      <c r="F319" s="1699"/>
      <c r="G319" s="1699"/>
      <c r="H319" s="1699"/>
      <c r="I319" s="1699"/>
      <c r="J319" s="1699"/>
      <c r="K319" s="1699"/>
      <c r="L319" s="1699"/>
    </row>
    <row r="320" spans="2:37" s="165" customFormat="1" x14ac:dyDescent="0.25">
      <c r="B320" s="2022" t="s">
        <v>1694</v>
      </c>
      <c r="C320" s="2023"/>
      <c r="D320" s="2023"/>
      <c r="E320" s="2023"/>
      <c r="F320" s="2023"/>
      <c r="G320" s="2023"/>
      <c r="H320" s="2023"/>
      <c r="I320" s="1992"/>
      <c r="J320" s="1992"/>
      <c r="K320" s="1992"/>
      <c r="L320" s="1992"/>
      <c r="M320" s="1992"/>
      <c r="N320" s="1992"/>
      <c r="O320" s="1992"/>
      <c r="P320" s="1992"/>
      <c r="Q320" s="1993"/>
      <c r="V320" s="2022" t="str">
        <f>B320</f>
        <v>Faucet Aerators (Bathroom)</v>
      </c>
      <c r="W320" s="2023"/>
      <c r="X320" s="2023"/>
      <c r="Y320" s="2023"/>
      <c r="Z320" s="2023"/>
      <c r="AA320" s="2023"/>
      <c r="AB320" s="2023"/>
      <c r="AC320" s="2024"/>
      <c r="AD320" s="2024"/>
      <c r="AE320" s="2024"/>
      <c r="AF320" s="2024"/>
      <c r="AG320" s="2024"/>
      <c r="AH320" s="2024"/>
      <c r="AI320" s="2025"/>
      <c r="AJ320"/>
    </row>
    <row r="321" spans="2:33" ht="18" customHeight="1" x14ac:dyDescent="0.25">
      <c r="B321" s="1699"/>
      <c r="C321" s="1700"/>
      <c r="D321" s="1701"/>
      <c r="E321" s="1701"/>
      <c r="F321" s="1699"/>
      <c r="G321" s="1699"/>
      <c r="H321" s="1699"/>
      <c r="I321" s="1699"/>
      <c r="J321" s="1699"/>
      <c r="K321" s="1699"/>
      <c r="L321" s="1699"/>
    </row>
    <row r="322" spans="2:33" ht="45" x14ac:dyDescent="0.25">
      <c r="B322" s="1699"/>
      <c r="C322" s="184" t="s">
        <v>16</v>
      </c>
      <c r="D322" s="184" t="s">
        <v>509</v>
      </c>
      <c r="E322" s="184" t="s">
        <v>18</v>
      </c>
      <c r="F322" s="184" t="s">
        <v>19</v>
      </c>
      <c r="G322" s="184" t="s">
        <v>20</v>
      </c>
      <c r="H322" s="184" t="s">
        <v>21</v>
      </c>
      <c r="I322" s="184" t="s">
        <v>771</v>
      </c>
      <c r="J322" s="184" t="s">
        <v>22</v>
      </c>
      <c r="K322" s="184" t="s">
        <v>23</v>
      </c>
      <c r="L322" s="184" t="s">
        <v>24</v>
      </c>
      <c r="M322" s="184" t="s">
        <v>25</v>
      </c>
      <c r="V322" s="490" t="s">
        <v>26</v>
      </c>
      <c r="W322" s="49">
        <f>W$6</f>
        <v>43252</v>
      </c>
      <c r="X322" s="49">
        <f t="shared" ref="X322:AG322" si="48">X$6</f>
        <v>43465</v>
      </c>
      <c r="Y322" s="49" t="str">
        <f t="shared" si="48"/>
        <v>-</v>
      </c>
      <c r="Z322" s="49" t="str">
        <f t="shared" si="48"/>
        <v>-</v>
      </c>
      <c r="AA322" s="49" t="str">
        <f t="shared" si="48"/>
        <v>-</v>
      </c>
      <c r="AB322" s="49" t="str">
        <f t="shared" si="48"/>
        <v>-</v>
      </c>
      <c r="AC322" s="49" t="str">
        <f t="shared" si="48"/>
        <v>-</v>
      </c>
      <c r="AD322" s="49" t="str">
        <f t="shared" si="48"/>
        <v>-</v>
      </c>
      <c r="AE322" s="49" t="str">
        <f t="shared" si="48"/>
        <v>-</v>
      </c>
      <c r="AF322" s="49" t="str">
        <f t="shared" si="48"/>
        <v>-</v>
      </c>
      <c r="AG322" s="49" t="str">
        <f t="shared" si="48"/>
        <v>-</v>
      </c>
    </row>
    <row r="323" spans="2:33" x14ac:dyDescent="0.25">
      <c r="B323" s="1699"/>
      <c r="C323" s="115"/>
      <c r="D323" s="1066" t="s">
        <v>1637</v>
      </c>
      <c r="E323" s="1929" t="s">
        <v>1695</v>
      </c>
      <c r="F323" s="123">
        <f>F333*(F334*F335-F336*F337)*F338*F339*F340/F341*I323*F349*F348</f>
        <v>33.473610844079722</v>
      </c>
      <c r="G323" s="1039" t="s">
        <v>513</v>
      </c>
      <c r="H323" s="170">
        <f>VLOOKUP(G323,'CP FACTORS'!$A$3:$B$38, 2, FALSE)</f>
        <v>8.8731800000000003E-5</v>
      </c>
      <c r="I323" s="474">
        <f>F342*F343*(F344-F345)/(F346*F347)</f>
        <v>6.1532825322391571E-2</v>
      </c>
      <c r="J323" s="1397">
        <f>F323*H323</f>
        <v>2.970173742694713E-3</v>
      </c>
      <c r="K323" s="122">
        <f>F350</f>
        <v>10</v>
      </c>
      <c r="L323" s="1063">
        <f>F351</f>
        <v>8</v>
      </c>
      <c r="M323" s="1903" t="s">
        <v>31</v>
      </c>
      <c r="V323" s="621" t="str">
        <f>F322</f>
        <v>kWh Annual Savings</v>
      </c>
      <c r="W323" s="1969">
        <v>33.473610844079722</v>
      </c>
      <c r="X323" s="1212">
        <v>33.473610844079722</v>
      </c>
      <c r="Y323" s="176"/>
      <c r="Z323" s="176"/>
      <c r="AA323" s="176"/>
      <c r="AB323" s="176"/>
      <c r="AC323" s="176"/>
      <c r="AD323" s="176"/>
      <c r="AE323" s="176"/>
      <c r="AF323" s="176"/>
      <c r="AG323" s="176"/>
    </row>
    <row r="324" spans="2:33" hidden="1" outlineLevel="1" x14ac:dyDescent="0.25">
      <c r="B324" s="1699"/>
      <c r="C324" s="1700"/>
      <c r="D324" s="1701"/>
      <c r="E324" s="1701"/>
      <c r="F324" s="1699"/>
      <c r="G324" s="1933"/>
      <c r="H324" s="1699"/>
      <c r="I324" s="1699"/>
      <c r="J324" s="1699"/>
      <c r="K324" s="1699"/>
      <c r="L324" s="1699"/>
    </row>
    <row r="325" spans="2:33" hidden="1" outlineLevel="1" x14ac:dyDescent="0.25">
      <c r="B325" s="1699"/>
      <c r="C325" s="1700"/>
      <c r="D325" s="1418" t="s">
        <v>463</v>
      </c>
      <c r="E325" s="1701"/>
      <c r="F325" s="1699"/>
      <c r="G325" s="1699"/>
      <c r="H325" s="1699"/>
      <c r="I325" s="1699"/>
      <c r="J325" s="1699"/>
      <c r="K325" s="1699"/>
      <c r="L325" s="1699"/>
    </row>
    <row r="326" spans="2:33" hidden="1" outlineLevel="1" x14ac:dyDescent="0.25">
      <c r="B326" s="1699"/>
      <c r="C326" s="1700"/>
      <c r="D326" s="1701"/>
      <c r="E326" s="1701"/>
      <c r="F326" s="1699"/>
      <c r="G326" s="1699"/>
      <c r="H326" s="1699"/>
      <c r="I326" s="1699"/>
      <c r="J326" s="1699"/>
      <c r="K326" s="1699"/>
      <c r="L326" s="1699"/>
    </row>
    <row r="327" spans="2:33" hidden="1" outlineLevel="1" x14ac:dyDescent="0.25">
      <c r="B327" s="1699"/>
      <c r="C327" s="1700"/>
      <c r="D327" s="1701"/>
      <c r="E327" s="1701"/>
      <c r="F327" s="1699"/>
      <c r="G327" s="1699"/>
      <c r="H327" s="1699"/>
      <c r="I327" s="1699"/>
      <c r="J327" s="1699"/>
      <c r="K327" s="1699"/>
      <c r="L327" s="1699"/>
    </row>
    <row r="328" spans="2:33" hidden="1" outlineLevel="1" x14ac:dyDescent="0.25">
      <c r="B328" s="1699"/>
      <c r="C328" s="1700"/>
      <c r="D328" s="1701"/>
      <c r="E328" s="1701"/>
      <c r="F328" s="1699"/>
      <c r="G328" s="1699"/>
      <c r="H328" s="1699"/>
      <c r="I328" s="1699"/>
      <c r="J328" s="1699"/>
      <c r="K328" s="1699"/>
      <c r="L328" s="1699"/>
    </row>
    <row r="329" spans="2:33" hidden="1" outlineLevel="1" x14ac:dyDescent="0.25">
      <c r="B329" s="1699"/>
      <c r="C329" s="1700"/>
      <c r="D329" s="1701"/>
      <c r="E329" s="1701"/>
      <c r="F329" s="1699"/>
      <c r="G329" s="1699"/>
      <c r="H329" s="1699"/>
      <c r="I329" s="1699"/>
      <c r="J329" s="1699"/>
      <c r="K329" s="1699"/>
      <c r="L329" s="1699"/>
    </row>
    <row r="330" spans="2:33" hidden="1" outlineLevel="1" x14ac:dyDescent="0.25">
      <c r="B330" s="1699"/>
      <c r="C330" s="1700"/>
      <c r="D330" s="1701"/>
      <c r="E330" s="1701"/>
      <c r="F330" s="1699"/>
      <c r="G330" s="1699"/>
      <c r="H330" s="1699"/>
      <c r="I330" s="1699"/>
      <c r="J330" s="1699"/>
      <c r="K330" s="1699"/>
      <c r="L330" s="1699"/>
    </row>
    <row r="331" spans="2:33" hidden="1" outlineLevel="1" x14ac:dyDescent="0.25">
      <c r="B331" s="1699"/>
      <c r="C331" s="1700"/>
      <c r="D331" s="1701"/>
      <c r="E331" s="1701"/>
      <c r="F331" s="1699"/>
      <c r="G331" s="1699"/>
      <c r="H331" s="1699"/>
      <c r="I331" s="1699"/>
      <c r="J331" s="1699"/>
      <c r="K331" s="1699"/>
      <c r="L331" s="1699"/>
    </row>
    <row r="332" spans="2:33" ht="15" hidden="1" customHeight="1" outlineLevel="1" x14ac:dyDescent="0.25">
      <c r="B332" s="1699"/>
      <c r="C332" s="1700"/>
      <c r="D332" s="1098" t="s">
        <v>465</v>
      </c>
      <c r="E332" s="1098" t="s">
        <v>466</v>
      </c>
      <c r="F332" s="184" t="s">
        <v>748</v>
      </c>
      <c r="G332" s="2050" t="s">
        <v>749</v>
      </c>
      <c r="H332" s="2050"/>
      <c r="I332" s="2050" t="s">
        <v>468</v>
      </c>
      <c r="J332" s="2050"/>
      <c r="K332" s="184"/>
      <c r="L332" s="1699"/>
      <c r="V332" s="490" t="s">
        <v>26</v>
      </c>
      <c r="W332" s="49">
        <f>W$6</f>
        <v>43252</v>
      </c>
      <c r="X332" s="49">
        <f t="shared" ref="X332:AG332" si="49">X$6</f>
        <v>43465</v>
      </c>
      <c r="Y332" s="49" t="str">
        <f t="shared" si="49"/>
        <v>-</v>
      </c>
      <c r="Z332" s="49" t="str">
        <f t="shared" si="49"/>
        <v>-</v>
      </c>
      <c r="AA332" s="49" t="str">
        <f t="shared" si="49"/>
        <v>-</v>
      </c>
      <c r="AB332" s="49" t="str">
        <f t="shared" si="49"/>
        <v>-</v>
      </c>
      <c r="AC332" s="49" t="str">
        <f t="shared" si="49"/>
        <v>-</v>
      </c>
      <c r="AD332" s="49" t="str">
        <f t="shared" si="49"/>
        <v>-</v>
      </c>
      <c r="AE332" s="49" t="str">
        <f t="shared" si="49"/>
        <v>-</v>
      </c>
      <c r="AF332" s="49" t="str">
        <f t="shared" si="49"/>
        <v>-</v>
      </c>
      <c r="AG332" s="49" t="str">
        <f t="shared" si="49"/>
        <v>-</v>
      </c>
    </row>
    <row r="333" spans="2:33" hidden="1" outlineLevel="1" x14ac:dyDescent="0.25">
      <c r="B333" s="1699"/>
      <c r="C333" s="1700"/>
      <c r="D333" s="890" t="s">
        <v>773</v>
      </c>
      <c r="E333" s="890" t="s">
        <v>774</v>
      </c>
      <c r="F333" s="908">
        <v>1</v>
      </c>
      <c r="G333" s="2271" t="s">
        <v>1367</v>
      </c>
      <c r="H333" s="2271"/>
      <c r="I333" s="2046" t="s">
        <v>1689</v>
      </c>
      <c r="J333" s="2046"/>
      <c r="K333" s="2046"/>
      <c r="L333" s="1699"/>
      <c r="V333" s="890" t="str">
        <f>D333</f>
        <v>%Electric DHW</v>
      </c>
      <c r="W333" s="453">
        <v>1</v>
      </c>
      <c r="X333" s="453">
        <v>1</v>
      </c>
      <c r="Y333" s="453"/>
      <c r="Z333" s="453"/>
      <c r="AA333" s="453"/>
      <c r="AB333" s="453"/>
      <c r="AC333" s="453"/>
      <c r="AD333" s="453"/>
      <c r="AE333" s="453"/>
      <c r="AF333" s="453"/>
      <c r="AG333" s="453"/>
    </row>
    <row r="334" spans="2:33" ht="27.75" hidden="1" customHeight="1" outlineLevel="1" x14ac:dyDescent="0.25">
      <c r="B334" s="1699"/>
      <c r="C334" s="1700"/>
      <c r="D334" s="890" t="s">
        <v>775</v>
      </c>
      <c r="E334" s="890" t="s">
        <v>776</v>
      </c>
      <c r="F334" s="1039">
        <v>2.2000000000000002</v>
      </c>
      <c r="G334" s="2080" t="s">
        <v>777</v>
      </c>
      <c r="H334" s="2080"/>
      <c r="I334" s="2046" t="s">
        <v>1690</v>
      </c>
      <c r="J334" s="2046"/>
      <c r="K334" s="2046"/>
      <c r="L334" s="1699"/>
      <c r="V334" s="890" t="str">
        <f t="shared" ref="V334:V349" si="50">D334</f>
        <v>GPM_base</v>
      </c>
      <c r="W334" s="444">
        <v>2.2000000000000002</v>
      </c>
      <c r="X334" s="444">
        <v>2.2000000000000002</v>
      </c>
      <c r="Y334" s="444"/>
      <c r="Z334" s="444"/>
      <c r="AA334" s="444"/>
      <c r="AB334" s="444"/>
      <c r="AC334" s="444"/>
      <c r="AD334" s="444"/>
      <c r="AE334" s="444"/>
      <c r="AF334" s="444"/>
      <c r="AG334" s="444"/>
    </row>
    <row r="335" spans="2:33" ht="69.75" hidden="1" customHeight="1" outlineLevel="1" x14ac:dyDescent="0.25">
      <c r="B335" s="1699"/>
      <c r="C335" s="1700"/>
      <c r="D335" s="890" t="s">
        <v>778</v>
      </c>
      <c r="E335" s="726" t="s">
        <v>779</v>
      </c>
      <c r="F335" s="1039">
        <v>1.6</v>
      </c>
      <c r="G335" s="2080" t="s">
        <v>809</v>
      </c>
      <c r="H335" s="2080"/>
      <c r="I335" s="2046" t="s">
        <v>1690</v>
      </c>
      <c r="J335" s="2046"/>
      <c r="K335" s="2046"/>
      <c r="L335" s="1699"/>
      <c r="V335" s="890" t="str">
        <f t="shared" si="50"/>
        <v>L_base</v>
      </c>
      <c r="W335" s="444">
        <v>1.6</v>
      </c>
      <c r="X335" s="444">
        <v>1.6</v>
      </c>
      <c r="Y335" s="444"/>
      <c r="Z335" s="444"/>
      <c r="AA335" s="444"/>
      <c r="AB335" s="444"/>
      <c r="AC335" s="444"/>
      <c r="AD335" s="444"/>
      <c r="AE335" s="444"/>
      <c r="AF335" s="444"/>
      <c r="AG335" s="444"/>
    </row>
    <row r="336" spans="2:33" hidden="1" outlineLevel="1" x14ac:dyDescent="0.25">
      <c r="B336" s="1699"/>
      <c r="C336" s="1700"/>
      <c r="D336" s="890" t="s">
        <v>782</v>
      </c>
      <c r="E336" s="890" t="s">
        <v>783</v>
      </c>
      <c r="F336" s="354">
        <v>1.5</v>
      </c>
      <c r="G336" s="2080" t="s">
        <v>391</v>
      </c>
      <c r="H336" s="2080"/>
      <c r="I336" s="2046" t="s">
        <v>1690</v>
      </c>
      <c r="J336" s="2046"/>
      <c r="K336" s="2046"/>
      <c r="L336" s="1699"/>
      <c r="V336" s="890" t="str">
        <f t="shared" si="50"/>
        <v>GPM_low</v>
      </c>
      <c r="W336" s="432">
        <v>1.5</v>
      </c>
      <c r="X336" s="432">
        <v>1.5</v>
      </c>
      <c r="Y336" s="432"/>
      <c r="Z336" s="432"/>
      <c r="AA336" s="432"/>
      <c r="AB336" s="432"/>
      <c r="AC336" s="432"/>
      <c r="AD336" s="432"/>
      <c r="AE336" s="432"/>
      <c r="AF336" s="432"/>
      <c r="AG336" s="432"/>
    </row>
    <row r="337" spans="2:37" ht="72.75" hidden="1" customHeight="1" outlineLevel="1" x14ac:dyDescent="0.25">
      <c r="B337" s="1699"/>
      <c r="C337" s="1700"/>
      <c r="D337" s="890" t="s">
        <v>784</v>
      </c>
      <c r="E337" s="726" t="s">
        <v>785</v>
      </c>
      <c r="F337" s="1039">
        <v>1.6</v>
      </c>
      <c r="G337" s="2080" t="s">
        <v>809</v>
      </c>
      <c r="H337" s="2080"/>
      <c r="I337" s="2046" t="s">
        <v>1690</v>
      </c>
      <c r="J337" s="2046"/>
      <c r="K337" s="2046"/>
      <c r="L337" s="1699"/>
      <c r="V337" s="890" t="str">
        <f t="shared" si="50"/>
        <v>L_low</v>
      </c>
      <c r="W337" s="444">
        <v>1.6</v>
      </c>
      <c r="X337" s="444">
        <v>1.6</v>
      </c>
      <c r="Y337" s="444"/>
      <c r="Z337" s="444"/>
      <c r="AA337" s="444"/>
      <c r="AB337" s="444"/>
      <c r="AC337" s="444"/>
      <c r="AD337" s="444"/>
      <c r="AE337" s="444"/>
      <c r="AF337" s="444"/>
      <c r="AG337" s="444"/>
    </row>
    <row r="338" spans="2:37" ht="45" hidden="1" customHeight="1" outlineLevel="1" x14ac:dyDescent="0.25">
      <c r="B338" s="1699"/>
      <c r="C338" s="1700"/>
      <c r="D338" s="890" t="s">
        <v>528</v>
      </c>
      <c r="E338" s="321" t="s">
        <v>786</v>
      </c>
      <c r="F338" s="1039">
        <v>2.0699999999999998</v>
      </c>
      <c r="G338" s="2080" t="s">
        <v>1691</v>
      </c>
      <c r="H338" s="2080"/>
      <c r="I338" s="2046" t="s">
        <v>1690</v>
      </c>
      <c r="J338" s="2046"/>
      <c r="K338" s="2046"/>
      <c r="L338" s="1699"/>
      <c r="V338" s="890" t="str">
        <f t="shared" si="50"/>
        <v>Household</v>
      </c>
      <c r="W338" s="444">
        <v>2.0699999999999998</v>
      </c>
      <c r="X338" s="444">
        <v>2.0699999999999998</v>
      </c>
      <c r="Y338" s="444"/>
      <c r="Z338" s="444"/>
      <c r="AA338" s="444"/>
      <c r="AB338" s="444"/>
      <c r="AC338" s="444"/>
      <c r="AD338" s="444"/>
      <c r="AE338" s="444"/>
      <c r="AF338" s="444"/>
      <c r="AG338" s="444"/>
    </row>
    <row r="339" spans="2:37" ht="82.5" hidden="1" customHeight="1" outlineLevel="1" x14ac:dyDescent="0.25">
      <c r="B339" s="1699"/>
      <c r="C339" s="1700"/>
      <c r="D339" s="1555" t="s">
        <v>788</v>
      </c>
      <c r="E339" s="1931" t="s">
        <v>789</v>
      </c>
      <c r="F339" s="1150">
        <v>0.9</v>
      </c>
      <c r="G339" s="2134" t="s">
        <v>790</v>
      </c>
      <c r="H339" s="2134"/>
      <c r="I339" s="2046" t="s">
        <v>1690</v>
      </c>
      <c r="J339" s="2046"/>
      <c r="K339" s="2046"/>
      <c r="L339" s="1699"/>
      <c r="V339" s="890" t="str">
        <f t="shared" si="50"/>
        <v>DF</v>
      </c>
      <c r="W339" s="310">
        <v>0.9</v>
      </c>
      <c r="X339" s="310">
        <v>0.9</v>
      </c>
      <c r="Y339" s="310"/>
      <c r="Z339" s="310"/>
      <c r="AA339" s="310"/>
      <c r="AB339" s="310"/>
      <c r="AC339" s="310"/>
      <c r="AD339" s="310"/>
      <c r="AE339" s="310"/>
      <c r="AF339" s="310"/>
      <c r="AG339" s="310"/>
    </row>
    <row r="340" spans="2:37" s="422" customFormat="1" hidden="1" outlineLevel="1" x14ac:dyDescent="0.25">
      <c r="B340" s="1934"/>
      <c r="C340" s="1935"/>
      <c r="D340" s="1555">
        <v>365.25</v>
      </c>
      <c r="E340" s="321" t="s">
        <v>173</v>
      </c>
      <c r="F340" s="52">
        <v>365</v>
      </c>
      <c r="G340" s="2083"/>
      <c r="H340" s="2083"/>
      <c r="I340" s="2046" t="s">
        <v>1690</v>
      </c>
      <c r="J340" s="2046"/>
      <c r="K340" s="2046"/>
      <c r="L340" s="1934"/>
      <c r="M340" s="514"/>
      <c r="N340" s="514"/>
      <c r="O340" s="514"/>
      <c r="P340" s="514"/>
      <c r="Q340" s="514"/>
      <c r="R340" s="514"/>
      <c r="S340" s="514"/>
      <c r="T340" s="514"/>
      <c r="U340" s="514"/>
      <c r="V340" s="890">
        <f t="shared" si="50"/>
        <v>365.25</v>
      </c>
      <c r="W340" s="302">
        <v>365</v>
      </c>
      <c r="X340" s="302">
        <v>365</v>
      </c>
      <c r="Y340" s="302"/>
      <c r="Z340" s="302"/>
      <c r="AA340" s="302"/>
      <c r="AB340" s="302"/>
      <c r="AC340" s="302"/>
      <c r="AD340" s="302"/>
      <c r="AE340" s="302"/>
      <c r="AF340" s="302"/>
      <c r="AG340" s="302"/>
      <c r="AH340"/>
      <c r="AI340"/>
      <c r="AJ340"/>
    </row>
    <row r="341" spans="2:37" s="422" customFormat="1" ht="30" hidden="1" customHeight="1" outlineLevel="1" x14ac:dyDescent="0.25">
      <c r="B341" s="1934"/>
      <c r="C341" s="1935"/>
      <c r="D341" s="1555" t="s">
        <v>791</v>
      </c>
      <c r="E341" s="890" t="s">
        <v>792</v>
      </c>
      <c r="F341" s="504">
        <v>1.4</v>
      </c>
      <c r="G341" s="2271" t="s">
        <v>1692</v>
      </c>
      <c r="H341" s="2271"/>
      <c r="I341" s="2046" t="s">
        <v>1690</v>
      </c>
      <c r="J341" s="2046"/>
      <c r="K341" s="2046"/>
      <c r="L341" s="1934"/>
      <c r="M341" s="514"/>
      <c r="N341" s="514"/>
      <c r="O341" s="514"/>
      <c r="P341" s="514"/>
      <c r="Q341" s="514"/>
      <c r="R341" s="514"/>
      <c r="S341" s="514"/>
      <c r="T341" s="514"/>
      <c r="U341" s="514"/>
      <c r="V341" s="890" t="str">
        <f t="shared" si="50"/>
        <v>FPH</v>
      </c>
      <c r="W341" s="460">
        <v>1.4</v>
      </c>
      <c r="X341" s="460">
        <v>1.4</v>
      </c>
      <c r="Y341" s="460"/>
      <c r="Z341" s="460"/>
      <c r="AA341" s="460"/>
      <c r="AB341" s="460"/>
      <c r="AC341" s="460"/>
      <c r="AD341" s="460"/>
      <c r="AE341" s="460"/>
      <c r="AF341" s="460"/>
      <c r="AG341" s="460"/>
      <c r="AH341"/>
      <c r="AI341"/>
      <c r="AJ341"/>
    </row>
    <row r="342" spans="2:37" s="422" customFormat="1" hidden="1" outlineLevel="1" x14ac:dyDescent="0.25">
      <c r="B342" s="1934"/>
      <c r="C342" s="1935"/>
      <c r="D342" s="1555">
        <v>8.33</v>
      </c>
      <c r="E342" s="1931" t="s">
        <v>793</v>
      </c>
      <c r="F342" s="1150">
        <v>8.33</v>
      </c>
      <c r="G342" s="2397" t="s">
        <v>794</v>
      </c>
      <c r="H342" s="2397"/>
      <c r="I342" s="2046" t="s">
        <v>1690</v>
      </c>
      <c r="J342" s="2046"/>
      <c r="K342" s="2046"/>
      <c r="L342" s="1934"/>
      <c r="M342" s="514"/>
      <c r="N342" s="514"/>
      <c r="O342" s="514"/>
      <c r="P342" s="514"/>
      <c r="Q342" s="514"/>
      <c r="R342" s="514"/>
      <c r="S342" s="514"/>
      <c r="T342" s="514"/>
      <c r="U342" s="514"/>
      <c r="V342" s="890">
        <f t="shared" si="50"/>
        <v>8.33</v>
      </c>
      <c r="W342" s="310">
        <v>8.33</v>
      </c>
      <c r="X342" s="310">
        <v>8.33</v>
      </c>
      <c r="Y342" s="310"/>
      <c r="Z342" s="310"/>
      <c r="AA342" s="310"/>
      <c r="AB342" s="310"/>
      <c r="AC342" s="310"/>
      <c r="AD342" s="310"/>
      <c r="AE342" s="310"/>
      <c r="AF342" s="310"/>
      <c r="AG342" s="310"/>
      <c r="AH342"/>
      <c r="AI342"/>
      <c r="AJ342"/>
    </row>
    <row r="343" spans="2:37" s="422" customFormat="1" ht="30" hidden="1" customHeight="1" outlineLevel="1" x14ac:dyDescent="0.25">
      <c r="B343" s="1934"/>
      <c r="C343" s="1935"/>
      <c r="D343" s="1555">
        <v>1</v>
      </c>
      <c r="E343" s="726" t="s">
        <v>795</v>
      </c>
      <c r="F343" s="1150">
        <v>1</v>
      </c>
      <c r="G343" s="2134" t="s">
        <v>796</v>
      </c>
      <c r="H343" s="2134"/>
      <c r="I343" s="2046" t="s">
        <v>1690</v>
      </c>
      <c r="J343" s="2046"/>
      <c r="K343" s="2046"/>
      <c r="L343" s="1934"/>
      <c r="M343" s="514"/>
      <c r="N343" s="514"/>
      <c r="O343" s="514"/>
      <c r="P343" s="514"/>
      <c r="Q343" s="514"/>
      <c r="R343" s="514"/>
      <c r="S343" s="514"/>
      <c r="T343" s="514"/>
      <c r="U343" s="514"/>
      <c r="V343" s="890">
        <f t="shared" si="50"/>
        <v>1</v>
      </c>
      <c r="W343" s="310">
        <v>1</v>
      </c>
      <c r="X343" s="310">
        <v>1</v>
      </c>
      <c r="Y343" s="310"/>
      <c r="Z343" s="310"/>
      <c r="AA343" s="310"/>
      <c r="AB343" s="310"/>
      <c r="AC343" s="310"/>
      <c r="AD343" s="310"/>
      <c r="AE343" s="310"/>
      <c r="AF343" s="310"/>
      <c r="AG343" s="310"/>
      <c r="AH343"/>
      <c r="AI343"/>
      <c r="AJ343"/>
    </row>
    <row r="344" spans="2:37" s="422" customFormat="1" ht="75.75" hidden="1" customHeight="1" outlineLevel="1" x14ac:dyDescent="0.25">
      <c r="B344" s="1934"/>
      <c r="C344" s="1935"/>
      <c r="D344" s="890" t="s">
        <v>797</v>
      </c>
      <c r="E344" s="321" t="s">
        <v>798</v>
      </c>
      <c r="F344" s="160">
        <v>86</v>
      </c>
      <c r="G344" s="2083" t="s">
        <v>799</v>
      </c>
      <c r="H344" s="2083"/>
      <c r="I344" s="2046" t="s">
        <v>1690</v>
      </c>
      <c r="J344" s="2046"/>
      <c r="K344" s="2046"/>
      <c r="L344" s="1934"/>
      <c r="M344" s="514"/>
      <c r="N344" s="514"/>
      <c r="O344" s="514"/>
      <c r="P344" s="514"/>
      <c r="Q344" s="514"/>
      <c r="R344" s="514"/>
      <c r="S344" s="514"/>
      <c r="T344" s="514"/>
      <c r="U344" s="514"/>
      <c r="V344" s="890" t="str">
        <f t="shared" si="50"/>
        <v>WaterTemp</v>
      </c>
      <c r="W344" s="118">
        <v>86</v>
      </c>
      <c r="X344" s="118">
        <v>86</v>
      </c>
      <c r="Y344" s="118"/>
      <c r="Z344" s="118"/>
      <c r="AA344" s="118"/>
      <c r="AB344" s="118"/>
      <c r="AC344" s="118"/>
      <c r="AD344" s="118"/>
      <c r="AE344" s="118"/>
      <c r="AF344" s="118"/>
      <c r="AG344" s="118"/>
      <c r="AH344"/>
      <c r="AI344"/>
      <c r="AJ344"/>
    </row>
    <row r="345" spans="2:37" s="422" customFormat="1" ht="66.75" hidden="1" customHeight="1" outlineLevel="1" x14ac:dyDescent="0.25">
      <c r="B345" s="1934"/>
      <c r="C345" s="1935"/>
      <c r="D345" s="890" t="s">
        <v>800</v>
      </c>
      <c r="E345" s="321" t="s">
        <v>801</v>
      </c>
      <c r="F345" s="502">
        <v>61.3</v>
      </c>
      <c r="G345" s="2398" t="s">
        <v>802</v>
      </c>
      <c r="H345" s="2398"/>
      <c r="I345" s="2046" t="s">
        <v>1690</v>
      </c>
      <c r="J345" s="2046"/>
      <c r="K345" s="2046"/>
      <c r="L345" s="1934"/>
      <c r="M345" s="514"/>
      <c r="N345" s="514"/>
      <c r="O345" s="514"/>
      <c r="P345" s="514"/>
      <c r="Q345" s="514"/>
      <c r="R345" s="514"/>
      <c r="S345" s="514"/>
      <c r="T345" s="514"/>
      <c r="U345" s="514"/>
      <c r="V345" s="890" t="str">
        <f t="shared" si="50"/>
        <v>SupplyTemp</v>
      </c>
      <c r="W345" s="1090">
        <v>61.3</v>
      </c>
      <c r="X345" s="1090">
        <v>61.3</v>
      </c>
      <c r="Y345" s="1090"/>
      <c r="Z345" s="1090"/>
      <c r="AA345" s="1090"/>
      <c r="AB345" s="1090"/>
      <c r="AC345" s="1090"/>
      <c r="AD345" s="1090"/>
      <c r="AE345" s="1090"/>
      <c r="AF345" s="1090"/>
      <c r="AG345" s="1090"/>
      <c r="AH345"/>
      <c r="AI345"/>
      <c r="AJ345"/>
    </row>
    <row r="346" spans="2:37" s="422" customFormat="1" ht="66.75" hidden="1" customHeight="1" outlineLevel="1" x14ac:dyDescent="0.25">
      <c r="B346" s="1934"/>
      <c r="C346" s="1935"/>
      <c r="D346" s="890" t="s">
        <v>803</v>
      </c>
      <c r="E346" s="726" t="s">
        <v>804</v>
      </c>
      <c r="F346" s="1150">
        <v>0.98</v>
      </c>
      <c r="G346" s="2397" t="s">
        <v>805</v>
      </c>
      <c r="H346" s="2397"/>
      <c r="I346" s="2046" t="s">
        <v>1690</v>
      </c>
      <c r="J346" s="2046"/>
      <c r="K346" s="2046"/>
      <c r="L346" s="1934"/>
      <c r="M346" s="514"/>
      <c r="N346" s="514"/>
      <c r="O346" s="514"/>
      <c r="P346" s="514"/>
      <c r="Q346" s="514"/>
      <c r="R346" s="514"/>
      <c r="S346" s="514"/>
      <c r="T346" s="514"/>
      <c r="U346" s="514"/>
      <c r="V346" s="890" t="str">
        <f t="shared" si="50"/>
        <v>RE_electric</v>
      </c>
      <c r="W346" s="310">
        <v>0.98</v>
      </c>
      <c r="X346" s="310">
        <v>0.98</v>
      </c>
      <c r="Y346" s="310"/>
      <c r="Z346" s="310"/>
      <c r="AA346" s="310"/>
      <c r="AB346" s="310"/>
      <c r="AC346" s="310"/>
      <c r="AD346" s="310"/>
      <c r="AE346" s="310"/>
      <c r="AF346" s="310"/>
      <c r="AG346" s="310"/>
      <c r="AH346"/>
      <c r="AI346"/>
      <c r="AJ346"/>
    </row>
    <row r="347" spans="2:37" s="422" customFormat="1" ht="30" hidden="1" customHeight="1" outlineLevel="1" x14ac:dyDescent="0.25">
      <c r="B347" s="1934"/>
      <c r="C347" s="1935"/>
      <c r="D347" s="890">
        <v>3412</v>
      </c>
      <c r="E347" s="1931" t="s">
        <v>806</v>
      </c>
      <c r="F347" s="1932">
        <v>3412</v>
      </c>
      <c r="G347" s="2397" t="s">
        <v>546</v>
      </c>
      <c r="H347" s="2397"/>
      <c r="I347" s="2046" t="s">
        <v>1690</v>
      </c>
      <c r="J347" s="2046"/>
      <c r="K347" s="2046"/>
      <c r="L347" s="1934"/>
      <c r="M347" s="514"/>
      <c r="N347" s="514"/>
      <c r="O347" s="514"/>
      <c r="P347" s="514"/>
      <c r="Q347" s="514"/>
      <c r="R347" s="514"/>
      <c r="S347" s="514"/>
      <c r="T347" s="514"/>
      <c r="U347" s="514"/>
      <c r="V347" s="890">
        <f t="shared" si="50"/>
        <v>3412</v>
      </c>
      <c r="W347" s="463">
        <v>3412</v>
      </c>
      <c r="X347" s="463">
        <v>3412</v>
      </c>
      <c r="Y347" s="463"/>
      <c r="Z347" s="463"/>
      <c r="AA347" s="463"/>
      <c r="AB347" s="463"/>
      <c r="AC347" s="463"/>
      <c r="AD347" s="463"/>
      <c r="AE347" s="463"/>
      <c r="AF347" s="463"/>
      <c r="AG347" s="463"/>
      <c r="AH347"/>
      <c r="AI347"/>
      <c r="AJ347"/>
    </row>
    <row r="348" spans="2:37" s="422" customFormat="1" hidden="1" outlineLevel="1" x14ac:dyDescent="0.25">
      <c r="B348" s="1934"/>
      <c r="C348" s="1935"/>
      <c r="D348" s="890" t="s">
        <v>736</v>
      </c>
      <c r="E348" s="890" t="s">
        <v>769</v>
      </c>
      <c r="F348" s="908">
        <v>1</v>
      </c>
      <c r="G348" s="2271" t="s">
        <v>1367</v>
      </c>
      <c r="H348" s="2271"/>
      <c r="I348" s="2046" t="s">
        <v>1689</v>
      </c>
      <c r="J348" s="2046"/>
      <c r="K348" s="2046"/>
      <c r="L348" s="1934"/>
      <c r="M348" s="514"/>
      <c r="N348" s="514"/>
      <c r="O348" s="514"/>
      <c r="P348" s="514"/>
      <c r="Q348" s="514"/>
      <c r="R348" s="514"/>
      <c r="S348" s="514"/>
      <c r="T348" s="514"/>
      <c r="U348" s="514"/>
      <c r="V348" s="890" t="str">
        <f t="shared" si="50"/>
        <v>Utility Adjustment</v>
      </c>
      <c r="W348" s="453">
        <v>1</v>
      </c>
      <c r="X348" s="453">
        <v>1</v>
      </c>
      <c r="Y348" s="453"/>
      <c r="Z348" s="453"/>
      <c r="AA348" s="453"/>
      <c r="AB348" s="453"/>
      <c r="AC348" s="453"/>
      <c r="AD348" s="453"/>
      <c r="AE348" s="453"/>
      <c r="AF348" s="453"/>
      <c r="AG348" s="453"/>
      <c r="AH348"/>
      <c r="AI348"/>
      <c r="AJ348"/>
    </row>
    <row r="349" spans="2:37" s="422" customFormat="1" hidden="1" outlineLevel="1" x14ac:dyDescent="0.25">
      <c r="B349" s="1934"/>
      <c r="C349" s="1935"/>
      <c r="D349" s="890" t="s">
        <v>58</v>
      </c>
      <c r="E349" s="890" t="s">
        <v>574</v>
      </c>
      <c r="F349" s="908">
        <v>1</v>
      </c>
      <c r="G349" s="2271" t="s">
        <v>1693</v>
      </c>
      <c r="H349" s="2271"/>
      <c r="I349" s="2046" t="s">
        <v>1690</v>
      </c>
      <c r="J349" s="2046"/>
      <c r="K349" s="2046"/>
      <c r="L349" s="1934"/>
      <c r="M349" s="514"/>
      <c r="N349" s="514"/>
      <c r="O349" s="514"/>
      <c r="P349" s="514"/>
      <c r="Q349" s="514"/>
      <c r="R349" s="514"/>
      <c r="S349" s="514"/>
      <c r="T349" s="514"/>
      <c r="U349" s="514"/>
      <c r="V349" s="890" t="str">
        <f t="shared" si="50"/>
        <v>ISR</v>
      </c>
      <c r="W349" s="453">
        <v>1</v>
      </c>
      <c r="X349" s="453">
        <v>1</v>
      </c>
      <c r="Y349" s="453"/>
      <c r="Z349" s="453"/>
      <c r="AA349" s="453"/>
      <c r="AB349" s="453"/>
      <c r="AC349" s="453"/>
      <c r="AD349" s="453"/>
      <c r="AE349" s="453"/>
      <c r="AF349" s="453"/>
      <c r="AG349" s="453"/>
      <c r="AH349"/>
      <c r="AI349"/>
      <c r="AJ349"/>
    </row>
    <row r="350" spans="2:37" s="904" customFormat="1" ht="15" hidden="1" customHeight="1" outlineLevel="1" x14ac:dyDescent="0.25">
      <c r="B350" s="1087"/>
      <c r="C350" s="1088"/>
      <c r="D350" s="1754" t="str">
        <f>$D$25</f>
        <v>EUL</v>
      </c>
      <c r="E350" s="890" t="s">
        <v>483</v>
      </c>
      <c r="F350" s="912">
        <v>10</v>
      </c>
      <c r="G350" s="2271"/>
      <c r="H350" s="2271"/>
      <c r="I350" s="2046"/>
      <c r="J350" s="2046"/>
      <c r="K350" s="2046"/>
      <c r="V350" s="926" t="str">
        <f>D350</f>
        <v>EUL</v>
      </c>
      <c r="W350" s="912">
        <v>10</v>
      </c>
      <c r="X350" s="912">
        <v>10</v>
      </c>
      <c r="Y350" s="1043"/>
      <c r="Z350" s="1043"/>
      <c r="AA350" s="1043"/>
      <c r="AB350" s="1043"/>
      <c r="AC350" s="1043"/>
      <c r="AD350" s="1043"/>
      <c r="AE350" s="1043"/>
      <c r="AF350" s="1043"/>
      <c r="AG350" s="1043"/>
      <c r="AK350" s="1089"/>
    </row>
    <row r="351" spans="2:37" s="904" customFormat="1" ht="15" hidden="1" customHeight="1" outlineLevel="1" x14ac:dyDescent="0.25">
      <c r="B351" s="1087"/>
      <c r="C351" s="1088"/>
      <c r="D351" s="1754" t="str">
        <f>$D$26</f>
        <v>Inc. Cost</v>
      </c>
      <c r="E351" s="890" t="s">
        <v>1447</v>
      </c>
      <c r="F351" s="928">
        <v>8</v>
      </c>
      <c r="G351" s="2271"/>
      <c r="H351" s="2271"/>
      <c r="I351" s="2046"/>
      <c r="J351" s="2046"/>
      <c r="K351" s="2046"/>
      <c r="V351" s="926" t="str">
        <f>D351</f>
        <v>Inc. Cost</v>
      </c>
      <c r="W351" s="928">
        <v>8</v>
      </c>
      <c r="X351" s="928">
        <v>8</v>
      </c>
      <c r="Y351" s="1043"/>
      <c r="Z351" s="1043"/>
      <c r="AA351" s="1043"/>
      <c r="AB351" s="1043"/>
      <c r="AC351" s="1043"/>
      <c r="AD351" s="1043"/>
      <c r="AE351" s="1043"/>
      <c r="AF351" s="1043"/>
      <c r="AG351" s="1043"/>
      <c r="AK351" s="1089"/>
    </row>
    <row r="352" spans="2:37" s="422" customFormat="1" collapsed="1" x14ac:dyDescent="0.25">
      <c r="B352" s="1934"/>
      <c r="C352" s="1935"/>
      <c r="D352" s="1861"/>
      <c r="E352" s="1861"/>
      <c r="F352" s="907"/>
      <c r="G352" s="1936"/>
      <c r="H352" s="1699"/>
      <c r="I352" s="1699"/>
      <c r="J352" s="1937"/>
      <c r="K352" s="1937"/>
      <c r="L352" s="1934"/>
      <c r="M352" s="514"/>
      <c r="N352" s="514"/>
      <c r="O352" s="514"/>
      <c r="P352" s="514"/>
      <c r="Q352" s="514"/>
      <c r="R352" s="514"/>
      <c r="S352" s="514"/>
      <c r="T352" s="514"/>
      <c r="U352" s="514"/>
      <c r="V352" s="130"/>
      <c r="W352"/>
      <c r="X352"/>
      <c r="Y352"/>
      <c r="Z352"/>
      <c r="AA352"/>
      <c r="AB352"/>
      <c r="AC352"/>
      <c r="AD352"/>
      <c r="AE352"/>
      <c r="AF352"/>
      <c r="AG352"/>
      <c r="AH352"/>
      <c r="AI352"/>
      <c r="AJ352"/>
    </row>
    <row r="353" spans="2:36" x14ac:dyDescent="0.25">
      <c r="B353" s="1699"/>
      <c r="C353" s="1700"/>
      <c r="D353" s="1701"/>
      <c r="E353" s="1701"/>
      <c r="F353" s="1699"/>
      <c r="G353" s="1699"/>
      <c r="H353" s="1699"/>
      <c r="I353" s="1699"/>
      <c r="J353" s="1699"/>
      <c r="K353" s="1699"/>
      <c r="L353" s="1699"/>
    </row>
    <row r="354" spans="2:36" s="165" customFormat="1" x14ac:dyDescent="0.25">
      <c r="B354" s="2022" t="s">
        <v>1696</v>
      </c>
      <c r="C354" s="2023"/>
      <c r="D354" s="2023"/>
      <c r="E354" s="2023"/>
      <c r="F354" s="2023"/>
      <c r="G354" s="2023"/>
      <c r="H354" s="2023"/>
      <c r="I354" s="1992"/>
      <c r="J354" s="1992"/>
      <c r="K354" s="1992"/>
      <c r="L354" s="1992"/>
      <c r="M354" s="1992"/>
      <c r="N354" s="1992"/>
      <c r="O354" s="1992"/>
      <c r="P354" s="1992"/>
      <c r="Q354" s="1993"/>
      <c r="V354" s="2022" t="str">
        <f>B354</f>
        <v>Low Flow Showerhead</v>
      </c>
      <c r="W354" s="2023"/>
      <c r="X354" s="2023"/>
      <c r="Y354" s="2023"/>
      <c r="Z354" s="2023"/>
      <c r="AA354" s="2023"/>
      <c r="AB354" s="2023"/>
      <c r="AC354" s="2024"/>
      <c r="AD354" s="2024"/>
      <c r="AE354" s="2024"/>
      <c r="AF354" s="2024"/>
      <c r="AG354" s="2024"/>
      <c r="AH354" s="2024"/>
      <c r="AI354" s="2025"/>
      <c r="AJ354"/>
    </row>
    <row r="356" spans="2:36" ht="45" x14ac:dyDescent="0.25">
      <c r="C356" s="184" t="s">
        <v>16</v>
      </c>
      <c r="D356" s="184" t="s">
        <v>509</v>
      </c>
      <c r="E356" s="184" t="s">
        <v>18</v>
      </c>
      <c r="F356" s="184" t="s">
        <v>19</v>
      </c>
      <c r="G356" s="184" t="s">
        <v>20</v>
      </c>
      <c r="H356" s="184" t="s">
        <v>21</v>
      </c>
      <c r="I356" s="184" t="s">
        <v>771</v>
      </c>
      <c r="J356" s="184" t="s">
        <v>22</v>
      </c>
      <c r="K356" s="184" t="s">
        <v>23</v>
      </c>
      <c r="L356" s="184" t="s">
        <v>24</v>
      </c>
      <c r="M356" s="184" t="s">
        <v>25</v>
      </c>
      <c r="O356" s="251"/>
      <c r="P356" s="251"/>
      <c r="V356" s="490" t="s">
        <v>26</v>
      </c>
      <c r="W356" s="49">
        <f>W$6</f>
        <v>43252</v>
      </c>
      <c r="X356" s="49">
        <f t="shared" ref="X356:AG356" si="51">X$6</f>
        <v>43465</v>
      </c>
      <c r="Y356" s="49" t="str">
        <f t="shared" si="51"/>
        <v>-</v>
      </c>
      <c r="Z356" s="49" t="str">
        <f t="shared" si="51"/>
        <v>-</v>
      </c>
      <c r="AA356" s="49" t="str">
        <f t="shared" si="51"/>
        <v>-</v>
      </c>
      <c r="AB356" s="49" t="str">
        <f t="shared" si="51"/>
        <v>-</v>
      </c>
      <c r="AC356" s="49" t="str">
        <f t="shared" si="51"/>
        <v>-</v>
      </c>
      <c r="AD356" s="49" t="str">
        <f t="shared" si="51"/>
        <v>-</v>
      </c>
      <c r="AE356" s="49" t="str">
        <f t="shared" si="51"/>
        <v>-</v>
      </c>
      <c r="AF356" s="49" t="str">
        <f t="shared" si="51"/>
        <v>-</v>
      </c>
      <c r="AG356" s="49" t="str">
        <f t="shared" si="51"/>
        <v>-</v>
      </c>
    </row>
    <row r="357" spans="2:36" x14ac:dyDescent="0.25">
      <c r="C357" s="115"/>
      <c r="D357" s="1066" t="s">
        <v>1637</v>
      </c>
      <c r="E357" s="321" t="s">
        <v>1697</v>
      </c>
      <c r="F357" s="160">
        <f>F367*(F368*F369-F370*F371)*F372*F373*F374/F375*I357*F383*F382</f>
        <v>204.74086651832664</v>
      </c>
      <c r="G357" s="1039" t="s">
        <v>513</v>
      </c>
      <c r="H357" s="170">
        <f>VLOOKUP(G357,'CP FACTORS'!$A$3:$B$38, 2, FALSE)</f>
        <v>8.8731800000000003E-5</v>
      </c>
      <c r="I357" s="474">
        <f>F376*F377*(F378-F379)/(F380*F381)</f>
        <v>0.10886576787807739</v>
      </c>
      <c r="J357" s="1397">
        <f>F357*H357</f>
        <v>1.8167025619730857E-2</v>
      </c>
      <c r="K357" s="123">
        <f>F384</f>
        <v>10</v>
      </c>
      <c r="L357" s="1063">
        <f>F386</f>
        <v>7</v>
      </c>
      <c r="M357" s="1903" t="s">
        <v>31</v>
      </c>
      <c r="O357" s="251"/>
      <c r="P357" s="251"/>
      <c r="V357" s="621" t="str">
        <f>F356</f>
        <v>kWh Annual Savings</v>
      </c>
      <c r="W357" s="1969">
        <v>204.74086651832664</v>
      </c>
      <c r="X357" s="1212">
        <v>204.74086651832664</v>
      </c>
      <c r="Y357" s="176"/>
      <c r="Z357" s="176"/>
      <c r="AA357" s="176"/>
      <c r="AB357" s="176"/>
      <c r="AC357" s="176"/>
      <c r="AD357" s="176"/>
      <c r="AE357" s="176"/>
      <c r="AF357" s="176"/>
      <c r="AG357" s="176"/>
    </row>
    <row r="358" spans="2:36" hidden="1" outlineLevel="1" x14ac:dyDescent="0.25">
      <c r="B358" s="1699"/>
      <c r="C358" s="1700"/>
      <c r="D358" s="1938"/>
      <c r="E358" s="1938"/>
      <c r="F358" s="1939"/>
      <c r="G358" s="1940"/>
      <c r="H358" s="1939"/>
      <c r="I358" s="1941"/>
      <c r="J358" s="1941"/>
      <c r="K358" s="1941"/>
      <c r="L358" s="1942"/>
      <c r="O358" s="251"/>
      <c r="P358" s="251"/>
    </row>
    <row r="359" spans="2:36" hidden="1" outlineLevel="1" x14ac:dyDescent="0.25">
      <c r="B359" s="1699"/>
      <c r="C359" s="1700"/>
      <c r="D359" s="1418" t="s">
        <v>463</v>
      </c>
      <c r="E359" s="1701"/>
      <c r="F359" s="1699"/>
      <c r="G359" s="1699"/>
      <c r="H359" s="1699"/>
      <c r="I359" s="1699"/>
      <c r="J359" s="1699"/>
      <c r="K359" s="1699"/>
      <c r="L359" s="1699"/>
      <c r="O359" s="251"/>
      <c r="P359" s="251"/>
    </row>
    <row r="360" spans="2:36" hidden="1" outlineLevel="1" x14ac:dyDescent="0.25">
      <c r="B360" s="1699"/>
      <c r="C360" s="1700"/>
      <c r="D360" s="1701"/>
      <c r="E360" s="1701"/>
      <c r="F360" s="1699"/>
      <c r="G360" s="1699"/>
      <c r="H360" s="1699"/>
      <c r="I360" s="1699"/>
      <c r="J360" s="1699"/>
      <c r="K360" s="1699"/>
      <c r="L360" s="1699"/>
    </row>
    <row r="361" spans="2:36" hidden="1" outlineLevel="1" x14ac:dyDescent="0.25">
      <c r="B361" s="1699"/>
      <c r="C361" s="1700"/>
      <c r="D361" s="1701"/>
      <c r="E361" s="1701"/>
      <c r="F361" s="1699"/>
      <c r="G361" s="1699"/>
      <c r="H361" s="1699"/>
      <c r="I361" s="1699"/>
      <c r="J361" s="1699"/>
      <c r="K361" s="1699"/>
      <c r="L361" s="1699"/>
    </row>
    <row r="362" spans="2:36" hidden="1" outlineLevel="1" x14ac:dyDescent="0.25">
      <c r="B362" s="1699"/>
      <c r="C362" s="1700"/>
      <c r="D362" s="1701"/>
      <c r="E362" s="1701"/>
      <c r="F362" s="1699"/>
      <c r="G362" s="1699"/>
      <c r="H362" s="1699"/>
      <c r="I362" s="1699"/>
      <c r="J362" s="1699"/>
      <c r="K362" s="1699"/>
      <c r="L362" s="1699"/>
    </row>
    <row r="363" spans="2:36" hidden="1" outlineLevel="1" x14ac:dyDescent="0.25">
      <c r="B363" s="1699"/>
      <c r="C363" s="1700"/>
      <c r="D363" s="1701"/>
      <c r="E363" s="1701"/>
      <c r="F363" s="1699"/>
      <c r="G363" s="1699"/>
      <c r="H363" s="1699"/>
      <c r="I363" s="1699"/>
      <c r="J363" s="1699"/>
      <c r="K363" s="1699"/>
      <c r="L363" s="1699"/>
    </row>
    <row r="364" spans="2:36" hidden="1" outlineLevel="1" x14ac:dyDescent="0.25">
      <c r="B364" s="1699"/>
      <c r="C364" s="1700"/>
      <c r="D364" s="1701"/>
      <c r="E364" s="1701"/>
      <c r="F364" s="1699"/>
      <c r="G364" s="1699"/>
      <c r="H364" s="1699"/>
      <c r="I364" s="1699"/>
      <c r="J364" s="1699"/>
      <c r="K364" s="1699"/>
      <c r="L364" s="1699"/>
      <c r="M364" s="165"/>
      <c r="N364" s="165"/>
      <c r="O364" s="165"/>
      <c r="P364" s="165"/>
      <c r="Q364" s="165"/>
      <c r="R364" s="165"/>
      <c r="S364" s="165"/>
      <c r="T364" s="165"/>
      <c r="U364" s="165"/>
    </row>
    <row r="365" spans="2:36" hidden="1" outlineLevel="1" x14ac:dyDescent="0.25">
      <c r="B365" s="1699"/>
      <c r="C365" s="1700"/>
      <c r="D365" s="1701"/>
      <c r="E365" s="1701"/>
      <c r="F365" s="1699"/>
      <c r="G365" s="1699"/>
      <c r="H365" s="1699"/>
      <c r="I365" s="1699"/>
      <c r="J365" s="1699"/>
      <c r="K365" s="1699"/>
      <c r="L365" s="1699"/>
      <c r="M365" s="165"/>
      <c r="N365" s="165"/>
      <c r="O365" s="165"/>
      <c r="P365" s="165"/>
      <c r="Q365" s="165"/>
      <c r="R365" s="165"/>
      <c r="S365" s="165"/>
      <c r="T365" s="165"/>
      <c r="U365" s="165"/>
    </row>
    <row r="366" spans="2:36" ht="15" hidden="1" customHeight="1" outlineLevel="1" x14ac:dyDescent="0.25">
      <c r="B366" s="1699"/>
      <c r="C366" s="1700"/>
      <c r="D366" s="1098" t="s">
        <v>465</v>
      </c>
      <c r="E366" s="1098" t="s">
        <v>466</v>
      </c>
      <c r="F366" s="184" t="s">
        <v>467</v>
      </c>
      <c r="G366" s="2050" t="s">
        <v>515</v>
      </c>
      <c r="H366" s="2050"/>
      <c r="I366" s="2075" t="s">
        <v>468</v>
      </c>
      <c r="J366" s="2081"/>
      <c r="K366" s="2076"/>
      <c r="L366" s="1699"/>
      <c r="M366" s="165"/>
      <c r="N366" s="165"/>
      <c r="O366" s="165"/>
      <c r="P366" s="165"/>
      <c r="Q366" s="165"/>
      <c r="R366" s="165"/>
      <c r="S366" s="165"/>
      <c r="T366" s="165"/>
      <c r="U366" s="165"/>
      <c r="V366" s="490" t="s">
        <v>26</v>
      </c>
      <c r="W366" s="49">
        <f>W$6</f>
        <v>43252</v>
      </c>
      <c r="X366" s="49">
        <f t="shared" ref="X366:AG366" si="52">X$6</f>
        <v>43465</v>
      </c>
      <c r="Y366" s="49" t="str">
        <f t="shared" si="52"/>
        <v>-</v>
      </c>
      <c r="Z366" s="49" t="str">
        <f t="shared" si="52"/>
        <v>-</v>
      </c>
      <c r="AA366" s="49" t="str">
        <f t="shared" si="52"/>
        <v>-</v>
      </c>
      <c r="AB366" s="49" t="str">
        <f t="shared" si="52"/>
        <v>-</v>
      </c>
      <c r="AC366" s="49" t="str">
        <f t="shared" si="52"/>
        <v>-</v>
      </c>
      <c r="AD366" s="49" t="str">
        <f t="shared" si="52"/>
        <v>-</v>
      </c>
      <c r="AE366" s="49" t="str">
        <f t="shared" si="52"/>
        <v>-</v>
      </c>
      <c r="AF366" s="49" t="str">
        <f t="shared" si="52"/>
        <v>-</v>
      </c>
      <c r="AG366" s="49" t="str">
        <f t="shared" si="52"/>
        <v>-</v>
      </c>
    </row>
    <row r="367" spans="2:36" hidden="1" outlineLevel="1" x14ac:dyDescent="0.25">
      <c r="B367" s="1699"/>
      <c r="C367" s="1700"/>
      <c r="D367" s="890" t="s">
        <v>773</v>
      </c>
      <c r="E367" s="890" t="s">
        <v>774</v>
      </c>
      <c r="F367" s="481">
        <v>1</v>
      </c>
      <c r="G367" s="2271" t="s">
        <v>1367</v>
      </c>
      <c r="H367" s="2271"/>
      <c r="I367" s="2046" t="s">
        <v>1689</v>
      </c>
      <c r="J367" s="2046"/>
      <c r="K367" s="2046"/>
      <c r="L367" s="1699"/>
      <c r="M367" s="907"/>
      <c r="N367" s="907"/>
      <c r="O367" s="165"/>
      <c r="P367" s="165"/>
      <c r="Q367" s="165"/>
      <c r="R367" s="165"/>
      <c r="S367" s="165"/>
      <c r="T367" s="165"/>
      <c r="U367" s="907"/>
      <c r="V367" s="807" t="str">
        <f>D367</f>
        <v>%Electric DHW</v>
      </c>
      <c r="W367" s="451">
        <v>1</v>
      </c>
      <c r="X367" s="451">
        <v>1</v>
      </c>
      <c r="Y367" s="451"/>
      <c r="Z367" s="451"/>
      <c r="AA367" s="451"/>
      <c r="AB367" s="451"/>
      <c r="AC367" s="451"/>
      <c r="AD367" s="451"/>
      <c r="AE367" s="451"/>
      <c r="AF367" s="451"/>
      <c r="AG367" s="451"/>
    </row>
    <row r="368" spans="2:36" hidden="1" outlineLevel="1" x14ac:dyDescent="0.25">
      <c r="B368" s="1699"/>
      <c r="C368" s="1700"/>
      <c r="D368" s="890" t="s">
        <v>775</v>
      </c>
      <c r="E368" s="890" t="s">
        <v>812</v>
      </c>
      <c r="F368" s="52">
        <v>2.67</v>
      </c>
      <c r="G368" s="2304" t="s">
        <v>1698</v>
      </c>
      <c r="H368" s="2305"/>
      <c r="I368" s="2345" t="s">
        <v>1699</v>
      </c>
      <c r="J368" s="2351"/>
      <c r="K368" s="2352"/>
      <c r="L368" s="1699"/>
      <c r="M368" s="305"/>
      <c r="N368" s="305"/>
      <c r="O368" s="165"/>
      <c r="P368" s="165"/>
      <c r="Q368" s="165"/>
      <c r="R368" s="165"/>
      <c r="S368" s="165"/>
      <c r="T368" s="165"/>
      <c r="U368" s="305"/>
      <c r="V368" s="807" t="str">
        <f t="shared" ref="V368:V383" si="53">D368</f>
        <v>GPM_base</v>
      </c>
      <c r="W368" s="302">
        <v>2.67</v>
      </c>
      <c r="X368" s="302">
        <v>2.67</v>
      </c>
      <c r="Y368" s="302"/>
      <c r="Z368" s="302"/>
      <c r="AA368" s="302"/>
      <c r="AB368" s="302"/>
      <c r="AC368" s="302"/>
      <c r="AD368" s="302"/>
      <c r="AE368" s="302"/>
      <c r="AF368" s="302"/>
      <c r="AG368" s="302"/>
    </row>
    <row r="369" spans="2:37" ht="63.75" hidden="1" customHeight="1" outlineLevel="1" x14ac:dyDescent="0.25">
      <c r="B369" s="1699"/>
      <c r="C369" s="1700"/>
      <c r="D369" s="890" t="s">
        <v>778</v>
      </c>
      <c r="E369" s="890" t="s">
        <v>814</v>
      </c>
      <c r="F369" s="52">
        <v>8.66</v>
      </c>
      <c r="G369" s="2304" t="s">
        <v>1700</v>
      </c>
      <c r="H369" s="2305"/>
      <c r="I369" s="2345" t="s">
        <v>1699</v>
      </c>
      <c r="J369" s="2351"/>
      <c r="K369" s="2352"/>
      <c r="L369" s="1699"/>
      <c r="M369" s="305"/>
      <c r="N369" s="305"/>
      <c r="O369" s="165"/>
      <c r="P369" s="165"/>
      <c r="Q369" s="165"/>
      <c r="R369" s="165"/>
      <c r="S369" s="165"/>
      <c r="T369" s="165"/>
      <c r="U369" s="305"/>
      <c r="V369" s="807" t="str">
        <f t="shared" si="53"/>
        <v>L_base</v>
      </c>
      <c r="W369" s="302">
        <v>8.66</v>
      </c>
      <c r="X369" s="302">
        <v>8.66</v>
      </c>
      <c r="Y369" s="302"/>
      <c r="Z369" s="302"/>
      <c r="AA369" s="302"/>
      <c r="AB369" s="302"/>
      <c r="AC369" s="302"/>
      <c r="AD369" s="302"/>
      <c r="AE369" s="302"/>
      <c r="AF369" s="302"/>
      <c r="AG369" s="302"/>
    </row>
    <row r="370" spans="2:37" s="422" customFormat="1" ht="45" hidden="1" customHeight="1" outlineLevel="1" x14ac:dyDescent="0.25">
      <c r="B370" s="1934"/>
      <c r="C370" s="1935"/>
      <c r="D370" s="890" t="s">
        <v>782</v>
      </c>
      <c r="E370" s="890" t="s">
        <v>816</v>
      </c>
      <c r="F370" s="160">
        <v>2</v>
      </c>
      <c r="G370" s="2304" t="s">
        <v>1701</v>
      </c>
      <c r="H370" s="2305"/>
      <c r="I370" s="2345" t="s">
        <v>1699</v>
      </c>
      <c r="J370" s="2351"/>
      <c r="K370" s="2352"/>
      <c r="L370" s="1699"/>
      <c r="M370" s="1868"/>
      <c r="N370" s="1868"/>
      <c r="O370" s="1943"/>
      <c r="P370" s="1943"/>
      <c r="Q370" s="1943"/>
      <c r="R370" s="1943"/>
      <c r="S370" s="1943"/>
      <c r="T370" s="1943"/>
      <c r="U370" s="1868"/>
      <c r="V370" s="807" t="str">
        <f t="shared" si="53"/>
        <v>GPM_low</v>
      </c>
      <c r="W370" s="118">
        <v>2</v>
      </c>
      <c r="X370" s="118">
        <v>2</v>
      </c>
      <c r="Y370" s="118"/>
      <c r="Z370" s="118"/>
      <c r="AA370" s="118"/>
      <c r="AB370" s="118"/>
      <c r="AC370" s="118"/>
      <c r="AD370" s="118"/>
      <c r="AE370" s="118"/>
      <c r="AF370" s="118"/>
      <c r="AG370" s="118"/>
      <c r="AH370"/>
      <c r="AI370"/>
      <c r="AJ370"/>
    </row>
    <row r="371" spans="2:37" ht="72.75" hidden="1" customHeight="1" outlineLevel="1" x14ac:dyDescent="0.25">
      <c r="B371" s="1699"/>
      <c r="C371" s="1700"/>
      <c r="D371" s="890" t="s">
        <v>784</v>
      </c>
      <c r="E371" s="890" t="s">
        <v>817</v>
      </c>
      <c r="F371" s="52">
        <v>8.66</v>
      </c>
      <c r="G371" s="2304" t="s">
        <v>1700</v>
      </c>
      <c r="H371" s="2305"/>
      <c r="I371" s="2345" t="s">
        <v>1699</v>
      </c>
      <c r="J371" s="2351"/>
      <c r="K371" s="2352"/>
      <c r="L371" s="1699"/>
      <c r="M371" s="305"/>
      <c r="N371" s="305"/>
      <c r="O371" s="165"/>
      <c r="P371" s="165"/>
      <c r="Q371" s="165"/>
      <c r="R371" s="165"/>
      <c r="S371" s="165"/>
      <c r="T371" s="165"/>
      <c r="U371" s="305"/>
      <c r="V371" s="807" t="str">
        <f t="shared" si="53"/>
        <v>L_low</v>
      </c>
      <c r="W371" s="302">
        <v>8.66</v>
      </c>
      <c r="X371" s="302">
        <v>8.66</v>
      </c>
      <c r="Y371" s="302"/>
      <c r="Z371" s="302"/>
      <c r="AA371" s="302"/>
      <c r="AB371" s="302"/>
      <c r="AC371" s="302"/>
      <c r="AD371" s="302"/>
      <c r="AE371" s="302"/>
      <c r="AF371" s="302"/>
      <c r="AG371" s="302"/>
    </row>
    <row r="372" spans="2:37" ht="27" hidden="1" customHeight="1" outlineLevel="1" x14ac:dyDescent="0.25">
      <c r="B372" s="1699"/>
      <c r="C372" s="1700"/>
      <c r="D372" s="890" t="s">
        <v>528</v>
      </c>
      <c r="E372" s="890" t="s">
        <v>818</v>
      </c>
      <c r="F372" s="52">
        <v>2.0699999999999998</v>
      </c>
      <c r="G372" s="2304" t="s">
        <v>972</v>
      </c>
      <c r="H372" s="2305"/>
      <c r="I372" s="2345" t="s">
        <v>1699</v>
      </c>
      <c r="J372" s="2351"/>
      <c r="K372" s="2352"/>
      <c r="L372" s="1699"/>
      <c r="M372" s="305"/>
      <c r="N372" s="305"/>
      <c r="O372" s="165"/>
      <c r="P372" s="165"/>
      <c r="Q372" s="165"/>
      <c r="R372" s="165"/>
      <c r="S372" s="165"/>
      <c r="T372" s="165"/>
      <c r="U372" s="305"/>
      <c r="V372" s="807" t="str">
        <f t="shared" si="53"/>
        <v>Household</v>
      </c>
      <c r="W372" s="302">
        <v>2.0699999999999998</v>
      </c>
      <c r="X372" s="302">
        <v>2.0699999999999998</v>
      </c>
      <c r="Y372" s="302"/>
      <c r="Z372" s="302"/>
      <c r="AA372" s="302"/>
      <c r="AB372" s="302"/>
      <c r="AC372" s="302"/>
      <c r="AD372" s="302"/>
      <c r="AE372" s="302"/>
      <c r="AF372" s="302"/>
      <c r="AG372" s="302"/>
    </row>
    <row r="373" spans="2:37" ht="64.5" hidden="1" customHeight="1" outlineLevel="1" x14ac:dyDescent="0.25">
      <c r="B373" s="1699"/>
      <c r="C373" s="1700"/>
      <c r="D373" s="890" t="s">
        <v>819</v>
      </c>
      <c r="E373" s="890" t="s">
        <v>820</v>
      </c>
      <c r="F373" s="52">
        <v>0.66</v>
      </c>
      <c r="G373" s="2304" t="s">
        <v>1700</v>
      </c>
      <c r="H373" s="2305"/>
      <c r="I373" s="2345" t="s">
        <v>1699</v>
      </c>
      <c r="J373" s="2351"/>
      <c r="K373" s="2352"/>
      <c r="L373" s="1699"/>
      <c r="M373" s="305"/>
      <c r="N373" s="305"/>
      <c r="O373" s="165"/>
      <c r="P373" s="165"/>
      <c r="Q373" s="165"/>
      <c r="R373" s="165"/>
      <c r="S373" s="165"/>
      <c r="T373" s="165"/>
      <c r="U373" s="305"/>
      <c r="V373" s="807" t="str">
        <f t="shared" si="53"/>
        <v>SPDC</v>
      </c>
      <c r="W373" s="302">
        <v>0.66</v>
      </c>
      <c r="X373" s="302">
        <v>0.66</v>
      </c>
      <c r="Y373" s="302"/>
      <c r="Z373" s="302"/>
      <c r="AA373" s="302"/>
      <c r="AB373" s="302"/>
      <c r="AC373" s="302"/>
      <c r="AD373" s="302"/>
      <c r="AE373" s="302"/>
      <c r="AF373" s="302"/>
      <c r="AG373" s="302"/>
    </row>
    <row r="374" spans="2:37" ht="30" hidden="1" customHeight="1" outlineLevel="1" x14ac:dyDescent="0.25">
      <c r="B374" s="1699"/>
      <c r="C374" s="1700"/>
      <c r="D374" s="890">
        <v>365.25</v>
      </c>
      <c r="E374" s="890" t="s">
        <v>822</v>
      </c>
      <c r="F374" s="52">
        <v>365</v>
      </c>
      <c r="G374" s="2304" t="s">
        <v>760</v>
      </c>
      <c r="H374" s="2305"/>
      <c r="I374" s="2345" t="s">
        <v>1699</v>
      </c>
      <c r="J374" s="2351"/>
      <c r="K374" s="2352"/>
      <c r="L374" s="1699"/>
      <c r="M374" s="305"/>
      <c r="N374" s="305"/>
      <c r="O374" s="165"/>
      <c r="P374" s="165"/>
      <c r="Q374" s="165"/>
      <c r="R374" s="165"/>
      <c r="S374" s="165"/>
      <c r="T374" s="165"/>
      <c r="U374" s="305"/>
      <c r="V374" s="807">
        <f t="shared" si="53"/>
        <v>365.25</v>
      </c>
      <c r="W374" s="302">
        <v>365</v>
      </c>
      <c r="X374" s="302">
        <v>365</v>
      </c>
      <c r="Y374" s="302"/>
      <c r="Z374" s="302"/>
      <c r="AA374" s="302"/>
      <c r="AB374" s="302"/>
      <c r="AC374" s="302"/>
      <c r="AD374" s="302"/>
      <c r="AE374" s="302"/>
      <c r="AF374" s="302"/>
      <c r="AG374" s="302"/>
    </row>
    <row r="375" spans="2:37" ht="33.75" hidden="1" customHeight="1" outlineLevel="1" x14ac:dyDescent="0.25">
      <c r="B375" s="1699"/>
      <c r="C375" s="1700"/>
      <c r="D375" s="890" t="s">
        <v>823</v>
      </c>
      <c r="E375" s="890" t="s">
        <v>824</v>
      </c>
      <c r="F375" s="160">
        <v>1.4</v>
      </c>
      <c r="G375" s="2304" t="s">
        <v>972</v>
      </c>
      <c r="H375" s="2305"/>
      <c r="I375" s="2345" t="s">
        <v>1699</v>
      </c>
      <c r="J375" s="2351"/>
      <c r="K375" s="2352"/>
      <c r="L375" s="1699"/>
      <c r="M375" s="1868"/>
      <c r="N375" s="1868"/>
      <c r="O375" s="165"/>
      <c r="P375" s="165"/>
      <c r="Q375" s="165"/>
      <c r="R375" s="165"/>
      <c r="S375" s="165"/>
      <c r="T375" s="165"/>
      <c r="U375" s="1868"/>
      <c r="V375" s="807" t="str">
        <f t="shared" si="53"/>
        <v>SPH</v>
      </c>
      <c r="W375" s="118">
        <v>1.4</v>
      </c>
      <c r="X375" s="118">
        <v>1.4</v>
      </c>
      <c r="Y375" s="118"/>
      <c r="Z375" s="118"/>
      <c r="AA375" s="118"/>
      <c r="AB375" s="118"/>
      <c r="AC375" s="118"/>
      <c r="AD375" s="118"/>
      <c r="AE375" s="118"/>
      <c r="AF375" s="118"/>
      <c r="AG375" s="118"/>
    </row>
    <row r="376" spans="2:37" ht="15" hidden="1" customHeight="1" outlineLevel="1" x14ac:dyDescent="0.25">
      <c r="B376" s="1699"/>
      <c r="C376" s="1700"/>
      <c r="D376" s="890">
        <v>8.33</v>
      </c>
      <c r="E376" s="906" t="s">
        <v>793</v>
      </c>
      <c r="F376" s="52">
        <v>8.33</v>
      </c>
      <c r="G376" s="2299" t="s">
        <v>794</v>
      </c>
      <c r="H376" s="2300"/>
      <c r="I376" s="2345" t="s">
        <v>1699</v>
      </c>
      <c r="J376" s="2351"/>
      <c r="K376" s="2352"/>
      <c r="L376" s="1699"/>
      <c r="M376" s="305"/>
      <c r="N376" s="305"/>
      <c r="O376" s="165"/>
      <c r="P376" s="165"/>
      <c r="Q376" s="165"/>
      <c r="R376" s="165"/>
      <c r="S376" s="165"/>
      <c r="T376" s="165"/>
      <c r="U376" s="305"/>
      <c r="V376" s="807">
        <f t="shared" si="53"/>
        <v>8.33</v>
      </c>
      <c r="W376" s="302">
        <v>8.33</v>
      </c>
      <c r="X376" s="302">
        <v>8.33</v>
      </c>
      <c r="Y376" s="302"/>
      <c r="Z376" s="302"/>
      <c r="AA376" s="302"/>
      <c r="AB376" s="302"/>
      <c r="AC376" s="302"/>
      <c r="AD376" s="302"/>
      <c r="AE376" s="302"/>
      <c r="AF376" s="302"/>
      <c r="AG376" s="302"/>
    </row>
    <row r="377" spans="2:37" ht="30" hidden="1" customHeight="1" outlineLevel="1" x14ac:dyDescent="0.25">
      <c r="B377" s="1699"/>
      <c r="C377" s="1700"/>
      <c r="D377" s="890">
        <v>1</v>
      </c>
      <c r="E377" s="890" t="s">
        <v>795</v>
      </c>
      <c r="F377" s="52">
        <v>1</v>
      </c>
      <c r="G377" s="2304" t="s">
        <v>796</v>
      </c>
      <c r="H377" s="2305"/>
      <c r="I377" s="2345" t="s">
        <v>1699</v>
      </c>
      <c r="J377" s="2351"/>
      <c r="K377" s="2352"/>
      <c r="L377" s="1699"/>
      <c r="M377" s="305"/>
      <c r="N377" s="305"/>
      <c r="O377" s="165"/>
      <c r="P377" s="165"/>
      <c r="Q377" s="165"/>
      <c r="R377" s="165"/>
      <c r="S377" s="165"/>
      <c r="T377" s="165"/>
      <c r="U377" s="305"/>
      <c r="V377" s="807">
        <f t="shared" si="53"/>
        <v>1</v>
      </c>
      <c r="W377" s="302">
        <v>1</v>
      </c>
      <c r="X377" s="302">
        <v>1</v>
      </c>
      <c r="Y377" s="302"/>
      <c r="Z377" s="302"/>
      <c r="AA377" s="302"/>
      <c r="AB377" s="302"/>
      <c r="AC377" s="302"/>
      <c r="AD377" s="302"/>
      <c r="AE377" s="302"/>
      <c r="AF377" s="302"/>
      <c r="AG377" s="302"/>
    </row>
    <row r="378" spans="2:37" ht="90.75" hidden="1" customHeight="1" outlineLevel="1" x14ac:dyDescent="0.25">
      <c r="B378" s="1699"/>
      <c r="C378" s="1700"/>
      <c r="D378" s="890" t="s">
        <v>825</v>
      </c>
      <c r="E378" s="890" t="s">
        <v>826</v>
      </c>
      <c r="F378" s="52">
        <v>105</v>
      </c>
      <c r="G378" s="2304" t="s">
        <v>827</v>
      </c>
      <c r="H378" s="2305"/>
      <c r="I378" s="2345" t="s">
        <v>1699</v>
      </c>
      <c r="J378" s="2351"/>
      <c r="K378" s="2352"/>
      <c r="L378" s="1699"/>
      <c r="M378" s="305"/>
      <c r="N378" s="305"/>
      <c r="O378" s="165"/>
      <c r="P378" s="165"/>
      <c r="Q378" s="165"/>
      <c r="R378" s="165"/>
      <c r="S378" s="165"/>
      <c r="T378" s="165"/>
      <c r="U378" s="305"/>
      <c r="V378" s="807" t="str">
        <f t="shared" si="53"/>
        <v>ShowerTemp</v>
      </c>
      <c r="W378" s="302">
        <v>105</v>
      </c>
      <c r="X378" s="302">
        <v>105</v>
      </c>
      <c r="Y378" s="302"/>
      <c r="Z378" s="302"/>
      <c r="AA378" s="302"/>
      <c r="AB378" s="302"/>
      <c r="AC378" s="302"/>
      <c r="AD378" s="302"/>
      <c r="AE378" s="302"/>
      <c r="AF378" s="302"/>
      <c r="AG378" s="302"/>
    </row>
    <row r="379" spans="2:37" s="422" customFormat="1" ht="67.5" hidden="1" customHeight="1" outlineLevel="1" x14ac:dyDescent="0.25">
      <c r="B379" s="1934"/>
      <c r="C379" s="1935"/>
      <c r="D379" s="890" t="s">
        <v>800</v>
      </c>
      <c r="E379" s="890" t="s">
        <v>801</v>
      </c>
      <c r="F379" s="52">
        <v>61.3</v>
      </c>
      <c r="G379" s="2304" t="s">
        <v>802</v>
      </c>
      <c r="H379" s="2305"/>
      <c r="I379" s="2345" t="s">
        <v>1699</v>
      </c>
      <c r="J379" s="2351"/>
      <c r="K379" s="2352"/>
      <c r="L379" s="1699"/>
      <c r="M379" s="305"/>
      <c r="N379" s="305"/>
      <c r="O379" s="1943"/>
      <c r="P379" s="1943"/>
      <c r="Q379" s="1943"/>
      <c r="R379" s="1943"/>
      <c r="S379" s="1943"/>
      <c r="T379" s="1943"/>
      <c r="U379" s="305"/>
      <c r="V379" s="807" t="str">
        <f t="shared" si="53"/>
        <v>SupplyTemp</v>
      </c>
      <c r="W379" s="302">
        <v>61.3</v>
      </c>
      <c r="X379" s="302">
        <v>61.3</v>
      </c>
      <c r="Y379" s="302"/>
      <c r="Z379" s="302"/>
      <c r="AA379" s="302"/>
      <c r="AB379" s="302"/>
      <c r="AC379" s="302"/>
      <c r="AD379" s="302"/>
      <c r="AE379" s="302"/>
      <c r="AF379" s="302"/>
      <c r="AG379" s="302"/>
      <c r="AH379"/>
      <c r="AI379"/>
      <c r="AJ379"/>
    </row>
    <row r="380" spans="2:37" s="422" customFormat="1" ht="62.25" hidden="1" customHeight="1" outlineLevel="1" x14ac:dyDescent="0.25">
      <c r="B380" s="1934"/>
      <c r="C380" s="1935"/>
      <c r="D380" s="890" t="s">
        <v>803</v>
      </c>
      <c r="E380" s="890" t="s">
        <v>804</v>
      </c>
      <c r="F380" s="52">
        <v>0.98</v>
      </c>
      <c r="G380" s="2299" t="s">
        <v>805</v>
      </c>
      <c r="H380" s="2300"/>
      <c r="I380" s="2345" t="s">
        <v>1699</v>
      </c>
      <c r="J380" s="2351"/>
      <c r="K380" s="2352"/>
      <c r="L380" s="1699"/>
      <c r="M380" s="305"/>
      <c r="N380" s="305"/>
      <c r="O380" s="1943"/>
      <c r="P380" s="1943"/>
      <c r="Q380" s="1943"/>
      <c r="R380" s="1943"/>
      <c r="S380" s="1943"/>
      <c r="T380" s="1943"/>
      <c r="U380" s="305"/>
      <c r="V380" s="807" t="str">
        <f t="shared" si="53"/>
        <v>RE_electric</v>
      </c>
      <c r="W380" s="302">
        <v>0.98</v>
      </c>
      <c r="X380" s="302">
        <v>0.98</v>
      </c>
      <c r="Y380" s="302"/>
      <c r="Z380" s="302"/>
      <c r="AA380" s="302"/>
      <c r="AB380" s="302"/>
      <c r="AC380" s="302"/>
      <c r="AD380" s="302"/>
      <c r="AE380" s="302"/>
      <c r="AF380" s="302"/>
      <c r="AG380" s="302"/>
      <c r="AH380"/>
      <c r="AI380"/>
      <c r="AJ380"/>
    </row>
    <row r="381" spans="2:37" s="422" customFormat="1" ht="30" hidden="1" customHeight="1" outlineLevel="1" x14ac:dyDescent="0.25">
      <c r="B381" s="1934"/>
      <c r="C381" s="1935"/>
      <c r="D381" s="890">
        <v>3412</v>
      </c>
      <c r="E381" s="906" t="s">
        <v>806</v>
      </c>
      <c r="F381" s="506">
        <v>3412</v>
      </c>
      <c r="G381" s="2299" t="s">
        <v>546</v>
      </c>
      <c r="H381" s="2300"/>
      <c r="I381" s="2345" t="s">
        <v>1699</v>
      </c>
      <c r="J381" s="2351"/>
      <c r="K381" s="2352"/>
      <c r="L381" s="1699"/>
      <c r="M381" s="1944"/>
      <c r="N381" s="1944"/>
      <c r="O381" s="1943"/>
      <c r="P381" s="1943"/>
      <c r="Q381" s="1943"/>
      <c r="R381" s="1943"/>
      <c r="S381" s="1943"/>
      <c r="T381" s="1943"/>
      <c r="U381" s="1944"/>
      <c r="V381" s="807">
        <f t="shared" si="53"/>
        <v>3412</v>
      </c>
      <c r="W381" s="461">
        <v>3412</v>
      </c>
      <c r="X381" s="461">
        <v>3412</v>
      </c>
      <c r="Y381" s="461"/>
      <c r="Z381" s="461"/>
      <c r="AA381" s="461"/>
      <c r="AB381" s="461"/>
      <c r="AC381" s="461"/>
      <c r="AD381" s="461"/>
      <c r="AE381" s="461"/>
      <c r="AF381" s="461"/>
      <c r="AG381" s="461"/>
      <c r="AH381"/>
      <c r="AI381"/>
      <c r="AJ381"/>
    </row>
    <row r="382" spans="2:37" ht="15" hidden="1" customHeight="1" outlineLevel="1" x14ac:dyDescent="0.25">
      <c r="B382" s="1699"/>
      <c r="C382" s="1700"/>
      <c r="D382" s="890" t="s">
        <v>736</v>
      </c>
      <c r="E382" s="890" t="s">
        <v>769</v>
      </c>
      <c r="F382" s="481">
        <v>1</v>
      </c>
      <c r="G382" s="2304" t="s">
        <v>1367</v>
      </c>
      <c r="H382" s="2305"/>
      <c r="I382" s="2084" t="s">
        <v>1689</v>
      </c>
      <c r="J382" s="2287"/>
      <c r="K382" s="2085"/>
      <c r="L382" s="1699"/>
      <c r="M382" s="907"/>
      <c r="N382" s="907"/>
      <c r="O382" s="165"/>
      <c r="P382" s="165"/>
      <c r="Q382" s="165"/>
      <c r="R382" s="165"/>
      <c r="S382" s="165"/>
      <c r="T382" s="165"/>
      <c r="U382" s="907"/>
      <c r="V382" s="807" t="str">
        <f t="shared" si="53"/>
        <v>Utility Adjustment</v>
      </c>
      <c r="W382" s="451">
        <v>1</v>
      </c>
      <c r="X382" s="451">
        <v>1</v>
      </c>
      <c r="Y382" s="451"/>
      <c r="Z382" s="451"/>
      <c r="AA382" s="451"/>
      <c r="AB382" s="451"/>
      <c r="AC382" s="451"/>
      <c r="AD382" s="451"/>
      <c r="AE382" s="451"/>
      <c r="AF382" s="451"/>
      <c r="AG382" s="451"/>
    </row>
    <row r="383" spans="2:37" ht="33.75" hidden="1" customHeight="1" outlineLevel="1" x14ac:dyDescent="0.25">
      <c r="B383" s="1699"/>
      <c r="C383" s="1700"/>
      <c r="D383" s="890" t="s">
        <v>58</v>
      </c>
      <c r="E383" s="890" t="s">
        <v>574</v>
      </c>
      <c r="F383" s="481">
        <v>0.91</v>
      </c>
      <c r="G383" s="2304" t="s">
        <v>1506</v>
      </c>
      <c r="H383" s="2305"/>
      <c r="I383" s="2345" t="s">
        <v>1699</v>
      </c>
      <c r="J383" s="2351"/>
      <c r="K383" s="2352"/>
      <c r="L383" s="1699"/>
      <c r="M383" s="907"/>
      <c r="N383" s="907"/>
      <c r="O383" s="165"/>
      <c r="P383" s="165"/>
      <c r="Q383" s="165"/>
      <c r="R383" s="165"/>
      <c r="S383" s="165"/>
      <c r="T383" s="165"/>
      <c r="U383" s="907"/>
      <c r="V383" s="807" t="str">
        <f t="shared" si="53"/>
        <v>ISR</v>
      </c>
      <c r="W383" s="451">
        <v>0.91</v>
      </c>
      <c r="X383" s="451">
        <v>0.91</v>
      </c>
      <c r="Y383" s="451"/>
      <c r="Z383" s="451"/>
      <c r="AA383" s="451"/>
      <c r="AB383" s="451"/>
      <c r="AC383" s="451"/>
      <c r="AD383" s="451"/>
      <c r="AE383" s="451"/>
      <c r="AF383" s="451"/>
      <c r="AG383" s="451"/>
    </row>
    <row r="384" spans="2:37" s="904" customFormat="1" ht="15" hidden="1" customHeight="1" outlineLevel="1" x14ac:dyDescent="0.25">
      <c r="B384" s="1087"/>
      <c r="C384" s="1088"/>
      <c r="D384" s="1754" t="str">
        <f>$D$25</f>
        <v>EUL</v>
      </c>
      <c r="E384" s="890" t="s">
        <v>483</v>
      </c>
      <c r="F384" s="912">
        <v>10</v>
      </c>
      <c r="G384" s="2271"/>
      <c r="H384" s="2271"/>
      <c r="I384" s="2046"/>
      <c r="J384" s="2046"/>
      <c r="K384" s="2046"/>
      <c r="V384" s="926" t="str">
        <f>D384</f>
        <v>EUL</v>
      </c>
      <c r="W384" s="912">
        <v>10</v>
      </c>
      <c r="X384" s="912">
        <v>10</v>
      </c>
      <c r="Y384" s="912"/>
      <c r="Z384" s="912"/>
      <c r="AA384" s="912"/>
      <c r="AB384" s="912"/>
      <c r="AC384" s="912"/>
      <c r="AD384" s="912"/>
      <c r="AE384" s="912"/>
      <c r="AF384" s="912"/>
      <c r="AG384" s="912"/>
      <c r="AK384" s="1089"/>
    </row>
    <row r="385" spans="2:37" s="904" customFormat="1" ht="15" hidden="1" customHeight="1" outlineLevel="1" x14ac:dyDescent="0.25">
      <c r="B385" s="1087"/>
      <c r="C385" s="1088"/>
      <c r="D385" s="1754" t="str">
        <f>$D$26</f>
        <v>Inc. Cost</v>
      </c>
      <c r="E385" s="890" t="s">
        <v>1702</v>
      </c>
      <c r="F385" s="928">
        <v>15.33</v>
      </c>
      <c r="G385" s="2271"/>
      <c r="H385" s="2271"/>
      <c r="I385" s="2046"/>
      <c r="J385" s="2046"/>
      <c r="K385" s="2046"/>
      <c r="V385" s="926" t="str">
        <f>D385</f>
        <v>Inc. Cost</v>
      </c>
      <c r="W385" s="928">
        <v>15.33</v>
      </c>
      <c r="X385" s="928">
        <v>15.33</v>
      </c>
      <c r="Y385" s="928"/>
      <c r="Z385" s="928"/>
      <c r="AA385" s="928"/>
      <c r="AB385" s="928"/>
      <c r="AC385" s="928"/>
      <c r="AD385" s="928"/>
      <c r="AE385" s="928"/>
      <c r="AF385" s="928"/>
      <c r="AG385" s="928"/>
      <c r="AK385" s="1089"/>
    </row>
    <row r="386" spans="2:37" s="904" customFormat="1" ht="15" hidden="1" customHeight="1" outlineLevel="1" x14ac:dyDescent="0.25">
      <c r="B386" s="1087"/>
      <c r="C386" s="1088"/>
      <c r="D386" s="1754" t="str">
        <f>$D$26</f>
        <v>Inc. Cost</v>
      </c>
      <c r="E386" s="890" t="s">
        <v>1703</v>
      </c>
      <c r="F386" s="928">
        <v>7</v>
      </c>
      <c r="G386" s="2271"/>
      <c r="H386" s="2271"/>
      <c r="I386" s="2046"/>
      <c r="J386" s="2046"/>
      <c r="K386" s="2046"/>
      <c r="V386" s="926" t="str">
        <f>D386</f>
        <v>Inc. Cost</v>
      </c>
      <c r="W386" s="928">
        <v>7</v>
      </c>
      <c r="X386" s="928">
        <v>7</v>
      </c>
      <c r="Y386" s="928"/>
      <c r="Z386" s="928"/>
      <c r="AA386" s="928"/>
      <c r="AB386" s="928"/>
      <c r="AC386" s="928"/>
      <c r="AD386" s="928"/>
      <c r="AE386" s="928"/>
      <c r="AF386" s="928"/>
      <c r="AG386" s="928"/>
      <c r="AK386" s="1089"/>
    </row>
    <row r="387" spans="2:37" collapsed="1" x14ac:dyDescent="0.25">
      <c r="B387" s="1699"/>
      <c r="C387" s="1700"/>
      <c r="D387" s="1701"/>
      <c r="E387" s="1701"/>
      <c r="F387" s="1699"/>
      <c r="G387" s="1699"/>
      <c r="H387" s="1699"/>
      <c r="I387" s="1699"/>
      <c r="J387" s="1699"/>
      <c r="K387" s="1699"/>
      <c r="L387" s="1699"/>
    </row>
    <row r="388" spans="2:37" x14ac:dyDescent="0.25">
      <c r="B388" s="1699"/>
      <c r="C388" s="1700"/>
      <c r="D388" s="1701"/>
      <c r="E388" s="1701"/>
      <c r="F388" s="1699"/>
      <c r="G388" s="1699"/>
      <c r="H388" s="1699"/>
      <c r="I388" s="1699"/>
      <c r="J388" s="1699"/>
      <c r="K388" s="1699"/>
      <c r="L388" s="1699"/>
    </row>
    <row r="389" spans="2:37" x14ac:dyDescent="0.25">
      <c r="B389" s="2022" t="s">
        <v>858</v>
      </c>
      <c r="C389" s="2023"/>
      <c r="D389" s="2023"/>
      <c r="E389" s="2023"/>
      <c r="F389" s="2023"/>
      <c r="G389" s="2023"/>
      <c r="H389" s="2023"/>
      <c r="I389" s="1992"/>
      <c r="J389" s="1992"/>
      <c r="K389" s="1992"/>
      <c r="L389" s="1992"/>
      <c r="M389" s="1992"/>
      <c r="N389" s="1992"/>
      <c r="O389" s="1992"/>
      <c r="P389" s="1992"/>
      <c r="Q389" s="1993"/>
      <c r="V389" s="2022" t="str">
        <f>B389</f>
        <v>Advanced Power Strips Tier 1  / Load Sensing</v>
      </c>
      <c r="W389" s="2023"/>
      <c r="X389" s="2023"/>
      <c r="Y389" s="2023"/>
      <c r="Z389" s="2023"/>
      <c r="AA389" s="2023"/>
      <c r="AB389" s="2023"/>
      <c r="AC389" s="2024"/>
      <c r="AD389" s="2024"/>
      <c r="AE389" s="2024"/>
      <c r="AF389" s="2024"/>
      <c r="AG389" s="2024"/>
      <c r="AH389" s="2024"/>
      <c r="AI389" s="2025"/>
    </row>
    <row r="391" spans="2:37" ht="45" x14ac:dyDescent="0.25">
      <c r="C391" s="184" t="s">
        <v>16</v>
      </c>
      <c r="D391" s="184" t="s">
        <v>509</v>
      </c>
      <c r="E391" s="184" t="s">
        <v>18</v>
      </c>
      <c r="F391" s="184" t="s">
        <v>19</v>
      </c>
      <c r="G391" s="184" t="s">
        <v>20</v>
      </c>
      <c r="H391" s="184" t="s">
        <v>21</v>
      </c>
      <c r="I391" s="184" t="s">
        <v>22</v>
      </c>
      <c r="J391" s="184" t="s">
        <v>23</v>
      </c>
      <c r="K391" s="184" t="s">
        <v>24</v>
      </c>
      <c r="L391" s="184" t="s">
        <v>25</v>
      </c>
      <c r="V391" s="490" t="s">
        <v>26</v>
      </c>
      <c r="W391" s="49">
        <f>W$6</f>
        <v>43252</v>
      </c>
      <c r="X391" s="49">
        <f t="shared" ref="X391:AG391" si="54">X$6</f>
        <v>43465</v>
      </c>
      <c r="Y391" s="49" t="str">
        <f t="shared" si="54"/>
        <v>-</v>
      </c>
      <c r="Z391" s="49" t="str">
        <f t="shared" si="54"/>
        <v>-</v>
      </c>
      <c r="AA391" s="49" t="str">
        <f t="shared" si="54"/>
        <v>-</v>
      </c>
      <c r="AB391" s="49" t="str">
        <f t="shared" si="54"/>
        <v>-</v>
      </c>
      <c r="AC391" s="49" t="str">
        <f t="shared" si="54"/>
        <v>-</v>
      </c>
      <c r="AD391" s="49" t="str">
        <f t="shared" si="54"/>
        <v>-</v>
      </c>
      <c r="AE391" s="49" t="str">
        <f t="shared" si="54"/>
        <v>-</v>
      </c>
      <c r="AF391" s="49" t="str">
        <f t="shared" si="54"/>
        <v>-</v>
      </c>
      <c r="AG391" s="49" t="str">
        <f t="shared" si="54"/>
        <v>-</v>
      </c>
    </row>
    <row r="392" spans="2:37" x14ac:dyDescent="0.25">
      <c r="C392" s="115"/>
      <c r="D392" s="1066" t="s">
        <v>1637</v>
      </c>
      <c r="E392" s="321" t="s">
        <v>1573</v>
      </c>
      <c r="F392" s="123">
        <f>(F406*F408+G406*G408)*H409</f>
        <v>31</v>
      </c>
      <c r="G392" s="311" t="s">
        <v>641</v>
      </c>
      <c r="H392" s="170">
        <f>VLOOKUP(G392,'CP FACTORS'!$A$3:$B$38, 2, FALSE)</f>
        <v>1.148238E-4</v>
      </c>
      <c r="I392" s="1397">
        <f t="shared" ref="I392:I397" si="55">F392*H392</f>
        <v>3.5595378E-3</v>
      </c>
      <c r="J392" s="122">
        <f>$F$411</f>
        <v>10</v>
      </c>
      <c r="K392" s="1063">
        <f>$F$412</f>
        <v>20</v>
      </c>
      <c r="L392" s="1903" t="s">
        <v>31</v>
      </c>
      <c r="V392" s="621" t="str">
        <f>F391</f>
        <v>kWh Annual Savings</v>
      </c>
      <c r="W392" s="1956">
        <v>31</v>
      </c>
      <c r="X392" s="1956">
        <v>31</v>
      </c>
      <c r="Y392" s="443"/>
      <c r="Z392" s="443"/>
      <c r="AA392" s="443"/>
      <c r="AB392" s="443"/>
      <c r="AC392" s="443"/>
      <c r="AD392" s="443"/>
      <c r="AE392" s="443"/>
      <c r="AF392" s="443"/>
      <c r="AG392" s="443"/>
    </row>
    <row r="393" spans="2:37" x14ac:dyDescent="0.25">
      <c r="C393" s="115"/>
      <c r="D393" s="1066" t="s">
        <v>1637</v>
      </c>
      <c r="E393" s="321" t="s">
        <v>1574</v>
      </c>
      <c r="F393" s="123">
        <f>(F406*F408+G406*G408)*I409</f>
        <v>24.18</v>
      </c>
      <c r="G393" s="311" t="s">
        <v>641</v>
      </c>
      <c r="H393" s="170">
        <f>VLOOKUP(G393,'CP FACTORS'!$A$3:$B$38, 2, FALSE)</f>
        <v>1.148238E-4</v>
      </c>
      <c r="I393" s="1397">
        <f t="shared" si="55"/>
        <v>2.7764394839999997E-3</v>
      </c>
      <c r="J393" s="122">
        <f t="shared" ref="J393:J397" si="56">$F$411</f>
        <v>10</v>
      </c>
      <c r="K393" s="1063">
        <f t="shared" ref="K393:K397" si="57">$F$412</f>
        <v>20</v>
      </c>
      <c r="L393" s="1903" t="s">
        <v>31</v>
      </c>
      <c r="V393" s="621" t="str">
        <f>V392</f>
        <v>kWh Annual Savings</v>
      </c>
      <c r="W393" s="1956">
        <v>24.18</v>
      </c>
      <c r="X393" s="1956">
        <v>24.18</v>
      </c>
      <c r="Y393" s="443"/>
      <c r="Z393" s="443"/>
      <c r="AA393" s="443"/>
      <c r="AB393" s="443"/>
      <c r="AC393" s="443"/>
      <c r="AD393" s="443"/>
      <c r="AE393" s="443"/>
      <c r="AF393" s="443"/>
      <c r="AG393" s="443"/>
    </row>
    <row r="394" spans="2:37" x14ac:dyDescent="0.25">
      <c r="C394" s="414"/>
      <c r="D394" s="1066" t="s">
        <v>1637</v>
      </c>
      <c r="E394" s="321" t="s">
        <v>1575</v>
      </c>
      <c r="F394" s="123">
        <f>(F406*F407+G406*G407)*H409</f>
        <v>75.099999999999994</v>
      </c>
      <c r="G394" s="311" t="s">
        <v>641</v>
      </c>
      <c r="H394" s="170">
        <f>VLOOKUP(G394,'CP FACTORS'!$A$3:$B$38, 2, FALSE)</f>
        <v>1.148238E-4</v>
      </c>
      <c r="I394" s="1397">
        <f t="shared" si="55"/>
        <v>8.6232673799999989E-3</v>
      </c>
      <c r="J394" s="122">
        <f t="shared" si="56"/>
        <v>10</v>
      </c>
      <c r="K394" s="1063">
        <f t="shared" si="57"/>
        <v>20</v>
      </c>
      <c r="L394" s="1903" t="s">
        <v>31</v>
      </c>
      <c r="V394" s="621" t="str">
        <f t="shared" ref="V394:V397" si="58">V393</f>
        <v>kWh Annual Savings</v>
      </c>
      <c r="W394" s="1956">
        <v>75.099999999999994</v>
      </c>
      <c r="X394" s="1956">
        <v>75.099999999999994</v>
      </c>
      <c r="Y394" s="443"/>
      <c r="Z394" s="443"/>
      <c r="AA394" s="443"/>
      <c r="AB394" s="443"/>
      <c r="AC394" s="443"/>
      <c r="AD394" s="443"/>
      <c r="AE394" s="443"/>
      <c r="AF394" s="443"/>
      <c r="AG394" s="443"/>
    </row>
    <row r="395" spans="2:37" x14ac:dyDescent="0.25">
      <c r="C395" s="115"/>
      <c r="D395" s="1066" t="s">
        <v>1637</v>
      </c>
      <c r="E395" s="321" t="s">
        <v>1576</v>
      </c>
      <c r="F395" s="123">
        <f>(F406*F407+G406*G407)*I409</f>
        <v>58.577999999999996</v>
      </c>
      <c r="G395" s="311" t="s">
        <v>641</v>
      </c>
      <c r="H395" s="170">
        <f>VLOOKUP(G395,'CP FACTORS'!$A$3:$B$38, 2, FALSE)</f>
        <v>1.148238E-4</v>
      </c>
      <c r="I395" s="1397">
        <f t="shared" si="55"/>
        <v>6.7261485563999994E-3</v>
      </c>
      <c r="J395" s="122">
        <f t="shared" si="56"/>
        <v>10</v>
      </c>
      <c r="K395" s="1063">
        <f t="shared" si="57"/>
        <v>20</v>
      </c>
      <c r="L395" s="1903" t="s">
        <v>31</v>
      </c>
      <c r="V395" s="621" t="str">
        <f t="shared" si="58"/>
        <v>kWh Annual Savings</v>
      </c>
      <c r="W395" s="1956">
        <v>58.577999999999996</v>
      </c>
      <c r="X395" s="1956">
        <v>58.577999999999996</v>
      </c>
      <c r="Y395" s="443"/>
      <c r="Z395" s="443"/>
      <c r="AA395" s="443"/>
      <c r="AB395" s="443"/>
      <c r="AC395" s="443"/>
      <c r="AD395" s="443"/>
      <c r="AE395" s="443"/>
      <c r="AF395" s="443"/>
      <c r="AG395" s="443"/>
    </row>
    <row r="396" spans="2:37" x14ac:dyDescent="0.25">
      <c r="C396" s="115"/>
      <c r="D396" s="1066" t="s">
        <v>1637</v>
      </c>
      <c r="E396" s="321" t="s">
        <v>1577</v>
      </c>
      <c r="F396" s="123">
        <f>(F406*H408+G406*H407)*H409</f>
        <v>59.224000000000004</v>
      </c>
      <c r="G396" s="311" t="s">
        <v>641</v>
      </c>
      <c r="H396" s="170">
        <f>VLOOKUP(G396,'CP FACTORS'!$A$3:$B$38, 2, FALSE)</f>
        <v>1.148238E-4</v>
      </c>
      <c r="I396" s="1397">
        <f t="shared" si="55"/>
        <v>6.8003247311999998E-3</v>
      </c>
      <c r="J396" s="122">
        <f t="shared" si="56"/>
        <v>10</v>
      </c>
      <c r="K396" s="1063">
        <f t="shared" si="57"/>
        <v>20</v>
      </c>
      <c r="L396" s="1903" t="s">
        <v>31</v>
      </c>
      <c r="V396" s="621" t="str">
        <f t="shared" si="58"/>
        <v>kWh Annual Savings</v>
      </c>
      <c r="W396" s="1956">
        <v>59.224000000000004</v>
      </c>
      <c r="X396" s="1956">
        <v>59.224000000000004</v>
      </c>
      <c r="Y396" s="443"/>
      <c r="Z396" s="443"/>
      <c r="AA396" s="443"/>
      <c r="AB396" s="443"/>
      <c r="AC396" s="443"/>
      <c r="AD396" s="443"/>
      <c r="AE396" s="443"/>
      <c r="AF396" s="443"/>
      <c r="AG396" s="443"/>
    </row>
    <row r="397" spans="2:37" x14ac:dyDescent="0.25">
      <c r="C397" s="115"/>
      <c r="D397" s="1066" t="s">
        <v>1637</v>
      </c>
      <c r="E397" s="321" t="s">
        <v>1578</v>
      </c>
      <c r="F397" s="123">
        <f>(F406*I408+G406*I407)*I409</f>
        <v>42.066960000000002</v>
      </c>
      <c r="G397" s="311" t="s">
        <v>641</v>
      </c>
      <c r="H397" s="170">
        <f>VLOOKUP(G397,'CP FACTORS'!$A$3:$B$38, 2, FALSE)</f>
        <v>1.148238E-4</v>
      </c>
      <c r="I397" s="1397">
        <f t="shared" si="55"/>
        <v>4.8302882016479998E-3</v>
      </c>
      <c r="J397" s="122">
        <f t="shared" si="56"/>
        <v>10</v>
      </c>
      <c r="K397" s="1063">
        <f t="shared" si="57"/>
        <v>20</v>
      </c>
      <c r="L397" s="1903" t="s">
        <v>31</v>
      </c>
      <c r="V397" s="621" t="str">
        <f t="shared" si="58"/>
        <v>kWh Annual Savings</v>
      </c>
      <c r="W397" s="1956">
        <v>42.066960000000002</v>
      </c>
      <c r="X397" s="1956">
        <v>42.066960000000002</v>
      </c>
      <c r="Y397" s="443"/>
      <c r="Z397" s="443"/>
      <c r="AA397" s="443"/>
      <c r="AB397" s="443"/>
      <c r="AC397" s="443"/>
      <c r="AD397" s="443"/>
      <c r="AE397" s="443"/>
      <c r="AF397" s="443"/>
      <c r="AG397" s="443"/>
    </row>
    <row r="398" spans="2:37" hidden="1" outlineLevel="1" x14ac:dyDescent="0.25">
      <c r="E398" s="1651"/>
    </row>
    <row r="399" spans="2:37" hidden="1" outlineLevel="1" x14ac:dyDescent="0.25">
      <c r="D399" s="1418" t="s">
        <v>463</v>
      </c>
      <c r="E399" s="1651"/>
    </row>
    <row r="400" spans="2:37" hidden="1" outlineLevel="1" x14ac:dyDescent="0.25">
      <c r="E400" s="1651"/>
    </row>
    <row r="401" spans="2:58" hidden="1" outlineLevel="1" x14ac:dyDescent="0.25">
      <c r="E401" s="1651"/>
    </row>
    <row r="402" spans="2:58" hidden="1" outlineLevel="1" x14ac:dyDescent="0.25">
      <c r="E402" s="1651"/>
    </row>
    <row r="403" spans="2:58" hidden="1" outlineLevel="1" x14ac:dyDescent="0.25">
      <c r="E403" s="1651"/>
    </row>
    <row r="404" spans="2:58" hidden="1" outlineLevel="1" x14ac:dyDescent="0.25">
      <c r="D404" s="358" t="s">
        <v>465</v>
      </c>
      <c r="E404" s="358" t="s">
        <v>466</v>
      </c>
      <c r="F404" s="358" t="s">
        <v>865</v>
      </c>
      <c r="G404" s="358" t="s">
        <v>866</v>
      </c>
      <c r="H404" s="2075" t="s">
        <v>867</v>
      </c>
      <c r="I404" s="2200"/>
      <c r="J404" s="358" t="s">
        <v>655</v>
      </c>
      <c r="V404" s="490" t="s">
        <v>26</v>
      </c>
      <c r="W404" s="49">
        <f>$W$6</f>
        <v>43252</v>
      </c>
      <c r="X404" s="49">
        <f>$X$6</f>
        <v>43465</v>
      </c>
      <c r="Y404" s="49" t="str">
        <f>$Y$6</f>
        <v>-</v>
      </c>
      <c r="Z404" s="49" t="str">
        <f>$Z$6</f>
        <v>-</v>
      </c>
      <c r="AA404" s="49" t="str">
        <f>$AA$6</f>
        <v>-</v>
      </c>
      <c r="AB404" s="49" t="str">
        <f>$AB$6</f>
        <v>-</v>
      </c>
      <c r="AC404" s="49" t="str">
        <f>$AC$6</f>
        <v>-</v>
      </c>
      <c r="AD404" s="49" t="str">
        <f>$AD$6</f>
        <v>-</v>
      </c>
      <c r="AE404" s="49" t="str">
        <f>$AE$6</f>
        <v>-</v>
      </c>
      <c r="AF404" s="49" t="str">
        <f>$AF$6</f>
        <v>-</v>
      </c>
      <c r="AG404" s="49" t="str">
        <f>$AG$6</f>
        <v>-</v>
      </c>
      <c r="AH404" s="447"/>
      <c r="AI404" s="49">
        <f>$W$6</f>
        <v>43252</v>
      </c>
      <c r="AJ404" s="49">
        <f>$X$6</f>
        <v>43465</v>
      </c>
      <c r="AK404" s="49" t="str">
        <f>$Y$6</f>
        <v>-</v>
      </c>
      <c r="AL404" s="49" t="str">
        <f>$Z$6</f>
        <v>-</v>
      </c>
      <c r="AM404" s="49" t="str">
        <f>$AA$6</f>
        <v>-</v>
      </c>
      <c r="AN404" s="49" t="str">
        <f>$AB$6</f>
        <v>-</v>
      </c>
      <c r="AO404" s="49" t="str">
        <f>$AC$6</f>
        <v>-</v>
      </c>
      <c r="AP404" s="49" t="str">
        <f>$AD$6</f>
        <v>-</v>
      </c>
      <c r="AQ404" s="49" t="str">
        <f>$AE$6</f>
        <v>-</v>
      </c>
      <c r="AR404" s="49" t="str">
        <f>$AF$6</f>
        <v>-</v>
      </c>
      <c r="AS404" s="49" t="str">
        <f>$AG$6</f>
        <v>-</v>
      </c>
      <c r="AT404" s="447"/>
      <c r="AU404" s="49">
        <f>$W$6</f>
        <v>43252</v>
      </c>
      <c r="AV404" s="49">
        <f>$X$6</f>
        <v>43465</v>
      </c>
      <c r="AW404" s="49" t="str">
        <f>$Y$6</f>
        <v>-</v>
      </c>
      <c r="AX404" s="49" t="str">
        <f>$Z$6</f>
        <v>-</v>
      </c>
      <c r="AY404" s="49" t="str">
        <f>$AA$6</f>
        <v>-</v>
      </c>
      <c r="AZ404" s="49" t="str">
        <f>$AB$6</f>
        <v>-</v>
      </c>
      <c r="BA404" s="49" t="str">
        <f>$AC$6</f>
        <v>-</v>
      </c>
      <c r="BB404" s="49" t="str">
        <f>$AD$6</f>
        <v>-</v>
      </c>
      <c r="BC404" s="49" t="str">
        <f>$AE$6</f>
        <v>-</v>
      </c>
      <c r="BD404" s="49" t="str">
        <f>$AF$6</f>
        <v>-</v>
      </c>
      <c r="BE404" s="49" t="str">
        <f>$AG$6</f>
        <v>-</v>
      </c>
      <c r="BF404" s="447"/>
    </row>
    <row r="405" spans="2:58" ht="45" hidden="1" outlineLevel="1" x14ac:dyDescent="0.25">
      <c r="D405" s="518"/>
      <c r="E405" s="518"/>
      <c r="F405" s="518"/>
      <c r="G405" s="518"/>
      <c r="H405" s="184" t="s">
        <v>868</v>
      </c>
      <c r="I405" s="184" t="s">
        <v>869</v>
      </c>
      <c r="J405" s="518"/>
      <c r="V405" s="492"/>
      <c r="W405" s="63" t="s">
        <v>865</v>
      </c>
      <c r="X405" s="63" t="s">
        <v>865</v>
      </c>
      <c r="Y405" s="63" t="s">
        <v>865</v>
      </c>
      <c r="Z405" s="63" t="s">
        <v>865</v>
      </c>
      <c r="AA405" s="63" t="s">
        <v>865</v>
      </c>
      <c r="AB405" s="63" t="s">
        <v>865</v>
      </c>
      <c r="AC405" s="63" t="s">
        <v>865</v>
      </c>
      <c r="AD405" s="63" t="s">
        <v>865</v>
      </c>
      <c r="AE405" s="63" t="s">
        <v>865</v>
      </c>
      <c r="AF405" s="63" t="s">
        <v>865</v>
      </c>
      <c r="AG405" s="63" t="s">
        <v>865</v>
      </c>
      <c r="AI405" s="63" t="str">
        <f>G404</f>
        <v>Entertainment</v>
      </c>
      <c r="AJ405" s="63" t="str">
        <f>AI405</f>
        <v>Entertainment</v>
      </c>
      <c r="AK405" s="63" t="str">
        <f t="shared" ref="AK405:AS405" si="59">AJ405</f>
        <v>Entertainment</v>
      </c>
      <c r="AL405" s="63" t="str">
        <f t="shared" si="59"/>
        <v>Entertainment</v>
      </c>
      <c r="AM405" s="63" t="str">
        <f t="shared" si="59"/>
        <v>Entertainment</v>
      </c>
      <c r="AN405" s="63" t="str">
        <f t="shared" si="59"/>
        <v>Entertainment</v>
      </c>
      <c r="AO405" s="63" t="str">
        <f t="shared" si="59"/>
        <v>Entertainment</v>
      </c>
      <c r="AP405" s="63" t="str">
        <f t="shared" si="59"/>
        <v>Entertainment</v>
      </c>
      <c r="AQ405" s="63" t="str">
        <f t="shared" si="59"/>
        <v>Entertainment</v>
      </c>
      <c r="AR405" s="63" t="str">
        <f t="shared" si="59"/>
        <v>Entertainment</v>
      </c>
      <c r="AS405" s="63" t="str">
        <f t="shared" si="59"/>
        <v>Entertainment</v>
      </c>
      <c r="AU405" s="63" t="str">
        <f>CONCATENATE(H404," ",H405)</f>
        <v>Location Unknown TOS / NC / DI</v>
      </c>
      <c r="AV405" s="63" t="str">
        <f>AU405</f>
        <v>Location Unknown TOS / NC / DI</v>
      </c>
      <c r="AW405" s="63" t="str">
        <f t="shared" ref="AW405:BE405" si="60">AV405</f>
        <v>Location Unknown TOS / NC / DI</v>
      </c>
      <c r="AX405" s="63" t="str">
        <f t="shared" si="60"/>
        <v>Location Unknown TOS / NC / DI</v>
      </c>
      <c r="AY405" s="63" t="str">
        <f t="shared" si="60"/>
        <v>Location Unknown TOS / NC / DI</v>
      </c>
      <c r="AZ405" s="63" t="str">
        <f t="shared" si="60"/>
        <v>Location Unknown TOS / NC / DI</v>
      </c>
      <c r="BA405" s="63" t="str">
        <f t="shared" si="60"/>
        <v>Location Unknown TOS / NC / DI</v>
      </c>
      <c r="BB405" s="63" t="str">
        <f t="shared" si="60"/>
        <v>Location Unknown TOS / NC / DI</v>
      </c>
      <c r="BC405" s="63" t="str">
        <f t="shared" si="60"/>
        <v>Location Unknown TOS / NC / DI</v>
      </c>
      <c r="BD405" s="63" t="str">
        <f t="shared" si="60"/>
        <v>Location Unknown TOS / NC / DI</v>
      </c>
      <c r="BE405" s="63" t="str">
        <f t="shared" si="60"/>
        <v>Location Unknown TOS / NC / DI</v>
      </c>
    </row>
    <row r="406" spans="2:58" hidden="1" outlineLevel="1" x14ac:dyDescent="0.25">
      <c r="D406" s="321" t="s">
        <v>870</v>
      </c>
      <c r="E406" s="321" t="s">
        <v>871</v>
      </c>
      <c r="F406" s="52">
        <v>31</v>
      </c>
      <c r="G406" s="52">
        <v>75.099999999999994</v>
      </c>
      <c r="H406" s="52"/>
      <c r="I406" s="52"/>
      <c r="J406" s="1150"/>
      <c r="V406" s="321" t="s">
        <v>871</v>
      </c>
      <c r="W406" s="520">
        <v>31</v>
      </c>
      <c r="X406" s="520">
        <v>31</v>
      </c>
      <c r="Y406" s="520"/>
      <c r="Z406" s="520"/>
      <c r="AA406" s="520"/>
      <c r="AB406" s="520"/>
      <c r="AC406" s="520"/>
      <c r="AD406" s="520"/>
      <c r="AE406" s="520"/>
      <c r="AF406" s="520"/>
      <c r="AG406" s="520"/>
      <c r="AI406" s="302">
        <v>75.099999999999994</v>
      </c>
      <c r="AJ406" s="302">
        <v>75.099999999999994</v>
      </c>
      <c r="AK406" s="520"/>
      <c r="AL406" s="520"/>
      <c r="AM406" s="520"/>
      <c r="AN406" s="520"/>
      <c r="AO406" s="520"/>
      <c r="AP406" s="520"/>
      <c r="AQ406" s="520"/>
      <c r="AR406" s="520"/>
      <c r="AS406" s="520"/>
      <c r="AU406" s="302"/>
      <c r="AV406" s="302"/>
      <c r="AW406" s="520"/>
      <c r="AX406" s="520"/>
      <c r="AY406" s="520"/>
      <c r="AZ406" s="520"/>
      <c r="BA406" s="520"/>
      <c r="BB406" s="520"/>
      <c r="BC406" s="520"/>
      <c r="BD406" s="520"/>
      <c r="BE406" s="520"/>
    </row>
    <row r="407" spans="2:58" ht="30" hidden="1" outlineLevel="1" x14ac:dyDescent="0.25">
      <c r="D407" s="321" t="s">
        <v>872</v>
      </c>
      <c r="E407" s="321" t="s">
        <v>873</v>
      </c>
      <c r="F407" s="1945">
        <v>0</v>
      </c>
      <c r="G407" s="243">
        <v>1</v>
      </c>
      <c r="H407" s="243">
        <f>1-H408</f>
        <v>0.64</v>
      </c>
      <c r="I407" s="243">
        <f>1-I408</f>
        <v>0.52</v>
      </c>
      <c r="J407" s="1039"/>
      <c r="V407" s="726" t="s">
        <v>873</v>
      </c>
      <c r="W407" s="522">
        <v>0</v>
      </c>
      <c r="X407" s="522">
        <v>0</v>
      </c>
      <c r="Y407" s="522"/>
      <c r="Z407" s="522"/>
      <c r="AA407" s="522"/>
      <c r="AB407" s="522"/>
      <c r="AC407" s="522"/>
      <c r="AD407" s="522"/>
      <c r="AE407" s="522"/>
      <c r="AF407" s="522"/>
      <c r="AG407" s="522"/>
      <c r="AI407" s="521">
        <v>1</v>
      </c>
      <c r="AJ407" s="521">
        <v>1</v>
      </c>
      <c r="AK407" s="522"/>
      <c r="AL407" s="522"/>
      <c r="AM407" s="522"/>
      <c r="AN407" s="522"/>
      <c r="AO407" s="522"/>
      <c r="AP407" s="522"/>
      <c r="AQ407" s="522"/>
      <c r="AR407" s="522"/>
      <c r="AS407" s="522"/>
      <c r="AU407" s="521">
        <f>1-AU408</f>
        <v>0.64</v>
      </c>
      <c r="AV407" s="521">
        <f>1-AV408</f>
        <v>0.64</v>
      </c>
      <c r="AW407" s="522"/>
      <c r="AX407" s="522"/>
      <c r="AY407" s="522"/>
      <c r="AZ407" s="522"/>
      <c r="BA407" s="522"/>
      <c r="BB407" s="522"/>
      <c r="BC407" s="522"/>
      <c r="BD407" s="522"/>
      <c r="BE407" s="522"/>
    </row>
    <row r="408" spans="2:58" hidden="1" outlineLevel="1" x14ac:dyDescent="0.25">
      <c r="D408" s="321" t="s">
        <v>874</v>
      </c>
      <c r="E408" s="321" t="s">
        <v>875</v>
      </c>
      <c r="F408" s="243">
        <v>1</v>
      </c>
      <c r="G408" s="243">
        <v>0</v>
      </c>
      <c r="H408" s="243">
        <v>0.36</v>
      </c>
      <c r="I408" s="243">
        <v>0.48</v>
      </c>
      <c r="J408" s="1150"/>
      <c r="V408" s="726" t="s">
        <v>875</v>
      </c>
      <c r="W408" s="523">
        <v>1</v>
      </c>
      <c r="X408" s="523">
        <v>1</v>
      </c>
      <c r="Y408" s="523"/>
      <c r="Z408" s="523"/>
      <c r="AA408" s="523"/>
      <c r="AB408" s="523"/>
      <c r="AC408" s="523"/>
      <c r="AD408" s="523"/>
      <c r="AE408" s="523"/>
      <c r="AF408" s="523"/>
      <c r="AG408" s="523"/>
      <c r="AI408" s="521">
        <v>0</v>
      </c>
      <c r="AJ408" s="521">
        <v>0</v>
      </c>
      <c r="AK408" s="523"/>
      <c r="AL408" s="523"/>
      <c r="AM408" s="523"/>
      <c r="AN408" s="523"/>
      <c r="AO408" s="523"/>
      <c r="AP408" s="523"/>
      <c r="AQ408" s="523"/>
      <c r="AR408" s="523"/>
      <c r="AS408" s="523"/>
      <c r="AU408" s="521">
        <v>0.36</v>
      </c>
      <c r="AV408" s="521">
        <v>0.36</v>
      </c>
      <c r="AW408" s="523"/>
      <c r="AX408" s="523"/>
      <c r="AY408" s="523"/>
      <c r="AZ408" s="523"/>
      <c r="BA408" s="523"/>
      <c r="BB408" s="523"/>
      <c r="BC408" s="523"/>
      <c r="BD408" s="523"/>
      <c r="BE408" s="523"/>
    </row>
    <row r="409" spans="2:58" hidden="1" outlineLevel="1" x14ac:dyDescent="0.25">
      <c r="D409" s="321" t="s">
        <v>58</v>
      </c>
      <c r="E409" s="321" t="s">
        <v>876</v>
      </c>
      <c r="G409" s="908"/>
      <c r="H409" s="908">
        <v>1</v>
      </c>
      <c r="I409" s="908">
        <v>0.78</v>
      </c>
      <c r="J409" s="1039"/>
      <c r="V409" s="890" t="s">
        <v>876</v>
      </c>
      <c r="W409" s="524"/>
      <c r="X409" s="524"/>
      <c r="Y409" s="524"/>
      <c r="Z409" s="524"/>
      <c r="AA409" s="524"/>
      <c r="AB409" s="524"/>
      <c r="AC409" s="524"/>
      <c r="AD409" s="524"/>
      <c r="AE409" s="524"/>
      <c r="AF409" s="524"/>
      <c r="AG409" s="524"/>
      <c r="AI409" s="524"/>
      <c r="AJ409" s="524"/>
      <c r="AK409" s="524"/>
      <c r="AL409" s="524"/>
      <c r="AM409" s="524"/>
      <c r="AN409" s="524"/>
      <c r="AO409" s="524"/>
      <c r="AP409" s="524"/>
      <c r="AQ409" s="524"/>
      <c r="AR409" s="524"/>
      <c r="AS409" s="524"/>
      <c r="AU409" s="453">
        <v>1</v>
      </c>
      <c r="AV409" s="453">
        <v>1</v>
      </c>
      <c r="AW409" s="524"/>
      <c r="AX409" s="524"/>
      <c r="AY409" s="524"/>
      <c r="AZ409" s="524"/>
      <c r="BA409" s="524"/>
      <c r="BB409" s="524"/>
      <c r="BC409" s="524"/>
      <c r="BD409" s="524"/>
      <c r="BE409" s="524"/>
    </row>
    <row r="410" spans="2:58" hidden="1" outlineLevel="1" x14ac:dyDescent="0.25">
      <c r="D410" s="321" t="s">
        <v>574</v>
      </c>
      <c r="E410" s="321" t="s">
        <v>574</v>
      </c>
      <c r="F410" s="908">
        <v>0.47315310825962376</v>
      </c>
      <c r="G410" s="908"/>
      <c r="H410" s="908"/>
      <c r="I410" s="908"/>
      <c r="J410" s="1039"/>
      <c r="V410" s="890" t="s">
        <v>574</v>
      </c>
      <c r="W410" s="453">
        <v>0.47315310825962376</v>
      </c>
      <c r="X410" s="453">
        <v>0.47315310825962376</v>
      </c>
      <c r="Y410" s="466"/>
      <c r="Z410" s="466"/>
      <c r="AA410" s="466"/>
      <c r="AB410" s="466"/>
      <c r="AC410" s="466"/>
      <c r="AD410" s="466"/>
      <c r="AE410" s="466"/>
      <c r="AF410" s="466"/>
      <c r="AG410" s="466"/>
      <c r="AI410" s="466"/>
      <c r="AJ410" s="466"/>
      <c r="AK410" s="466"/>
      <c r="AL410" s="466"/>
      <c r="AM410" s="466"/>
      <c r="AN410" s="466"/>
      <c r="AO410" s="466"/>
      <c r="AP410" s="466"/>
      <c r="AQ410" s="466"/>
      <c r="AR410" s="466"/>
      <c r="AS410" s="466"/>
      <c r="AU410" s="453"/>
      <c r="AV410" s="453"/>
      <c r="AW410" s="466"/>
      <c r="AX410" s="466"/>
      <c r="AY410" s="466"/>
      <c r="AZ410" s="466"/>
      <c r="BA410" s="466"/>
      <c r="BB410" s="466"/>
      <c r="BC410" s="466"/>
      <c r="BD410" s="466"/>
      <c r="BE410" s="466"/>
    </row>
    <row r="411" spans="2:58" hidden="1" outlineLevel="1" x14ac:dyDescent="0.25">
      <c r="D411" s="899" t="s">
        <v>738</v>
      </c>
      <c r="E411" s="899" t="s">
        <v>504</v>
      </c>
      <c r="F411" s="2077">
        <v>10</v>
      </c>
      <c r="G411" s="2078"/>
      <c r="H411" s="2078"/>
      <c r="I411" s="2078"/>
      <c r="J411" s="1091"/>
      <c r="V411" s="158" t="s">
        <v>738</v>
      </c>
      <c r="W411" s="406">
        <v>10</v>
      </c>
      <c r="X411" s="406">
        <v>10</v>
      </c>
      <c r="Y411" s="406"/>
      <c r="Z411" s="406"/>
      <c r="AA411" s="406"/>
      <c r="AB411" s="406"/>
      <c r="AC411" s="406"/>
      <c r="AD411" s="406"/>
      <c r="AE411" s="406"/>
      <c r="AF411" s="406"/>
      <c r="AG411" s="406"/>
    </row>
    <row r="412" spans="2:58" hidden="1" outlineLevel="1" x14ac:dyDescent="0.25">
      <c r="D412" s="407" t="s">
        <v>24</v>
      </c>
      <c r="E412" s="899" t="s">
        <v>506</v>
      </c>
      <c r="F412" s="2079">
        <v>20</v>
      </c>
      <c r="G412" s="2078"/>
      <c r="H412" s="2078"/>
      <c r="I412" s="2078"/>
      <c r="J412" s="1091"/>
      <c r="V412" s="162" t="s">
        <v>24</v>
      </c>
      <c r="W412" s="408">
        <v>20</v>
      </c>
      <c r="X412" s="408">
        <v>20</v>
      </c>
      <c r="Y412" s="408"/>
      <c r="Z412" s="408"/>
      <c r="AA412" s="408"/>
      <c r="AB412" s="408"/>
      <c r="AC412" s="408"/>
      <c r="AD412" s="408"/>
      <c r="AE412" s="408"/>
      <c r="AF412" s="408"/>
      <c r="AG412" s="408"/>
    </row>
    <row r="413" spans="2:58" collapsed="1" x14ac:dyDescent="0.25">
      <c r="E413" s="1651"/>
    </row>
    <row r="415" spans="2:58" x14ac:dyDescent="0.25">
      <c r="B415" s="2022" t="s">
        <v>639</v>
      </c>
      <c r="C415" s="2023"/>
      <c r="D415" s="2023"/>
      <c r="E415" s="2023"/>
      <c r="F415" s="2023"/>
      <c r="G415" s="2023"/>
      <c r="H415" s="2023"/>
      <c r="I415" s="1992"/>
      <c r="J415" s="1992"/>
      <c r="K415" s="1992"/>
      <c r="L415" s="1992"/>
      <c r="M415" s="1992"/>
      <c r="N415" s="1992"/>
      <c r="O415" s="1992"/>
      <c r="P415" s="1992"/>
      <c r="Q415" s="1993"/>
      <c r="V415" s="2022" t="str">
        <f>B415</f>
        <v>Advanced Power Strips Tier 2  /  Advanced Control Stategies</v>
      </c>
      <c r="W415" s="2023"/>
      <c r="X415" s="2023"/>
      <c r="Y415" s="2023"/>
      <c r="Z415" s="2023"/>
      <c r="AA415" s="2023"/>
      <c r="AB415" s="2023"/>
      <c r="AC415" s="2024"/>
      <c r="AD415" s="2024"/>
      <c r="AE415" s="2024"/>
      <c r="AF415" s="2024"/>
      <c r="AG415" s="2024"/>
      <c r="AH415" s="2024"/>
      <c r="AI415" s="2025"/>
    </row>
    <row r="417" spans="3:45" ht="45" x14ac:dyDescent="0.25">
      <c r="C417" s="184" t="s">
        <v>16</v>
      </c>
      <c r="D417" s="184" t="s">
        <v>509</v>
      </c>
      <c r="E417" s="184" t="s">
        <v>18</v>
      </c>
      <c r="F417" s="184" t="s">
        <v>19</v>
      </c>
      <c r="G417" s="184" t="s">
        <v>20</v>
      </c>
      <c r="H417" s="184" t="s">
        <v>21</v>
      </c>
      <c r="I417" s="184" t="s">
        <v>22</v>
      </c>
      <c r="J417" s="184" t="s">
        <v>23</v>
      </c>
      <c r="K417" s="184" t="s">
        <v>24</v>
      </c>
      <c r="L417" s="184" t="s">
        <v>25</v>
      </c>
      <c r="V417" s="490" t="s">
        <v>26</v>
      </c>
      <c r="W417" s="49">
        <f>W$6</f>
        <v>43252</v>
      </c>
      <c r="X417" s="49">
        <f t="shared" ref="X417:AG417" si="61">X$6</f>
        <v>43465</v>
      </c>
      <c r="Y417" s="49" t="str">
        <f t="shared" si="61"/>
        <v>-</v>
      </c>
      <c r="Z417" s="49" t="str">
        <f t="shared" si="61"/>
        <v>-</v>
      </c>
      <c r="AA417" s="49" t="str">
        <f t="shared" si="61"/>
        <v>-</v>
      </c>
      <c r="AB417" s="49" t="str">
        <f t="shared" si="61"/>
        <v>-</v>
      </c>
      <c r="AC417" s="49" t="str">
        <f t="shared" si="61"/>
        <v>-</v>
      </c>
      <c r="AD417" s="49" t="str">
        <f t="shared" si="61"/>
        <v>-</v>
      </c>
      <c r="AE417" s="49" t="str">
        <f t="shared" si="61"/>
        <v>-</v>
      </c>
      <c r="AF417" s="49" t="str">
        <f t="shared" si="61"/>
        <v>-</v>
      </c>
      <c r="AG417" s="49" t="str">
        <f t="shared" si="61"/>
        <v>-</v>
      </c>
    </row>
    <row r="418" spans="3:45" x14ac:dyDescent="0.25">
      <c r="C418" s="1150"/>
      <c r="D418" s="1066" t="s">
        <v>1637</v>
      </c>
      <c r="E418" s="321" t="str">
        <f>'Efficient Products Deemed Table'!E167</f>
        <v>Advanced Tier 2 Power Strips  -  A</v>
      </c>
      <c r="F418" s="160">
        <f>'Efficient Products Deemed Table'!F167</f>
        <v>237.60000000000002</v>
      </c>
      <c r="G418" s="985" t="str">
        <f>'Efficient Products Deemed Table'!G167</f>
        <v>Miscellaneous RES</v>
      </c>
      <c r="H418" s="170">
        <f>'Efficient Products Deemed Table'!H167</f>
        <v>1.148238E-4</v>
      </c>
      <c r="I418" s="1672">
        <f>'Efficient Products Deemed Table'!I167</f>
        <v>2.7282134880000003E-2</v>
      </c>
      <c r="J418" s="160">
        <f t="shared" ref="J418:J426" si="62">$E$443</f>
        <v>10</v>
      </c>
      <c r="K418" s="1063">
        <f t="shared" ref="K418:K426" si="63">$E$444</f>
        <v>30</v>
      </c>
      <c r="L418" s="1903" t="s">
        <v>31</v>
      </c>
      <c r="V418" s="621" t="str">
        <f>F417</f>
        <v>kWh Annual Savings</v>
      </c>
      <c r="W418" s="1967">
        <f>'Efficient Products Deemed Table'!W167</f>
        <v>237.60000000000002</v>
      </c>
      <c r="X418" s="1967">
        <f>'Efficient Products Deemed Table'!X167</f>
        <v>237.60000000000002</v>
      </c>
      <c r="Y418" s="118"/>
      <c r="Z418" s="118"/>
      <c r="AA418" s="118"/>
      <c r="AB418" s="118"/>
      <c r="AC418" s="118"/>
      <c r="AD418" s="118"/>
      <c r="AE418" s="118"/>
      <c r="AF418" s="118"/>
      <c r="AG418" s="118"/>
    </row>
    <row r="419" spans="3:45" x14ac:dyDescent="0.25">
      <c r="C419" s="1150"/>
      <c r="D419" s="1066" t="s">
        <v>1637</v>
      </c>
      <c r="E419" s="321" t="str">
        <f>'Efficient Products Deemed Table'!E168</f>
        <v>Advanced Tier 2 Power Strips -  B</v>
      </c>
      <c r="F419" s="160">
        <f>'Efficient Products Deemed Table'!F168</f>
        <v>216</v>
      </c>
      <c r="G419" s="985" t="str">
        <f>'Efficient Products Deemed Table'!G168</f>
        <v>Miscellaneous RES</v>
      </c>
      <c r="H419" s="170">
        <f>'Efficient Products Deemed Table'!H168</f>
        <v>1.148238E-4</v>
      </c>
      <c r="I419" s="1672">
        <f>'Efficient Products Deemed Table'!I168</f>
        <v>2.4801940799999998E-2</v>
      </c>
      <c r="J419" s="160">
        <f t="shared" si="62"/>
        <v>10</v>
      </c>
      <c r="K419" s="1063">
        <f t="shared" si="63"/>
        <v>30</v>
      </c>
      <c r="L419" s="626" t="str">
        <f>'Efficient Products Deemed Table'!L168</f>
        <v>per measure</v>
      </c>
      <c r="V419" s="621" t="str">
        <f>V418</f>
        <v>kWh Annual Savings</v>
      </c>
      <c r="W419" s="1967">
        <f>'Efficient Products Deemed Table'!W168</f>
        <v>216</v>
      </c>
      <c r="X419" s="1967">
        <f>'Efficient Products Deemed Table'!X168</f>
        <v>216</v>
      </c>
      <c r="Y419" s="118"/>
      <c r="Z419" s="118"/>
      <c r="AA419" s="118"/>
      <c r="AB419" s="118"/>
      <c r="AC419" s="118"/>
      <c r="AD419" s="118"/>
      <c r="AE419" s="118"/>
      <c r="AF419" s="118"/>
      <c r="AG419" s="118"/>
    </row>
    <row r="420" spans="3:45" x14ac:dyDescent="0.25">
      <c r="C420" s="1150"/>
      <c r="D420" s="1066" t="s">
        <v>1637</v>
      </c>
      <c r="E420" s="321" t="str">
        <f>'Efficient Products Deemed Table'!E169</f>
        <v>Advanced Tier 2 Power Strips -  C</v>
      </c>
      <c r="F420" s="160">
        <f>'Efficient Products Deemed Table'!F169</f>
        <v>194.4</v>
      </c>
      <c r="G420" s="985" t="str">
        <f>'Efficient Products Deemed Table'!G169</f>
        <v>Miscellaneous RES</v>
      </c>
      <c r="H420" s="170">
        <f>'Efficient Products Deemed Table'!H169</f>
        <v>1.148238E-4</v>
      </c>
      <c r="I420" s="1672">
        <f>'Efficient Products Deemed Table'!I169</f>
        <v>2.2321746720000001E-2</v>
      </c>
      <c r="J420" s="160">
        <f t="shared" si="62"/>
        <v>10</v>
      </c>
      <c r="K420" s="1063">
        <f t="shared" si="63"/>
        <v>30</v>
      </c>
      <c r="L420" s="626" t="str">
        <f>'Efficient Products Deemed Table'!L169</f>
        <v>per measure</v>
      </c>
      <c r="V420" s="621" t="str">
        <f t="shared" ref="V420:V426" si="64">V419</f>
        <v>kWh Annual Savings</v>
      </c>
      <c r="W420" s="1967">
        <f>'Efficient Products Deemed Table'!W169</f>
        <v>194.4</v>
      </c>
      <c r="X420" s="1967">
        <f>'Efficient Products Deemed Table'!X169</f>
        <v>194.4</v>
      </c>
      <c r="Y420" s="118"/>
      <c r="Z420" s="118"/>
      <c r="AA420" s="118"/>
      <c r="AB420" s="118"/>
      <c r="AC420" s="118"/>
      <c r="AD420" s="118"/>
      <c r="AE420" s="118"/>
      <c r="AF420" s="118"/>
      <c r="AG420" s="118"/>
    </row>
    <row r="421" spans="3:45" x14ac:dyDescent="0.25">
      <c r="C421" s="1150"/>
      <c r="D421" s="1066" t="s">
        <v>1637</v>
      </c>
      <c r="E421" s="321" t="str">
        <f>'Efficient Products Deemed Table'!E170</f>
        <v>Advanced Tier 2 Power Strips -  D</v>
      </c>
      <c r="F421" s="160">
        <f>'Efficient Products Deemed Table'!F170</f>
        <v>172.8</v>
      </c>
      <c r="G421" s="985" t="str">
        <f>'Efficient Products Deemed Table'!G170</f>
        <v>Miscellaneous RES</v>
      </c>
      <c r="H421" s="170">
        <f>'Efficient Products Deemed Table'!H170</f>
        <v>1.148238E-4</v>
      </c>
      <c r="I421" s="1672">
        <f>'Efficient Products Deemed Table'!I170</f>
        <v>1.9841552639999999E-2</v>
      </c>
      <c r="J421" s="160">
        <f t="shared" si="62"/>
        <v>10</v>
      </c>
      <c r="K421" s="1063">
        <f t="shared" si="63"/>
        <v>30</v>
      </c>
      <c r="L421" s="626" t="str">
        <f>'Efficient Products Deemed Table'!L170</f>
        <v>per measure</v>
      </c>
      <c r="V421" s="621" t="str">
        <f t="shared" si="64"/>
        <v>kWh Annual Savings</v>
      </c>
      <c r="W421" s="1967">
        <f>'Efficient Products Deemed Table'!W170</f>
        <v>172.8</v>
      </c>
      <c r="X421" s="1967">
        <f>'Efficient Products Deemed Table'!X170</f>
        <v>172.8</v>
      </c>
      <c r="Y421" s="118"/>
      <c r="Z421" s="118"/>
      <c r="AA421" s="118"/>
      <c r="AB421" s="118"/>
      <c r="AC421" s="118"/>
      <c r="AD421" s="118"/>
      <c r="AE421" s="118"/>
      <c r="AF421" s="118"/>
      <c r="AG421" s="118"/>
    </row>
    <row r="422" spans="3:45" x14ac:dyDescent="0.25">
      <c r="C422" s="1150"/>
      <c r="D422" s="1066" t="s">
        <v>1637</v>
      </c>
      <c r="E422" s="321" t="str">
        <f>'Efficient Products Deemed Table'!E171</f>
        <v>Advanced Tier 2 Power Strips -  E</v>
      </c>
      <c r="F422" s="160">
        <f>'Efficient Products Deemed Table'!F171</f>
        <v>151.19999999999999</v>
      </c>
      <c r="G422" s="985" t="str">
        <f>'Efficient Products Deemed Table'!G171</f>
        <v>Miscellaneous RES</v>
      </c>
      <c r="H422" s="170">
        <f>'Efficient Products Deemed Table'!H171</f>
        <v>1.148238E-4</v>
      </c>
      <c r="I422" s="1672">
        <f>'Efficient Products Deemed Table'!I171</f>
        <v>1.7361358559999998E-2</v>
      </c>
      <c r="J422" s="160">
        <f t="shared" si="62"/>
        <v>10</v>
      </c>
      <c r="K422" s="1063">
        <f t="shared" si="63"/>
        <v>30</v>
      </c>
      <c r="L422" s="626" t="str">
        <f>'Efficient Products Deemed Table'!L171</f>
        <v>per measure</v>
      </c>
      <c r="V422" s="621" t="str">
        <f t="shared" si="64"/>
        <v>kWh Annual Savings</v>
      </c>
      <c r="W422" s="1967">
        <f>'Efficient Products Deemed Table'!W171</f>
        <v>151.19999999999999</v>
      </c>
      <c r="X422" s="1967">
        <f>'Efficient Products Deemed Table'!X171</f>
        <v>151.19999999999999</v>
      </c>
      <c r="Y422" s="118"/>
      <c r="Z422" s="118"/>
      <c r="AA422" s="118"/>
      <c r="AB422" s="118"/>
      <c r="AC422" s="118"/>
      <c r="AD422" s="118"/>
      <c r="AE422" s="118"/>
      <c r="AF422" s="118"/>
      <c r="AG422" s="118"/>
    </row>
    <row r="423" spans="3:45" x14ac:dyDescent="0.25">
      <c r="C423" s="1150"/>
      <c r="D423" s="1066" t="s">
        <v>1637</v>
      </c>
      <c r="E423" s="321" t="str">
        <f>'Efficient Products Deemed Table'!E172</f>
        <v>Advanced Tier 2 Power Strips -  F</v>
      </c>
      <c r="F423" s="160">
        <f>'Efficient Products Deemed Table'!F172</f>
        <v>129.6</v>
      </c>
      <c r="G423" s="985" t="str">
        <f>'Efficient Products Deemed Table'!G172</f>
        <v>Miscellaneous RES</v>
      </c>
      <c r="H423" s="170">
        <f>'Efficient Products Deemed Table'!H172</f>
        <v>1.148238E-4</v>
      </c>
      <c r="I423" s="1672">
        <f>'Efficient Products Deemed Table'!I172</f>
        <v>1.4881164479999999E-2</v>
      </c>
      <c r="J423" s="160">
        <f t="shared" si="62"/>
        <v>10</v>
      </c>
      <c r="K423" s="1063">
        <f t="shared" si="63"/>
        <v>30</v>
      </c>
      <c r="L423" s="626" t="str">
        <f>'Efficient Products Deemed Table'!L172</f>
        <v>per measure</v>
      </c>
      <c r="V423" s="621" t="str">
        <f t="shared" si="64"/>
        <v>kWh Annual Savings</v>
      </c>
      <c r="W423" s="1967">
        <f>'Efficient Products Deemed Table'!W172</f>
        <v>129.6</v>
      </c>
      <c r="X423" s="1967">
        <f>'Efficient Products Deemed Table'!X172</f>
        <v>129.6</v>
      </c>
      <c r="Y423" s="118"/>
      <c r="Z423" s="118"/>
      <c r="AA423" s="118"/>
      <c r="AB423" s="118"/>
      <c r="AC423" s="118"/>
      <c r="AD423" s="118"/>
      <c r="AE423" s="118"/>
      <c r="AF423" s="118"/>
      <c r="AG423" s="118"/>
    </row>
    <row r="424" spans="3:45" x14ac:dyDescent="0.25">
      <c r="C424" s="1150"/>
      <c r="D424" s="1066" t="s">
        <v>1637</v>
      </c>
      <c r="E424" s="321" t="str">
        <f>'Efficient Products Deemed Table'!E173</f>
        <v>Advanced Tier 2 Power Strips -  G</v>
      </c>
      <c r="F424" s="160">
        <f>'Efficient Products Deemed Table'!F173</f>
        <v>108</v>
      </c>
      <c r="G424" s="985" t="str">
        <f>'Efficient Products Deemed Table'!G173</f>
        <v>Miscellaneous RES</v>
      </c>
      <c r="H424" s="170">
        <f>'Efficient Products Deemed Table'!H173</f>
        <v>1.148238E-4</v>
      </c>
      <c r="I424" s="1672">
        <f>'Efficient Products Deemed Table'!I173</f>
        <v>1.2400970399999999E-2</v>
      </c>
      <c r="J424" s="160">
        <f t="shared" si="62"/>
        <v>10</v>
      </c>
      <c r="K424" s="1063">
        <f t="shared" si="63"/>
        <v>30</v>
      </c>
      <c r="L424" s="626" t="str">
        <f>'Efficient Products Deemed Table'!L173</f>
        <v>per measure</v>
      </c>
      <c r="V424" s="621" t="str">
        <f t="shared" si="64"/>
        <v>kWh Annual Savings</v>
      </c>
      <c r="W424" s="1967">
        <f>'Efficient Products Deemed Table'!W173</f>
        <v>108</v>
      </c>
      <c r="X424" s="1967">
        <f>'Efficient Products Deemed Table'!X173</f>
        <v>108</v>
      </c>
      <c r="Y424" s="118"/>
      <c r="Z424" s="118"/>
      <c r="AA424" s="118"/>
      <c r="AB424" s="118"/>
      <c r="AC424" s="118"/>
      <c r="AD424" s="118"/>
      <c r="AE424" s="118"/>
      <c r="AF424" s="118"/>
      <c r="AG424" s="118"/>
    </row>
    <row r="425" spans="3:45" x14ac:dyDescent="0.25">
      <c r="C425" s="1150"/>
      <c r="D425" s="1066" t="s">
        <v>1637</v>
      </c>
      <c r="E425" s="321" t="str">
        <f>'Efficient Products Deemed Table'!E174</f>
        <v>Advanced Tier 2 Power Strips -  H</v>
      </c>
      <c r="F425" s="160">
        <f>'Efficient Products Deemed Table'!F174</f>
        <v>86.4</v>
      </c>
      <c r="G425" s="985" t="str">
        <f>'Efficient Products Deemed Table'!G174</f>
        <v>Miscellaneous RES</v>
      </c>
      <c r="H425" s="170">
        <f>'Efficient Products Deemed Table'!H174</f>
        <v>1.148238E-4</v>
      </c>
      <c r="I425" s="1672">
        <f>'Efficient Products Deemed Table'!I174</f>
        <v>9.9207763199999997E-3</v>
      </c>
      <c r="J425" s="160">
        <f t="shared" si="62"/>
        <v>10</v>
      </c>
      <c r="K425" s="1063">
        <f t="shared" si="63"/>
        <v>30</v>
      </c>
      <c r="L425" s="626" t="str">
        <f>'Efficient Products Deemed Table'!L174</f>
        <v>per measure</v>
      </c>
      <c r="V425" s="621" t="str">
        <f t="shared" si="64"/>
        <v>kWh Annual Savings</v>
      </c>
      <c r="W425" s="1967">
        <f>'Efficient Products Deemed Table'!W174</f>
        <v>86.4</v>
      </c>
      <c r="X425" s="1967">
        <f>'Efficient Products Deemed Table'!X174</f>
        <v>86.4</v>
      </c>
      <c r="Y425" s="118"/>
      <c r="Z425" s="118"/>
      <c r="AA425" s="118"/>
      <c r="AB425" s="118"/>
      <c r="AC425" s="118"/>
      <c r="AD425" s="118"/>
      <c r="AE425" s="118"/>
      <c r="AF425" s="118"/>
      <c r="AG425" s="118"/>
    </row>
    <row r="426" spans="3:45" x14ac:dyDescent="0.25">
      <c r="C426" s="1150"/>
      <c r="D426" s="1066" t="s">
        <v>1637</v>
      </c>
      <c r="E426" s="321" t="str">
        <f>'Efficient Products Deemed Table'!E175</f>
        <v>Advanced Tier 2 Power Strips -  Average</v>
      </c>
      <c r="F426" s="160">
        <f>'Efficient Products Deemed Table'!F175</f>
        <v>162</v>
      </c>
      <c r="G426" s="985" t="str">
        <f>'Efficient Products Deemed Table'!G175</f>
        <v>Miscellaneous RES</v>
      </c>
      <c r="H426" s="170">
        <f>'Efficient Products Deemed Table'!H175</f>
        <v>1.148238E-4</v>
      </c>
      <c r="I426" s="1672">
        <f>'Efficient Products Deemed Table'!I175</f>
        <v>1.86014556E-2</v>
      </c>
      <c r="J426" s="160">
        <f t="shared" si="62"/>
        <v>10</v>
      </c>
      <c r="K426" s="1063">
        <f t="shared" si="63"/>
        <v>30</v>
      </c>
      <c r="L426" s="626" t="str">
        <f>'Efficient Products Deemed Table'!L175</f>
        <v>per measure</v>
      </c>
      <c r="V426" s="621" t="str">
        <f t="shared" si="64"/>
        <v>kWh Annual Savings</v>
      </c>
      <c r="W426" s="1967">
        <f>'Efficient Products Deemed Table'!W175</f>
        <v>162</v>
      </c>
      <c r="X426" s="1967">
        <f>'Efficient Products Deemed Table'!X175</f>
        <v>162</v>
      </c>
      <c r="Y426" s="118"/>
      <c r="Z426" s="118"/>
      <c r="AA426" s="118"/>
      <c r="AB426" s="118"/>
      <c r="AC426" s="118"/>
      <c r="AD426" s="118"/>
      <c r="AE426" s="118"/>
      <c r="AF426" s="118"/>
      <c r="AG426" s="118"/>
    </row>
    <row r="427" spans="3:45" hidden="1" outlineLevel="1" x14ac:dyDescent="0.25">
      <c r="H427" s="130" t="s">
        <v>1704</v>
      </c>
      <c r="I427" s="175"/>
    </row>
    <row r="428" spans="3:45" hidden="1" outlineLevel="1" x14ac:dyDescent="0.25">
      <c r="D428" s="1418" t="s">
        <v>463</v>
      </c>
    </row>
    <row r="429" spans="3:45" hidden="1" outlineLevel="1" x14ac:dyDescent="0.25"/>
    <row r="430" spans="3:45" hidden="1" outlineLevel="1" x14ac:dyDescent="0.25"/>
    <row r="431" spans="3:45" hidden="1" outlineLevel="1" x14ac:dyDescent="0.25"/>
    <row r="432" spans="3:45" hidden="1" outlineLevel="1" x14ac:dyDescent="0.25">
      <c r="D432" s="1098" t="str">
        <f>'Efficient Products Deemed Table'!D181</f>
        <v>Product Class</v>
      </c>
      <c r="E432" s="1098" t="str">
        <f>'Efficient Products Deemed Table'!E181</f>
        <v>ERP</v>
      </c>
      <c r="F432" s="184" t="str">
        <f>'Efficient Products Deemed Table'!F181</f>
        <v>Baseline Energy AV</v>
      </c>
      <c r="G432" s="184" t="str">
        <f>'Efficient Products Deemed Table'!G181</f>
        <v>Comments:</v>
      </c>
      <c r="V432" s="490" t="s">
        <v>26</v>
      </c>
      <c r="W432" s="49">
        <v>43252</v>
      </c>
      <c r="X432" s="49">
        <f>$X$6</f>
        <v>43465</v>
      </c>
      <c r="Y432" s="49" t="str">
        <f>$Y$6</f>
        <v>-</v>
      </c>
      <c r="Z432" s="49" t="str">
        <f>$Z$6</f>
        <v>-</v>
      </c>
      <c r="AA432" s="49" t="str">
        <f>$AA$6</f>
        <v>-</v>
      </c>
      <c r="AB432" s="49" t="str">
        <f>$AB$6</f>
        <v>-</v>
      </c>
      <c r="AC432" s="49" t="str">
        <f>$AC$6</f>
        <v>-</v>
      </c>
      <c r="AD432" s="49" t="str">
        <f>$AD$6</f>
        <v>-</v>
      </c>
      <c r="AE432" s="49" t="str">
        <f>$AE$6</f>
        <v>-</v>
      </c>
      <c r="AF432" s="49" t="str">
        <f>$AF$6</f>
        <v>-</v>
      </c>
      <c r="AG432" s="49" t="str">
        <f>$AG$6</f>
        <v>-</v>
      </c>
      <c r="AH432" s="110"/>
      <c r="AI432" s="49">
        <v>43252</v>
      </c>
      <c r="AJ432" s="49" t="str">
        <f>$Y$6</f>
        <v>-</v>
      </c>
      <c r="AK432" s="49" t="str">
        <f>$Y$6</f>
        <v>-</v>
      </c>
      <c r="AL432" s="49" t="str">
        <f>$Z$6</f>
        <v>-</v>
      </c>
      <c r="AM432" s="49" t="str">
        <f>$AA$6</f>
        <v>-</v>
      </c>
      <c r="AN432" s="49" t="str">
        <f>$AB$6</f>
        <v>-</v>
      </c>
      <c r="AO432" s="49" t="str">
        <f>$AC$6</f>
        <v>-</v>
      </c>
      <c r="AP432" s="49" t="str">
        <f>$AD$6</f>
        <v>-</v>
      </c>
      <c r="AQ432" s="49" t="str">
        <f>$AE$6</f>
        <v>-</v>
      </c>
      <c r="AR432" s="49" t="str">
        <f>$AF$6</f>
        <v>-</v>
      </c>
      <c r="AS432" s="49" t="str">
        <f>$AG$6</f>
        <v>-</v>
      </c>
    </row>
    <row r="433" spans="1:45" ht="30" hidden="1" outlineLevel="1" x14ac:dyDescent="0.25">
      <c r="D433" s="1098"/>
      <c r="E433" s="1098"/>
      <c r="F433" s="184"/>
      <c r="G433" s="184"/>
      <c r="V433" s="492"/>
      <c r="W433" s="322" t="s">
        <v>653</v>
      </c>
      <c r="X433" s="322" t="s">
        <v>653</v>
      </c>
      <c r="Y433" s="322" t="s">
        <v>653</v>
      </c>
      <c r="Z433" s="322" t="s">
        <v>653</v>
      </c>
      <c r="AA433" s="322" t="s">
        <v>653</v>
      </c>
      <c r="AB433" s="322" t="s">
        <v>653</v>
      </c>
      <c r="AC433" s="322" t="s">
        <v>653</v>
      </c>
      <c r="AD433" s="322" t="s">
        <v>653</v>
      </c>
      <c r="AE433" s="322" t="s">
        <v>653</v>
      </c>
      <c r="AF433" s="322" t="s">
        <v>653</v>
      </c>
      <c r="AG433" s="322" t="s">
        <v>653</v>
      </c>
      <c r="AH433" s="110"/>
      <c r="AI433" s="322" t="s">
        <v>654</v>
      </c>
      <c r="AJ433" s="322" t="s">
        <v>654</v>
      </c>
      <c r="AK433" s="322" t="s">
        <v>654</v>
      </c>
      <c r="AL433" s="322" t="s">
        <v>654</v>
      </c>
      <c r="AM433" s="322" t="s">
        <v>654</v>
      </c>
      <c r="AN433" s="322" t="s">
        <v>654</v>
      </c>
      <c r="AO433" s="322" t="s">
        <v>654</v>
      </c>
      <c r="AP433" s="322" t="s">
        <v>654</v>
      </c>
      <c r="AQ433" s="322" t="s">
        <v>654</v>
      </c>
      <c r="AR433" s="322" t="s">
        <v>654</v>
      </c>
      <c r="AS433" s="322" t="s">
        <v>654</v>
      </c>
    </row>
    <row r="434" spans="1:45" hidden="1" outlineLevel="1" x14ac:dyDescent="0.25">
      <c r="A434" s="37"/>
      <c r="B434" s="175"/>
      <c r="C434" s="1410"/>
      <c r="D434" s="1473" t="str">
        <f>'Efficient Products Deemed Table'!D183</f>
        <v>A</v>
      </c>
      <c r="E434" s="1474">
        <f>'Efficient Products Deemed Table'!E183</f>
        <v>0.55000000000000004</v>
      </c>
      <c r="F434" s="1412">
        <f>'Efficient Products Deemed Table'!F183</f>
        <v>432</v>
      </c>
      <c r="G434" s="1475">
        <f>'Efficient Products Deemed Table'!G183</f>
        <v>0</v>
      </c>
      <c r="H434" s="175"/>
      <c r="I434" s="175"/>
      <c r="J434" s="175"/>
      <c r="K434" s="175"/>
      <c r="L434" s="175"/>
      <c r="V434" s="1954" t="str">
        <f>D434</f>
        <v>A</v>
      </c>
      <c r="W434" s="324">
        <f>'Efficient Products Deemed Table'!W183</f>
        <v>0.55000000000000004</v>
      </c>
      <c r="X434" s="324">
        <f>'Efficient Products Deemed Table'!X183</f>
        <v>0.55000000000000004</v>
      </c>
      <c r="Y434" s="324"/>
      <c r="Z434" s="324"/>
      <c r="AA434" s="324"/>
      <c r="AB434" s="324"/>
      <c r="AC434" s="324"/>
      <c r="AD434" s="324"/>
      <c r="AE434" s="324"/>
      <c r="AF434" s="324"/>
      <c r="AG434" s="324"/>
      <c r="AH434" s="110"/>
      <c r="AI434" s="325">
        <f>'Efficient Products Deemed Table'!AI183</f>
        <v>432</v>
      </c>
      <c r="AJ434" s="325">
        <f>'Efficient Products Deemed Table'!AJ183</f>
        <v>432</v>
      </c>
      <c r="AK434" s="314"/>
      <c r="AL434" s="314"/>
      <c r="AM434" s="314"/>
      <c r="AN434" s="314"/>
      <c r="AO434" s="314"/>
      <c r="AP434" s="314"/>
      <c r="AQ434" s="314"/>
      <c r="AR434" s="314"/>
      <c r="AS434" s="314"/>
    </row>
    <row r="435" spans="1:45" hidden="1" outlineLevel="1" x14ac:dyDescent="0.25">
      <c r="A435" s="37"/>
      <c r="B435" s="175"/>
      <c r="C435" s="1410"/>
      <c r="D435" s="1473" t="str">
        <f>'Efficient Products Deemed Table'!D184</f>
        <v>B</v>
      </c>
      <c r="E435" s="1474">
        <f>'Efficient Products Deemed Table'!E184</f>
        <v>0.5</v>
      </c>
      <c r="F435" s="1412">
        <f>'Efficient Products Deemed Table'!F184</f>
        <v>432</v>
      </c>
      <c r="G435" s="1475">
        <f>'Efficient Products Deemed Table'!G184</f>
        <v>0</v>
      </c>
      <c r="H435" s="175"/>
      <c r="I435" s="175"/>
      <c r="J435" s="175"/>
      <c r="K435" s="175"/>
      <c r="L435" s="175"/>
      <c r="V435" s="1954" t="str">
        <f t="shared" ref="V435:V444" si="65">D435</f>
        <v>B</v>
      </c>
      <c r="W435" s="324">
        <f>'Efficient Products Deemed Table'!W184</f>
        <v>0.5</v>
      </c>
      <c r="X435" s="324">
        <f>'Efficient Products Deemed Table'!X184</f>
        <v>0.5</v>
      </c>
      <c r="Y435" s="324"/>
      <c r="Z435" s="324"/>
      <c r="AA435" s="324"/>
      <c r="AB435" s="324"/>
      <c r="AC435" s="324"/>
      <c r="AD435" s="324"/>
      <c r="AE435" s="324"/>
      <c r="AF435" s="324"/>
      <c r="AG435" s="324"/>
      <c r="AH435" s="110"/>
      <c r="AI435" s="325">
        <f>'Efficient Products Deemed Table'!AI184</f>
        <v>432</v>
      </c>
      <c r="AJ435" s="325">
        <f>'Efficient Products Deemed Table'!AJ184</f>
        <v>432</v>
      </c>
      <c r="AK435" s="314"/>
      <c r="AL435" s="314"/>
      <c r="AM435" s="314"/>
      <c r="AN435" s="314"/>
      <c r="AO435" s="314"/>
      <c r="AP435" s="314"/>
      <c r="AQ435" s="314"/>
      <c r="AR435" s="314"/>
      <c r="AS435" s="314"/>
    </row>
    <row r="436" spans="1:45" hidden="1" outlineLevel="1" x14ac:dyDescent="0.25">
      <c r="A436" s="37"/>
      <c r="B436" s="175"/>
      <c r="C436" s="1410"/>
      <c r="D436" s="1473" t="str">
        <f>'Efficient Products Deemed Table'!D185</f>
        <v>C</v>
      </c>
      <c r="E436" s="1474">
        <f>'Efficient Products Deemed Table'!E185</f>
        <v>0.45</v>
      </c>
      <c r="F436" s="1412">
        <f>'Efficient Products Deemed Table'!F185</f>
        <v>432</v>
      </c>
      <c r="G436" s="1475">
        <f>'Efficient Products Deemed Table'!G185</f>
        <v>0</v>
      </c>
      <c r="H436" s="175"/>
      <c r="I436" s="175"/>
      <c r="J436" s="175"/>
      <c r="K436" s="175"/>
      <c r="L436" s="175"/>
      <c r="V436" s="1954" t="str">
        <f t="shared" si="65"/>
        <v>C</v>
      </c>
      <c r="W436" s="324">
        <f>'Efficient Products Deemed Table'!W185</f>
        <v>0.45</v>
      </c>
      <c r="X436" s="324">
        <f>'Efficient Products Deemed Table'!X185</f>
        <v>0.45</v>
      </c>
      <c r="Y436" s="324"/>
      <c r="Z436" s="324"/>
      <c r="AA436" s="324"/>
      <c r="AB436" s="324"/>
      <c r="AC436" s="324"/>
      <c r="AD436" s="324"/>
      <c r="AE436" s="324"/>
      <c r="AF436" s="324"/>
      <c r="AG436" s="324"/>
      <c r="AH436" s="110"/>
      <c r="AI436" s="325">
        <f>'Efficient Products Deemed Table'!AI185</f>
        <v>432</v>
      </c>
      <c r="AJ436" s="325">
        <f>'Efficient Products Deemed Table'!AJ185</f>
        <v>432</v>
      </c>
      <c r="AK436" s="314"/>
      <c r="AL436" s="314"/>
      <c r="AM436" s="314"/>
      <c r="AN436" s="314"/>
      <c r="AO436" s="314"/>
      <c r="AP436" s="314"/>
      <c r="AQ436" s="314"/>
      <c r="AR436" s="314"/>
      <c r="AS436" s="314"/>
    </row>
    <row r="437" spans="1:45" hidden="1" outlineLevel="1" x14ac:dyDescent="0.25">
      <c r="A437" s="37"/>
      <c r="B437" s="175"/>
      <c r="C437" s="1410"/>
      <c r="D437" s="1473" t="str">
        <f>'Efficient Products Deemed Table'!D186</f>
        <v>D</v>
      </c>
      <c r="E437" s="1474">
        <f>'Efficient Products Deemed Table'!E186</f>
        <v>0.4</v>
      </c>
      <c r="F437" s="1412">
        <f>'Efficient Products Deemed Table'!F186</f>
        <v>432</v>
      </c>
      <c r="G437" s="1475">
        <f>'Efficient Products Deemed Table'!G186</f>
        <v>0</v>
      </c>
      <c r="H437" s="175"/>
      <c r="I437" s="175"/>
      <c r="J437" s="175"/>
      <c r="K437" s="175"/>
      <c r="L437" s="175"/>
      <c r="V437" s="1954" t="str">
        <f t="shared" si="65"/>
        <v>D</v>
      </c>
      <c r="W437" s="324">
        <f>'Efficient Products Deemed Table'!W186</f>
        <v>0.4</v>
      </c>
      <c r="X437" s="324">
        <f>'Efficient Products Deemed Table'!X186</f>
        <v>0.4</v>
      </c>
      <c r="Y437" s="324"/>
      <c r="Z437" s="324"/>
      <c r="AA437" s="324"/>
      <c r="AB437" s="324"/>
      <c r="AC437" s="324"/>
      <c r="AD437" s="324"/>
      <c r="AE437" s="324"/>
      <c r="AF437" s="324"/>
      <c r="AG437" s="324"/>
      <c r="AH437" s="110"/>
      <c r="AI437" s="325">
        <f>'Efficient Products Deemed Table'!AI186</f>
        <v>432</v>
      </c>
      <c r="AJ437" s="325">
        <f>'Efficient Products Deemed Table'!AJ186</f>
        <v>432</v>
      </c>
      <c r="AK437" s="314"/>
      <c r="AL437" s="314"/>
      <c r="AM437" s="314"/>
      <c r="AN437" s="314"/>
      <c r="AO437" s="314"/>
      <c r="AP437" s="314"/>
      <c r="AQ437" s="314"/>
      <c r="AR437" s="314"/>
      <c r="AS437" s="314"/>
    </row>
    <row r="438" spans="1:45" hidden="1" outlineLevel="1" x14ac:dyDescent="0.25">
      <c r="A438" s="37"/>
      <c r="B438" s="175"/>
      <c r="C438" s="1410"/>
      <c r="D438" s="1473" t="str">
        <f>'Efficient Products Deemed Table'!D187</f>
        <v>E</v>
      </c>
      <c r="E438" s="1474">
        <f>'Efficient Products Deemed Table'!E187</f>
        <v>0.35</v>
      </c>
      <c r="F438" s="1412">
        <f>'Efficient Products Deemed Table'!F187</f>
        <v>432</v>
      </c>
      <c r="G438" s="1475">
        <f>'Efficient Products Deemed Table'!G187</f>
        <v>0</v>
      </c>
      <c r="H438" s="175"/>
      <c r="I438" s="175"/>
      <c r="J438" s="175"/>
      <c r="K438" s="175"/>
      <c r="L438" s="175"/>
      <c r="V438" s="1954" t="str">
        <f t="shared" si="65"/>
        <v>E</v>
      </c>
      <c r="W438" s="324">
        <f>'Efficient Products Deemed Table'!W187</f>
        <v>0.35</v>
      </c>
      <c r="X438" s="324">
        <f>'Efficient Products Deemed Table'!X187</f>
        <v>0.35</v>
      </c>
      <c r="Y438" s="324"/>
      <c r="Z438" s="324"/>
      <c r="AA438" s="324"/>
      <c r="AB438" s="324"/>
      <c r="AC438" s="324"/>
      <c r="AD438" s="324"/>
      <c r="AE438" s="324"/>
      <c r="AF438" s="324"/>
      <c r="AG438" s="324"/>
      <c r="AH438" s="110"/>
      <c r="AI438" s="325">
        <f>'Efficient Products Deemed Table'!AI187</f>
        <v>432</v>
      </c>
      <c r="AJ438" s="325">
        <f>'Efficient Products Deemed Table'!AJ187</f>
        <v>432</v>
      </c>
      <c r="AK438" s="314"/>
      <c r="AL438" s="314"/>
      <c r="AM438" s="314"/>
      <c r="AN438" s="314"/>
      <c r="AO438" s="314"/>
      <c r="AP438" s="314"/>
      <c r="AQ438" s="314"/>
      <c r="AR438" s="314"/>
      <c r="AS438" s="314"/>
    </row>
    <row r="439" spans="1:45" hidden="1" outlineLevel="1" x14ac:dyDescent="0.25">
      <c r="A439" s="37"/>
      <c r="B439" s="175"/>
      <c r="C439" s="1410"/>
      <c r="D439" s="1473" t="str">
        <f>'Efficient Products Deemed Table'!D188</f>
        <v>F</v>
      </c>
      <c r="E439" s="1474">
        <f>'Efficient Products Deemed Table'!E188</f>
        <v>0.3</v>
      </c>
      <c r="F439" s="1412">
        <f>'Efficient Products Deemed Table'!F188</f>
        <v>432</v>
      </c>
      <c r="G439" s="1475">
        <f>'Efficient Products Deemed Table'!G188</f>
        <v>0</v>
      </c>
      <c r="H439" s="175"/>
      <c r="I439" s="175"/>
      <c r="J439" s="175"/>
      <c r="K439" s="175"/>
      <c r="L439" s="175"/>
      <c r="V439" s="1954" t="str">
        <f t="shared" si="65"/>
        <v>F</v>
      </c>
      <c r="W439" s="324">
        <f>'Efficient Products Deemed Table'!W188</f>
        <v>0.3</v>
      </c>
      <c r="X439" s="324">
        <f>'Efficient Products Deemed Table'!X188</f>
        <v>0.3</v>
      </c>
      <c r="Y439" s="324"/>
      <c r="Z439" s="324"/>
      <c r="AA439" s="324"/>
      <c r="AB439" s="324"/>
      <c r="AC439" s="324"/>
      <c r="AD439" s="324"/>
      <c r="AE439" s="324"/>
      <c r="AF439" s="324"/>
      <c r="AG439" s="324"/>
      <c r="AH439" s="110"/>
      <c r="AI439" s="325">
        <f>'Efficient Products Deemed Table'!AI188</f>
        <v>432</v>
      </c>
      <c r="AJ439" s="325">
        <f>'Efficient Products Deemed Table'!AJ188</f>
        <v>432</v>
      </c>
      <c r="AK439" s="314"/>
      <c r="AL439" s="314"/>
      <c r="AM439" s="314"/>
      <c r="AN439" s="314"/>
      <c r="AO439" s="314"/>
      <c r="AP439" s="314"/>
      <c r="AQ439" s="314"/>
      <c r="AR439" s="314"/>
      <c r="AS439" s="314"/>
    </row>
    <row r="440" spans="1:45" hidden="1" outlineLevel="1" x14ac:dyDescent="0.25">
      <c r="A440" s="37"/>
      <c r="B440" s="175"/>
      <c r="C440" s="1410"/>
      <c r="D440" s="1473" t="str">
        <f>'Efficient Products Deemed Table'!D189</f>
        <v>G</v>
      </c>
      <c r="E440" s="1474">
        <f>'Efficient Products Deemed Table'!E189</f>
        <v>0.25</v>
      </c>
      <c r="F440" s="1412">
        <f>'Efficient Products Deemed Table'!F189</f>
        <v>432</v>
      </c>
      <c r="G440" s="1475">
        <f>'Efficient Products Deemed Table'!G189</f>
        <v>0</v>
      </c>
      <c r="H440" s="175"/>
      <c r="I440" s="175"/>
      <c r="J440" s="175"/>
      <c r="K440" s="175"/>
      <c r="L440" s="175"/>
      <c r="V440" s="1954" t="str">
        <f t="shared" si="65"/>
        <v>G</v>
      </c>
      <c r="W440" s="324">
        <f>'Efficient Products Deemed Table'!W189</f>
        <v>0.25</v>
      </c>
      <c r="X440" s="324">
        <f>'Efficient Products Deemed Table'!X189</f>
        <v>0.25</v>
      </c>
      <c r="Y440" s="324"/>
      <c r="Z440" s="324"/>
      <c r="AA440" s="324"/>
      <c r="AB440" s="324"/>
      <c r="AC440" s="324"/>
      <c r="AD440" s="324"/>
      <c r="AE440" s="324"/>
      <c r="AF440" s="324"/>
      <c r="AG440" s="324"/>
      <c r="AH440" s="110"/>
      <c r="AI440" s="325">
        <f>'Efficient Products Deemed Table'!AI189</f>
        <v>432</v>
      </c>
      <c r="AJ440" s="325">
        <f>'Efficient Products Deemed Table'!AJ189</f>
        <v>432</v>
      </c>
      <c r="AK440" s="314"/>
      <c r="AL440" s="314"/>
      <c r="AM440" s="314"/>
      <c r="AN440" s="314"/>
      <c r="AO440" s="314"/>
      <c r="AP440" s="314"/>
      <c r="AQ440" s="314"/>
      <c r="AR440" s="314"/>
      <c r="AS440" s="314"/>
    </row>
    <row r="441" spans="1:45" hidden="1" outlineLevel="1" x14ac:dyDescent="0.25">
      <c r="A441" s="37"/>
      <c r="B441" s="175"/>
      <c r="C441" s="1410"/>
      <c r="D441" s="1473" t="str">
        <f>'Efficient Products Deemed Table'!D190</f>
        <v>H</v>
      </c>
      <c r="E441" s="1474">
        <f>'Efficient Products Deemed Table'!E190</f>
        <v>0.2</v>
      </c>
      <c r="F441" s="1412">
        <f>'Efficient Products Deemed Table'!F190</f>
        <v>432</v>
      </c>
      <c r="G441" s="1475">
        <f>'Efficient Products Deemed Table'!G190</f>
        <v>0</v>
      </c>
      <c r="H441" s="175"/>
      <c r="I441" s="175"/>
      <c r="J441" s="175"/>
      <c r="K441" s="175"/>
      <c r="L441" s="175"/>
      <c r="V441" s="1954" t="str">
        <f t="shared" si="65"/>
        <v>H</v>
      </c>
      <c r="W441" s="324">
        <f>'Efficient Products Deemed Table'!W190</f>
        <v>0.2</v>
      </c>
      <c r="X441" s="324">
        <f>'Efficient Products Deemed Table'!X190</f>
        <v>0.2</v>
      </c>
      <c r="Y441" s="324"/>
      <c r="Z441" s="324"/>
      <c r="AA441" s="324"/>
      <c r="AB441" s="324"/>
      <c r="AC441" s="324"/>
      <c r="AD441" s="324"/>
      <c r="AE441" s="324"/>
      <c r="AF441" s="324"/>
      <c r="AG441" s="324"/>
      <c r="AH441" s="110"/>
      <c r="AI441" s="325">
        <f>'Efficient Products Deemed Table'!AI190</f>
        <v>432</v>
      </c>
      <c r="AJ441" s="325">
        <f>'Efficient Products Deemed Table'!AJ190</f>
        <v>432</v>
      </c>
      <c r="AK441" s="314"/>
      <c r="AL441" s="314"/>
      <c r="AM441" s="314"/>
      <c r="AN441" s="314"/>
      <c r="AO441" s="314"/>
      <c r="AP441" s="314"/>
      <c r="AQ441" s="314"/>
      <c r="AR441" s="314"/>
      <c r="AS441" s="314"/>
    </row>
    <row r="442" spans="1:45" hidden="1" outlineLevel="1" x14ac:dyDescent="0.25">
      <c r="A442" s="37"/>
      <c r="B442" s="175"/>
      <c r="C442" s="1410"/>
      <c r="D442" s="1098" t="s">
        <v>465</v>
      </c>
      <c r="E442" s="2075" t="s">
        <v>467</v>
      </c>
      <c r="F442" s="2394"/>
      <c r="G442" s="184" t="s">
        <v>655</v>
      </c>
      <c r="H442" s="175"/>
      <c r="I442" s="175"/>
      <c r="J442" s="175"/>
      <c r="K442" s="175"/>
      <c r="L442" s="175"/>
      <c r="V442" s="1955"/>
      <c r="W442" s="328"/>
      <c r="X442" s="328"/>
      <c r="Y442" s="329"/>
      <c r="Z442" s="329"/>
      <c r="AA442" s="329"/>
      <c r="AB442" s="329"/>
      <c r="AC442" s="329"/>
      <c r="AD442" s="329"/>
      <c r="AE442" s="329"/>
      <c r="AF442" s="329"/>
      <c r="AG442" s="329"/>
      <c r="AH442" s="110"/>
      <c r="AI442" s="330"/>
      <c r="AJ442" s="330"/>
      <c r="AK442" s="308"/>
      <c r="AL442" s="308"/>
      <c r="AM442" s="308"/>
      <c r="AN442" s="308"/>
      <c r="AO442" s="308"/>
      <c r="AP442" s="308"/>
      <c r="AQ442" s="308"/>
      <c r="AR442" s="308"/>
      <c r="AS442" s="308"/>
    </row>
    <row r="443" spans="1:45" hidden="1" outlineLevel="1" x14ac:dyDescent="0.25">
      <c r="A443" s="37"/>
      <c r="B443" s="175"/>
      <c r="C443" s="1410"/>
      <c r="D443" s="298" t="str">
        <f>J417</f>
        <v>EUL</v>
      </c>
      <c r="E443" s="2395">
        <v>10</v>
      </c>
      <c r="F443" s="1993"/>
      <c r="G443" s="379" t="s">
        <v>31</v>
      </c>
      <c r="H443" s="175"/>
      <c r="I443" s="175"/>
      <c r="J443" s="175"/>
      <c r="K443" s="175"/>
      <c r="L443" s="175"/>
      <c r="V443" s="1954" t="str">
        <f t="shared" si="65"/>
        <v>EUL</v>
      </c>
      <c r="W443" s="1092">
        <v>10</v>
      </c>
      <c r="X443" s="1092">
        <v>10</v>
      </c>
      <c r="Y443" s="331"/>
      <c r="Z443" s="331"/>
      <c r="AA443" s="331"/>
      <c r="AB443" s="331"/>
      <c r="AC443" s="331"/>
      <c r="AD443" s="331"/>
      <c r="AE443" s="331"/>
      <c r="AF443" s="331"/>
      <c r="AG443" s="331"/>
      <c r="AH443" s="110"/>
      <c r="AI443" s="330"/>
      <c r="AJ443" s="330"/>
      <c r="AK443" s="308"/>
      <c r="AL443" s="308"/>
      <c r="AM443" s="308"/>
      <c r="AN443" s="308"/>
      <c r="AO443" s="308"/>
      <c r="AP443" s="308"/>
      <c r="AQ443" s="308"/>
      <c r="AR443" s="308"/>
      <c r="AS443" s="308"/>
    </row>
    <row r="444" spans="1:45" hidden="1" outlineLevel="1" x14ac:dyDescent="0.25">
      <c r="A444" s="37"/>
      <c r="B444" s="175"/>
      <c r="C444" s="1410"/>
      <c r="D444" s="298" t="str">
        <f>K417</f>
        <v>Inc. Cost</v>
      </c>
      <c r="E444" s="2396">
        <v>30</v>
      </c>
      <c r="F444" s="1993"/>
      <c r="G444" s="379" t="s">
        <v>31</v>
      </c>
      <c r="H444" s="175"/>
      <c r="I444" s="175"/>
      <c r="J444" s="175"/>
      <c r="K444" s="175"/>
      <c r="L444" s="175"/>
      <c r="V444" s="1954" t="str">
        <f t="shared" si="65"/>
        <v>Inc. Cost</v>
      </c>
      <c r="W444" s="1093">
        <v>30</v>
      </c>
      <c r="X444" s="1093">
        <v>30</v>
      </c>
      <c r="Y444" s="333"/>
      <c r="Z444" s="333"/>
      <c r="AA444" s="333"/>
      <c r="AB444" s="333"/>
      <c r="AC444" s="333"/>
      <c r="AD444" s="333"/>
      <c r="AE444" s="333"/>
      <c r="AF444" s="333"/>
      <c r="AG444" s="333"/>
      <c r="AH444" s="110"/>
      <c r="AI444" s="330"/>
      <c r="AJ444" s="330"/>
      <c r="AK444" s="308"/>
      <c r="AL444" s="308"/>
      <c r="AM444" s="308"/>
      <c r="AN444" s="308"/>
      <c r="AO444" s="308"/>
      <c r="AP444" s="308"/>
      <c r="AQ444" s="308"/>
      <c r="AR444" s="308"/>
      <c r="AS444" s="308"/>
    </row>
    <row r="445" spans="1:45" collapsed="1" x14ac:dyDescent="0.25">
      <c r="A445" s="110"/>
      <c r="B445" s="313"/>
      <c r="C445" s="1425"/>
      <c r="D445" s="1433"/>
      <c r="E445" s="1433"/>
      <c r="F445" s="313"/>
      <c r="G445" s="313"/>
      <c r="H445" s="313"/>
      <c r="I445" s="313"/>
      <c r="J445" s="313"/>
      <c r="K445" s="313"/>
      <c r="L445" s="313"/>
    </row>
    <row r="446" spans="1:45" x14ac:dyDescent="0.25">
      <c r="A446" s="110"/>
      <c r="B446" s="313"/>
      <c r="C446" s="1425"/>
      <c r="D446" s="1433"/>
      <c r="E446" s="1433"/>
      <c r="F446" s="313"/>
      <c r="G446" s="313"/>
      <c r="H446" s="313"/>
      <c r="I446" s="313"/>
      <c r="J446" s="313"/>
      <c r="K446" s="313"/>
      <c r="L446" s="313"/>
    </row>
    <row r="447" spans="1:45" s="165" customFormat="1" x14ac:dyDescent="0.25">
      <c r="B447" s="2022" t="s">
        <v>1705</v>
      </c>
      <c r="C447" s="2023"/>
      <c r="D447" s="2023"/>
      <c r="E447" s="2023"/>
      <c r="F447" s="2023"/>
      <c r="G447" s="2023"/>
      <c r="H447" s="2023"/>
      <c r="I447" s="1992"/>
      <c r="J447" s="1992"/>
      <c r="K447" s="1992"/>
      <c r="L447" s="1992"/>
      <c r="M447" s="1992"/>
      <c r="N447" s="1992"/>
      <c r="O447" s="1992"/>
      <c r="P447" s="1992"/>
      <c r="Q447" s="1993"/>
      <c r="V447" s="2022" t="str">
        <f>B447</f>
        <v>High Efficienty Pool Pump</v>
      </c>
      <c r="W447" s="2023"/>
      <c r="X447" s="2023"/>
      <c r="Y447" s="2023"/>
      <c r="Z447" s="2023"/>
      <c r="AA447" s="2023"/>
      <c r="AB447" s="2023"/>
      <c r="AC447" s="2023"/>
      <c r="AD447" s="2023"/>
      <c r="AE447" s="2023"/>
      <c r="AF447" s="2023"/>
      <c r="AG447" s="2023"/>
      <c r="AH447" s="2023"/>
      <c r="AI447" s="2196"/>
      <c r="AJ447"/>
    </row>
    <row r="448" spans="1:45" ht="23.25" customHeight="1" x14ac:dyDescent="0.25">
      <c r="B448" s="1699"/>
      <c r="C448" s="1700"/>
      <c r="D448" s="1701"/>
      <c r="E448" s="1701"/>
      <c r="F448" s="1699"/>
      <c r="G448" s="1699"/>
      <c r="H448" s="1699"/>
      <c r="I448" s="1699"/>
      <c r="J448" s="1699"/>
      <c r="K448" s="1699"/>
      <c r="L448" s="1699"/>
    </row>
    <row r="449" spans="2:33" ht="45" x14ac:dyDescent="0.25">
      <c r="B449" s="1699"/>
      <c r="C449" s="184" t="s">
        <v>16</v>
      </c>
      <c r="D449" s="184" t="s">
        <v>509</v>
      </c>
      <c r="E449" s="184" t="s">
        <v>18</v>
      </c>
      <c r="F449" s="184" t="s">
        <v>19</v>
      </c>
      <c r="G449" s="184" t="s">
        <v>20</v>
      </c>
      <c r="H449" s="184" t="s">
        <v>21</v>
      </c>
      <c r="I449" s="184" t="s">
        <v>1706</v>
      </c>
      <c r="J449" s="184" t="s">
        <v>1707</v>
      </c>
      <c r="K449" s="184" t="s">
        <v>1708</v>
      </c>
      <c r="L449" s="184" t="s">
        <v>22</v>
      </c>
      <c r="M449" s="184" t="s">
        <v>23</v>
      </c>
      <c r="N449" s="184" t="s">
        <v>24</v>
      </c>
      <c r="O449" s="184" t="s">
        <v>25</v>
      </c>
      <c r="V449" s="490" t="s">
        <v>26</v>
      </c>
      <c r="W449" s="49">
        <f>W$6</f>
        <v>43252</v>
      </c>
      <c r="X449" s="49">
        <f t="shared" ref="X449:AG449" si="66">X$6</f>
        <v>43465</v>
      </c>
      <c r="Y449" s="49" t="str">
        <f t="shared" si="66"/>
        <v>-</v>
      </c>
      <c r="Z449" s="49" t="str">
        <f t="shared" si="66"/>
        <v>-</v>
      </c>
      <c r="AA449" s="49" t="str">
        <f t="shared" si="66"/>
        <v>-</v>
      </c>
      <c r="AB449" s="49" t="str">
        <f t="shared" si="66"/>
        <v>-</v>
      </c>
      <c r="AC449" s="49" t="str">
        <f t="shared" si="66"/>
        <v>-</v>
      </c>
      <c r="AD449" s="49" t="str">
        <f t="shared" si="66"/>
        <v>-</v>
      </c>
      <c r="AE449" s="49" t="str">
        <f t="shared" si="66"/>
        <v>-</v>
      </c>
      <c r="AF449" s="49" t="str">
        <f t="shared" si="66"/>
        <v>-</v>
      </c>
      <c r="AG449" s="49" t="str">
        <f t="shared" si="66"/>
        <v>-</v>
      </c>
    </row>
    <row r="450" spans="2:33" x14ac:dyDescent="0.25">
      <c r="B450" s="1699"/>
      <c r="C450" s="115"/>
      <c r="D450" s="1066" t="s">
        <v>1637</v>
      </c>
      <c r="E450" s="726" t="s">
        <v>1709</v>
      </c>
      <c r="F450" s="123">
        <f>F467*(I450-(J450+K450))</f>
        <v>2052.8492712328771</v>
      </c>
      <c r="G450" s="1039" t="s">
        <v>626</v>
      </c>
      <c r="H450" s="170">
        <f>VLOOKUP(G450,'CP FACTORS'!$A$3:$B$38, 2, FALSE)</f>
        <v>2.3544589999999999E-4</v>
      </c>
      <c r="I450" s="1946">
        <f>(F468*F469*F474)/(F475*F478)</f>
        <v>20.976000000000003</v>
      </c>
      <c r="J450" s="81">
        <f>(F470*F471*F474)/(F476*F478)</f>
        <v>1.5789473684210527</v>
      </c>
      <c r="K450" s="81">
        <f>(F472*F473*F474)/(F477*F478)</f>
        <v>2.515068493150685</v>
      </c>
      <c r="L450" s="1397">
        <f>F450*H450</f>
        <v>0.4833349442297688</v>
      </c>
      <c r="M450" s="122">
        <f>F479</f>
        <v>10</v>
      </c>
      <c r="N450" s="1063">
        <f>F480</f>
        <v>549</v>
      </c>
      <c r="O450" s="1903" t="s">
        <v>31</v>
      </c>
      <c r="V450" s="621" t="str">
        <f>F449</f>
        <v>kWh Annual Savings</v>
      </c>
      <c r="W450" s="1969">
        <v>2052.8492712328771</v>
      </c>
      <c r="X450" s="1212">
        <v>2052.8492712328771</v>
      </c>
      <c r="Y450" s="176"/>
      <c r="Z450" s="176"/>
      <c r="AA450" s="176"/>
      <c r="AB450" s="176"/>
      <c r="AC450" s="176"/>
      <c r="AD450" s="176"/>
      <c r="AE450" s="176"/>
      <c r="AF450" s="176"/>
      <c r="AG450" s="176"/>
    </row>
    <row r="451" spans="2:33" hidden="1" outlineLevel="1" x14ac:dyDescent="0.25">
      <c r="B451" s="1699"/>
      <c r="C451" s="1700"/>
      <c r="D451" s="1701"/>
      <c r="E451" s="1701"/>
      <c r="F451" s="1699"/>
      <c r="G451" s="1699"/>
      <c r="H451" s="1699"/>
      <c r="I451" s="1699"/>
      <c r="J451" s="1699"/>
      <c r="K451" s="1699"/>
      <c r="L451" s="1699"/>
    </row>
    <row r="452" spans="2:33" hidden="1" outlineLevel="1" x14ac:dyDescent="0.25">
      <c r="B452" s="1699"/>
      <c r="C452" s="1700"/>
      <c r="D452" s="1418" t="s">
        <v>463</v>
      </c>
      <c r="E452" s="1701"/>
      <c r="F452" s="1699"/>
      <c r="G452" s="1699"/>
      <c r="H452" s="1699"/>
      <c r="I452" s="1699"/>
      <c r="J452" s="1699"/>
      <c r="K452" s="1699"/>
      <c r="L452" s="1699"/>
    </row>
    <row r="453" spans="2:33" hidden="1" outlineLevel="1" x14ac:dyDescent="0.25">
      <c r="B453" s="1699"/>
      <c r="C453" s="1700"/>
      <c r="D453" s="1701"/>
      <c r="E453" s="1701"/>
      <c r="F453" s="1699"/>
      <c r="G453" s="1699"/>
      <c r="H453" s="1699"/>
      <c r="I453" s="1699"/>
      <c r="J453" s="1699"/>
      <c r="K453" s="1699"/>
      <c r="L453" s="1699"/>
    </row>
    <row r="454" spans="2:33" hidden="1" outlineLevel="1" x14ac:dyDescent="0.25">
      <c r="B454" s="1699"/>
      <c r="C454" s="1700"/>
      <c r="D454" s="1701"/>
      <c r="E454" s="1701"/>
      <c r="F454" s="1699"/>
      <c r="G454" s="1699"/>
      <c r="H454" s="1699"/>
      <c r="I454" s="1699"/>
      <c r="J454" s="1699"/>
      <c r="K454" s="1699"/>
      <c r="L454" s="1699"/>
    </row>
    <row r="455" spans="2:33" hidden="1" outlineLevel="1" x14ac:dyDescent="0.25">
      <c r="B455" s="1699"/>
      <c r="C455" s="1700"/>
      <c r="D455" s="1701"/>
      <c r="E455" s="1701"/>
      <c r="F455" s="1699"/>
      <c r="G455" s="1699"/>
      <c r="H455" s="1699"/>
      <c r="I455" s="1699"/>
      <c r="J455" s="1699"/>
      <c r="K455" s="1699"/>
      <c r="L455" s="1699"/>
    </row>
    <row r="456" spans="2:33" hidden="1" outlineLevel="1" x14ac:dyDescent="0.25">
      <c r="B456" s="1699"/>
      <c r="C456" s="1700"/>
      <c r="D456" s="1701"/>
      <c r="E456" s="1701"/>
      <c r="F456" s="1699"/>
      <c r="G456" s="1699"/>
      <c r="H456" s="1699"/>
      <c r="I456" s="1699"/>
      <c r="J456" s="1699"/>
      <c r="K456" s="1699"/>
      <c r="L456" s="1699"/>
    </row>
    <row r="457" spans="2:33" hidden="1" outlineLevel="1" x14ac:dyDescent="0.25">
      <c r="B457" s="1699"/>
      <c r="C457" s="1700"/>
      <c r="D457" s="1701"/>
      <c r="E457" s="1701"/>
      <c r="F457" s="1699"/>
      <c r="G457" s="1699"/>
      <c r="H457" s="1699"/>
      <c r="I457" s="1699"/>
      <c r="J457" s="1699"/>
      <c r="K457" s="1699"/>
      <c r="L457" s="1699"/>
    </row>
    <row r="458" spans="2:33" hidden="1" outlineLevel="1" x14ac:dyDescent="0.25">
      <c r="B458" s="1699"/>
      <c r="C458" s="1700"/>
      <c r="D458" s="1701"/>
      <c r="E458" s="1701"/>
      <c r="F458" s="1699"/>
      <c r="G458" s="1699"/>
      <c r="H458" s="1699"/>
      <c r="I458" s="1699"/>
      <c r="J458" s="1699"/>
      <c r="K458" s="1699"/>
      <c r="L458" s="1699"/>
    </row>
    <row r="459" spans="2:33" hidden="1" outlineLevel="1" x14ac:dyDescent="0.25">
      <c r="B459" s="1699"/>
      <c r="C459" s="1700"/>
      <c r="D459" s="1701"/>
      <c r="E459" s="1701"/>
      <c r="F459" s="1699"/>
      <c r="G459" s="1699"/>
      <c r="H459" s="1699"/>
      <c r="I459" s="1699"/>
      <c r="J459" s="1699"/>
      <c r="K459" s="1699"/>
      <c r="L459" s="1699"/>
    </row>
    <row r="460" spans="2:33" hidden="1" outlineLevel="1" x14ac:dyDescent="0.25">
      <c r="B460" s="1699"/>
      <c r="C460" s="1700"/>
      <c r="D460" s="1701"/>
      <c r="E460" s="1701"/>
      <c r="F460" s="1699"/>
      <c r="G460" s="1699"/>
      <c r="H460" s="1699"/>
      <c r="I460" s="1699"/>
      <c r="J460" s="1699"/>
      <c r="K460" s="1699"/>
      <c r="L460" s="1699"/>
    </row>
    <row r="461" spans="2:33" hidden="1" outlineLevel="1" x14ac:dyDescent="0.25">
      <c r="B461" s="1699"/>
      <c r="C461" s="1700"/>
      <c r="D461" s="1701"/>
      <c r="E461" s="1701"/>
      <c r="F461" s="1699"/>
      <c r="G461" s="1699"/>
      <c r="H461" s="1699"/>
      <c r="I461" s="1699"/>
      <c r="J461" s="1699"/>
      <c r="K461" s="1699"/>
      <c r="L461" s="1699"/>
    </row>
    <row r="462" spans="2:33" hidden="1" outlineLevel="1" x14ac:dyDescent="0.25">
      <c r="B462" s="1699"/>
      <c r="C462" s="1700"/>
      <c r="D462" s="1701"/>
      <c r="E462" s="1701"/>
      <c r="F462" s="1699"/>
      <c r="G462" s="1699"/>
      <c r="H462" s="1699"/>
      <c r="I462" s="1699"/>
      <c r="J462" s="1699"/>
      <c r="K462" s="1699"/>
      <c r="L462" s="1699"/>
    </row>
    <row r="463" spans="2:33" hidden="1" outlineLevel="1" x14ac:dyDescent="0.25">
      <c r="B463" s="1699"/>
      <c r="C463" s="1700"/>
      <c r="D463" s="1701"/>
      <c r="E463" s="1701"/>
      <c r="F463" s="1699"/>
      <c r="G463" s="1699"/>
      <c r="H463" s="1699"/>
      <c r="I463" s="1699"/>
      <c r="J463" s="1699"/>
      <c r="K463" s="1699"/>
      <c r="L463" s="1699"/>
    </row>
    <row r="464" spans="2:33" hidden="1" outlineLevel="1" x14ac:dyDescent="0.25">
      <c r="B464" s="1699"/>
      <c r="C464" s="1700"/>
      <c r="D464" s="1701"/>
      <c r="E464" s="1701"/>
      <c r="F464" s="1699" t="s">
        <v>1503</v>
      </c>
      <c r="G464" s="1699"/>
      <c r="H464" s="1699"/>
      <c r="I464" s="1699"/>
      <c r="J464" s="1699"/>
      <c r="K464" s="1699"/>
      <c r="L464" s="1699"/>
    </row>
    <row r="465" spans="1:47" ht="10.5" hidden="1" customHeight="1" outlineLevel="1" x14ac:dyDescent="0.25">
      <c r="B465" s="1699"/>
      <c r="C465" s="1700"/>
      <c r="D465" s="1701"/>
      <c r="E465" s="1701"/>
      <c r="F465" s="1699"/>
      <c r="G465" s="1699"/>
      <c r="H465" s="1699"/>
      <c r="I465" s="1699"/>
      <c r="J465" s="1699"/>
      <c r="K465" s="1699"/>
      <c r="L465" s="1699"/>
    </row>
    <row r="466" spans="1:47" ht="15" hidden="1" customHeight="1" outlineLevel="1" x14ac:dyDescent="0.25">
      <c r="B466" s="1699"/>
      <c r="C466" s="1700"/>
      <c r="D466" s="1098" t="s">
        <v>465</v>
      </c>
      <c r="E466" s="1098" t="s">
        <v>466</v>
      </c>
      <c r="F466" s="184" t="s">
        <v>467</v>
      </c>
      <c r="G466" s="184" t="s">
        <v>515</v>
      </c>
      <c r="H466" s="1699"/>
      <c r="I466" s="1699"/>
      <c r="J466" s="1699"/>
      <c r="K466" s="1699"/>
      <c r="L466" s="1699"/>
      <c r="V466" s="490" t="s">
        <v>26</v>
      </c>
      <c r="W466" s="49">
        <f>W$6</f>
        <v>43252</v>
      </c>
      <c r="X466" s="49">
        <f t="shared" ref="X466:AG466" si="67">X$6</f>
        <v>43465</v>
      </c>
      <c r="Y466" s="49" t="str">
        <f t="shared" si="67"/>
        <v>-</v>
      </c>
      <c r="Z466" s="49" t="str">
        <f t="shared" si="67"/>
        <v>-</v>
      </c>
      <c r="AA466" s="49" t="str">
        <f t="shared" si="67"/>
        <v>-</v>
      </c>
      <c r="AB466" s="49" t="str">
        <f t="shared" si="67"/>
        <v>-</v>
      </c>
      <c r="AC466" s="49" t="str">
        <f t="shared" si="67"/>
        <v>-</v>
      </c>
      <c r="AD466" s="49" t="str">
        <f t="shared" si="67"/>
        <v>-</v>
      </c>
      <c r="AE466" s="49" t="str">
        <f t="shared" si="67"/>
        <v>-</v>
      </c>
      <c r="AF466" s="49" t="str">
        <f t="shared" si="67"/>
        <v>-</v>
      </c>
      <c r="AG466" s="49" t="str">
        <f t="shared" si="67"/>
        <v>-</v>
      </c>
    </row>
    <row r="467" spans="1:47" s="422" customFormat="1" ht="18" hidden="1" outlineLevel="1" x14ac:dyDescent="0.25">
      <c r="B467" s="1934"/>
      <c r="C467" s="1935"/>
      <c r="D467" s="321" t="s">
        <v>1864</v>
      </c>
      <c r="E467" s="321" t="s">
        <v>1710</v>
      </c>
      <c r="F467" s="52">
        <v>121.6</v>
      </c>
      <c r="G467" s="726" t="s">
        <v>1711</v>
      </c>
      <c r="H467" s="1934"/>
      <c r="I467" s="1934"/>
      <c r="J467" s="1934"/>
      <c r="K467" s="1934"/>
      <c r="L467" s="1934"/>
      <c r="M467" s="514"/>
      <c r="N467" s="514"/>
      <c r="O467" s="514"/>
      <c r="P467" s="514"/>
      <c r="Q467" s="514"/>
      <c r="R467" s="514"/>
      <c r="S467" s="514"/>
      <c r="T467" s="514"/>
      <c r="U467" s="514"/>
      <c r="V467" s="807" t="str">
        <f>D467</f>
        <v>Daysoper</v>
      </c>
      <c r="W467" s="302">
        <v>121.6</v>
      </c>
      <c r="X467" s="302">
        <v>121.6</v>
      </c>
      <c r="Y467" s="302"/>
      <c r="Z467" s="302"/>
      <c r="AA467" s="302"/>
      <c r="AB467" s="302"/>
      <c r="AC467" s="302"/>
      <c r="AD467" s="302"/>
      <c r="AE467" s="302"/>
      <c r="AF467" s="302"/>
      <c r="AG467" s="302"/>
      <c r="AH467"/>
      <c r="AI467"/>
      <c r="AJ467"/>
    </row>
    <row r="468" spans="1:47" s="422" customFormat="1" ht="31.5" hidden="1" customHeight="1" outlineLevel="1" x14ac:dyDescent="0.25">
      <c r="B468" s="1934"/>
      <c r="C468" s="1935"/>
      <c r="D468" s="321" t="s">
        <v>1865</v>
      </c>
      <c r="E468" s="726" t="s">
        <v>632</v>
      </c>
      <c r="F468" s="1150">
        <v>11.4</v>
      </c>
      <c r="G468" s="726" t="s">
        <v>1711</v>
      </c>
      <c r="H468" s="1934"/>
      <c r="I468" s="1934"/>
      <c r="J468" s="1934"/>
      <c r="K468" s="1934"/>
      <c r="L468" s="1934"/>
      <c r="M468" s="514"/>
      <c r="N468" s="514"/>
      <c r="O468" s="514"/>
      <c r="P468" s="514"/>
      <c r="Q468" s="514"/>
      <c r="R468" s="514"/>
      <c r="S468" s="514"/>
      <c r="T468" s="514"/>
      <c r="U468" s="514"/>
      <c r="V468" s="807" t="str">
        <f t="shared" ref="V468:V480" si="68">D468</f>
        <v>RTss</v>
      </c>
      <c r="W468" s="310">
        <v>11.4</v>
      </c>
      <c r="X468" s="310">
        <v>11.4</v>
      </c>
      <c r="Y468" s="310"/>
      <c r="Z468" s="310"/>
      <c r="AA468" s="310"/>
      <c r="AB468" s="310"/>
      <c r="AC468" s="310"/>
      <c r="AD468" s="310"/>
      <c r="AE468" s="310"/>
      <c r="AF468" s="310"/>
      <c r="AG468" s="310"/>
      <c r="AH468"/>
      <c r="AI468"/>
      <c r="AJ468"/>
    </row>
    <row r="469" spans="1:47" s="422" customFormat="1" ht="31.5" hidden="1" customHeight="1" outlineLevel="1" x14ac:dyDescent="0.25">
      <c r="B469" s="1934"/>
      <c r="C469" s="1935"/>
      <c r="D469" s="321" t="s">
        <v>1870</v>
      </c>
      <c r="E469" s="1931" t="s">
        <v>1712</v>
      </c>
      <c r="F469" s="1039">
        <v>64.400000000000006</v>
      </c>
      <c r="G469" s="726" t="s">
        <v>1711</v>
      </c>
      <c r="H469" s="1934"/>
      <c r="I469" s="1934"/>
      <c r="J469" s="1934"/>
      <c r="K469" s="1934"/>
      <c r="L469" s="1934"/>
      <c r="M469" s="514"/>
      <c r="N469" s="514"/>
      <c r="O469" s="514"/>
      <c r="P469" s="514"/>
      <c r="Q469" s="514"/>
      <c r="R469" s="514"/>
      <c r="S469" s="514"/>
      <c r="T469" s="514"/>
      <c r="U469" s="514"/>
      <c r="V469" s="807" t="str">
        <f t="shared" si="68"/>
        <v>GPMss</v>
      </c>
      <c r="W469" s="444">
        <v>64.400000000000006</v>
      </c>
      <c r="X469" s="444">
        <v>64.400000000000006</v>
      </c>
      <c r="Y469" s="444"/>
      <c r="Z469" s="444"/>
      <c r="AA469" s="444"/>
      <c r="AB469" s="444"/>
      <c r="AC469" s="444"/>
      <c r="AD469" s="444"/>
      <c r="AE469" s="444"/>
      <c r="AF469" s="444"/>
      <c r="AG469" s="444"/>
      <c r="AH469"/>
      <c r="AI469"/>
      <c r="AJ469"/>
    </row>
    <row r="470" spans="1:47" s="422" customFormat="1" ht="36" hidden="1" customHeight="1" outlineLevel="1" x14ac:dyDescent="0.25">
      <c r="B470" s="1934"/>
      <c r="C470" s="1935"/>
      <c r="D470" s="321" t="s">
        <v>1868</v>
      </c>
      <c r="E470" s="726" t="s">
        <v>1713</v>
      </c>
      <c r="F470" s="122">
        <v>2</v>
      </c>
      <c r="G470" s="726" t="s">
        <v>1711</v>
      </c>
      <c r="H470" s="1934"/>
      <c r="I470" s="1934"/>
      <c r="J470" s="1934"/>
      <c r="K470" s="1934"/>
      <c r="L470" s="1934"/>
      <c r="M470" s="514"/>
      <c r="N470" s="514"/>
      <c r="O470" s="514"/>
      <c r="P470" s="514"/>
      <c r="Q470" s="514"/>
      <c r="R470" s="514"/>
      <c r="S470" s="514"/>
      <c r="T470" s="514"/>
      <c r="U470" s="514"/>
      <c r="V470" s="807" t="str">
        <f t="shared" si="68"/>
        <v>RThs</v>
      </c>
      <c r="W470" s="312">
        <v>2</v>
      </c>
      <c r="X470" s="312">
        <v>2</v>
      </c>
      <c r="Y470" s="312"/>
      <c r="Z470" s="312"/>
      <c r="AA470" s="312"/>
      <c r="AB470" s="312"/>
      <c r="AC470" s="312"/>
      <c r="AD470" s="312"/>
      <c r="AE470" s="312"/>
      <c r="AF470" s="312"/>
      <c r="AG470" s="312"/>
      <c r="AH470"/>
      <c r="AI470"/>
      <c r="AJ470"/>
    </row>
    <row r="471" spans="1:47" s="422" customFormat="1" ht="18" hidden="1" outlineLevel="1" x14ac:dyDescent="0.25">
      <c r="B471" s="1934"/>
      <c r="C471" s="1935"/>
      <c r="D471" s="321" t="s">
        <v>1872</v>
      </c>
      <c r="E471" s="726" t="s">
        <v>1714</v>
      </c>
      <c r="F471" s="122">
        <v>50</v>
      </c>
      <c r="G471" s="726" t="s">
        <v>1711</v>
      </c>
      <c r="H471" s="1934"/>
      <c r="I471" s="1934"/>
      <c r="J471" s="1934"/>
      <c r="K471" s="1934"/>
      <c r="L471" s="1934"/>
      <c r="M471" s="514"/>
      <c r="N471" s="514"/>
      <c r="O471" s="514"/>
      <c r="P471" s="514"/>
      <c r="Q471" s="514"/>
      <c r="R471" s="514"/>
      <c r="S471" s="514"/>
      <c r="T471" s="514"/>
      <c r="U471" s="514"/>
      <c r="V471" s="807" t="str">
        <f t="shared" si="68"/>
        <v>GPMhs</v>
      </c>
      <c r="W471" s="312">
        <v>50</v>
      </c>
      <c r="X471" s="312">
        <v>50</v>
      </c>
      <c r="Y471" s="312"/>
      <c r="Z471" s="312"/>
      <c r="AA471" s="312"/>
      <c r="AB471" s="312"/>
      <c r="AC471" s="312"/>
      <c r="AD471" s="312"/>
      <c r="AE471" s="312"/>
      <c r="AF471" s="312"/>
      <c r="AG471" s="312"/>
      <c r="AH471"/>
      <c r="AI471"/>
      <c r="AJ471"/>
    </row>
    <row r="472" spans="1:47" s="422" customFormat="1" ht="18" hidden="1" outlineLevel="1" x14ac:dyDescent="0.25">
      <c r="B472" s="1934"/>
      <c r="C472" s="1935"/>
      <c r="D472" s="321" t="s">
        <v>1866</v>
      </c>
      <c r="E472" s="726" t="s">
        <v>1715</v>
      </c>
      <c r="F472" s="122">
        <v>10</v>
      </c>
      <c r="G472" s="726" t="s">
        <v>1711</v>
      </c>
      <c r="H472" s="1934"/>
      <c r="I472" s="1934"/>
      <c r="J472" s="1934"/>
      <c r="K472" s="1934"/>
      <c r="L472" s="1934"/>
      <c r="M472" s="514"/>
      <c r="N472" s="514"/>
      <c r="O472" s="514"/>
      <c r="P472" s="514"/>
      <c r="Q472" s="514"/>
      <c r="R472" s="514"/>
      <c r="S472" s="514"/>
      <c r="T472" s="514"/>
      <c r="U472" s="514"/>
      <c r="V472" s="807" t="str">
        <f t="shared" si="68"/>
        <v>RTls</v>
      </c>
      <c r="W472" s="312">
        <v>10</v>
      </c>
      <c r="X472" s="312">
        <v>10</v>
      </c>
      <c r="Y472" s="312"/>
      <c r="Z472" s="312"/>
      <c r="AA472" s="312"/>
      <c r="AB472" s="312"/>
      <c r="AC472" s="312"/>
      <c r="AD472" s="312"/>
      <c r="AE472" s="312"/>
      <c r="AF472" s="312"/>
      <c r="AG472" s="312"/>
      <c r="AH472"/>
      <c r="AI472"/>
      <c r="AJ472"/>
    </row>
    <row r="473" spans="1:47" s="422" customFormat="1" ht="18" hidden="1" outlineLevel="1" x14ac:dyDescent="0.25">
      <c r="B473" s="1934"/>
      <c r="C473" s="1935"/>
      <c r="D473" s="321" t="s">
        <v>1871</v>
      </c>
      <c r="E473" s="726" t="s">
        <v>1716</v>
      </c>
      <c r="F473" s="122">
        <v>30.6</v>
      </c>
      <c r="G473" s="726" t="s">
        <v>1711</v>
      </c>
      <c r="H473" s="1934"/>
      <c r="I473" s="1934"/>
      <c r="J473" s="1934"/>
      <c r="K473" s="1934"/>
      <c r="L473" s="1934"/>
      <c r="M473" s="514"/>
      <c r="N473" s="514"/>
      <c r="O473" s="514"/>
      <c r="P473" s="514"/>
      <c r="Q473" s="514"/>
      <c r="R473" s="514"/>
      <c r="S473" s="514"/>
      <c r="T473" s="514"/>
      <c r="U473" s="514"/>
      <c r="V473" s="807" t="str">
        <f t="shared" si="68"/>
        <v>GPMls</v>
      </c>
      <c r="W473" s="312">
        <v>30.6</v>
      </c>
      <c r="X473" s="312">
        <v>30.6</v>
      </c>
      <c r="Y473" s="312"/>
      <c r="Z473" s="312"/>
      <c r="AA473" s="312"/>
      <c r="AB473" s="312"/>
      <c r="AC473" s="312"/>
      <c r="AD473" s="312"/>
      <c r="AE473" s="312"/>
      <c r="AF473" s="312"/>
      <c r="AG473" s="312"/>
      <c r="AH473"/>
      <c r="AI473"/>
      <c r="AJ473"/>
    </row>
    <row r="474" spans="1:47" s="422" customFormat="1" hidden="1" outlineLevel="1" x14ac:dyDescent="0.25">
      <c r="B474" s="1934"/>
      <c r="C474" s="1935"/>
      <c r="D474" s="321">
        <v>60</v>
      </c>
      <c r="E474" s="1931" t="s">
        <v>1717</v>
      </c>
      <c r="F474" s="1932">
        <v>60</v>
      </c>
      <c r="G474" s="726" t="s">
        <v>1711</v>
      </c>
      <c r="H474" s="1934"/>
      <c r="I474" s="1934"/>
      <c r="J474" s="1934"/>
      <c r="K474" s="1934"/>
      <c r="L474" s="1934"/>
      <c r="M474" s="514"/>
      <c r="N474" s="514"/>
      <c r="O474" s="514"/>
      <c r="P474" s="514"/>
      <c r="Q474" s="514"/>
      <c r="R474" s="514"/>
      <c r="S474" s="514"/>
      <c r="T474" s="514"/>
      <c r="U474" s="514"/>
      <c r="V474" s="807">
        <f t="shared" si="68"/>
        <v>60</v>
      </c>
      <c r="W474" s="463">
        <v>60</v>
      </c>
      <c r="X474" s="463">
        <v>60</v>
      </c>
      <c r="Y474" s="463"/>
      <c r="Z474" s="463"/>
      <c r="AA474" s="463"/>
      <c r="AB474" s="463"/>
      <c r="AC474" s="463"/>
      <c r="AD474" s="463"/>
      <c r="AE474" s="463"/>
      <c r="AF474" s="463"/>
      <c r="AG474" s="463"/>
      <c r="AH474"/>
      <c r="AI474"/>
      <c r="AJ474"/>
    </row>
    <row r="475" spans="1:47" s="422" customFormat="1" ht="18" hidden="1" outlineLevel="1" x14ac:dyDescent="0.25">
      <c r="B475" s="1934"/>
      <c r="C475" s="1935"/>
      <c r="D475" s="321" t="s">
        <v>1936</v>
      </c>
      <c r="E475" s="1947" t="s">
        <v>1718</v>
      </c>
      <c r="F475" s="122">
        <v>2.1</v>
      </c>
      <c r="G475" s="726" t="s">
        <v>1711</v>
      </c>
      <c r="H475" s="1934"/>
      <c r="I475" s="1934"/>
      <c r="J475" s="1934"/>
      <c r="K475" s="1934"/>
      <c r="L475" s="1934"/>
      <c r="M475" s="514"/>
      <c r="N475" s="514"/>
      <c r="O475" s="514"/>
      <c r="P475" s="514"/>
      <c r="Q475" s="514"/>
      <c r="R475" s="514"/>
      <c r="S475" s="514"/>
      <c r="T475" s="514"/>
      <c r="U475" s="514"/>
      <c r="V475" s="807" t="str">
        <f t="shared" si="68"/>
        <v>EFss</v>
      </c>
      <c r="W475" s="312">
        <v>2.1</v>
      </c>
      <c r="X475" s="312">
        <v>2.1</v>
      </c>
      <c r="Y475" s="312"/>
      <c r="Z475" s="312"/>
      <c r="AA475" s="312"/>
      <c r="AB475" s="312"/>
      <c r="AC475" s="312"/>
      <c r="AD475" s="312"/>
      <c r="AE475" s="312"/>
      <c r="AF475" s="312"/>
      <c r="AG475" s="312"/>
      <c r="AH475"/>
      <c r="AI475"/>
      <c r="AJ475"/>
    </row>
    <row r="476" spans="1:47" s="422" customFormat="1" ht="30" hidden="1" outlineLevel="1" x14ac:dyDescent="0.25">
      <c r="B476" s="1934"/>
      <c r="C476" s="1935"/>
      <c r="D476" s="321" t="s">
        <v>1937</v>
      </c>
      <c r="E476" s="726" t="s">
        <v>1719</v>
      </c>
      <c r="F476" s="122">
        <v>3.8</v>
      </c>
      <c r="G476" s="726" t="s">
        <v>1711</v>
      </c>
      <c r="H476" s="1934"/>
      <c r="I476" s="1934"/>
      <c r="J476" s="1934"/>
      <c r="K476" s="1934"/>
      <c r="L476" s="1934"/>
      <c r="M476" s="514"/>
      <c r="N476" s="514"/>
      <c r="O476" s="514"/>
      <c r="P476" s="514"/>
      <c r="Q476" s="514"/>
      <c r="R476" s="514"/>
      <c r="S476" s="514"/>
      <c r="T476" s="514"/>
      <c r="U476" s="514"/>
      <c r="V476" s="807" t="str">
        <f t="shared" si="68"/>
        <v>EFhs</v>
      </c>
      <c r="W476" s="312">
        <v>3.8</v>
      </c>
      <c r="X476" s="312">
        <v>3.8</v>
      </c>
      <c r="Y476" s="312"/>
      <c r="Z476" s="312"/>
      <c r="AA476" s="312"/>
      <c r="AB476" s="312"/>
      <c r="AC476" s="312"/>
      <c r="AD476" s="312"/>
      <c r="AE476" s="312"/>
      <c r="AF476" s="312"/>
      <c r="AG476" s="312"/>
      <c r="AH476"/>
      <c r="AI476"/>
      <c r="AJ476"/>
    </row>
    <row r="477" spans="1:47" s="422" customFormat="1" ht="30" hidden="1" outlineLevel="1" x14ac:dyDescent="0.25">
      <c r="B477" s="1934"/>
      <c r="C477" s="1935"/>
      <c r="D477" s="321" t="s">
        <v>1938</v>
      </c>
      <c r="E477" s="726" t="s">
        <v>1720</v>
      </c>
      <c r="F477" s="122">
        <v>7.3</v>
      </c>
      <c r="G477" s="726" t="s">
        <v>1711</v>
      </c>
      <c r="H477" s="1934"/>
      <c r="I477" s="1934"/>
      <c r="J477" s="1934"/>
      <c r="K477" s="1934"/>
      <c r="L477" s="1934"/>
      <c r="M477" s="514"/>
      <c r="N477" s="514"/>
      <c r="O477" s="514"/>
      <c r="P477" s="514"/>
      <c r="Q477" s="514"/>
      <c r="R477" s="514"/>
      <c r="S477" s="514"/>
      <c r="T477" s="514"/>
      <c r="U477" s="514"/>
      <c r="V477" s="807" t="str">
        <f t="shared" si="68"/>
        <v>EFls</v>
      </c>
      <c r="W477" s="312">
        <v>7.3</v>
      </c>
      <c r="X477" s="312">
        <v>7.3</v>
      </c>
      <c r="Y477" s="312"/>
      <c r="Z477" s="312"/>
      <c r="AA477" s="312"/>
      <c r="AB477" s="312"/>
      <c r="AC477" s="312"/>
      <c r="AD477" s="312"/>
      <c r="AE477" s="312"/>
      <c r="AF477" s="312"/>
      <c r="AG477" s="312"/>
      <c r="AH477"/>
      <c r="AI477"/>
      <c r="AJ477"/>
    </row>
    <row r="478" spans="1:47" s="422" customFormat="1" ht="30" hidden="1" outlineLevel="1" x14ac:dyDescent="0.25">
      <c r="B478" s="1934"/>
      <c r="C478" s="1935"/>
      <c r="D478" s="321">
        <v>1000</v>
      </c>
      <c r="E478" s="726" t="s">
        <v>1220</v>
      </c>
      <c r="F478" s="122">
        <v>1000</v>
      </c>
      <c r="G478" s="890" t="s">
        <v>1221</v>
      </c>
      <c r="H478" s="1934"/>
      <c r="I478" s="1934"/>
      <c r="J478" s="1934"/>
      <c r="K478" s="1934"/>
      <c r="L478" s="1934"/>
      <c r="M478" s="514"/>
      <c r="N478" s="514"/>
      <c r="O478" s="514"/>
      <c r="P478" s="514"/>
      <c r="Q478" s="514"/>
      <c r="R478" s="514"/>
      <c r="S478" s="514"/>
      <c r="T478" s="514"/>
      <c r="U478" s="514"/>
      <c r="V478" s="807">
        <f t="shared" si="68"/>
        <v>1000</v>
      </c>
      <c r="W478" s="312">
        <v>1000</v>
      </c>
      <c r="X478" s="312">
        <v>1000</v>
      </c>
      <c r="Y478" s="312"/>
      <c r="Z478" s="312"/>
      <c r="AA478" s="312"/>
      <c r="AB478" s="312"/>
      <c r="AC478" s="312"/>
      <c r="AD478" s="312"/>
      <c r="AE478" s="312"/>
      <c r="AF478" s="312"/>
      <c r="AG478" s="312"/>
      <c r="AH478"/>
      <c r="AI478"/>
      <c r="AJ478"/>
    </row>
    <row r="479" spans="1:47" s="110" customFormat="1" ht="15" hidden="1" customHeight="1" outlineLevel="1" x14ac:dyDescent="0.25">
      <c r="A479" s="335"/>
      <c r="B479" s="1478"/>
      <c r="C479" s="1410"/>
      <c r="D479" s="298" t="str">
        <f>$D$25</f>
        <v>EUL</v>
      </c>
      <c r="E479" s="298" t="str">
        <f>$E$25</f>
        <v>End Useful Life</v>
      </c>
      <c r="F479" s="346">
        <v>10</v>
      </c>
      <c r="G479" s="890"/>
      <c r="H479" s="1934"/>
      <c r="I479" s="1478"/>
      <c r="J479" s="1478"/>
      <c r="K479" s="1478"/>
      <c r="L479" s="1478"/>
      <c r="M479" s="313"/>
      <c r="N479" s="313"/>
      <c r="O479" s="313"/>
      <c r="P479" s="313"/>
      <c r="Q479" s="313"/>
      <c r="R479" s="313"/>
      <c r="S479" s="313"/>
      <c r="T479" s="313"/>
      <c r="U479" s="313"/>
      <c r="V479" s="348" t="str">
        <f t="shared" si="68"/>
        <v>EUL</v>
      </c>
      <c r="W479" s="346">
        <v>10</v>
      </c>
      <c r="X479" s="346">
        <v>10</v>
      </c>
      <c r="Y479" s="346"/>
      <c r="Z479" s="349"/>
      <c r="AA479" s="349"/>
      <c r="AB479" s="349"/>
      <c r="AC479" s="349"/>
      <c r="AD479" s="349"/>
      <c r="AE479" s="349"/>
      <c r="AF479" s="349"/>
      <c r="AG479" s="349"/>
      <c r="AU479" s="178"/>
    </row>
    <row r="480" spans="1:47" s="110" customFormat="1" ht="15" hidden="1" customHeight="1" outlineLevel="1" x14ac:dyDescent="0.25">
      <c r="A480" s="335"/>
      <c r="B480" s="1478"/>
      <c r="C480" s="1410"/>
      <c r="D480" s="298" t="str">
        <f>$D$26</f>
        <v>Inc. Cost</v>
      </c>
      <c r="E480" s="298" t="str">
        <f>$E$26</f>
        <v>Incremental Cost ($)</v>
      </c>
      <c r="F480" s="353">
        <v>549</v>
      </c>
      <c r="G480" s="890"/>
      <c r="H480" s="1934"/>
      <c r="I480" s="1478"/>
      <c r="J480" s="1478"/>
      <c r="K480" s="1478"/>
      <c r="L480" s="1478"/>
      <c r="M480" s="313"/>
      <c r="N480" s="313"/>
      <c r="O480" s="313"/>
      <c r="P480" s="313"/>
      <c r="Q480" s="313"/>
      <c r="R480" s="313"/>
      <c r="S480" s="313"/>
      <c r="T480" s="313"/>
      <c r="U480" s="313"/>
      <c r="V480" s="348" t="str">
        <f t="shared" si="68"/>
        <v>Inc. Cost</v>
      </c>
      <c r="W480" s="353">
        <v>549</v>
      </c>
      <c r="X480" s="1094">
        <v>549</v>
      </c>
      <c r="Y480" s="1094"/>
      <c r="Z480" s="338"/>
      <c r="AA480" s="338"/>
      <c r="AB480" s="338"/>
      <c r="AC480" s="338"/>
      <c r="AD480" s="338"/>
      <c r="AE480" s="338"/>
      <c r="AF480" s="338"/>
      <c r="AG480" s="338"/>
      <c r="AU480" s="178"/>
    </row>
    <row r="481" spans="1:36" s="422" customFormat="1" collapsed="1" x14ac:dyDescent="0.25">
      <c r="B481" s="1934"/>
      <c r="C481" s="1935"/>
      <c r="D481" s="988"/>
      <c r="E481" s="986"/>
      <c r="F481" s="1865"/>
      <c r="G481" s="1861"/>
      <c r="H481" s="1934"/>
      <c r="I481" s="1934"/>
      <c r="J481" s="1934"/>
      <c r="K481" s="1934"/>
      <c r="L481" s="1934"/>
      <c r="M481" s="514"/>
      <c r="N481" s="514"/>
      <c r="O481" s="514"/>
      <c r="P481" s="514"/>
      <c r="Q481" s="514"/>
      <c r="R481" s="514"/>
      <c r="S481" s="514"/>
      <c r="T481" s="514"/>
      <c r="U481" s="514"/>
      <c r="V481" s="130"/>
      <c r="W481"/>
      <c r="X481"/>
      <c r="Y481"/>
      <c r="Z481"/>
      <c r="AA481"/>
      <c r="AB481"/>
      <c r="AC481"/>
      <c r="AD481"/>
      <c r="AE481"/>
      <c r="AF481"/>
      <c r="AG481"/>
      <c r="AH481"/>
      <c r="AI481"/>
      <c r="AJ481"/>
    </row>
    <row r="482" spans="1:36" s="422" customFormat="1" x14ac:dyDescent="0.25">
      <c r="B482" s="1934"/>
      <c r="C482" s="1935"/>
      <c r="D482" s="988"/>
      <c r="E482" s="1948"/>
      <c r="F482" s="1949"/>
      <c r="G482" s="1948"/>
      <c r="H482" s="1934"/>
      <c r="I482" s="1934"/>
      <c r="J482" s="1934"/>
      <c r="K482" s="1934"/>
      <c r="L482" s="1934"/>
      <c r="M482" s="514"/>
      <c r="N482" s="514"/>
      <c r="O482" s="514"/>
      <c r="P482" s="514"/>
      <c r="Q482" s="514"/>
      <c r="R482" s="514"/>
      <c r="S482" s="514"/>
      <c r="T482" s="514"/>
      <c r="U482" s="514"/>
      <c r="V482" s="130"/>
      <c r="W482"/>
      <c r="X482"/>
      <c r="Y482"/>
      <c r="Z482"/>
      <c r="AA482"/>
      <c r="AB482"/>
      <c r="AC482"/>
      <c r="AD482"/>
      <c r="AE482"/>
      <c r="AF482"/>
      <c r="AG482"/>
      <c r="AH482"/>
      <c r="AI482"/>
      <c r="AJ482"/>
    </row>
    <row r="483" spans="1:36" x14ac:dyDescent="0.25">
      <c r="B483" s="2022" t="s">
        <v>92</v>
      </c>
      <c r="C483" s="2023"/>
      <c r="D483" s="2023"/>
      <c r="E483" s="2023"/>
      <c r="F483" s="2023"/>
      <c r="G483" s="2023"/>
      <c r="H483" s="2023"/>
      <c r="I483" s="1992"/>
      <c r="J483" s="1992"/>
      <c r="K483" s="1992"/>
      <c r="L483" s="1992"/>
      <c r="M483" s="1992"/>
      <c r="N483" s="1992"/>
      <c r="O483" s="1992"/>
      <c r="P483" s="1992"/>
      <c r="Q483" s="1993"/>
      <c r="R483" s="904"/>
      <c r="V483" s="2022" t="str">
        <f>B483</f>
        <v>Refrigerator</v>
      </c>
      <c r="W483" s="2023"/>
      <c r="X483" s="2023"/>
      <c r="Y483" s="2023"/>
      <c r="Z483" s="2023"/>
      <c r="AA483" s="2023"/>
      <c r="AB483" s="2023"/>
      <c r="AC483" s="2024"/>
      <c r="AD483" s="2024"/>
      <c r="AE483" s="2024"/>
      <c r="AF483" s="2024"/>
      <c r="AG483" s="2024"/>
      <c r="AH483" s="2024"/>
      <c r="AI483" s="2025"/>
    </row>
    <row r="484" spans="1:36" x14ac:dyDescent="0.25">
      <c r="O484" s="904"/>
      <c r="P484" s="904"/>
      <c r="Q484" s="904"/>
      <c r="R484" s="904"/>
    </row>
    <row r="485" spans="1:36" ht="45" x14ac:dyDescent="0.25">
      <c r="A485" s="801"/>
      <c r="B485" s="904"/>
      <c r="C485" s="184" t="s">
        <v>16</v>
      </c>
      <c r="D485" s="184" t="s">
        <v>509</v>
      </c>
      <c r="E485" s="184" t="s">
        <v>18</v>
      </c>
      <c r="F485" s="184" t="s">
        <v>19</v>
      </c>
      <c r="G485" s="184" t="s">
        <v>20</v>
      </c>
      <c r="H485" s="184" t="s">
        <v>21</v>
      </c>
      <c r="I485" s="184" t="s">
        <v>22</v>
      </c>
      <c r="J485" s="184" t="s">
        <v>23</v>
      </c>
      <c r="K485" s="184" t="s">
        <v>24</v>
      </c>
      <c r="L485" s="184" t="s">
        <v>25</v>
      </c>
      <c r="O485" s="904"/>
      <c r="P485" s="904"/>
      <c r="Q485" s="904"/>
      <c r="R485" s="904"/>
      <c r="V485" s="490" t="s">
        <v>26</v>
      </c>
      <c r="W485" s="49">
        <f>W$6</f>
        <v>43252</v>
      </c>
      <c r="X485" s="49">
        <f t="shared" ref="X485:AG485" si="69">X$6</f>
        <v>43465</v>
      </c>
      <c r="Y485" s="49" t="str">
        <f t="shared" si="69"/>
        <v>-</v>
      </c>
      <c r="Z485" s="49" t="str">
        <f t="shared" si="69"/>
        <v>-</v>
      </c>
      <c r="AA485" s="49" t="str">
        <f t="shared" si="69"/>
        <v>-</v>
      </c>
      <c r="AB485" s="49" t="str">
        <f t="shared" si="69"/>
        <v>-</v>
      </c>
      <c r="AC485" s="49" t="str">
        <f t="shared" si="69"/>
        <v>-</v>
      </c>
      <c r="AD485" s="49" t="str">
        <f t="shared" si="69"/>
        <v>-</v>
      </c>
      <c r="AE485" s="49" t="str">
        <f t="shared" si="69"/>
        <v>-</v>
      </c>
      <c r="AF485" s="49" t="str">
        <f t="shared" si="69"/>
        <v>-</v>
      </c>
      <c r="AG485" s="49" t="str">
        <f t="shared" si="69"/>
        <v>-</v>
      </c>
    </row>
    <row r="486" spans="1:36" x14ac:dyDescent="0.25">
      <c r="A486" s="249"/>
      <c r="B486" s="904"/>
      <c r="C486" s="115"/>
      <c r="D486" s="1066" t="s">
        <v>1637</v>
      </c>
      <c r="E486" s="321" t="s">
        <v>1721</v>
      </c>
      <c r="F486" s="1069">
        <f>F493-(F494*(1-F495))</f>
        <v>564.66038920276219</v>
      </c>
      <c r="G486" s="160" t="s">
        <v>1585</v>
      </c>
      <c r="H486" s="170">
        <f>VLOOKUP(G486,'CP FACTORS'!$A$3:$B$38, 2, FALSE)</f>
        <v>1.286107E-4</v>
      </c>
      <c r="I486" s="1672">
        <f>F486*H486</f>
        <v>7.2621367917639693E-2</v>
      </c>
      <c r="J486" s="160">
        <f>F508</f>
        <v>6</v>
      </c>
      <c r="K486" s="1063">
        <f>F510</f>
        <v>753</v>
      </c>
      <c r="L486" s="1903" t="s">
        <v>31</v>
      </c>
      <c r="O486" s="514"/>
      <c r="P486" s="514"/>
      <c r="Q486" s="514"/>
      <c r="R486" s="514"/>
      <c r="V486" s="621" t="str">
        <f>F485</f>
        <v>kWh Annual Savings</v>
      </c>
      <c r="W486" s="1959">
        <v>564.66038920276219</v>
      </c>
      <c r="X486" s="1959">
        <v>564.66038920276219</v>
      </c>
      <c r="Y486" s="1037"/>
      <c r="Z486" s="1037"/>
      <c r="AA486" s="1037"/>
      <c r="AB486" s="1037"/>
      <c r="AC486" s="1037"/>
      <c r="AD486" s="1037"/>
      <c r="AE486" s="1037"/>
      <c r="AF486" s="1037"/>
      <c r="AG486" s="1037"/>
    </row>
    <row r="487" spans="1:36" ht="30" x14ac:dyDescent="0.25">
      <c r="A487" s="249"/>
      <c r="B487" s="904"/>
      <c r="C487" s="115"/>
      <c r="D487" s="1066" t="s">
        <v>1637</v>
      </c>
      <c r="E487" s="321" t="s">
        <v>1722</v>
      </c>
      <c r="F487" s="821">
        <f>F496-(F494*(1-F495))</f>
        <v>46.722222222222229</v>
      </c>
      <c r="G487" s="160" t="s">
        <v>1587</v>
      </c>
      <c r="H487" s="170">
        <f>VLOOKUP(G487,'CP FACTORS'!$A$3:$B$38, 2, FALSE)</f>
        <v>1.286107E-4</v>
      </c>
      <c r="I487" s="1672">
        <f>F487*H487</f>
        <v>6.0089777055555562E-3</v>
      </c>
      <c r="J487" s="160">
        <f>F509</f>
        <v>11</v>
      </c>
      <c r="K487" s="1063">
        <v>0</v>
      </c>
      <c r="L487" s="1903" t="s">
        <v>31</v>
      </c>
      <c r="O487" s="904"/>
      <c r="P487" s="904"/>
      <c r="Q487" s="904"/>
      <c r="R487" s="904"/>
      <c r="V487" s="621" t="str">
        <f>V486</f>
        <v>kWh Annual Savings</v>
      </c>
      <c r="W487" s="1975">
        <v>46.722222222222229</v>
      </c>
      <c r="X487" s="1975">
        <v>46.722222222222229</v>
      </c>
      <c r="Y487" s="654"/>
      <c r="Z487" s="654"/>
      <c r="AA487" s="654"/>
      <c r="AB487" s="654"/>
      <c r="AC487" s="654"/>
      <c r="AD487" s="654"/>
      <c r="AE487" s="654"/>
      <c r="AF487" s="654"/>
      <c r="AG487" s="654"/>
    </row>
    <row r="488" spans="1:36" hidden="1" outlineLevel="1" x14ac:dyDescent="0.25">
      <c r="A488" s="249"/>
      <c r="B488" s="904"/>
      <c r="C488" s="124"/>
      <c r="D488" s="986"/>
      <c r="E488" s="986"/>
      <c r="F488" s="1545"/>
      <c r="G488" s="1865"/>
      <c r="H488" s="1548"/>
      <c r="I488" s="1871"/>
      <c r="J488" s="1872"/>
      <c r="K488" s="1594"/>
      <c r="M488" s="1548"/>
      <c r="N488" s="904"/>
      <c r="O488" s="904"/>
      <c r="P488" s="904"/>
      <c r="Q488" s="904"/>
      <c r="R488" s="904"/>
    </row>
    <row r="489" spans="1:36" hidden="1" outlineLevel="1" x14ac:dyDescent="0.25">
      <c r="A489" s="249"/>
      <c r="B489" s="904"/>
      <c r="C489" s="124"/>
      <c r="D489" s="1418" t="s">
        <v>463</v>
      </c>
      <c r="E489" s="986"/>
      <c r="F489" s="1545"/>
      <c r="G489" s="1865"/>
      <c r="H489" s="1548"/>
      <c r="I489" s="1871"/>
      <c r="J489" s="1872"/>
      <c r="K489" s="1871"/>
      <c r="L489" s="1594"/>
      <c r="M489" s="1548"/>
      <c r="N489" s="904"/>
      <c r="O489" s="904"/>
      <c r="P489" s="904"/>
      <c r="Q489" s="904"/>
      <c r="R489" s="904"/>
    </row>
    <row r="490" spans="1:36" hidden="1" outlineLevel="1" x14ac:dyDescent="0.25">
      <c r="A490" s="249"/>
      <c r="B490" s="904"/>
      <c r="C490" s="124"/>
      <c r="D490" s="986"/>
      <c r="E490" s="986"/>
      <c r="F490" s="1545"/>
      <c r="G490" s="1865"/>
      <c r="H490" s="1548"/>
      <c r="I490" s="1871"/>
      <c r="J490" s="1872"/>
      <c r="K490" s="1871"/>
      <c r="L490" s="1594"/>
      <c r="M490" s="1548"/>
      <c r="N490" s="904"/>
      <c r="O490" s="904"/>
      <c r="P490" s="904"/>
      <c r="Q490" s="904"/>
      <c r="R490" s="904"/>
    </row>
    <row r="491" spans="1:36" hidden="1" outlineLevel="1" x14ac:dyDescent="0.25">
      <c r="A491" s="249"/>
      <c r="B491" s="904"/>
      <c r="C491" s="124"/>
      <c r="D491" s="986"/>
      <c r="E491" s="986"/>
      <c r="F491" s="905"/>
      <c r="G491" s="1865"/>
      <c r="H491" s="904"/>
      <c r="I491" s="1871"/>
      <c r="J491" s="1872"/>
      <c r="K491" s="1871"/>
      <c r="L491" s="1594"/>
      <c r="M491" s="904"/>
      <c r="N491" s="904"/>
      <c r="O491" s="904"/>
      <c r="P491" s="904"/>
      <c r="Q491" s="904"/>
      <c r="R491" s="904"/>
    </row>
    <row r="492" spans="1:36" hidden="1" outlineLevel="1" x14ac:dyDescent="0.25">
      <c r="A492" s="249"/>
      <c r="B492" s="904"/>
      <c r="C492" s="1088"/>
      <c r="D492" s="1098" t="s">
        <v>465</v>
      </c>
      <c r="E492" s="1098" t="s">
        <v>466</v>
      </c>
      <c r="F492" s="184" t="s">
        <v>467</v>
      </c>
      <c r="G492" s="2050" t="s">
        <v>515</v>
      </c>
      <c r="H492" s="2050"/>
      <c r="I492" s="1096"/>
      <c r="L492" s="1778"/>
      <c r="M492" s="1778"/>
      <c r="N492" s="1778"/>
      <c r="O492" s="1778"/>
      <c r="P492" s="1778"/>
      <c r="Q492" s="1778"/>
      <c r="R492" s="1778"/>
      <c r="S492" s="1778"/>
      <c r="V492" s="490" t="s">
        <v>26</v>
      </c>
      <c r="W492" s="49">
        <f>W$6</f>
        <v>43252</v>
      </c>
      <c r="X492" s="49">
        <f t="shared" ref="X492:AG492" si="70">X$6</f>
        <v>43465</v>
      </c>
      <c r="Y492" s="49" t="str">
        <f t="shared" si="70"/>
        <v>-</v>
      </c>
      <c r="Z492" s="49" t="str">
        <f t="shared" si="70"/>
        <v>-</v>
      </c>
      <c r="AA492" s="49" t="str">
        <f t="shared" si="70"/>
        <v>-</v>
      </c>
      <c r="AB492" s="49" t="str">
        <f t="shared" si="70"/>
        <v>-</v>
      </c>
      <c r="AC492" s="49" t="str">
        <f t="shared" si="70"/>
        <v>-</v>
      </c>
      <c r="AD492" s="49" t="str">
        <f t="shared" si="70"/>
        <v>-</v>
      </c>
      <c r="AE492" s="49" t="str">
        <f t="shared" si="70"/>
        <v>-</v>
      </c>
      <c r="AF492" s="49" t="str">
        <f t="shared" si="70"/>
        <v>-</v>
      </c>
      <c r="AG492" s="49" t="str">
        <f t="shared" si="70"/>
        <v>-</v>
      </c>
    </row>
    <row r="493" spans="1:36" ht="18" hidden="1" outlineLevel="1" x14ac:dyDescent="0.35">
      <c r="A493" s="249"/>
      <c r="B493" s="904"/>
      <c r="C493" s="1088"/>
      <c r="D493" s="889" t="s">
        <v>1917</v>
      </c>
      <c r="E493" s="867" t="s">
        <v>1588</v>
      </c>
      <c r="F493" s="513">
        <f>SUMPRODUCT(F496:F501, F502:F507)/SUM(F502:F507)</f>
        <v>985.16038920276219</v>
      </c>
      <c r="G493" s="2272"/>
      <c r="H493" s="2272"/>
      <c r="I493" s="1096"/>
      <c r="L493" s="1778"/>
      <c r="M493" s="1778"/>
      <c r="N493" s="1778"/>
      <c r="O493" s="1778"/>
      <c r="P493" s="1778"/>
      <c r="Q493" s="1778"/>
      <c r="R493" s="1778"/>
      <c r="S493" s="1778"/>
      <c r="V493" s="889" t="str">
        <f>D493</f>
        <v>kWhBase</v>
      </c>
      <c r="W493" s="513">
        <v>985.16038920276219</v>
      </c>
      <c r="X493" s="513">
        <v>985.16038920276219</v>
      </c>
      <c r="Y493" s="1097"/>
      <c r="Z493" s="1097"/>
      <c r="AA493" s="1097"/>
      <c r="AB493" s="1097"/>
      <c r="AC493" s="1097"/>
      <c r="AD493" s="1097"/>
      <c r="AE493" s="1097"/>
      <c r="AF493" s="1097"/>
      <c r="AG493" s="1097"/>
    </row>
    <row r="494" spans="1:36" ht="18" hidden="1" outlineLevel="1" x14ac:dyDescent="0.35">
      <c r="A494" s="249"/>
      <c r="B494" s="904"/>
      <c r="C494" s="1088"/>
      <c r="D494" s="889" t="s">
        <v>1918</v>
      </c>
      <c r="E494" s="867" t="s">
        <v>1590</v>
      </c>
      <c r="F494" s="513">
        <f>F496</f>
        <v>467.22222222222223</v>
      </c>
      <c r="G494" s="2272"/>
      <c r="H494" s="2272"/>
      <c r="I494" s="1096"/>
      <c r="L494" s="1778"/>
      <c r="M494" s="1778"/>
      <c r="N494" s="1778"/>
      <c r="O494" s="1778"/>
      <c r="P494" s="1778"/>
      <c r="Q494" s="1778"/>
      <c r="R494" s="1778"/>
      <c r="S494" s="1778"/>
      <c r="V494" s="889" t="str">
        <f t="shared" ref="V494:V507" si="71">D494</f>
        <v>kWhnew</v>
      </c>
      <c r="W494" s="513">
        <v>467.22222222222223</v>
      </c>
      <c r="X494" s="513">
        <v>467.22222222222223</v>
      </c>
      <c r="Y494" s="1097"/>
      <c r="Z494" s="1097"/>
      <c r="AA494" s="1097"/>
      <c r="AB494" s="1097"/>
      <c r="AC494" s="1097"/>
      <c r="AD494" s="1097"/>
      <c r="AE494" s="1097"/>
      <c r="AF494" s="1097"/>
      <c r="AG494" s="1097"/>
    </row>
    <row r="495" spans="1:36" ht="15" hidden="1" customHeight="1" outlineLevel="1" x14ac:dyDescent="0.25">
      <c r="A495" s="249"/>
      <c r="B495" s="904"/>
      <c r="C495" s="1088"/>
      <c r="D495" s="889" t="s">
        <v>1595</v>
      </c>
      <c r="E495" s="867" t="s">
        <v>1596</v>
      </c>
      <c r="F495" s="386">
        <v>0.1</v>
      </c>
      <c r="G495" s="2272" t="s">
        <v>972</v>
      </c>
      <c r="H495" s="2272"/>
      <c r="I495" s="1950"/>
      <c r="J495" s="2392" t="s">
        <v>1723</v>
      </c>
      <c r="K495" s="2393"/>
      <c r="L495" s="2393"/>
      <c r="M495" s="2393"/>
      <c r="N495" s="2393"/>
      <c r="O495" s="2393"/>
      <c r="P495" s="2393"/>
      <c r="Q495" s="2393"/>
      <c r="R495" s="2393"/>
      <c r="S495" s="2393"/>
      <c r="V495" s="889" t="str">
        <f t="shared" si="71"/>
        <v>% Savings</v>
      </c>
      <c r="W495" s="657">
        <v>0.1</v>
      </c>
      <c r="X495" s="657">
        <v>0.1</v>
      </c>
      <c r="Y495" s="657"/>
      <c r="Z495" s="657"/>
      <c r="AA495" s="657"/>
      <c r="AB495" s="657"/>
      <c r="AC495" s="657"/>
      <c r="AD495" s="657"/>
      <c r="AE495" s="657"/>
      <c r="AF495" s="657"/>
      <c r="AG495" s="657"/>
    </row>
    <row r="496" spans="1:36" ht="18" hidden="1" customHeight="1" outlineLevel="1" x14ac:dyDescent="0.35">
      <c r="A496" s="249"/>
      <c r="B496" s="904"/>
      <c r="C496" s="1088"/>
      <c r="D496" s="889" t="s">
        <v>1919</v>
      </c>
      <c r="E496" s="889" t="s">
        <v>1602</v>
      </c>
      <c r="F496" s="511">
        <f t="shared" ref="F496:F501" si="72">AVERAGE(K496:S496)</f>
        <v>467.22222222222223</v>
      </c>
      <c r="G496" s="2272" t="s">
        <v>1724</v>
      </c>
      <c r="H496" s="2272"/>
      <c r="I496" s="1950"/>
      <c r="J496" s="1099" t="s">
        <v>1603</v>
      </c>
      <c r="K496" s="952">
        <v>483</v>
      </c>
      <c r="L496" s="952">
        <v>592</v>
      </c>
      <c r="M496" s="952">
        <v>592</v>
      </c>
      <c r="N496" s="952">
        <v>592</v>
      </c>
      <c r="O496" s="952">
        <v>374</v>
      </c>
      <c r="P496" s="952">
        <v>374</v>
      </c>
      <c r="Q496" s="952">
        <v>374</v>
      </c>
      <c r="R496" s="952">
        <v>412</v>
      </c>
      <c r="S496" s="952">
        <v>412</v>
      </c>
      <c r="V496" s="889" t="str">
        <f t="shared" si="71"/>
        <v>kWh2011-2015</v>
      </c>
      <c r="W496" s="512">
        <v>467.22222222222223</v>
      </c>
      <c r="X496" s="512">
        <v>467.22222222222223</v>
      </c>
      <c r="Y496" s="512"/>
      <c r="Z496" s="512"/>
      <c r="AA496" s="512"/>
      <c r="AB496" s="512"/>
      <c r="AC496" s="512"/>
      <c r="AD496" s="512"/>
      <c r="AE496" s="512"/>
      <c r="AF496" s="512"/>
      <c r="AG496" s="512"/>
    </row>
    <row r="497" spans="1:37" ht="31.5" hidden="1" customHeight="1" outlineLevel="1" x14ac:dyDescent="0.35">
      <c r="A497" s="249"/>
      <c r="B497" s="904"/>
      <c r="C497" s="1088"/>
      <c r="D497" s="889" t="s">
        <v>1920</v>
      </c>
      <c r="E497" s="889" t="s">
        <v>1604</v>
      </c>
      <c r="F497" s="511">
        <f t="shared" si="72"/>
        <v>651</v>
      </c>
      <c r="G497" s="2272" t="s">
        <v>1724</v>
      </c>
      <c r="H497" s="2272"/>
      <c r="I497" s="1950"/>
      <c r="J497" s="1099" t="s">
        <v>1605</v>
      </c>
      <c r="K497" s="952">
        <v>724</v>
      </c>
      <c r="L497" s="952">
        <v>747</v>
      </c>
      <c r="M497" s="952">
        <v>747</v>
      </c>
      <c r="N497" s="952">
        <v>747</v>
      </c>
      <c r="O497" s="952">
        <v>556</v>
      </c>
      <c r="P497" s="952">
        <v>556</v>
      </c>
      <c r="Q497" s="952">
        <v>556</v>
      </c>
      <c r="R497" s="952">
        <v>613</v>
      </c>
      <c r="S497" s="952">
        <v>613</v>
      </c>
      <c r="V497" s="889" t="str">
        <f t="shared" si="71"/>
        <v>kWh2001(after July)-2010</v>
      </c>
      <c r="W497" s="512">
        <v>651</v>
      </c>
      <c r="X497" s="512">
        <v>651</v>
      </c>
      <c r="Y497" s="512"/>
      <c r="Z497" s="512"/>
      <c r="AA497" s="512"/>
      <c r="AB497" s="512"/>
      <c r="AC497" s="512"/>
      <c r="AD497" s="512"/>
      <c r="AE497" s="512"/>
      <c r="AF497" s="512"/>
      <c r="AG497" s="512"/>
    </row>
    <row r="498" spans="1:37" ht="31.5" hidden="1" customHeight="1" outlineLevel="1" x14ac:dyDescent="0.35">
      <c r="A498" s="249"/>
      <c r="B498" s="904"/>
      <c r="C498" s="1088"/>
      <c r="D498" s="889" t="s">
        <v>1921</v>
      </c>
      <c r="E498" s="889" t="s">
        <v>1606</v>
      </c>
      <c r="F498" s="511">
        <f t="shared" si="72"/>
        <v>987.33333333333337</v>
      </c>
      <c r="G498" s="2272" t="s">
        <v>1724</v>
      </c>
      <c r="H498" s="2272"/>
      <c r="I498" s="1950"/>
      <c r="J498" s="1099" t="s">
        <v>1607</v>
      </c>
      <c r="K498" s="952">
        <v>962</v>
      </c>
      <c r="L498" s="952">
        <v>1139</v>
      </c>
      <c r="M498" s="952">
        <v>1139</v>
      </c>
      <c r="N498" s="952">
        <v>1139</v>
      </c>
      <c r="O498" s="952">
        <v>861</v>
      </c>
      <c r="P498" s="952">
        <v>861</v>
      </c>
      <c r="Q498" s="952">
        <v>861</v>
      </c>
      <c r="R498" s="952">
        <v>962</v>
      </c>
      <c r="S498" s="952">
        <v>962</v>
      </c>
      <c r="V498" s="889" t="str">
        <f t="shared" si="71"/>
        <v>kWh1993-2001(before June)</v>
      </c>
      <c r="W498" s="512">
        <v>987.33333333333337</v>
      </c>
      <c r="X498" s="512">
        <v>987.33333333333337</v>
      </c>
      <c r="Y498" s="512"/>
      <c r="Z498" s="512"/>
      <c r="AA498" s="512"/>
      <c r="AB498" s="512"/>
      <c r="AC498" s="512"/>
      <c r="AD498" s="512"/>
      <c r="AE498" s="512"/>
      <c r="AF498" s="512"/>
      <c r="AG498" s="512"/>
    </row>
    <row r="499" spans="1:37" ht="18" hidden="1" customHeight="1" outlineLevel="1" x14ac:dyDescent="0.35">
      <c r="A499" s="249"/>
      <c r="B499" s="904"/>
      <c r="C499" s="1088"/>
      <c r="D499" s="889" t="s">
        <v>1922</v>
      </c>
      <c r="E499" s="889" t="s">
        <v>1608</v>
      </c>
      <c r="F499" s="511">
        <f t="shared" si="72"/>
        <v>1450</v>
      </c>
      <c r="G499" s="2272" t="s">
        <v>1724</v>
      </c>
      <c r="H499" s="2272"/>
      <c r="I499" s="1950"/>
      <c r="J499" s="1099" t="s">
        <v>1609</v>
      </c>
      <c r="K499" s="1068">
        <v>1519</v>
      </c>
      <c r="L499" s="1068">
        <v>1617</v>
      </c>
      <c r="M499" s="1068">
        <v>1617</v>
      </c>
      <c r="N499" s="1068">
        <v>1617</v>
      </c>
      <c r="O499" s="1068">
        <v>1272</v>
      </c>
      <c r="P499" s="1068">
        <v>1272</v>
      </c>
      <c r="Q499" s="1068">
        <v>1272</v>
      </c>
      <c r="R499" s="1068">
        <v>1432</v>
      </c>
      <c r="S499" s="1068">
        <v>1432</v>
      </c>
      <c r="V499" s="889" t="str">
        <f t="shared" si="71"/>
        <v>kWh1990-1992</v>
      </c>
      <c r="W499" s="512">
        <v>1450</v>
      </c>
      <c r="X499" s="512">
        <v>1450</v>
      </c>
      <c r="Y499" s="512"/>
      <c r="Z499" s="512"/>
      <c r="AA499" s="512"/>
      <c r="AB499" s="512"/>
      <c r="AC499" s="512"/>
      <c r="AD499" s="512"/>
      <c r="AE499" s="512"/>
      <c r="AF499" s="512"/>
      <c r="AG499" s="512"/>
    </row>
    <row r="500" spans="1:37" ht="18" hidden="1" customHeight="1" outlineLevel="1" x14ac:dyDescent="0.35">
      <c r="A500" s="249"/>
      <c r="B500" s="904"/>
      <c r="C500" s="1088"/>
      <c r="D500" s="889" t="s">
        <v>1923</v>
      </c>
      <c r="E500" s="889" t="s">
        <v>1610</v>
      </c>
      <c r="F500" s="511">
        <f t="shared" si="72"/>
        <v>1900.7777777777778</v>
      </c>
      <c r="G500" s="2272" t="s">
        <v>1724</v>
      </c>
      <c r="H500" s="2272"/>
      <c r="I500" s="1950"/>
      <c r="J500" s="1099" t="s">
        <v>1611</v>
      </c>
      <c r="K500" s="952">
        <v>1992</v>
      </c>
      <c r="L500" s="952">
        <v>2119</v>
      </c>
      <c r="M500" s="952">
        <v>2119</v>
      </c>
      <c r="N500" s="952">
        <v>2119</v>
      </c>
      <c r="O500" s="952">
        <v>1668</v>
      </c>
      <c r="P500" s="952">
        <v>1668</v>
      </c>
      <c r="Q500" s="952">
        <v>1668</v>
      </c>
      <c r="R500" s="952">
        <v>1877</v>
      </c>
      <c r="S500" s="952">
        <v>1877</v>
      </c>
      <c r="V500" s="889" t="str">
        <f t="shared" si="71"/>
        <v>kWh1980-1989</v>
      </c>
      <c r="W500" s="512">
        <v>1900.7777777777778</v>
      </c>
      <c r="X500" s="512">
        <v>1900.7777777777778</v>
      </c>
      <c r="Y500" s="512"/>
      <c r="Z500" s="512"/>
      <c r="AA500" s="512"/>
      <c r="AB500" s="512"/>
      <c r="AC500" s="512"/>
      <c r="AD500" s="512"/>
      <c r="AE500" s="512"/>
      <c r="AF500" s="512"/>
      <c r="AG500" s="512"/>
    </row>
    <row r="501" spans="1:37" ht="18" hidden="1" customHeight="1" outlineLevel="1" x14ac:dyDescent="0.35">
      <c r="A501" s="249"/>
      <c r="B501" s="904"/>
      <c r="C501" s="1088"/>
      <c r="D501" s="889" t="s">
        <v>1924</v>
      </c>
      <c r="E501" s="889" t="s">
        <v>1612</v>
      </c>
      <c r="F501" s="511">
        <f t="shared" si="72"/>
        <v>2444.125</v>
      </c>
      <c r="G501" s="2272" t="s">
        <v>1724</v>
      </c>
      <c r="H501" s="2272"/>
      <c r="I501" s="1950"/>
      <c r="J501" s="1099" t="s">
        <v>1613</v>
      </c>
      <c r="K501" s="1068">
        <v>2523</v>
      </c>
      <c r="L501" s="1068">
        <v>2684</v>
      </c>
      <c r="M501" s="1068">
        <v>2684</v>
      </c>
      <c r="N501" s="1068">
        <v>2684</v>
      </c>
      <c r="O501" s="1068"/>
      <c r="P501" s="1068">
        <v>2112</v>
      </c>
      <c r="Q501" s="1068">
        <v>2112</v>
      </c>
      <c r="R501" s="1068">
        <v>2377</v>
      </c>
      <c r="S501" s="1068">
        <v>2377</v>
      </c>
      <c r="V501" s="889" t="str">
        <f t="shared" si="71"/>
        <v>kWhbefore 1980</v>
      </c>
      <c r="W501" s="512">
        <v>2444.125</v>
      </c>
      <c r="X501" s="512">
        <v>2444.125</v>
      </c>
      <c r="Y501" s="512"/>
      <c r="Z501" s="512"/>
      <c r="AA501" s="512"/>
      <c r="AB501" s="512"/>
      <c r="AC501" s="512"/>
      <c r="AD501" s="512"/>
      <c r="AE501" s="512"/>
      <c r="AF501" s="512"/>
      <c r="AG501" s="512"/>
    </row>
    <row r="502" spans="1:37" ht="18" hidden="1" customHeight="1" outlineLevel="1" x14ac:dyDescent="0.35">
      <c r="A502" s="249"/>
      <c r="B502" s="904"/>
      <c r="C502" s="1088"/>
      <c r="D502" s="889" t="s">
        <v>1925</v>
      </c>
      <c r="E502" s="889" t="s">
        <v>1614</v>
      </c>
      <c r="F502" s="1044">
        <v>0</v>
      </c>
      <c r="G502" s="2272" t="s">
        <v>1724</v>
      </c>
      <c r="H502" s="2272"/>
      <c r="I502" s="1951"/>
      <c r="J502" s="1951"/>
      <c r="K502" s="1951"/>
      <c r="L502" s="1951"/>
      <c r="M502" s="1951"/>
      <c r="N502" s="1951"/>
      <c r="O502" s="1951"/>
      <c r="P502" s="1951"/>
      <c r="Q502" s="1951"/>
      <c r="R502" s="1951"/>
      <c r="S502" s="1778"/>
      <c r="T502" s="1778"/>
      <c r="U502" s="1778"/>
      <c r="V502" s="889" t="str">
        <f t="shared" si="71"/>
        <v>Number of Units2011-2015</v>
      </c>
      <c r="W502" s="1100">
        <v>0</v>
      </c>
      <c r="X502" s="1100">
        <v>0</v>
      </c>
      <c r="Y502" s="1100"/>
      <c r="Z502" s="1100"/>
      <c r="AA502" s="1100"/>
      <c r="AB502" s="1100"/>
      <c r="AC502" s="1100"/>
      <c r="AD502" s="1100"/>
      <c r="AE502" s="1100"/>
      <c r="AF502" s="1100"/>
      <c r="AG502" s="1100"/>
    </row>
    <row r="503" spans="1:37" ht="33" hidden="1" outlineLevel="1" x14ac:dyDescent="0.35">
      <c r="A503" s="249"/>
      <c r="B503" s="904"/>
      <c r="C503" s="1088"/>
      <c r="D503" s="889" t="s">
        <v>1926</v>
      </c>
      <c r="E503" s="889" t="s">
        <v>1615</v>
      </c>
      <c r="F503" s="1044">
        <v>65</v>
      </c>
      <c r="G503" s="2272" t="s">
        <v>1724</v>
      </c>
      <c r="H503" s="2272"/>
      <c r="I503" s="1778"/>
      <c r="J503" s="1778"/>
      <c r="K503" s="1778"/>
      <c r="L503" s="1778"/>
      <c r="M503" s="1778"/>
      <c r="N503" s="1778"/>
      <c r="O503" s="1778"/>
      <c r="P503" s="1778"/>
      <c r="Q503" s="1778"/>
      <c r="R503" s="1778"/>
      <c r="V503" s="889" t="str">
        <f t="shared" si="71"/>
        <v>Number of Units2001(after July)-2010</v>
      </c>
      <c r="W503" s="1100">
        <v>65</v>
      </c>
      <c r="X503" s="1100">
        <v>65</v>
      </c>
      <c r="Y503" s="1100"/>
      <c r="Z503" s="1100"/>
      <c r="AA503" s="1100"/>
      <c r="AB503" s="1100"/>
      <c r="AC503" s="1100"/>
      <c r="AD503" s="1100"/>
      <c r="AE503" s="1100"/>
      <c r="AF503" s="1100"/>
      <c r="AG503" s="1100"/>
    </row>
    <row r="504" spans="1:37" ht="36" hidden="1" outlineLevel="1" x14ac:dyDescent="0.35">
      <c r="A504" s="249"/>
      <c r="B504" s="904"/>
      <c r="C504" s="1088"/>
      <c r="D504" s="889" t="s">
        <v>1927</v>
      </c>
      <c r="E504" s="889" t="s">
        <v>1616</v>
      </c>
      <c r="F504" s="1044">
        <v>259</v>
      </c>
      <c r="G504" s="2272" t="s">
        <v>1724</v>
      </c>
      <c r="H504" s="2272"/>
      <c r="I504" s="1778"/>
      <c r="J504" s="1778"/>
      <c r="K504" s="1778"/>
      <c r="L504" s="1778"/>
      <c r="M504" s="1778"/>
      <c r="N504" s="1778"/>
      <c r="O504" s="1778"/>
      <c r="P504" s="1778"/>
      <c r="Q504" s="1778"/>
      <c r="R504" s="1778"/>
      <c r="V504" s="889" t="str">
        <f t="shared" si="71"/>
        <v>Number of Units1993-2001(before June)</v>
      </c>
      <c r="W504" s="1100">
        <v>259</v>
      </c>
      <c r="X504" s="1100">
        <v>259</v>
      </c>
      <c r="Y504" s="1100"/>
      <c r="Z504" s="1100"/>
      <c r="AA504" s="1100"/>
      <c r="AB504" s="1100"/>
      <c r="AC504" s="1100"/>
      <c r="AD504" s="1100"/>
      <c r="AE504" s="1100"/>
      <c r="AF504" s="1100"/>
      <c r="AG504" s="1100"/>
    </row>
    <row r="505" spans="1:37" ht="18" hidden="1" customHeight="1" outlineLevel="1" x14ac:dyDescent="0.35">
      <c r="A505" s="249"/>
      <c r="B505" s="904"/>
      <c r="C505" s="1088"/>
      <c r="D505" s="889" t="s">
        <v>1928</v>
      </c>
      <c r="E505" s="889" t="s">
        <v>1617</v>
      </c>
      <c r="F505" s="1044">
        <v>14</v>
      </c>
      <c r="G505" s="2272" t="s">
        <v>1724</v>
      </c>
      <c r="H505" s="2272"/>
      <c r="I505" s="1778"/>
      <c r="J505" s="1778"/>
      <c r="K505" s="1778"/>
      <c r="L505" s="1778"/>
      <c r="M505" s="1778"/>
      <c r="N505" s="1778"/>
      <c r="O505" s="1778"/>
      <c r="P505" s="1778"/>
      <c r="Q505" s="1778"/>
      <c r="R505" s="1778"/>
      <c r="V505" s="889" t="str">
        <f t="shared" si="71"/>
        <v>Number of Units1990-1992</v>
      </c>
      <c r="W505" s="1100">
        <v>14</v>
      </c>
      <c r="X505" s="1100">
        <v>14</v>
      </c>
      <c r="Y505" s="1100"/>
      <c r="Z505" s="1100"/>
      <c r="AA505" s="1100"/>
      <c r="AB505" s="1100"/>
      <c r="AC505" s="1100"/>
      <c r="AD505" s="1100"/>
      <c r="AE505" s="1100"/>
      <c r="AF505" s="1100"/>
      <c r="AG505" s="1100"/>
    </row>
    <row r="506" spans="1:37" ht="18" hidden="1" customHeight="1" outlineLevel="1" x14ac:dyDescent="0.35">
      <c r="A506" s="249"/>
      <c r="B506" s="904"/>
      <c r="C506" s="1088"/>
      <c r="D506" s="889" t="s">
        <v>1929</v>
      </c>
      <c r="E506" s="889" t="s">
        <v>1618</v>
      </c>
      <c r="F506" s="1044">
        <v>16</v>
      </c>
      <c r="G506" s="2272" t="s">
        <v>1724</v>
      </c>
      <c r="H506" s="2272"/>
      <c r="I506" s="1778"/>
      <c r="J506" s="1778"/>
      <c r="K506" s="1778"/>
      <c r="L506" s="1778"/>
      <c r="M506" s="1778"/>
      <c r="N506" s="1778"/>
      <c r="O506" s="1778"/>
      <c r="P506" s="1778"/>
      <c r="Q506" s="1778"/>
      <c r="R506" s="1778"/>
      <c r="V506" s="889" t="str">
        <f t="shared" si="71"/>
        <v>Number of Units1980-1989</v>
      </c>
      <c r="W506" s="1100">
        <v>16</v>
      </c>
      <c r="X506" s="1100">
        <v>16</v>
      </c>
      <c r="Y506" s="1100"/>
      <c r="Z506" s="1100"/>
      <c r="AA506" s="1100"/>
      <c r="AB506" s="1100"/>
      <c r="AC506" s="1100"/>
      <c r="AD506" s="1100"/>
      <c r="AE506" s="1100"/>
      <c r="AF506" s="1100"/>
      <c r="AG506" s="1100"/>
    </row>
    <row r="507" spans="1:37" ht="18" hidden="1" customHeight="1" outlineLevel="1" x14ac:dyDescent="0.35">
      <c r="A507" s="249"/>
      <c r="B507" s="904"/>
      <c r="C507" s="1088"/>
      <c r="D507" s="889" t="s">
        <v>1930</v>
      </c>
      <c r="E507" s="889" t="s">
        <v>1619</v>
      </c>
      <c r="F507" s="1044">
        <v>0</v>
      </c>
      <c r="G507" s="2272" t="s">
        <v>1724</v>
      </c>
      <c r="H507" s="2272"/>
      <c r="I507" s="1778"/>
      <c r="J507" s="1778"/>
      <c r="K507" s="1778"/>
      <c r="L507" s="1778"/>
      <c r="M507" s="1778"/>
      <c r="N507" s="1778"/>
      <c r="O507" s="1778"/>
      <c r="P507" s="1778"/>
      <c r="Q507" s="1778"/>
      <c r="R507" s="1778"/>
      <c r="V507" s="889" t="str">
        <f t="shared" si="71"/>
        <v>Number of Unitsbefore 1980</v>
      </c>
      <c r="W507" s="1100">
        <v>0</v>
      </c>
      <c r="X507" s="1100">
        <v>0</v>
      </c>
      <c r="Y507" s="1100"/>
      <c r="Z507" s="1100"/>
      <c r="AA507" s="1100"/>
      <c r="AB507" s="1100"/>
      <c r="AC507" s="1100"/>
      <c r="AD507" s="1100"/>
      <c r="AE507" s="1100"/>
      <c r="AF507" s="1100"/>
      <c r="AG507" s="1100"/>
    </row>
    <row r="508" spans="1:37" s="249" customFormat="1" hidden="1" outlineLevel="1" x14ac:dyDescent="0.25">
      <c r="B508" s="1087"/>
      <c r="C508" s="305"/>
      <c r="D508" s="2233" t="str">
        <f>D25</f>
        <v>EUL</v>
      </c>
      <c r="E508" s="2233" t="str">
        <f>E25</f>
        <v>End Useful Life</v>
      </c>
      <c r="F508" s="1044">
        <v>6</v>
      </c>
      <c r="G508" s="2272"/>
      <c r="H508" s="2272"/>
      <c r="I508" s="1452"/>
      <c r="J508" s="904"/>
      <c r="K508" s="904"/>
      <c r="L508" s="904"/>
      <c r="M508" s="904"/>
      <c r="N508" s="904"/>
      <c r="O508" s="904"/>
      <c r="P508" s="904"/>
      <c r="Q508" s="904"/>
      <c r="R508" s="904"/>
      <c r="S508" s="904"/>
      <c r="T508" s="904"/>
      <c r="U508" s="904"/>
      <c r="V508" s="2233" t="str">
        <f>V25</f>
        <v>EUL</v>
      </c>
      <c r="W508" s="1044">
        <v>6</v>
      </c>
      <c r="X508" s="1044">
        <v>6</v>
      </c>
      <c r="Y508" s="1045"/>
      <c r="Z508" s="1045"/>
      <c r="AA508" s="1045"/>
      <c r="AB508" s="1045"/>
      <c r="AC508" s="1045"/>
      <c r="AD508" s="1045"/>
      <c r="AE508" s="1045"/>
      <c r="AF508" s="1045"/>
      <c r="AG508" s="1045"/>
      <c r="AK508" s="802"/>
    </row>
    <row r="509" spans="1:37" s="249" customFormat="1" hidden="1" outlineLevel="1" x14ac:dyDescent="0.25">
      <c r="B509" s="1087"/>
      <c r="C509" s="305"/>
      <c r="D509" s="2234"/>
      <c r="E509" s="2234"/>
      <c r="F509" s="1044">
        <v>11</v>
      </c>
      <c r="G509" s="2272"/>
      <c r="H509" s="2272"/>
      <c r="I509" s="1452"/>
      <c r="J509" s="904"/>
      <c r="K509" s="904"/>
      <c r="L509" s="904"/>
      <c r="M509" s="904"/>
      <c r="N509" s="904"/>
      <c r="O509" s="904"/>
      <c r="P509" s="904"/>
      <c r="Q509" s="904"/>
      <c r="R509" s="904"/>
      <c r="S509" s="904"/>
      <c r="T509" s="904"/>
      <c r="U509" s="904"/>
      <c r="V509" s="2234"/>
      <c r="W509" s="1044">
        <v>11</v>
      </c>
      <c r="X509" s="1044">
        <v>11</v>
      </c>
      <c r="Y509" s="1045"/>
      <c r="Z509" s="1045"/>
      <c r="AA509" s="1045"/>
      <c r="AB509" s="1045"/>
      <c r="AC509" s="1045"/>
      <c r="AD509" s="1045"/>
      <c r="AE509" s="1045"/>
      <c r="AF509" s="1045"/>
      <c r="AG509" s="1045"/>
      <c r="AK509" s="802"/>
    </row>
    <row r="510" spans="1:37" s="249" customFormat="1" hidden="1" outlineLevel="1" x14ac:dyDescent="0.25">
      <c r="B510" s="1087"/>
      <c r="C510" s="305"/>
      <c r="D510" s="926" t="str">
        <f>D26</f>
        <v>Inc. Cost</v>
      </c>
      <c r="E510" s="926" t="str">
        <f>E26</f>
        <v>Incremental Cost ($)</v>
      </c>
      <c r="F510" s="471">
        <v>753</v>
      </c>
      <c r="G510" s="2272"/>
      <c r="H510" s="2272"/>
      <c r="I510" s="1452"/>
      <c r="J510" s="904"/>
      <c r="K510" s="904"/>
      <c r="L510" s="904"/>
      <c r="M510" s="904"/>
      <c r="N510" s="904"/>
      <c r="O510" s="904"/>
      <c r="P510" s="904"/>
      <c r="Q510" s="904"/>
      <c r="R510" s="904"/>
      <c r="S510" s="904"/>
      <c r="T510" s="904"/>
      <c r="U510" s="904"/>
      <c r="V510" s="926" t="str">
        <f>V26</f>
        <v>Inc. Cost</v>
      </c>
      <c r="W510" s="471">
        <v>753</v>
      </c>
      <c r="X510" s="471">
        <v>753</v>
      </c>
      <c r="Y510" s="1046"/>
      <c r="Z510" s="1046"/>
      <c r="AA510" s="1046"/>
      <c r="AB510" s="1046"/>
      <c r="AC510" s="1046"/>
      <c r="AD510" s="1046"/>
      <c r="AE510" s="1046"/>
      <c r="AF510" s="1046"/>
      <c r="AG510" s="1046"/>
      <c r="AK510" s="802"/>
    </row>
    <row r="511" spans="1:37" collapsed="1" x14ac:dyDescent="0.25">
      <c r="A511" s="249"/>
      <c r="B511" s="904"/>
      <c r="C511" s="1088"/>
    </row>
    <row r="512" spans="1:37" x14ac:dyDescent="0.25">
      <c r="A512" s="249"/>
      <c r="B512" s="904"/>
      <c r="C512" s="1088"/>
    </row>
  </sheetData>
  <mergeCells count="306">
    <mergeCell ref="A1:O1"/>
    <mergeCell ref="P1:R1"/>
    <mergeCell ref="D2:J2"/>
    <mergeCell ref="B4:Q4"/>
    <mergeCell ref="V4:AI4"/>
    <mergeCell ref="I16:L16"/>
    <mergeCell ref="G239:H239"/>
    <mergeCell ref="G240:H240"/>
    <mergeCell ref="G241:H241"/>
    <mergeCell ref="V26:V29"/>
    <mergeCell ref="V73:V82"/>
    <mergeCell ref="V83:V92"/>
    <mergeCell ref="V96:V105"/>
    <mergeCell ref="V32:AI32"/>
    <mergeCell ref="D53:D62"/>
    <mergeCell ref="V53:V62"/>
    <mergeCell ref="D63:D72"/>
    <mergeCell ref="V63:V72"/>
    <mergeCell ref="D140:D149"/>
    <mergeCell ref="V140:V149"/>
    <mergeCell ref="B152:Q152"/>
    <mergeCell ref="V152:AI152"/>
    <mergeCell ref="D158:L161"/>
    <mergeCell ref="B177:Q177"/>
    <mergeCell ref="D83:D92"/>
    <mergeCell ref="D96:D105"/>
    <mergeCell ref="B32:Q32"/>
    <mergeCell ref="D47:L50"/>
    <mergeCell ref="G242:H242"/>
    <mergeCell ref="G243:H243"/>
    <mergeCell ref="G244:H244"/>
    <mergeCell ref="G245:H245"/>
    <mergeCell ref="G252:H252"/>
    <mergeCell ref="I24:L24"/>
    <mergeCell ref="I25:L25"/>
    <mergeCell ref="D26:D29"/>
    <mergeCell ref="E26:E29"/>
    <mergeCell ref="I26:L26"/>
    <mergeCell ref="I27:L27"/>
    <mergeCell ref="I28:L28"/>
    <mergeCell ref="I29:L29"/>
    <mergeCell ref="D73:D82"/>
    <mergeCell ref="I17:L17"/>
    <mergeCell ref="I18:L18"/>
    <mergeCell ref="I19:L19"/>
    <mergeCell ref="D20:D23"/>
    <mergeCell ref="E20:E23"/>
    <mergeCell ref="I20:L20"/>
    <mergeCell ref="I21:L21"/>
    <mergeCell ref="I22:L22"/>
    <mergeCell ref="I23:L23"/>
    <mergeCell ref="V177:AI177"/>
    <mergeCell ref="D106:D115"/>
    <mergeCell ref="V106:V115"/>
    <mergeCell ref="D119:D128"/>
    <mergeCell ref="V119:V128"/>
    <mergeCell ref="D129:D138"/>
    <mergeCell ref="V129:V138"/>
    <mergeCell ref="F192:H192"/>
    <mergeCell ref="F193:H193"/>
    <mergeCell ref="D194:D195"/>
    <mergeCell ref="E194:E195"/>
    <mergeCell ref="F194:H194"/>
    <mergeCell ref="V194:V195"/>
    <mergeCell ref="F195:H195"/>
    <mergeCell ref="D184:L187"/>
    <mergeCell ref="F189:H189"/>
    <mergeCell ref="D190:D191"/>
    <mergeCell ref="E190:E191"/>
    <mergeCell ref="F190:H190"/>
    <mergeCell ref="V190:V191"/>
    <mergeCell ref="F191:H191"/>
    <mergeCell ref="F196:H196"/>
    <mergeCell ref="F197:H197"/>
    <mergeCell ref="O197:Q197"/>
    <mergeCell ref="F198:H198"/>
    <mergeCell ref="O198:P198"/>
    <mergeCell ref="D199:D200"/>
    <mergeCell ref="E199:E200"/>
    <mergeCell ref="F199:H199"/>
    <mergeCell ref="O199:P199"/>
    <mergeCell ref="V203:V204"/>
    <mergeCell ref="F204:H204"/>
    <mergeCell ref="B207:Q207"/>
    <mergeCell ref="V207:AI207"/>
    <mergeCell ref="V199:V200"/>
    <mergeCell ref="F200:H200"/>
    <mergeCell ref="O200:P200"/>
    <mergeCell ref="D201:D202"/>
    <mergeCell ref="E201:E202"/>
    <mergeCell ref="F201:H201"/>
    <mergeCell ref="O201:P201"/>
    <mergeCell ref="V201:V202"/>
    <mergeCell ref="F202:H202"/>
    <mergeCell ref="G234:H234"/>
    <mergeCell ref="G235:H235"/>
    <mergeCell ref="G236:H236"/>
    <mergeCell ref="G237:H237"/>
    <mergeCell ref="G238:H238"/>
    <mergeCell ref="G246:H246"/>
    <mergeCell ref="D203:D204"/>
    <mergeCell ref="E203:E204"/>
    <mergeCell ref="F203:H203"/>
    <mergeCell ref="G260:H260"/>
    <mergeCell ref="G261:H261"/>
    <mergeCell ref="G262:H262"/>
    <mergeCell ref="G263:H263"/>
    <mergeCell ref="G264:H264"/>
    <mergeCell ref="G265:H265"/>
    <mergeCell ref="G247:H247"/>
    <mergeCell ref="G248:H248"/>
    <mergeCell ref="G249:H249"/>
    <mergeCell ref="G250:H250"/>
    <mergeCell ref="G251:H251"/>
    <mergeCell ref="G259:H259"/>
    <mergeCell ref="G257:H257"/>
    <mergeCell ref="G258:H258"/>
    <mergeCell ref="G253:H253"/>
    <mergeCell ref="G254:H254"/>
    <mergeCell ref="G255:H255"/>
    <mergeCell ref="G256:H256"/>
    <mergeCell ref="G266:H266"/>
    <mergeCell ref="G267:H267"/>
    <mergeCell ref="G268:H268"/>
    <mergeCell ref="G269:H269"/>
    <mergeCell ref="D270:D282"/>
    <mergeCell ref="E270:E282"/>
    <mergeCell ref="G270:H270"/>
    <mergeCell ref="G280:H280"/>
    <mergeCell ref="G281:H281"/>
    <mergeCell ref="G282:H282"/>
    <mergeCell ref="V270:V282"/>
    <mergeCell ref="G271:H271"/>
    <mergeCell ref="G272:H272"/>
    <mergeCell ref="G273:H273"/>
    <mergeCell ref="G274:H274"/>
    <mergeCell ref="G275:H275"/>
    <mergeCell ref="G276:H276"/>
    <mergeCell ref="G277:H277"/>
    <mergeCell ref="G278:H278"/>
    <mergeCell ref="G279:H279"/>
    <mergeCell ref="G300:H300"/>
    <mergeCell ref="I300:K300"/>
    <mergeCell ref="G301:H301"/>
    <mergeCell ref="I301:K301"/>
    <mergeCell ref="G302:H302"/>
    <mergeCell ref="I302:K302"/>
    <mergeCell ref="B285:Q285"/>
    <mergeCell ref="V285:AI285"/>
    <mergeCell ref="G298:H298"/>
    <mergeCell ref="I298:K298"/>
    <mergeCell ref="G299:H299"/>
    <mergeCell ref="I299:K299"/>
    <mergeCell ref="G306:H306"/>
    <mergeCell ref="I306:K306"/>
    <mergeCell ref="G307:H307"/>
    <mergeCell ref="I307:K307"/>
    <mergeCell ref="G308:H308"/>
    <mergeCell ref="I308:K308"/>
    <mergeCell ref="G303:H303"/>
    <mergeCell ref="I303:K303"/>
    <mergeCell ref="G304:H304"/>
    <mergeCell ref="I304:K304"/>
    <mergeCell ref="G305:H305"/>
    <mergeCell ref="I305:K305"/>
    <mergeCell ref="G312:H312"/>
    <mergeCell ref="I312:K312"/>
    <mergeCell ref="G313:H313"/>
    <mergeCell ref="I313:K313"/>
    <mergeCell ref="G314:H314"/>
    <mergeCell ref="I314:K314"/>
    <mergeCell ref="G309:H309"/>
    <mergeCell ref="I309:K309"/>
    <mergeCell ref="G310:H310"/>
    <mergeCell ref="I310:K310"/>
    <mergeCell ref="G311:H311"/>
    <mergeCell ref="I311:K311"/>
    <mergeCell ref="B320:Q320"/>
    <mergeCell ref="V320:AI320"/>
    <mergeCell ref="G332:H332"/>
    <mergeCell ref="I332:J332"/>
    <mergeCell ref="G333:H333"/>
    <mergeCell ref="I333:K333"/>
    <mergeCell ref="G315:H315"/>
    <mergeCell ref="I315:K315"/>
    <mergeCell ref="G316:H316"/>
    <mergeCell ref="I316:K316"/>
    <mergeCell ref="G317:H317"/>
    <mergeCell ref="I317:K317"/>
    <mergeCell ref="G337:H337"/>
    <mergeCell ref="I337:K337"/>
    <mergeCell ref="G338:H338"/>
    <mergeCell ref="I338:K338"/>
    <mergeCell ref="G339:H339"/>
    <mergeCell ref="I339:K339"/>
    <mergeCell ref="G334:H334"/>
    <mergeCell ref="I334:K334"/>
    <mergeCell ref="G335:H335"/>
    <mergeCell ref="I335:K335"/>
    <mergeCell ref="G336:H336"/>
    <mergeCell ref="I336:K336"/>
    <mergeCell ref="G343:H343"/>
    <mergeCell ref="I343:K343"/>
    <mergeCell ref="G344:H344"/>
    <mergeCell ref="I344:K344"/>
    <mergeCell ref="G345:H345"/>
    <mergeCell ref="I345:K345"/>
    <mergeCell ref="G340:H340"/>
    <mergeCell ref="I340:K340"/>
    <mergeCell ref="G341:H341"/>
    <mergeCell ref="I341:K341"/>
    <mergeCell ref="G342:H342"/>
    <mergeCell ref="I342:K342"/>
    <mergeCell ref="G349:H349"/>
    <mergeCell ref="I349:K349"/>
    <mergeCell ref="G350:H350"/>
    <mergeCell ref="I350:K350"/>
    <mergeCell ref="G351:H351"/>
    <mergeCell ref="I351:K351"/>
    <mergeCell ref="G346:H346"/>
    <mergeCell ref="I346:K346"/>
    <mergeCell ref="G347:H347"/>
    <mergeCell ref="I347:K347"/>
    <mergeCell ref="G348:H348"/>
    <mergeCell ref="I348:K348"/>
    <mergeCell ref="G368:H368"/>
    <mergeCell ref="I368:K368"/>
    <mergeCell ref="G369:H369"/>
    <mergeCell ref="I369:K369"/>
    <mergeCell ref="G370:H370"/>
    <mergeCell ref="I370:K370"/>
    <mergeCell ref="B354:Q354"/>
    <mergeCell ref="V354:AI354"/>
    <mergeCell ref="G366:H366"/>
    <mergeCell ref="I366:K366"/>
    <mergeCell ref="G367:H367"/>
    <mergeCell ref="I367:K367"/>
    <mergeCell ref="G374:H374"/>
    <mergeCell ref="I374:K374"/>
    <mergeCell ref="G375:H375"/>
    <mergeCell ref="I375:K375"/>
    <mergeCell ref="G376:H376"/>
    <mergeCell ref="I376:K376"/>
    <mergeCell ref="G371:H371"/>
    <mergeCell ref="I371:K371"/>
    <mergeCell ref="G372:H372"/>
    <mergeCell ref="I372:K372"/>
    <mergeCell ref="G373:H373"/>
    <mergeCell ref="I373:K373"/>
    <mergeCell ref="G380:H380"/>
    <mergeCell ref="I380:K380"/>
    <mergeCell ref="G381:H381"/>
    <mergeCell ref="I381:K381"/>
    <mergeCell ref="G382:H382"/>
    <mergeCell ref="I382:K382"/>
    <mergeCell ref="G377:H377"/>
    <mergeCell ref="I377:K377"/>
    <mergeCell ref="G378:H378"/>
    <mergeCell ref="I378:K378"/>
    <mergeCell ref="G379:H379"/>
    <mergeCell ref="I379:K379"/>
    <mergeCell ref="G386:H386"/>
    <mergeCell ref="I386:K386"/>
    <mergeCell ref="B389:Q389"/>
    <mergeCell ref="V389:AI389"/>
    <mergeCell ref="H404:I404"/>
    <mergeCell ref="F411:I411"/>
    <mergeCell ref="G383:H383"/>
    <mergeCell ref="I383:K383"/>
    <mergeCell ref="G384:H384"/>
    <mergeCell ref="I384:K384"/>
    <mergeCell ref="G385:H385"/>
    <mergeCell ref="I385:K385"/>
    <mergeCell ref="B447:Q447"/>
    <mergeCell ref="V447:AI447"/>
    <mergeCell ref="B483:Q483"/>
    <mergeCell ref="V483:AI483"/>
    <mergeCell ref="G492:H492"/>
    <mergeCell ref="G493:H493"/>
    <mergeCell ref="F412:I412"/>
    <mergeCell ref="B415:Q415"/>
    <mergeCell ref="V415:AI415"/>
    <mergeCell ref="E442:F442"/>
    <mergeCell ref="E443:F443"/>
    <mergeCell ref="E444:F444"/>
    <mergeCell ref="G499:H499"/>
    <mergeCell ref="G500:H500"/>
    <mergeCell ref="G501:H501"/>
    <mergeCell ref="G502:H502"/>
    <mergeCell ref="G503:H503"/>
    <mergeCell ref="G504:H504"/>
    <mergeCell ref="G494:H494"/>
    <mergeCell ref="G495:H495"/>
    <mergeCell ref="J495:S495"/>
    <mergeCell ref="G496:H496"/>
    <mergeCell ref="G497:H497"/>
    <mergeCell ref="G498:H498"/>
    <mergeCell ref="V508:V509"/>
    <mergeCell ref="G509:H509"/>
    <mergeCell ref="G510:H510"/>
    <mergeCell ref="G505:H505"/>
    <mergeCell ref="G506:H506"/>
    <mergeCell ref="G507:H507"/>
    <mergeCell ref="D508:D509"/>
    <mergeCell ref="E508:E509"/>
    <mergeCell ref="G508:H508"/>
  </mergeCells>
  <conditionalFormatting sqref="E53:E62">
    <cfRule type="duplicateValues" dxfId="12" priority="6"/>
  </conditionalFormatting>
  <conditionalFormatting sqref="E63:E72">
    <cfRule type="duplicateValues" dxfId="11" priority="7"/>
  </conditionalFormatting>
  <conditionalFormatting sqref="E73:E82">
    <cfRule type="duplicateValues" dxfId="10" priority="8"/>
  </conditionalFormatting>
  <conditionalFormatting sqref="E84:E92">
    <cfRule type="duplicateValues" dxfId="9" priority="9"/>
  </conditionalFormatting>
  <conditionalFormatting sqref="E96:E105">
    <cfRule type="duplicateValues" dxfId="8" priority="10"/>
  </conditionalFormatting>
  <conditionalFormatting sqref="E106:E115">
    <cfRule type="duplicateValues" dxfId="7" priority="11"/>
  </conditionalFormatting>
  <conditionalFormatting sqref="E119:E128">
    <cfRule type="duplicateValues" dxfId="6" priority="12"/>
  </conditionalFormatting>
  <conditionalFormatting sqref="E129:E138">
    <cfRule type="duplicateValues" dxfId="5" priority="13"/>
  </conditionalFormatting>
  <conditionalFormatting sqref="E35:E44">
    <cfRule type="duplicateValues" dxfId="4" priority="5"/>
  </conditionalFormatting>
  <conditionalFormatting sqref="F223">
    <cfRule type="duplicateValues" dxfId="3" priority="4"/>
  </conditionalFormatting>
  <conditionalFormatting sqref="E261">
    <cfRule type="duplicateValues" dxfId="2" priority="3"/>
  </conditionalFormatting>
  <conditionalFormatting sqref="C209:C221 E222">
    <cfRule type="duplicateValues" dxfId="1" priority="2"/>
  </conditionalFormatting>
  <conditionalFormatting sqref="E140:E149">
    <cfRule type="duplicateValues" dxfId="0" priority="1"/>
  </conditionalFormatting>
  <hyperlinks>
    <hyperlink ref="G305" r:id="rId1" display="http://ilsagfiles.org/SAG_files/Technical_Reference_Manual/Version_5/Final/IL-TRM_Version_5.0_dated_February-11-2016_Final_Compiled_Volumes_1-4.pdf"/>
    <hyperlink ref="G345" r:id="rId2" display="https://www.efis.psc.mo.gov/mpsc/commoncomponents/viewdocument.asp?DocId=935658483"/>
    <hyperlink ref="G339" r:id="rId3" display="http://ilsagfiles.org/SAG_files/Technical_Reference_Manual/Version_5/Final/IL-TRM_Version_5.0_dated_February-11-2016_Final_Compiled_Volumes_1-4.pdf"/>
    <hyperlink ref="G379" r:id="rId4" display="https://www.efis.psc.mo.gov/mpsc/commoncomponents/viewdocument.asp?DocId=935658483"/>
    <hyperlink ref="G380" r:id="rId5" display="http://www.nrel.gov/docs/fy10osti/47246.pdf"/>
  </hyperlinks>
  <pageMargins left="0.7" right="0.7" top="0.75" bottom="0.75" header="0.3" footer="0.3"/>
  <pageSetup scale="13" fitToHeight="0" orientation="landscape" r:id="rId6"/>
  <rowBreaks count="2" manualBreakCount="2">
    <brk id="319" max="57" man="1"/>
    <brk id="481" max="57" man="1"/>
  </rowBreaks>
  <drawing r:id="rId7"/>
  <legacy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FBAF9A142ECA4AAE7140F838375053" ma:contentTypeVersion="" ma:contentTypeDescription="Create a new document." ma:contentTypeScope="" ma:versionID="fbccdb9a4f24a941a260fcc9ce618267">
  <xsd:schema xmlns:xsd="http://www.w3.org/2001/XMLSchema" xmlns:xs="http://www.w3.org/2001/XMLSchema" xmlns:p="http://schemas.microsoft.com/office/2006/metadata/properties" xmlns:ns2="$ListId:Library;" targetNamespace="http://schemas.microsoft.com/office/2006/metadata/properties" ma:root="true" ma:fieldsID="f0a7ed3631af1f39076cc3123727656e" ns2:_="">
    <xsd:import namespace="$ListId:Library;"/>
    <xsd:element name="properties">
      <xsd:complexType>
        <xsd:sequence>
          <xsd:element name="documentManagement">
            <xsd:complexType>
              <xsd:all>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C2CEDC98-51EE-4800-A0B1-92DFE9F309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0F4158-8EBA-4B20-B5B8-81F89EDB9798}">
  <ds:schemaRefs>
    <ds:schemaRef ds:uri="http://schemas.microsoft.com/sharepoint/v3/contenttype/forms"/>
  </ds:schemaRefs>
</ds:datastoreItem>
</file>

<file path=customXml/itemProps3.xml><?xml version="1.0" encoding="utf-8"?>
<ds:datastoreItem xmlns:ds="http://schemas.openxmlformats.org/officeDocument/2006/customXml" ds:itemID="{B3F73EB8-C418-476F-B2F8-EE2D939C2939}">
  <ds:schemaRefs>
    <ds:schemaRef ds:uri="http://purl.org/dc/elements/1.1/"/>
    <ds:schemaRef ds:uri="http://schemas.microsoft.com/office/2006/metadata/properties"/>
    <ds:schemaRef ds:uri="http://purl.org/dc/terms/"/>
    <ds:schemaRef ds:uri="$ListId:Library;"/>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48</vt:i4>
      </vt:variant>
    </vt:vector>
  </HeadingPairs>
  <TitlesOfParts>
    <vt:vector size="60" baseType="lpstr">
      <vt:lpstr>Deemed Savings Tbl Revision Log</vt:lpstr>
      <vt:lpstr>BUS Deemed Savings Table </vt:lpstr>
      <vt:lpstr>Lighting Deemed Table</vt:lpstr>
      <vt:lpstr>Efficient Products Deemed Table</vt:lpstr>
      <vt:lpstr>Energy Effic. Kits Deemed Table</vt:lpstr>
      <vt:lpstr>HVAC Deemed Table</vt:lpstr>
      <vt:lpstr>Income Eligble Deemed Table</vt:lpstr>
      <vt:lpstr>Home Energy Report Deemed Table</vt:lpstr>
      <vt:lpstr>MFMR Deemed Table </vt:lpstr>
      <vt:lpstr>Appliance Recycle Deemed Table</vt:lpstr>
      <vt:lpstr>Demand Response Deemed Table</vt:lpstr>
      <vt:lpstr>CP FACTORS</vt:lpstr>
      <vt:lpstr>'BUS Deemed Savings Table '!_ftn1</vt:lpstr>
      <vt:lpstr>'Efficient Products Deemed Table'!_ftn1</vt:lpstr>
      <vt:lpstr>'BUS Deemed Savings Table '!_ftn10</vt:lpstr>
      <vt:lpstr>'BUS Deemed Savings Table '!_ftn11</vt:lpstr>
      <vt:lpstr>'BUS Deemed Savings Table '!_ftn12</vt:lpstr>
      <vt:lpstr>'BUS Deemed Savings Table '!_ftn2</vt:lpstr>
      <vt:lpstr>'Efficient Products Deemed Table'!_ftn2</vt:lpstr>
      <vt:lpstr>'BUS Deemed Savings Table '!_ftn3</vt:lpstr>
      <vt:lpstr>'BUS Deemed Savings Table '!_ftn4</vt:lpstr>
      <vt:lpstr>'BUS Deemed Savings Table '!_ftn5</vt:lpstr>
      <vt:lpstr>'BUS Deemed Savings Table '!_ftn6</vt:lpstr>
      <vt:lpstr>'BUS Deemed Savings Table '!_ftn7</vt:lpstr>
      <vt:lpstr>'BUS Deemed Savings Table '!_ftn8</vt:lpstr>
      <vt:lpstr>'BUS Deemed Savings Table '!_ftn9</vt:lpstr>
      <vt:lpstr>'BUS Deemed Savings Table '!_ftnref1</vt:lpstr>
      <vt:lpstr>'Efficient Products Deemed Table'!_ftnref1</vt:lpstr>
      <vt:lpstr>'BUS Deemed Savings Table '!_ftnref10</vt:lpstr>
      <vt:lpstr>'BUS Deemed Savings Table '!_ftnref11</vt:lpstr>
      <vt:lpstr>'BUS Deemed Savings Table '!_ftnref12</vt:lpstr>
      <vt:lpstr>'Efficient Products Deemed Table'!_ftnref2</vt:lpstr>
      <vt:lpstr>'BUS Deemed Savings Table '!_ftnref3</vt:lpstr>
      <vt:lpstr>'BUS Deemed Savings Table '!_ftnref4</vt:lpstr>
      <vt:lpstr>'BUS Deemed Savings Table '!_ftnref5</vt:lpstr>
      <vt:lpstr>'BUS Deemed Savings Table '!_ftnref6</vt:lpstr>
      <vt:lpstr>'BUS Deemed Savings Table '!_ftnref7</vt:lpstr>
      <vt:lpstr>'BUS Deemed Savings Table '!_ftnref9</vt:lpstr>
      <vt:lpstr>'BUS Deemed Savings Table '!_Toc477945843</vt:lpstr>
      <vt:lpstr>'Appliance Recycle Deemed Table'!Print_Area</vt:lpstr>
      <vt:lpstr>'BUS Deemed Savings Table '!Print_Area</vt:lpstr>
      <vt:lpstr>'Deemed Savings Tbl Revision Log'!Print_Area</vt:lpstr>
      <vt:lpstr>'Demand Response Deemed Table'!Print_Area</vt:lpstr>
      <vt:lpstr>'Efficient Products Deemed Table'!Print_Area</vt:lpstr>
      <vt:lpstr>'Energy Effic. Kits Deemed Table'!Print_Area</vt:lpstr>
      <vt:lpstr>'Home Energy Report Deemed Table'!Print_Area</vt:lpstr>
      <vt:lpstr>'HVAC Deemed Table'!Print_Area</vt:lpstr>
      <vt:lpstr>'Income Eligble Deemed Table'!Print_Area</vt:lpstr>
      <vt:lpstr>'Lighting Deemed Table'!Print_Area</vt:lpstr>
      <vt:lpstr>'MFMR Deemed Table '!Print_Area</vt:lpstr>
      <vt:lpstr>'Appliance Recycle Deemed Table'!Print_Titles</vt:lpstr>
      <vt:lpstr>'BUS Deemed Savings Table '!Print_Titles</vt:lpstr>
      <vt:lpstr>'Demand Response Deemed Table'!Print_Titles</vt:lpstr>
      <vt:lpstr>'Efficient Products Deemed Table'!Print_Titles</vt:lpstr>
      <vt:lpstr>'Energy Effic. Kits Deemed Table'!Print_Titles</vt:lpstr>
      <vt:lpstr>'Home Energy Report Deemed Table'!Print_Titles</vt:lpstr>
      <vt:lpstr>'HVAC Deemed Table'!Print_Titles</vt:lpstr>
      <vt:lpstr>'Income Eligble Deemed Table'!Print_Titles</vt:lpstr>
      <vt:lpstr>'Lighting Deemed Table'!Print_Titles</vt:lpstr>
      <vt:lpstr>'MFMR Deemed Table '!Print_Titles</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Brueggemann, Jeff R</dc:creator>
  <cp:lastModifiedBy>Johnson, Paula</cp:lastModifiedBy>
  <dcterms:created xsi:type="dcterms:W3CDTF">2018-12-12T17:52:15Z</dcterms:created>
  <dcterms:modified xsi:type="dcterms:W3CDTF">2019-01-09T20:33:27Z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0x01010014FBAF9A142ECA4AAE7140F838375053</vt:lpwstr>
  </property>
</Properties>
</file>