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PSC Cases\EO-2023-0136  MEEIA 4\Filing 3.27.23\"/>
    </mc:Choice>
  </mc:AlternateContent>
  <xr:revisionPtr revIDLastSave="0" documentId="13_ncr:1_{CD91D844-707E-4E35-952D-A8F5C94631AC}" xr6:coauthVersionLast="47" xr6:coauthVersionMax="47" xr10:uidLastSave="{00000000-0000-0000-0000-000000000000}"/>
  <bookViews>
    <workbookView xWindow="-110" yWindow="-110" windowWidth="22780" windowHeight="14660" activeTab="2" xr2:uid="{00275A66-1EEA-4BDE-A34D-075BDA8B53B7}"/>
  </bookViews>
  <sheets>
    <sheet name="EO-TOTAL" sheetId="1" r:id="rId1"/>
    <sheet name="PY1-2024" sheetId="2" r:id="rId2"/>
    <sheet name="PY2-2025" sheetId="3" r:id="rId3"/>
    <sheet name="PY3-2026" sheetId="4" r:id="rId4"/>
  </sheets>
  <externalReferences>
    <externalReference r:id="rId5"/>
  </externalReferences>
  <definedNames>
    <definedName name="_Key1" hidden="1">#REF!</definedName>
    <definedName name="_key2" hidden="1">#REF!</definedName>
    <definedName name="_Order1" hidden="1">255</definedName>
    <definedName name="_Sort" hidden="1">#REF!</definedName>
    <definedName name="Discount_Rate">[1]Assumptions!$B$4</definedName>
    <definedName name="EMV_Cost_PCT">[1]Assumptions!$B$9</definedName>
    <definedName name="Starting_Year">[1]Assumptions!$B$2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J15" i="1"/>
  <c r="J14" i="1"/>
  <c r="J13" i="1"/>
  <c r="E15" i="1"/>
  <c r="E14" i="1"/>
  <c r="J16" i="1"/>
  <c r="O16" i="1"/>
  <c r="O15" i="1"/>
  <c r="O14" i="1"/>
  <c r="O13" i="1"/>
  <c r="E16" i="1"/>
  <c r="E13" i="1"/>
  <c r="G16" i="1" l="1"/>
  <c r="H16" i="1"/>
  <c r="G13" i="1"/>
  <c r="H13" i="1"/>
  <c r="D44" i="4" l="1"/>
  <c r="C44" i="4" s="1"/>
  <c r="H44" i="4"/>
  <c r="D38" i="4"/>
  <c r="C38" i="4" s="1"/>
  <c r="H38" i="4"/>
  <c r="D44" i="3"/>
  <c r="C44" i="3" s="1"/>
  <c r="H44" i="3"/>
  <c r="D38" i="3"/>
  <c r="C38" i="3" s="1"/>
  <c r="H38" i="3"/>
  <c r="H44" i="2"/>
  <c r="D44" i="2"/>
  <c r="C44" i="2" s="1"/>
  <c r="H38" i="2"/>
  <c r="D38" i="2"/>
  <c r="F38" i="2" s="1"/>
  <c r="G14" i="1"/>
  <c r="F38" i="4" l="1"/>
  <c r="C38" i="2"/>
  <c r="G38" i="2"/>
  <c r="I38" i="2" s="1"/>
  <c r="G38" i="4"/>
  <c r="I38" i="4" s="1"/>
  <c r="I16" i="1"/>
  <c r="F44" i="4"/>
  <c r="G44" i="4" s="1"/>
  <c r="I44" i="4" s="1"/>
  <c r="F38" i="3"/>
  <c r="G38" i="3" s="1"/>
  <c r="I38" i="3" s="1"/>
  <c r="F44" i="3"/>
  <c r="G44" i="3" s="1"/>
  <c r="I44" i="3" s="1"/>
  <c r="F44" i="2"/>
  <c r="G15" i="1"/>
  <c r="H14" i="1"/>
  <c r="I14" i="1" s="1"/>
  <c r="I13" i="1"/>
  <c r="G44" i="2" l="1"/>
  <c r="I44" i="2" s="1"/>
  <c r="H15" i="1"/>
  <c r="I15" i="1" s="1"/>
  <c r="D17" i="3" l="1"/>
  <c r="C17" i="3" s="1"/>
  <c r="D29" i="4"/>
  <c r="D23" i="4"/>
  <c r="F23" i="4" s="1"/>
  <c r="D17" i="4"/>
  <c r="F17" i="4" s="1"/>
  <c r="D11" i="4"/>
  <c r="C11" i="4" s="1"/>
  <c r="D29" i="3"/>
  <c r="C29" i="3" s="1"/>
  <c r="D23" i="3"/>
  <c r="F23" i="3" s="1"/>
  <c r="D11" i="3"/>
  <c r="F11" i="3" s="1"/>
  <c r="H29" i="4"/>
  <c r="H23" i="4"/>
  <c r="H17" i="4"/>
  <c r="H11" i="4"/>
  <c r="H29" i="3"/>
  <c r="H23" i="3"/>
  <c r="H17" i="3"/>
  <c r="H11" i="3"/>
  <c r="H29" i="2"/>
  <c r="D29" i="2"/>
  <c r="F29" i="2" s="1"/>
  <c r="H23" i="2"/>
  <c r="D23" i="2"/>
  <c r="F23" i="2" s="1"/>
  <c r="D17" i="2"/>
  <c r="F17" i="2" s="1"/>
  <c r="H17" i="2"/>
  <c r="D11" i="2"/>
  <c r="F11" i="2" s="1"/>
  <c r="H11" i="2"/>
  <c r="L21" i="1"/>
  <c r="Q21" i="1"/>
  <c r="S21" i="1" s="1"/>
  <c r="G21" i="1"/>
  <c r="N21" i="1"/>
  <c r="Q20" i="1"/>
  <c r="L20" i="1"/>
  <c r="G20" i="1"/>
  <c r="M16" i="1"/>
  <c r="L15" i="1"/>
  <c r="F17" i="3" l="1"/>
  <c r="F29" i="4"/>
  <c r="C29" i="4"/>
  <c r="I21" i="1"/>
  <c r="W21" i="1"/>
  <c r="T21" i="1"/>
  <c r="T20" i="1"/>
  <c r="C11" i="3"/>
  <c r="G11" i="3" s="1"/>
  <c r="I11" i="3" s="1"/>
  <c r="G22" i="1"/>
  <c r="F11" i="4"/>
  <c r="G11" i="4" s="1"/>
  <c r="I11" i="4" s="1"/>
  <c r="C17" i="4"/>
  <c r="G17" i="4" s="1"/>
  <c r="I17" i="4" s="1"/>
  <c r="C23" i="4"/>
  <c r="G23" i="4" s="1"/>
  <c r="I23" i="4" s="1"/>
  <c r="G29" i="4"/>
  <c r="I29" i="4" s="1"/>
  <c r="F29" i="3"/>
  <c r="G29" i="3" s="1"/>
  <c r="I29" i="3" s="1"/>
  <c r="C23" i="3"/>
  <c r="G23" i="3" s="1"/>
  <c r="I23" i="3" s="1"/>
  <c r="C29" i="2"/>
  <c r="G29" i="2" s="1"/>
  <c r="I29" i="2" s="1"/>
  <c r="C11" i="2"/>
  <c r="G11" i="2" s="1"/>
  <c r="I11" i="2" s="1"/>
  <c r="I2" i="2" s="1"/>
  <c r="C17" i="2"/>
  <c r="C23" i="2"/>
  <c r="G23" i="2" s="1"/>
  <c r="I23" i="2" s="1"/>
  <c r="G17" i="3"/>
  <c r="I17" i="3" s="1"/>
  <c r="G17" i="2"/>
  <c r="I17" i="2" s="1"/>
  <c r="L22" i="1"/>
  <c r="H17" i="1"/>
  <c r="R16" i="1"/>
  <c r="I20" i="1"/>
  <c r="Q16" i="1"/>
  <c r="N20" i="1"/>
  <c r="N22" i="1" s="1"/>
  <c r="M15" i="1"/>
  <c r="N15" i="1" s="1"/>
  <c r="R15" i="1"/>
  <c r="S20" i="1"/>
  <c r="S22" i="1" s="1"/>
  <c r="L16" i="1"/>
  <c r="K17" i="1"/>
  <c r="M14" i="1"/>
  <c r="Q13" i="1"/>
  <c r="R13" i="1"/>
  <c r="P17" i="1"/>
  <c r="Q22" i="1"/>
  <c r="Q15" i="1"/>
  <c r="T15" i="1" s="1"/>
  <c r="W22" i="1" l="1"/>
  <c r="W20" i="1"/>
  <c r="N16" i="1"/>
  <c r="T16" i="1"/>
  <c r="I22" i="1"/>
  <c r="S16" i="1"/>
  <c r="I2" i="4"/>
  <c r="I2" i="3"/>
  <c r="T22" i="1"/>
  <c r="J17" i="1"/>
  <c r="S15" i="1"/>
  <c r="W15" i="1" s="1"/>
  <c r="L14" i="1"/>
  <c r="M13" i="1"/>
  <c r="M17" i="1" s="1"/>
  <c r="L13" i="1"/>
  <c r="T13" i="1" s="1"/>
  <c r="G17" i="1"/>
  <c r="D4" i="1"/>
  <c r="S13" i="1"/>
  <c r="R14" i="1"/>
  <c r="R17" i="1" s="1"/>
  <c r="N14" i="1" l="1"/>
  <c r="W16" i="1"/>
  <c r="D6" i="1"/>
  <c r="Q14" i="1"/>
  <c r="T14" i="1" s="1"/>
  <c r="O17" i="1"/>
  <c r="N13" i="1"/>
  <c r="W13" i="1" s="1"/>
  <c r="E4" i="1"/>
  <c r="E6" i="1" s="1"/>
  <c r="L17" i="1"/>
  <c r="S14" i="1" l="1"/>
  <c r="W14" i="1" s="1"/>
  <c r="Q17" i="1"/>
  <c r="F4" i="1"/>
  <c r="F6" i="1" s="1"/>
  <c r="E5" i="1"/>
  <c r="N17" i="1"/>
  <c r="C4" i="1" l="1"/>
  <c r="C6" i="1" s="1"/>
  <c r="E8" i="1"/>
  <c r="E7" i="1"/>
  <c r="T17" i="1"/>
  <c r="S17" i="1"/>
  <c r="F5" i="1"/>
  <c r="F8" i="1" l="1"/>
  <c r="F7" i="1"/>
  <c r="U17" i="1"/>
  <c r="U16" i="1"/>
  <c r="U15" i="1"/>
  <c r="U13" i="1"/>
  <c r="U14" i="1"/>
  <c r="D5" i="1" l="1"/>
  <c r="C5" i="1" s="1"/>
  <c r="W17" i="1"/>
  <c r="C7" i="1" s="1"/>
  <c r="I17" i="1"/>
  <c r="D7" i="1" s="1"/>
  <c r="C8" i="1" l="1"/>
  <c r="D8" i="1"/>
</calcChain>
</file>

<file path=xl/sharedStrings.xml><?xml version="1.0" encoding="utf-8"?>
<sst xmlns="http://schemas.openxmlformats.org/spreadsheetml/2006/main" count="495" uniqueCount="115">
  <si>
    <t>Earnings Opportunity</t>
  </si>
  <si>
    <t xml:space="preserve">Total Budget </t>
  </si>
  <si>
    <t>PY1 2024</t>
  </si>
  <si>
    <t>PY2 2025</t>
  </si>
  <si>
    <t>PY3 2026</t>
  </si>
  <si>
    <t>Total Budget</t>
  </si>
  <si>
    <t xml:space="preserve">EO Target </t>
  </si>
  <si>
    <t>EO Maximum</t>
  </si>
  <si>
    <t>EO % Target Payout</t>
  </si>
  <si>
    <t>EO % Max Payout</t>
  </si>
  <si>
    <t>EO % Max Payout w/DR and PAYS Bonus</t>
  </si>
  <si>
    <r>
      <rPr>
        <b/>
        <sz val="11"/>
        <color rgb="FFFFFFFF"/>
        <rFont val="Calibri"/>
        <family val="2"/>
      </rPr>
      <t xml:space="preserve">Ameren Missouri - MEEIA 2024-26 Earnings Opportunity Summary - </t>
    </r>
    <r>
      <rPr>
        <b/>
        <sz val="11"/>
        <color rgb="FFFFC000"/>
        <rFont val="Calibri"/>
        <family val="2"/>
      </rPr>
      <t>Portfolio</t>
    </r>
  </si>
  <si>
    <t>Metric #</t>
  </si>
  <si>
    <t>Performance Metric</t>
  </si>
  <si>
    <t xml:space="preserve">Payout Rate </t>
  </si>
  <si>
    <t>Payout Unit</t>
  </si>
  <si>
    <t>P1 Target
(80% Filed)</t>
  </si>
  <si>
    <t>P1 Target Max
(100% Filed)</t>
  </si>
  <si>
    <t>P1 Target Payout*</t>
  </si>
  <si>
    <t>P1 Bonus 
(100% Filed)</t>
  </si>
  <si>
    <t xml:space="preserve">P1 Max Payout CAP** </t>
  </si>
  <si>
    <t>P2 Target
(80% Filed)</t>
  </si>
  <si>
    <t>P2 Target Max
(100% Filed)</t>
  </si>
  <si>
    <t>P2 Target Payout*</t>
  </si>
  <si>
    <t>P2 Bonus 
(100% Filed)</t>
  </si>
  <si>
    <t xml:space="preserve">P2 Max Payout CAP** </t>
  </si>
  <si>
    <t>P3 Target
(80% Filed)</t>
  </si>
  <si>
    <t>P3 Target Max
(100% Filed)</t>
  </si>
  <si>
    <t>P3 Target Payout*</t>
  </si>
  <si>
    <t>P3 Bonus (100% Filed)</t>
  </si>
  <si>
    <t xml:space="preserve">P3 Max Payout CAP** </t>
  </si>
  <si>
    <t>100% Payout</t>
  </si>
  <si>
    <t>% of Target EO</t>
  </si>
  <si>
    <t>Cap % Multiplier</t>
  </si>
  <si>
    <t>Maximum Payout</t>
  </si>
  <si>
    <r>
      <rPr>
        <b/>
        <sz val="11"/>
        <color theme="1"/>
        <rFont val="Calibri"/>
        <family val="2"/>
        <scheme val="minor"/>
      </rPr>
      <t>Demand Response:</t>
    </r>
    <r>
      <rPr>
        <sz val="11"/>
        <color theme="1"/>
        <rFont val="Calibri"/>
        <family val="2"/>
        <scheme val="minor"/>
      </rPr>
      <t xml:space="preserve">
criteria will be cumulative evaluated MW enrolled.  Includes Residential and Business DR programs.</t>
    </r>
  </si>
  <si>
    <t>$/MW</t>
  </si>
  <si>
    <r>
      <rPr>
        <b/>
        <sz val="11"/>
        <color rgb="FF000000"/>
        <rFont val="Calibri"/>
        <family val="2"/>
      </rPr>
      <t xml:space="preserve">EE Coincident MW: 
</t>
    </r>
    <r>
      <rPr>
        <sz val="11"/>
        <color rgb="FF000000"/>
        <rFont val="Calibri"/>
        <family val="2"/>
      </rPr>
      <t>criteria will be the evaluated  incremental MW reduction, coincident with system peak.  Includes Residential, Business and Income -Eligible programs and excludes DR programs.</t>
    </r>
  </si>
  <si>
    <r>
      <rPr>
        <b/>
        <sz val="11"/>
        <color rgb="FF000000"/>
        <rFont val="Calibri"/>
        <family val="2"/>
      </rPr>
      <t xml:space="preserve">EE MWh:
</t>
    </r>
    <r>
      <rPr>
        <sz val="11"/>
        <color rgb="FF000000"/>
        <rFont val="Calibri"/>
        <family val="2"/>
      </rPr>
      <t>criteria will be the evaluated 1st yr incremental MWh savings. Includes Residential, Business and Income -Eligible programs and excludes DR programs.</t>
    </r>
  </si>
  <si>
    <t>$/MWh</t>
  </si>
  <si>
    <r>
      <rPr>
        <b/>
        <sz val="11"/>
        <color rgb="FF000000"/>
        <rFont val="Calibri"/>
        <family val="2"/>
      </rPr>
      <t xml:space="preserve">Income Eligible Budget Spend:
</t>
    </r>
    <r>
      <rPr>
        <sz val="11"/>
        <color rgb="FF000000"/>
        <rFont val="Calibri"/>
        <family val="2"/>
      </rPr>
      <t>Includes all Income -Eligible programs</t>
    </r>
  </si>
  <si>
    <t>$/LI Budget Spend</t>
  </si>
  <si>
    <t>TOTAL</t>
  </si>
  <si>
    <t>Performance Metric #</t>
  </si>
  <si>
    <t>Performance Bonus Metric</t>
  </si>
  <si>
    <t>Payout Rate</t>
  </si>
  <si>
    <t>P1 Target</t>
  </si>
  <si>
    <t>P1 Payout*</t>
  </si>
  <si>
    <t>P2 Target</t>
  </si>
  <si>
    <t>P2 Payout</t>
  </si>
  <si>
    <t>P2 Max Payout CAP</t>
  </si>
  <si>
    <t>P3 Target</t>
  </si>
  <si>
    <t>P3 Payout</t>
  </si>
  <si>
    <t>P3 Max Payout CAP</t>
  </si>
  <si>
    <r>
      <t xml:space="preserve">Performance Bonus #1:
</t>
    </r>
    <r>
      <rPr>
        <sz val="11"/>
        <color theme="1"/>
        <rFont val="Calibri"/>
        <family val="2"/>
        <scheme val="minor"/>
      </rPr>
      <t>DR Events*</t>
    </r>
    <r>
      <rPr>
        <b/>
        <sz val="11"/>
        <color theme="1"/>
        <rFont val="Calibri"/>
        <family val="2"/>
        <scheme val="minor"/>
      </rPr>
      <t>**</t>
    </r>
  </si>
  <si>
    <t>$/DR Event</t>
  </si>
  <si>
    <r>
      <rPr>
        <b/>
        <sz val="11"/>
        <color rgb="FF000000"/>
        <rFont val="Calibri"/>
        <family val="2"/>
      </rPr>
      <t xml:space="preserve">Performance Bonus #2:
</t>
    </r>
    <r>
      <rPr>
        <sz val="11"/>
        <color rgb="FF000000"/>
        <rFont val="Calibri"/>
        <family val="2"/>
      </rPr>
      <t xml:space="preserve">PAYS: Total Financed Budget
</t>
    </r>
  </si>
  <si>
    <t>$/Financed</t>
  </si>
  <si>
    <t>*Payout achieved at 80% threshold level.  Must achieve &gt;50% to receive Payout
**Max Payout accumulates at &gt;80% and max out at 100% of filed MW, MWh, Income -Eligible Program Budget. 
***No more than 5 test events will be included, unless those test events are specifically called for:
    -Locational demand purposes
    -Off-peak capability, such as during a winter peaking period</t>
  </si>
  <si>
    <t>Static Inputs-DO NOT CHANGE</t>
  </si>
  <si>
    <t>PY1-2024</t>
  </si>
  <si>
    <t>Earnings Opportunity Calculator</t>
  </si>
  <si>
    <t>Evaluation/Actual Inputs</t>
  </si>
  <si>
    <t>Total EO Payout</t>
  </si>
  <si>
    <t>Formula</t>
  </si>
  <si>
    <t>EO Payout Amount</t>
  </si>
  <si>
    <t>DR Cumulative Enrolled MW</t>
  </si>
  <si>
    <t>Description</t>
  </si>
  <si>
    <t>Demand Response:
criteria will be cumulative evaluated MW enrolled, coincident with system peak @ design criteria.  Includes Residential and Business DR programs.</t>
  </si>
  <si>
    <t>EO Target (MW)</t>
  </si>
  <si>
    <t>EO Cap Multiplier</t>
  </si>
  <si>
    <t>EO Maximum (MW)</t>
  </si>
  <si>
    <t>EO Eligible Performance (MW)</t>
  </si>
  <si>
    <t>Payout Amount per Unit (MW)</t>
  </si>
  <si>
    <t>EO Payout Amount ($)</t>
  </si>
  <si>
    <t>Source</t>
  </si>
  <si>
    <t>Evaluation Report</t>
  </si>
  <si>
    <t>Calculation</t>
  </si>
  <si>
    <t>Column ref</t>
  </si>
  <si>
    <t>a</t>
  </si>
  <si>
    <t>b</t>
  </si>
  <si>
    <t>c</t>
  </si>
  <si>
    <t>d=b*c</t>
  </si>
  <si>
    <t>e (=minimum of 
a or d)</t>
  </si>
  <si>
    <t>f</t>
  </si>
  <si>
    <t>g=e*f</t>
  </si>
  <si>
    <t xml:space="preserve">EE Coincident MW </t>
  </si>
  <si>
    <t>EE Coincident MW: 
criteria will be the evaluated  incremental MW reduction, coincident with system peak.  Includes Residential, Business and Income-Eligible programs and excludes DR programs.</t>
  </si>
  <si>
    <t>e=minimum of (a or d)</t>
  </si>
  <si>
    <t>EE MWh</t>
  </si>
  <si>
    <t>EE MWh:
criteria will be the evaluated 1st yr incremental MWh savings. Includes Residential, Business and Income-Eligible programs and excludes DR programs.</t>
  </si>
  <si>
    <t>EO Target (MWh)</t>
  </si>
  <si>
    <t>EO Maximum 
(MWh)</t>
  </si>
  <si>
    <t>Payout Amount per Unit (MWh)</t>
  </si>
  <si>
    <t>Income-Eligible Budget Spend</t>
  </si>
  <si>
    <t>Income-Eligible Budget Spend:
Includes all Income-Eligible Program 
Cost Budget 
(Admin + Incentive).</t>
  </si>
  <si>
    <t>Budget Target 
($)</t>
  </si>
  <si>
    <t>EO Maximum 
Actual Spend 
(Admin + Incentive)</t>
  </si>
  <si>
    <t>EO Eligible Performance ($)</t>
  </si>
  <si>
    <t>Payout Amount per Unit ($)</t>
  </si>
  <si>
    <t>Approved Plan</t>
  </si>
  <si>
    <t>Performance Bonus</t>
  </si>
  <si>
    <t>DR Events</t>
  </si>
  <si>
    <t>Number of DR Events Called</t>
  </si>
  <si>
    <t>Target Events
(#)</t>
  </si>
  <si>
    <t>EO Maximum Eligible Performance Bonus(# Events Called)</t>
  </si>
  <si>
    <t>EO Eligible Performance Bonus(# Events Called)</t>
  </si>
  <si>
    <t>EO Performance Bonus Payout Amount ($)</t>
  </si>
  <si>
    <t>PAYS: Financing Budget</t>
  </si>
  <si>
    <t>PAYS: Total Financed Budget</t>
  </si>
  <si>
    <t>Total Amount of PAYS Financing (Maximum)</t>
  </si>
  <si>
    <t xml:space="preserve">Total eligible Amount of PAYS Financing </t>
  </si>
  <si>
    <t>PY2-2025</t>
  </si>
  <si>
    <t>PY3-2026</t>
  </si>
  <si>
    <t>Appendix N: Earnings Opportunity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</si>
</sst>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&quot;$&quot;#,##0.000_);[Red]\(&quot;$&quot;#,##0.0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C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/>
    <xf numFmtId="165" fontId="0" fillId="0" borderId="0" xfId="3" applyNumberFormat="1" applyFont="1"/>
    <xf numFmtId="164" fontId="0" fillId="0" borderId="1" xfId="0" applyNumberFormat="1" applyBorder="1"/>
    <xf numFmtId="44" fontId="0" fillId="0" borderId="0" xfId="0" applyNumberFormat="1"/>
    <xf numFmtId="10" fontId="0" fillId="0" borderId="1" xfId="3" applyNumberFormat="1" applyFont="1" applyBorder="1"/>
    <xf numFmtId="10" fontId="0" fillId="4" borderId="1" xfId="3" applyNumberFormat="1" applyFont="1" applyFill="1" applyBorder="1"/>
    <xf numFmtId="9" fontId="0" fillId="0" borderId="0" xfId="3" applyFont="1"/>
    <xf numFmtId="9" fontId="0" fillId="0" borderId="0" xfId="0" applyNumberFormat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6" fontId="0" fillId="2" borderId="1" xfId="0" applyNumberFormat="1" applyFill="1" applyBorder="1" applyAlignment="1">
      <alignment horizontal="center" vertical="center"/>
    </xf>
    <xf numFmtId="6" fontId="3" fillId="2" borderId="1" xfId="0" applyNumberFormat="1" applyFont="1" applyFill="1" applyBorder="1" applyAlignment="1">
      <alignment horizontal="center" vertical="center"/>
    </xf>
    <xf numFmtId="9" fontId="0" fillId="2" borderId="1" xfId="3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6" fontId="0" fillId="0" borderId="2" xfId="0" applyNumberForma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2" xfId="0" applyFill="1" applyBorder="1"/>
    <xf numFmtId="6" fontId="0" fillId="5" borderId="2" xfId="0" applyNumberFormat="1" applyFill="1" applyBorder="1" applyAlignment="1">
      <alignment horizontal="center" vertical="center"/>
    </xf>
    <xf numFmtId="9" fontId="0" fillId="5" borderId="1" xfId="3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/>
    <xf numFmtId="0" fontId="3" fillId="0" borderId="1" xfId="0" applyFont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 wrapText="1"/>
    </xf>
    <xf numFmtId="6" fontId="3" fillId="5" borderId="1" xfId="0" applyNumberFormat="1" applyFont="1" applyFill="1" applyBorder="1" applyAlignment="1">
      <alignment horizontal="center" vertical="center" wrapText="1"/>
    </xf>
    <xf numFmtId="6" fontId="0" fillId="0" borderId="0" xfId="0" applyNumberFormat="1"/>
    <xf numFmtId="0" fontId="0" fillId="0" borderId="0" xfId="0" applyAlignment="1">
      <alignment horizontal="left"/>
    </xf>
    <xf numFmtId="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64" fontId="0" fillId="0" borderId="2" xfId="2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8" fontId="0" fillId="4" borderId="1" xfId="0" applyNumberFormat="1" applyFill="1" applyBorder="1" applyAlignment="1">
      <alignment horizontal="center" vertical="center"/>
    </xf>
    <xf numFmtId="0" fontId="0" fillId="7" borderId="0" xfId="0" applyFill="1"/>
    <xf numFmtId="0" fontId="5" fillId="0" borderId="0" xfId="0" applyFont="1"/>
    <xf numFmtId="0" fontId="0" fillId="8" borderId="0" xfId="0" applyFill="1"/>
    <xf numFmtId="0" fontId="3" fillId="9" borderId="0" xfId="0" applyFont="1" applyFill="1"/>
    <xf numFmtId="0" fontId="0" fillId="10" borderId="0" xfId="0" applyFill="1"/>
    <xf numFmtId="0" fontId="0" fillId="9" borderId="0" xfId="0" applyFill="1"/>
    <xf numFmtId="0" fontId="0" fillId="0" borderId="9" xfId="0" applyBorder="1"/>
    <xf numFmtId="0" fontId="5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4" fontId="7" fillId="0" borderId="0" xfId="2" applyFont="1" applyBorder="1" applyAlignment="1">
      <alignment horizontal="center"/>
    </xf>
    <xf numFmtId="0" fontId="0" fillId="0" borderId="14" xfId="0" applyBorder="1"/>
    <xf numFmtId="166" fontId="7" fillId="8" borderId="15" xfId="1" applyNumberFormat="1" applyFont="1" applyFill="1" applyBorder="1"/>
    <xf numFmtId="10" fontId="7" fillId="7" borderId="15" xfId="3" applyNumberFormat="1" applyFont="1" applyFill="1" applyBorder="1"/>
    <xf numFmtId="0" fontId="6" fillId="0" borderId="0" xfId="0" applyFont="1" applyAlignment="1">
      <alignment horizontal="center"/>
    </xf>
    <xf numFmtId="44" fontId="6" fillId="0" borderId="0" xfId="2" applyFont="1" applyBorder="1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2" applyFont="1" applyBorder="1" applyAlignment="1">
      <alignment horizontal="center"/>
    </xf>
    <xf numFmtId="0" fontId="0" fillId="0" borderId="13" xfId="0" quotePrefix="1" applyBorder="1" applyAlignment="1">
      <alignment horizontal="center" wrapText="1"/>
    </xf>
    <xf numFmtId="7" fontId="7" fillId="7" borderId="15" xfId="2" applyNumberFormat="1" applyFont="1" applyFill="1" applyBorder="1"/>
    <xf numFmtId="0" fontId="7" fillId="2" borderId="1" xfId="0" applyFont="1" applyFill="1" applyBorder="1" applyAlignment="1">
      <alignment horizontal="center" wrapText="1"/>
    </xf>
    <xf numFmtId="166" fontId="7" fillId="10" borderId="15" xfId="1" applyNumberFormat="1" applyFont="1" applyFill="1" applyBorder="1"/>
    <xf numFmtId="0" fontId="8" fillId="0" borderId="10" xfId="0" applyFont="1" applyBorder="1"/>
    <xf numFmtId="0" fontId="7" fillId="0" borderId="10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4" fontId="9" fillId="0" borderId="0" xfId="2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7" fillId="8" borderId="15" xfId="1" applyFont="1" applyFill="1" applyBorder="1"/>
    <xf numFmtId="43" fontId="7" fillId="7" borderId="15" xfId="1" applyFont="1" applyFill="1" applyBorder="1"/>
    <xf numFmtId="43" fontId="7" fillId="10" borderId="15" xfId="1" applyFont="1" applyFill="1" applyBorder="1"/>
    <xf numFmtId="5" fontId="7" fillId="7" borderId="15" xfId="2" applyNumberFormat="1" applyFont="1" applyFill="1" applyBorder="1"/>
    <xf numFmtId="43" fontId="7" fillId="8" borderId="15" xfId="1" applyFont="1" applyFill="1" applyBorder="1" applyAlignment="1">
      <alignment horizontal="center"/>
    </xf>
    <xf numFmtId="166" fontId="7" fillId="7" borderId="15" xfId="1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5" fontId="0" fillId="7" borderId="15" xfId="2" applyNumberFormat="1" applyFont="1" applyFill="1" applyBorder="1"/>
    <xf numFmtId="5" fontId="7" fillId="10" borderId="15" xfId="1" applyNumberFormat="1" applyFont="1" applyFill="1" applyBorder="1"/>
    <xf numFmtId="43" fontId="0" fillId="0" borderId="0" xfId="1" applyFont="1"/>
    <xf numFmtId="5" fontId="7" fillId="8" borderId="15" xfId="2" applyNumberFormat="1" applyFont="1" applyFill="1" applyBorder="1"/>
    <xf numFmtId="166" fontId="0" fillId="7" borderId="15" xfId="1" applyNumberFormat="1" applyFont="1" applyFill="1" applyBorder="1"/>
    <xf numFmtId="9" fontId="7" fillId="7" borderId="15" xfId="2" applyNumberFormat="1" applyFont="1" applyFill="1" applyBorder="1"/>
    <xf numFmtId="0" fontId="10" fillId="0" borderId="0" xfId="0" applyFont="1"/>
    <xf numFmtId="9" fontId="7" fillId="7" borderId="15" xfId="3" applyFont="1" applyFill="1" applyBorder="1"/>
    <xf numFmtId="164" fontId="3" fillId="9" borderId="0" xfId="2" applyNumberFormat="1" applyFont="1" applyFill="1"/>
    <xf numFmtId="164" fontId="0" fillId="9" borderId="16" xfId="0" applyNumberFormat="1" applyFill="1" applyBorder="1"/>
    <xf numFmtId="164" fontId="7" fillId="0" borderId="1" xfId="2" applyNumberFormat="1" applyFont="1" applyBorder="1"/>
    <xf numFmtId="6" fontId="7" fillId="0" borderId="1" xfId="0" applyNumberFormat="1" applyFont="1" applyBorder="1"/>
    <xf numFmtId="2" fontId="7" fillId="4" borderId="1" xfId="0" applyNumberFormat="1" applyFont="1" applyFill="1" applyBorder="1" applyAlignment="1">
      <alignment horizontal="center" vertical="center"/>
    </xf>
    <xf numFmtId="6" fontId="7" fillId="0" borderId="1" xfId="0" applyNumberFormat="1" applyFont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6" fontId="7" fillId="4" borderId="2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wrapText="1"/>
    </xf>
    <xf numFmtId="0" fontId="12" fillId="4" borderId="2" xfId="0" applyFont="1" applyFill="1" applyBorder="1" applyAlignment="1">
      <alignment wrapText="1"/>
    </xf>
    <xf numFmtId="165" fontId="0" fillId="0" borderId="1" xfId="3" applyNumberFormat="1" applyFont="1" applyBorder="1" applyAlignment="1">
      <alignment horizontal="center" vertical="center"/>
    </xf>
    <xf numFmtId="167" fontId="0" fillId="4" borderId="2" xfId="0" applyNumberFormat="1" applyFill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0" fontId="3" fillId="0" borderId="0" xfId="0" applyFont="1"/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SM\2024%20DSMore%20Models\Submittal%20Tools\MEEIA%204%202024-2029_%20AMOSubmittalTool_v3_7.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-&gt;"/>
      <sheetName val="Total Program Costs (Allocated)"/>
      <sheetName val="Total Program Costs (Unallocate"/>
      <sheetName val="Administrative Costs"/>
      <sheetName val="Incentive Costs"/>
      <sheetName val="EM&amp;V Costs"/>
      <sheetName val="Other Portfolio Costs"/>
      <sheetName val="Gross MWh"/>
      <sheetName val="NET MWh"/>
      <sheetName val="Gross MW"/>
      <sheetName val="Net MW"/>
      <sheetName val="TRC"/>
      <sheetName val="UCT"/>
      <sheetName val="PCT"/>
      <sheetName val="RIM Net Fuel"/>
      <sheetName val="&lt;-End Appendix A"/>
      <sheetName val="EO-&gt;"/>
      <sheetName val="EO-TOTAL"/>
      <sheetName val="PY1-2024"/>
      <sheetName val="PY2-2025"/>
      <sheetName val="PY3-2026"/>
      <sheetName val="PY4-2027"/>
      <sheetName val="PY5-2028"/>
      <sheetName val="PY6-2029"/>
      <sheetName val="Assumptions"/>
      <sheetName val="Avoided Cost Benefits"/>
      <sheetName val="CP FACTORS"/>
      <sheetName val="Calculations-&gt;"/>
      <sheetName val="Portfolio"/>
      <sheetName val="Demand Response"/>
      <sheetName val="RES DR_2024 _T-stats"/>
      <sheetName val="RES DR_2024 _Water Heater Switc"/>
      <sheetName val="RES DR_2024 _EV"/>
      <sheetName val="BUS DR Program Guide"/>
      <sheetName val="Below Line $ allocation DSMORE "/>
      <sheetName val="Cost effect tables"/>
      <sheetName val="Residential"/>
      <sheetName val="Heating &amp; Cooling"/>
      <sheetName val="Efficient Products"/>
      <sheetName val="Multi-family Market Rate"/>
      <sheetName val="Energy Efficient Kits"/>
      <sheetName val="New Construction Whole Home"/>
      <sheetName val="PAYS"/>
      <sheetName val="__"/>
      <sheetName val="Delete RES Education Programs"/>
      <sheetName val="Low Income"/>
      <sheetName val="Multi-Family Income Eligible"/>
      <sheetName val="Single Family Income Eligible"/>
      <sheetName val="_"/>
      <sheetName val="Business Social Services"/>
      <sheetName val="JRB NOTES"/>
      <sheetName val="RES_ALL_MEAS"/>
      <sheetName val="Business"/>
      <sheetName val="Custom"/>
      <sheetName val="Standard"/>
      <sheetName val="Agriculture"/>
      <sheetName val="Schools"/>
      <sheetName val="Business Midstream"/>
      <sheetName val="Retro-Commissioning"/>
      <sheetName val="Smart Meter Commissioning"/>
      <sheetName val="SBDI"/>
      <sheetName val="___"/>
      <sheetName val="____"/>
      <sheetName val="Sheet7"/>
      <sheetName val="BUS_ALL_MEAS"/>
      <sheetName val="Sheet2"/>
      <sheetName val="Measure INDEX PY2022"/>
      <sheetName val="Measure INDEX PY2024"/>
      <sheetName val="Measure INDEX_PY2023"/>
      <sheetName val="Measure INDEX PY2025_DELETE"/>
      <sheetName val="Lifetime Savings EE_&amp;_DR@meter"/>
      <sheetName val="Lifetime Savings EE_&amp;_DR@MISO"/>
      <sheetName val="Lifetime Savings EE_&amp;_DR@Gen"/>
      <sheetName val="LINE LOSS Factors"/>
      <sheetName val="For TD forecasting-&gt;"/>
      <sheetName val="Sheet3"/>
      <sheetName val="MEEIA 4 RES TD"/>
      <sheetName val="MEEIA 4 LI TD"/>
      <sheetName val="MEEIA 4 BUS TD"/>
      <sheetName val="SAVINGS BY END USE FOR TD"/>
      <sheetName val="Summaries for TD CALCUL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57B3D-0D71-4C2B-9F17-9A41C43D55CD}">
  <sheetPr>
    <pageSetUpPr fitToPage="1"/>
  </sheetPr>
  <dimension ref="A1:W34"/>
  <sheetViews>
    <sheetView view="pageLayout" topLeftCell="A148" zoomScaleNormal="100" workbookViewId="0"/>
  </sheetViews>
  <sheetFormatPr defaultRowHeight="14.5" x14ac:dyDescent="0.35"/>
  <cols>
    <col min="1" max="1" width="13.1796875" customWidth="1"/>
    <col min="2" max="2" width="38.1796875" customWidth="1"/>
    <col min="3" max="8" width="14.54296875" customWidth="1"/>
    <col min="9" max="9" width="13.1796875" customWidth="1"/>
    <col min="10" max="19" width="14.54296875" customWidth="1"/>
    <col min="20" max="20" width="11.7265625" bestFit="1" customWidth="1"/>
    <col min="21" max="23" width="14.54296875" customWidth="1"/>
  </cols>
  <sheetData>
    <row r="1" spans="1:23" x14ac:dyDescent="0.35">
      <c r="A1" s="111" t="s">
        <v>114</v>
      </c>
    </row>
    <row r="2" spans="1:23" x14ac:dyDescent="0.35">
      <c r="B2" s="1" t="s">
        <v>0</v>
      </c>
      <c r="C2" s="1" t="s">
        <v>1</v>
      </c>
      <c r="D2" s="2" t="s">
        <v>2</v>
      </c>
      <c r="E2" s="2" t="s">
        <v>3</v>
      </c>
      <c r="F2" s="2" t="s">
        <v>4</v>
      </c>
    </row>
    <row r="3" spans="1:23" x14ac:dyDescent="0.35">
      <c r="B3" s="3" t="s">
        <v>5</v>
      </c>
      <c r="C3" s="99">
        <f>SUM(D3:F3)</f>
        <v>366753803.0960204</v>
      </c>
      <c r="D3" s="99">
        <v>116057157.68043359</v>
      </c>
      <c r="E3" s="100">
        <v>122966018.90837726</v>
      </c>
      <c r="F3" s="100">
        <v>127730626.50720954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x14ac:dyDescent="0.35">
      <c r="B4" s="3" t="s">
        <v>6</v>
      </c>
      <c r="C4" s="5">
        <f>SUM(D4:I4)</f>
        <v>55025069.864784598</v>
      </c>
      <c r="D4" s="5">
        <f>SUM(G13:G16)</f>
        <v>17599601.276952662</v>
      </c>
      <c r="E4" s="5">
        <f>SUM(L13:L16)</f>
        <v>18402589.596164815</v>
      </c>
      <c r="F4" s="5">
        <f>SUM(Q13:Q16)</f>
        <v>19022878.991667122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/>
    </row>
    <row r="5" spans="1:23" x14ac:dyDescent="0.35">
      <c r="B5" s="3" t="s">
        <v>7</v>
      </c>
      <c r="C5" s="5">
        <f>SUM(D5:I5)</f>
        <v>68781337.330980748</v>
      </c>
      <c r="D5" s="5">
        <f>SUM(I13:I16)</f>
        <v>21999501.596190829</v>
      </c>
      <c r="E5" s="5">
        <f>SUM(N13:N16)</f>
        <v>23003236.995206021</v>
      </c>
      <c r="F5" s="5">
        <f>SUM(S13:S16)</f>
        <v>23778598.739583898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6"/>
    </row>
    <row r="6" spans="1:23" x14ac:dyDescent="0.35">
      <c r="B6" s="3" t="s">
        <v>8</v>
      </c>
      <c r="C6" s="7">
        <f>C4/C3</f>
        <v>0.15003271786217415</v>
      </c>
      <c r="D6" s="8">
        <f>D4/D3</f>
        <v>0.15164597883237518</v>
      </c>
      <c r="E6" s="7">
        <f t="shared" ref="E6:F6" si="0">E4/E3</f>
        <v>0.14965589485235509</v>
      </c>
      <c r="F6" s="7">
        <f t="shared" si="0"/>
        <v>0.14892966167823038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6"/>
    </row>
    <row r="7" spans="1:23" x14ac:dyDescent="0.35">
      <c r="B7" s="3" t="s">
        <v>9</v>
      </c>
      <c r="C7" s="7">
        <f>W17/C3</f>
        <v>0.18754089732771767</v>
      </c>
      <c r="D7" s="7">
        <f>I17/D3</f>
        <v>0.18955747354046901</v>
      </c>
      <c r="E7" s="7">
        <f>N17/E3</f>
        <v>0.18706986856544389</v>
      </c>
      <c r="F7" s="7">
        <f>S17/F3</f>
        <v>0.18616207709778795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6"/>
    </row>
    <row r="8" spans="1:23" x14ac:dyDescent="0.35">
      <c r="B8" s="3" t="s">
        <v>10</v>
      </c>
      <c r="C8" s="7">
        <f>(W17+W22)/C3</f>
        <v>0.19572077160488929</v>
      </c>
      <c r="D8" s="7">
        <f>(I17+I22)/D3</f>
        <v>0.19817391754087721</v>
      </c>
      <c r="E8" s="7">
        <f>(N17+N22)/E3</f>
        <v>0.19520219657668986</v>
      </c>
      <c r="F8" s="7">
        <f>(S17+S22)/F3</f>
        <v>0.19399105302427458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3" x14ac:dyDescent="0.35">
      <c r="C9" s="4"/>
      <c r="D9" s="4"/>
      <c r="E9" s="4"/>
      <c r="F9" s="4"/>
      <c r="G9" s="4"/>
      <c r="H9" s="4"/>
      <c r="I9" s="4"/>
    </row>
    <row r="10" spans="1:23" x14ac:dyDescent="0.35">
      <c r="C10" s="4"/>
      <c r="D10" s="4"/>
      <c r="E10" s="4"/>
      <c r="F10" s="91"/>
      <c r="G10" s="4"/>
      <c r="H10" s="4"/>
      <c r="I10" s="4"/>
    </row>
    <row r="11" spans="1:23" s="41" customFormat="1" ht="21.65" customHeight="1" x14ac:dyDescent="0.35">
      <c r="A11" s="115" t="s">
        <v>11</v>
      </c>
      <c r="B11" s="116"/>
      <c r="C11" s="116"/>
      <c r="D11" s="116"/>
      <c r="E11" s="116"/>
      <c r="F11" s="116"/>
      <c r="G11" s="116"/>
      <c r="H11" s="116"/>
      <c r="I11" s="117"/>
      <c r="J11" s="40"/>
      <c r="K11" s="40"/>
      <c r="L11" s="40"/>
      <c r="M11" s="40"/>
    </row>
    <row r="12" spans="1:23" ht="29" x14ac:dyDescent="0.35">
      <c r="A12" s="43" t="s">
        <v>12</v>
      </c>
      <c r="B12" s="11" t="s">
        <v>13</v>
      </c>
      <c r="C12" s="12" t="s">
        <v>14</v>
      </c>
      <c r="D12" s="11" t="s">
        <v>15</v>
      </c>
      <c r="E12" s="12" t="s">
        <v>16</v>
      </c>
      <c r="F12" s="12" t="s">
        <v>17</v>
      </c>
      <c r="G12" s="12" t="s">
        <v>18</v>
      </c>
      <c r="H12" s="12" t="s">
        <v>19</v>
      </c>
      <c r="I12" s="12" t="s">
        <v>20</v>
      </c>
      <c r="J12" s="12" t="s">
        <v>21</v>
      </c>
      <c r="K12" s="12" t="s">
        <v>22</v>
      </c>
      <c r="L12" s="12" t="s">
        <v>23</v>
      </c>
      <c r="M12" s="12" t="s">
        <v>24</v>
      </c>
      <c r="N12" s="12" t="s">
        <v>25</v>
      </c>
      <c r="O12" s="12" t="s">
        <v>26</v>
      </c>
      <c r="P12" s="12" t="s">
        <v>27</v>
      </c>
      <c r="Q12" s="12" t="s">
        <v>28</v>
      </c>
      <c r="R12" s="12" t="s">
        <v>29</v>
      </c>
      <c r="S12" s="12" t="s">
        <v>30</v>
      </c>
      <c r="T12" s="12" t="s">
        <v>31</v>
      </c>
      <c r="U12" s="12" t="s">
        <v>32</v>
      </c>
      <c r="V12" s="12" t="s">
        <v>33</v>
      </c>
      <c r="W12" s="12" t="s">
        <v>34</v>
      </c>
    </row>
    <row r="13" spans="1:23" ht="60.75" customHeight="1" x14ac:dyDescent="0.35">
      <c r="A13" s="43">
        <v>1</v>
      </c>
      <c r="B13" s="13" t="s">
        <v>35</v>
      </c>
      <c r="C13" s="47">
        <v>14457.05</v>
      </c>
      <c r="D13" s="14" t="s">
        <v>36</v>
      </c>
      <c r="E13" s="101">
        <f>F13*0.8</f>
        <v>174.61812</v>
      </c>
      <c r="F13" s="101">
        <v>218.27265</v>
      </c>
      <c r="G13" s="102">
        <f>C13*E13</f>
        <v>2524462.8917459999</v>
      </c>
      <c r="H13" s="102">
        <f>(F13-E13)*$C13</f>
        <v>631115.72293649986</v>
      </c>
      <c r="I13" s="102">
        <f>G13+H13</f>
        <v>3155578.6146824998</v>
      </c>
      <c r="J13" s="101">
        <f>K13*0.8</f>
        <v>188.239214</v>
      </c>
      <c r="K13" s="101">
        <v>235.29901749999999</v>
      </c>
      <c r="L13" s="102">
        <f>C13*J13</f>
        <v>2721383.7287586997</v>
      </c>
      <c r="M13" s="102">
        <f>(K13-J13)*$C13</f>
        <v>680345.93218967482</v>
      </c>
      <c r="N13" s="102">
        <f>L13+M13</f>
        <v>3401729.6609483743</v>
      </c>
      <c r="O13" s="101">
        <f>P13*0.8</f>
        <v>201.6672533</v>
      </c>
      <c r="P13" s="101">
        <v>252.08406662499999</v>
      </c>
      <c r="Q13" s="102">
        <f>C13*O13</f>
        <v>2915513.564320765</v>
      </c>
      <c r="R13" s="102">
        <f>(P13-O13)*$C13</f>
        <v>728878.39108019113</v>
      </c>
      <c r="S13" s="102">
        <f>Q13+R13</f>
        <v>3644391.9554009559</v>
      </c>
      <c r="T13" s="15">
        <f>G13+L13+Q13</f>
        <v>8161360.1848254651</v>
      </c>
      <c r="U13" s="108">
        <f>T13/$T$17</f>
        <v>0.14832076006229009</v>
      </c>
      <c r="V13" s="16">
        <v>1.1000000000000001</v>
      </c>
      <c r="W13" s="15">
        <f>I13+N13+S13</f>
        <v>10201700.231031831</v>
      </c>
    </row>
    <row r="14" spans="1:23" ht="94.5" customHeight="1" x14ac:dyDescent="0.35">
      <c r="A14" s="43">
        <v>2</v>
      </c>
      <c r="B14" s="105" t="s">
        <v>37</v>
      </c>
      <c r="C14" s="47">
        <v>92364.81</v>
      </c>
      <c r="D14" s="14" t="s">
        <v>36</v>
      </c>
      <c r="E14" s="101">
        <f t="shared" ref="E14:E16" si="1">F14*0.8</f>
        <v>66.746214617306109</v>
      </c>
      <c r="F14" s="101">
        <v>83.432768271632639</v>
      </c>
      <c r="G14" s="102">
        <f>C14*E14</f>
        <v>6165001.4313467015</v>
      </c>
      <c r="H14" s="102">
        <f>(F14-E14)*$C14</f>
        <v>1541250.3578366756</v>
      </c>
      <c r="I14" s="102">
        <f>G14+H14</f>
        <v>7706251.7891833773</v>
      </c>
      <c r="J14" s="101">
        <f t="shared" ref="J14:J16" si="2">K14*0.8</f>
        <v>68.922394453651577</v>
      </c>
      <c r="K14" s="101">
        <v>86.152993067064472</v>
      </c>
      <c r="L14" s="102">
        <f>C14*J14</f>
        <v>6366003.8684565816</v>
      </c>
      <c r="M14" s="102">
        <f t="shared" ref="M14:M16" si="3">(K14-J14)*$C14</f>
        <v>1591500.9671141454</v>
      </c>
      <c r="N14" s="102">
        <f t="shared" ref="N14:N16" si="4">L14+M14</f>
        <v>7957504.8355707265</v>
      </c>
      <c r="O14" s="101">
        <f t="shared" ref="O14:O16" si="5">P14*0.8</f>
        <v>70.579075851387572</v>
      </c>
      <c r="P14" s="101">
        <v>88.223844814234468</v>
      </c>
      <c r="Q14" s="102">
        <f>C14*O14</f>
        <v>6519022.9309890009</v>
      </c>
      <c r="R14" s="102">
        <f t="shared" ref="R14:R16" si="6">(P14-O14)*$C14</f>
        <v>1629755.7327472507</v>
      </c>
      <c r="S14" s="102">
        <f t="shared" ref="S14:S16" si="7">Q14+R14</f>
        <v>8148778.6637362521</v>
      </c>
      <c r="T14" s="15">
        <f>G14+L14+Q14</f>
        <v>19050028.230792284</v>
      </c>
      <c r="U14" s="108">
        <f t="shared" ref="U14:U17" si="8">T14/$T$17</f>
        <v>0.34620634335594147</v>
      </c>
      <c r="V14" s="16">
        <v>1.1000000000000001</v>
      </c>
      <c r="W14" s="15">
        <f>I14+N14+S14</f>
        <v>23812535.288490355</v>
      </c>
    </row>
    <row r="15" spans="1:23" ht="75" customHeight="1" x14ac:dyDescent="0.35">
      <c r="A15" s="43">
        <v>3</v>
      </c>
      <c r="B15" s="106" t="s">
        <v>38</v>
      </c>
      <c r="C15" s="47">
        <v>29.23</v>
      </c>
      <c r="D15" s="14" t="s">
        <v>39</v>
      </c>
      <c r="E15" s="103">
        <f t="shared" si="1"/>
        <v>214053.33304793292</v>
      </c>
      <c r="F15" s="103">
        <v>267566.66630991612</v>
      </c>
      <c r="G15" s="102">
        <f>C15*E15</f>
        <v>6256778.9249910796</v>
      </c>
      <c r="H15" s="102">
        <f>(F15-E15)*$C15</f>
        <v>1564194.7312477692</v>
      </c>
      <c r="I15" s="102">
        <f>G15+H15</f>
        <v>7820973.6562388483</v>
      </c>
      <c r="J15" s="103">
        <f t="shared" si="2"/>
        <v>218188.25743998957</v>
      </c>
      <c r="K15" s="103">
        <v>272735.32179998694</v>
      </c>
      <c r="L15" s="102">
        <f>C15*J15</f>
        <v>6377642.7649708949</v>
      </c>
      <c r="M15" s="102">
        <f t="shared" si="3"/>
        <v>1594410.6912427233</v>
      </c>
      <c r="N15" s="102">
        <f t="shared" si="4"/>
        <v>7972053.4562136177</v>
      </c>
      <c r="O15" s="103">
        <f t="shared" si="5"/>
        <v>219242.8127608455</v>
      </c>
      <c r="P15" s="103">
        <v>274053.51595105685</v>
      </c>
      <c r="Q15" s="102">
        <f>C15*O15</f>
        <v>6408467.4169995142</v>
      </c>
      <c r="R15" s="102">
        <f t="shared" si="6"/>
        <v>1602116.8542498779</v>
      </c>
      <c r="S15" s="102">
        <f t="shared" si="7"/>
        <v>8010584.2712493921</v>
      </c>
      <c r="T15" s="15">
        <f>G15+L15+Q15</f>
        <v>19042889.106961489</v>
      </c>
      <c r="U15" s="108">
        <f t="shared" si="8"/>
        <v>0.34607660024342313</v>
      </c>
      <c r="V15" s="16">
        <v>1.1000000000000001</v>
      </c>
      <c r="W15" s="15">
        <f>I15+N15+S15</f>
        <v>23803611.383701857</v>
      </c>
    </row>
    <row r="16" spans="1:23" ht="29" x14ac:dyDescent="0.35">
      <c r="A16" s="43">
        <v>4</v>
      </c>
      <c r="B16" s="107" t="s">
        <v>40</v>
      </c>
      <c r="C16" s="109">
        <v>0.16300000000000001</v>
      </c>
      <c r="D16" s="17" t="s">
        <v>41</v>
      </c>
      <c r="E16" s="104">
        <f t="shared" si="1"/>
        <v>16278270.115760002</v>
      </c>
      <c r="F16" s="104">
        <v>20347837.644700002</v>
      </c>
      <c r="G16" s="102">
        <f>C16*E16</f>
        <v>2653358.0288688806</v>
      </c>
      <c r="H16" s="102">
        <f>(F16-E16)*$C16</f>
        <v>663339.50721721991</v>
      </c>
      <c r="I16" s="102">
        <f>G16+H16</f>
        <v>3316697.5360861006</v>
      </c>
      <c r="J16" s="104">
        <f t="shared" si="2"/>
        <v>18021835.791280001</v>
      </c>
      <c r="K16" s="104">
        <v>22527294.739100002</v>
      </c>
      <c r="L16" s="102">
        <f>C16*J16</f>
        <v>2937559.2339786403</v>
      </c>
      <c r="M16" s="102">
        <f t="shared" si="3"/>
        <v>734389.80849466007</v>
      </c>
      <c r="N16" s="102">
        <f t="shared" si="4"/>
        <v>3671949.0424733004</v>
      </c>
      <c r="O16" s="104">
        <f t="shared" si="5"/>
        <v>19508436.069679998</v>
      </c>
      <c r="P16" s="104">
        <v>24385545.087099995</v>
      </c>
      <c r="Q16" s="102">
        <f>C16*O16</f>
        <v>3179875.0793578397</v>
      </c>
      <c r="R16" s="102">
        <f t="shared" si="6"/>
        <v>794968.76983945968</v>
      </c>
      <c r="S16" s="102">
        <f t="shared" si="7"/>
        <v>3974843.8491972992</v>
      </c>
      <c r="T16" s="15">
        <f>G16+L16+Q16</f>
        <v>8770792.3422053605</v>
      </c>
      <c r="U16" s="108">
        <f t="shared" si="8"/>
        <v>0.15939629633834532</v>
      </c>
      <c r="V16" s="16">
        <v>1.1000000000000001</v>
      </c>
      <c r="W16" s="15">
        <f>I16+N16+S16</f>
        <v>10963490.427756701</v>
      </c>
    </row>
    <row r="17" spans="1:23" ht="38.15" customHeight="1" x14ac:dyDescent="0.35">
      <c r="A17" s="11"/>
      <c r="B17" s="18" t="s">
        <v>42</v>
      </c>
      <c r="C17" s="19"/>
      <c r="D17" s="20"/>
      <c r="E17" s="21"/>
      <c r="F17" s="22"/>
      <c r="G17" s="23">
        <f>SUM(G13:G16)</f>
        <v>17599601.276952662</v>
      </c>
      <c r="H17" s="23">
        <f>SUM(H13:H16)</f>
        <v>4399900.3192381645</v>
      </c>
      <c r="I17" s="23">
        <f t="shared" ref="I17:W17" si="9">SUM(I13:I16)</f>
        <v>21999501.596190829</v>
      </c>
      <c r="J17" s="23">
        <f t="shared" si="9"/>
        <v>18240281.210328445</v>
      </c>
      <c r="K17" s="23">
        <f t="shared" si="9"/>
        <v>22800351.512910556</v>
      </c>
      <c r="L17" s="23">
        <f t="shared" si="9"/>
        <v>18402589.596164815</v>
      </c>
      <c r="M17" s="23">
        <f t="shared" si="9"/>
        <v>4600647.3990412038</v>
      </c>
      <c r="N17" s="23">
        <f t="shared" si="9"/>
        <v>23003236.995206021</v>
      </c>
      <c r="O17" s="23">
        <f t="shared" si="9"/>
        <v>19727951.128769994</v>
      </c>
      <c r="P17" s="23">
        <f t="shared" si="9"/>
        <v>24659938.910962492</v>
      </c>
      <c r="Q17" s="23">
        <f t="shared" si="9"/>
        <v>19022878.991667122</v>
      </c>
      <c r="R17" s="23">
        <f t="shared" si="9"/>
        <v>4755719.7479167795</v>
      </c>
      <c r="S17" s="23">
        <f t="shared" si="9"/>
        <v>23778598.739583898</v>
      </c>
      <c r="T17" s="23">
        <f t="shared" si="9"/>
        <v>55025069.864784598</v>
      </c>
      <c r="U17" s="24">
        <f t="shared" si="8"/>
        <v>1</v>
      </c>
      <c r="V17" s="25">
        <v>1.1000000000000001</v>
      </c>
      <c r="W17" s="23">
        <f t="shared" si="9"/>
        <v>68781337.330980748</v>
      </c>
    </row>
    <row r="18" spans="1:23" ht="25.5" customHeight="1" x14ac:dyDescent="0.35"/>
    <row r="19" spans="1:23" ht="29" x14ac:dyDescent="0.35">
      <c r="A19" s="44" t="s">
        <v>43</v>
      </c>
      <c r="B19" s="11" t="s">
        <v>44</v>
      </c>
      <c r="C19" s="11" t="s">
        <v>45</v>
      </c>
      <c r="D19" s="11" t="s">
        <v>15</v>
      </c>
      <c r="E19" s="12" t="s">
        <v>46</v>
      </c>
      <c r="F19" s="46"/>
      <c r="G19" s="12" t="s">
        <v>47</v>
      </c>
      <c r="H19" s="46"/>
      <c r="I19" s="12" t="s">
        <v>20</v>
      </c>
      <c r="J19" s="12" t="s">
        <v>48</v>
      </c>
      <c r="K19" s="46"/>
      <c r="L19" s="12" t="s">
        <v>49</v>
      </c>
      <c r="M19" s="46"/>
      <c r="N19" s="12" t="s">
        <v>50</v>
      </c>
      <c r="O19" s="12" t="s">
        <v>51</v>
      </c>
      <c r="P19" s="46"/>
      <c r="Q19" s="12" t="s">
        <v>52</v>
      </c>
      <c r="R19" s="46"/>
      <c r="S19" s="12" t="s">
        <v>53</v>
      </c>
      <c r="T19" s="12" t="s">
        <v>31</v>
      </c>
      <c r="U19" s="46"/>
      <c r="V19" s="46"/>
      <c r="W19" s="12" t="s">
        <v>34</v>
      </c>
    </row>
    <row r="20" spans="1:23" ht="29" x14ac:dyDescent="0.35">
      <c r="A20" s="43">
        <v>1</v>
      </c>
      <c r="B20" s="26" t="s">
        <v>54</v>
      </c>
      <c r="C20" s="27">
        <v>80000</v>
      </c>
      <c r="D20" s="28" t="s">
        <v>55</v>
      </c>
      <c r="E20" s="29">
        <v>10</v>
      </c>
      <c r="F20" s="30"/>
      <c r="G20" s="27">
        <f>C20*E20</f>
        <v>800000</v>
      </c>
      <c r="H20" s="31"/>
      <c r="I20" s="27">
        <f>G20</f>
        <v>800000</v>
      </c>
      <c r="J20" s="29">
        <v>10</v>
      </c>
      <c r="K20" s="30"/>
      <c r="L20" s="27">
        <f>C20*J20</f>
        <v>800000</v>
      </c>
      <c r="M20" s="31"/>
      <c r="N20" s="27">
        <f>L20</f>
        <v>800000</v>
      </c>
      <c r="O20" s="29">
        <v>10</v>
      </c>
      <c r="P20" s="30"/>
      <c r="Q20" s="27">
        <f>C20*O20</f>
        <v>800000</v>
      </c>
      <c r="R20" s="31"/>
      <c r="S20" s="27">
        <f>Q20</f>
        <v>800000</v>
      </c>
      <c r="T20" s="15">
        <f>G20+L20+Q20</f>
        <v>2400000</v>
      </c>
      <c r="U20" s="32"/>
      <c r="V20" s="33"/>
      <c r="W20" s="15">
        <f>G20+N20+S20</f>
        <v>2400000</v>
      </c>
    </row>
    <row r="21" spans="1:23" ht="43.5" x14ac:dyDescent="0.35">
      <c r="A21" s="43">
        <v>2</v>
      </c>
      <c r="B21" s="110" t="s">
        <v>56</v>
      </c>
      <c r="C21" s="47">
        <v>0.1</v>
      </c>
      <c r="D21" s="28" t="s">
        <v>57</v>
      </c>
      <c r="E21" s="45">
        <v>2000000</v>
      </c>
      <c r="F21" s="34"/>
      <c r="G21" s="27">
        <f>C21*E21</f>
        <v>200000</v>
      </c>
      <c r="H21" s="31"/>
      <c r="I21" s="27">
        <f>G21</f>
        <v>200000</v>
      </c>
      <c r="J21" s="45">
        <v>2000000</v>
      </c>
      <c r="K21" s="34"/>
      <c r="L21" s="27">
        <f>$C$21*J21</f>
        <v>200000</v>
      </c>
      <c r="M21" s="31"/>
      <c r="N21" s="27">
        <f>L21</f>
        <v>200000</v>
      </c>
      <c r="O21" s="45">
        <v>2000000</v>
      </c>
      <c r="P21" s="34"/>
      <c r="Q21" s="27">
        <f>$C$21*O21</f>
        <v>200000</v>
      </c>
      <c r="R21" s="31"/>
      <c r="S21" s="27">
        <f>Q21</f>
        <v>200000</v>
      </c>
      <c r="T21" s="15">
        <f>G21+L21+Q21</f>
        <v>600000</v>
      </c>
      <c r="U21" s="32"/>
      <c r="V21" s="33"/>
      <c r="W21" s="15">
        <f>G21+N21+S21</f>
        <v>600000</v>
      </c>
    </row>
    <row r="22" spans="1:23" ht="37.5" customHeight="1" x14ac:dyDescent="0.35">
      <c r="A22" s="43"/>
      <c r="B22" s="35" t="s">
        <v>42</v>
      </c>
      <c r="C22" s="35"/>
      <c r="D22" s="35"/>
      <c r="E22" s="35"/>
      <c r="F22" s="34"/>
      <c r="G22" s="36">
        <f>SUM(G20:G21)</f>
        <v>1000000</v>
      </c>
      <c r="H22" s="37"/>
      <c r="I22" s="36">
        <f>SUM(I20:I21)</f>
        <v>1000000</v>
      </c>
      <c r="J22" s="36"/>
      <c r="K22" s="37"/>
      <c r="L22" s="36">
        <f t="shared" ref="L22:T22" si="10">SUM(L20:L21)</f>
        <v>1000000</v>
      </c>
      <c r="M22" s="37"/>
      <c r="N22" s="36">
        <f t="shared" si="10"/>
        <v>1000000</v>
      </c>
      <c r="O22" s="36"/>
      <c r="P22" s="37"/>
      <c r="Q22" s="36">
        <f t="shared" si="10"/>
        <v>1000000</v>
      </c>
      <c r="R22" s="37"/>
      <c r="S22" s="36">
        <f t="shared" si="10"/>
        <v>1000000</v>
      </c>
      <c r="T22" s="36">
        <f t="shared" si="10"/>
        <v>3000000</v>
      </c>
      <c r="U22" s="32"/>
      <c r="V22" s="33"/>
      <c r="W22" s="15">
        <f>G22+N22+S22</f>
        <v>3000000</v>
      </c>
    </row>
    <row r="23" spans="1:23" ht="84" customHeight="1" x14ac:dyDescent="0.35">
      <c r="A23" s="43"/>
      <c r="B23" s="112" t="s">
        <v>58</v>
      </c>
      <c r="C23" s="113"/>
      <c r="D23" s="113"/>
      <c r="E23" s="113"/>
      <c r="F23" s="113"/>
      <c r="G23" s="113"/>
      <c r="H23" s="113"/>
      <c r="I23" s="114"/>
    </row>
    <row r="24" spans="1:23" ht="72.650000000000006" customHeight="1" x14ac:dyDescent="0.35">
      <c r="G24" s="38"/>
      <c r="H24" s="38"/>
      <c r="I24" s="38"/>
    </row>
    <row r="27" spans="1:23" x14ac:dyDescent="0.35">
      <c r="B27" s="39"/>
    </row>
    <row r="30" spans="1:23" x14ac:dyDescent="0.35">
      <c r="F30" s="10"/>
    </row>
    <row r="34" spans="3:5" x14ac:dyDescent="0.35">
      <c r="C34" s="10"/>
      <c r="D34" s="10"/>
      <c r="E34" s="10"/>
    </row>
  </sheetData>
  <mergeCells count="2">
    <mergeCell ref="B23:I23"/>
    <mergeCell ref="A11:I11"/>
  </mergeCells>
  <pageMargins left="0.7" right="0.7" top="0.75" bottom="0.75" header="0.3" footer="0.3"/>
  <pageSetup scale="26" fitToHeight="0" orientation="portrait" r:id="rId1"/>
  <headerFooter>
    <oddHeader xml:space="preserve">&amp;RAppendix N - Earnings Opportunity Calculator </oddHeader>
    <oddFooter xml:space="preserve">&amp;L2024-26 MEEIA Plan&amp;RPage 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7B95B-46DD-4BC8-944F-F8E6E712476F}">
  <sheetPr>
    <pageSetUpPr fitToPage="1"/>
  </sheetPr>
  <dimension ref="B1:J44"/>
  <sheetViews>
    <sheetView view="pageLayout" topLeftCell="A40" zoomScaleNormal="100" workbookViewId="0">
      <selection activeCell="C2" sqref="C2"/>
    </sheetView>
  </sheetViews>
  <sheetFormatPr defaultRowHeight="14.5" x14ac:dyDescent="0.35"/>
  <cols>
    <col min="1" max="1" width="4.7265625" customWidth="1"/>
    <col min="2" max="2" width="12.7265625" customWidth="1"/>
    <col min="3" max="3" width="32.54296875" customWidth="1"/>
    <col min="4" max="4" width="12.453125" customWidth="1"/>
    <col min="5" max="5" width="12.54296875" bestFit="1" customWidth="1"/>
    <col min="6" max="6" width="19.26953125" customWidth="1"/>
    <col min="7" max="7" width="18.26953125" customWidth="1"/>
    <col min="8" max="8" width="21" bestFit="1" customWidth="1"/>
    <col min="9" max="9" width="18.26953125" customWidth="1"/>
  </cols>
  <sheetData>
    <row r="1" spans="2:9" x14ac:dyDescent="0.35">
      <c r="F1" s="48" t="s">
        <v>59</v>
      </c>
      <c r="H1" s="49" t="s">
        <v>60</v>
      </c>
    </row>
    <row r="2" spans="2:9" x14ac:dyDescent="0.35">
      <c r="C2" s="49" t="s">
        <v>61</v>
      </c>
      <c r="F2" s="50" t="s">
        <v>62</v>
      </c>
      <c r="H2" s="51" t="s">
        <v>63</v>
      </c>
      <c r="I2" s="97">
        <f>I11+I17+I23+I29+I38+I44</f>
        <v>18599601.276952662</v>
      </c>
    </row>
    <row r="3" spans="2:9" x14ac:dyDescent="0.35">
      <c r="F3" s="52" t="s">
        <v>64</v>
      </c>
    </row>
    <row r="4" spans="2:9" x14ac:dyDescent="0.35">
      <c r="F4" s="53" t="s">
        <v>65</v>
      </c>
    </row>
    <row r="5" spans="2:9" x14ac:dyDescent="0.35">
      <c r="I5" s="6"/>
    </row>
    <row r="6" spans="2:9" ht="15" thickBot="1" x14ac:dyDescent="0.4"/>
    <row r="7" spans="2:9" x14ac:dyDescent="0.35">
      <c r="B7" s="54"/>
      <c r="C7" s="55" t="s">
        <v>66</v>
      </c>
      <c r="D7" s="56"/>
      <c r="E7" s="56"/>
      <c r="F7" s="56"/>
      <c r="G7" s="56"/>
      <c r="H7" s="56"/>
      <c r="I7" s="57"/>
    </row>
    <row r="8" spans="2:9" ht="87" x14ac:dyDescent="0.35">
      <c r="B8" s="58" t="s">
        <v>67</v>
      </c>
      <c r="C8" s="20" t="s">
        <v>68</v>
      </c>
      <c r="D8" s="20" t="s">
        <v>69</v>
      </c>
      <c r="E8" s="20" t="s">
        <v>70</v>
      </c>
      <c r="F8" s="20" t="s">
        <v>71</v>
      </c>
      <c r="G8" s="20" t="s">
        <v>72</v>
      </c>
      <c r="H8" s="20" t="s">
        <v>73</v>
      </c>
      <c r="I8" s="20" t="s">
        <v>74</v>
      </c>
    </row>
    <row r="9" spans="2:9" x14ac:dyDescent="0.35">
      <c r="B9" s="58" t="s">
        <v>75</v>
      </c>
      <c r="C9" s="68" t="s">
        <v>76</v>
      </c>
      <c r="D9" s="61"/>
      <c r="E9" s="61"/>
      <c r="F9" s="61" t="s">
        <v>77</v>
      </c>
      <c r="G9" s="61" t="s">
        <v>77</v>
      </c>
      <c r="H9" s="69"/>
      <c r="I9" s="62" t="s">
        <v>77</v>
      </c>
    </row>
    <row r="10" spans="2:9" ht="29" x14ac:dyDescent="0.35">
      <c r="B10" s="58" t="s">
        <v>78</v>
      </c>
      <c r="C10" s="42" t="s">
        <v>79</v>
      </c>
      <c r="D10" s="70" t="s">
        <v>80</v>
      </c>
      <c r="E10" s="70" t="s">
        <v>81</v>
      </c>
      <c r="F10" s="70" t="s">
        <v>82</v>
      </c>
      <c r="G10" s="70" t="s">
        <v>83</v>
      </c>
      <c r="H10" s="71" t="s">
        <v>84</v>
      </c>
      <c r="I10" s="72" t="s">
        <v>85</v>
      </c>
    </row>
    <row r="11" spans="2:9" ht="15" thickBot="1" x14ac:dyDescent="0.4">
      <c r="B11" s="65"/>
      <c r="C11" s="86">
        <f>D11</f>
        <v>174.61812</v>
      </c>
      <c r="D11" s="83">
        <f>'EO-TOTAL'!E13</f>
        <v>174.61812</v>
      </c>
      <c r="E11" s="96">
        <v>1.25</v>
      </c>
      <c r="F11" s="84">
        <f>E11*D11</f>
        <v>218.27265</v>
      </c>
      <c r="G11" s="84">
        <f>MIN(F11,C11)</f>
        <v>174.61812</v>
      </c>
      <c r="H11" s="85">
        <f>'EO-TOTAL'!C13</f>
        <v>14457.05</v>
      </c>
      <c r="I11" s="98">
        <f>G11*H11</f>
        <v>2524462.8917459999</v>
      </c>
    </row>
    <row r="12" spans="2:9" ht="15" thickBot="1" x14ac:dyDescent="0.4"/>
    <row r="13" spans="2:9" x14ac:dyDescent="0.35">
      <c r="B13" s="54"/>
      <c r="C13" s="76" t="s">
        <v>86</v>
      </c>
      <c r="D13" s="77"/>
      <c r="E13" s="77"/>
      <c r="F13" s="77"/>
      <c r="G13" s="77"/>
      <c r="H13" s="77"/>
      <c r="I13" s="57"/>
    </row>
    <row r="14" spans="2:9" ht="88" customHeight="1" x14ac:dyDescent="0.35">
      <c r="B14" s="58" t="s">
        <v>67</v>
      </c>
      <c r="C14" s="74" t="s">
        <v>87</v>
      </c>
      <c r="D14" s="88" t="s">
        <v>69</v>
      </c>
      <c r="E14" s="88" t="s">
        <v>70</v>
      </c>
      <c r="F14" s="88" t="s">
        <v>71</v>
      </c>
      <c r="G14" s="88" t="s">
        <v>72</v>
      </c>
      <c r="H14" s="88" t="s">
        <v>73</v>
      </c>
      <c r="I14" s="20" t="s">
        <v>74</v>
      </c>
    </row>
    <row r="15" spans="2:9" x14ac:dyDescent="0.35">
      <c r="B15" s="58" t="s">
        <v>75</v>
      </c>
      <c r="C15" s="78" t="s">
        <v>76</v>
      </c>
      <c r="D15" s="79"/>
      <c r="E15" s="79"/>
      <c r="F15" s="79" t="s">
        <v>77</v>
      </c>
      <c r="G15" s="79" t="s">
        <v>77</v>
      </c>
      <c r="H15" s="80"/>
      <c r="I15" s="62" t="s">
        <v>77</v>
      </c>
    </row>
    <row r="16" spans="2:9" ht="29" x14ac:dyDescent="0.35">
      <c r="B16" s="58" t="s">
        <v>78</v>
      </c>
      <c r="C16" s="81" t="s">
        <v>79</v>
      </c>
      <c r="D16" s="63" t="s">
        <v>80</v>
      </c>
      <c r="E16" s="63" t="s">
        <v>81</v>
      </c>
      <c r="F16" s="63" t="s">
        <v>82</v>
      </c>
      <c r="G16" s="63" t="s">
        <v>88</v>
      </c>
      <c r="H16" s="64" t="s">
        <v>84</v>
      </c>
      <c r="I16" s="72" t="s">
        <v>85</v>
      </c>
    </row>
    <row r="17" spans="2:10" ht="15" thickBot="1" x14ac:dyDescent="0.4">
      <c r="B17" s="65"/>
      <c r="C17" s="82">
        <f>D17</f>
        <v>66.746214617306109</v>
      </c>
      <c r="D17" s="83">
        <f>'EO-TOTAL'!E14</f>
        <v>66.746214617306109</v>
      </c>
      <c r="E17" s="96">
        <v>1.25</v>
      </c>
      <c r="F17" s="84">
        <f>E17*D17</f>
        <v>83.432768271632639</v>
      </c>
      <c r="G17" s="84">
        <f>MIN(F17,C17)</f>
        <v>66.746214617306109</v>
      </c>
      <c r="H17" s="85">
        <f>'EO-TOTAL'!C14</f>
        <v>92364.81</v>
      </c>
      <c r="I17" s="98">
        <f>G17*H17</f>
        <v>6165001.4313467015</v>
      </c>
    </row>
    <row r="18" spans="2:10" ht="15" thickBot="1" x14ac:dyDescent="0.4"/>
    <row r="19" spans="2:10" x14ac:dyDescent="0.35">
      <c r="B19" s="54"/>
      <c r="C19" s="55" t="s">
        <v>89</v>
      </c>
      <c r="D19" s="56"/>
      <c r="E19" s="56"/>
      <c r="F19" s="56"/>
      <c r="G19" s="56"/>
      <c r="H19" s="56"/>
      <c r="I19" s="57"/>
    </row>
    <row r="20" spans="2:10" ht="87" x14ac:dyDescent="0.35">
      <c r="B20" s="58" t="s">
        <v>67</v>
      </c>
      <c r="C20" s="88" t="s">
        <v>90</v>
      </c>
      <c r="D20" s="20" t="s">
        <v>91</v>
      </c>
      <c r="E20" s="20" t="s">
        <v>70</v>
      </c>
      <c r="F20" s="20" t="s">
        <v>92</v>
      </c>
      <c r="G20" s="20" t="s">
        <v>72</v>
      </c>
      <c r="H20" s="20" t="s">
        <v>93</v>
      </c>
      <c r="I20" s="20" t="s">
        <v>74</v>
      </c>
    </row>
    <row r="21" spans="2:10" x14ac:dyDescent="0.35">
      <c r="B21" s="58" t="s">
        <v>75</v>
      </c>
      <c r="C21" s="68" t="s">
        <v>76</v>
      </c>
      <c r="D21" s="61"/>
      <c r="E21" s="61"/>
      <c r="F21" s="61" t="s">
        <v>77</v>
      </c>
      <c r="G21" s="61" t="s">
        <v>77</v>
      </c>
      <c r="H21" s="69"/>
      <c r="I21" s="62" t="s">
        <v>77</v>
      </c>
    </row>
    <row r="22" spans="2:10" ht="29" x14ac:dyDescent="0.35">
      <c r="B22" s="58" t="s">
        <v>78</v>
      </c>
      <c r="C22" s="42" t="s">
        <v>79</v>
      </c>
      <c r="D22" s="70" t="s">
        <v>80</v>
      </c>
      <c r="E22" s="70" t="s">
        <v>81</v>
      </c>
      <c r="F22" s="70" t="s">
        <v>82</v>
      </c>
      <c r="G22" s="70" t="s">
        <v>88</v>
      </c>
      <c r="H22" s="71" t="s">
        <v>84</v>
      </c>
      <c r="I22" s="72" t="s">
        <v>85</v>
      </c>
    </row>
    <row r="23" spans="2:10" ht="15" thickBot="1" x14ac:dyDescent="0.4">
      <c r="B23" s="65"/>
      <c r="C23" s="66">
        <f>D23</f>
        <v>214053.33304793292</v>
      </c>
      <c r="D23" s="87">
        <f>'EO-TOTAL'!E15</f>
        <v>214053.33304793292</v>
      </c>
      <c r="E23" s="96">
        <v>1.25</v>
      </c>
      <c r="F23" s="75">
        <f>E23*D23</f>
        <v>267566.66630991612</v>
      </c>
      <c r="G23" s="75">
        <f>MIN(F23,C23)</f>
        <v>214053.33304793292</v>
      </c>
      <c r="H23" s="73">
        <f>'EO-TOTAL'!C15</f>
        <v>29.23</v>
      </c>
      <c r="I23" s="98">
        <f>G23*H23</f>
        <v>6256778.9249910796</v>
      </c>
    </row>
    <row r="24" spans="2:10" ht="15" thickBot="1" x14ac:dyDescent="0.4"/>
    <row r="25" spans="2:10" x14ac:dyDescent="0.35">
      <c r="B25" s="54"/>
      <c r="C25" s="55" t="s">
        <v>94</v>
      </c>
      <c r="D25" s="56"/>
      <c r="E25" s="56"/>
      <c r="F25" s="56"/>
      <c r="G25" s="56"/>
      <c r="H25" s="56"/>
      <c r="I25" s="56"/>
    </row>
    <row r="26" spans="2:10" ht="58" x14ac:dyDescent="0.35">
      <c r="B26" s="58" t="s">
        <v>67</v>
      </c>
      <c r="C26" s="59" t="s">
        <v>95</v>
      </c>
      <c r="D26" s="20" t="s">
        <v>96</v>
      </c>
      <c r="E26" s="20" t="s">
        <v>70</v>
      </c>
      <c r="F26" s="20" t="s">
        <v>97</v>
      </c>
      <c r="G26" s="20" t="s">
        <v>98</v>
      </c>
      <c r="H26" s="20" t="s">
        <v>99</v>
      </c>
      <c r="I26" s="20" t="s">
        <v>74</v>
      </c>
      <c r="J26" s="60"/>
    </row>
    <row r="27" spans="2:10" x14ac:dyDescent="0.35">
      <c r="B27" s="58" t="s">
        <v>75</v>
      </c>
      <c r="C27" s="61" t="s">
        <v>100</v>
      </c>
      <c r="D27" s="61"/>
      <c r="E27" s="61" t="s">
        <v>77</v>
      </c>
      <c r="F27" s="61" t="s">
        <v>77</v>
      </c>
      <c r="G27" s="61" t="s">
        <v>77</v>
      </c>
      <c r="H27" s="61"/>
      <c r="I27" s="62" t="s">
        <v>77</v>
      </c>
    </row>
    <row r="28" spans="2:10" ht="29" x14ac:dyDescent="0.35">
      <c r="B28" s="58" t="s">
        <v>78</v>
      </c>
      <c r="C28" s="63" t="s">
        <v>79</v>
      </c>
      <c r="D28" s="63" t="s">
        <v>80</v>
      </c>
      <c r="E28" s="63" t="s">
        <v>81</v>
      </c>
      <c r="F28" s="70" t="s">
        <v>82</v>
      </c>
      <c r="G28" s="70" t="s">
        <v>88</v>
      </c>
      <c r="H28" s="63" t="s">
        <v>84</v>
      </c>
      <c r="I28" s="72" t="s">
        <v>85</v>
      </c>
    </row>
    <row r="29" spans="2:10" ht="15" thickBot="1" x14ac:dyDescent="0.4">
      <c r="B29" s="65"/>
      <c r="C29" s="92">
        <f>D29</f>
        <v>16278270.115760002</v>
      </c>
      <c r="D29" s="89">
        <f>'EO-TOTAL'!E16</f>
        <v>16278270.115760002</v>
      </c>
      <c r="E29" s="96">
        <v>1.25</v>
      </c>
      <c r="F29" s="90">
        <f>E29*D29</f>
        <v>20347837.644700002</v>
      </c>
      <c r="G29" s="90">
        <f>MIN(F29,C29)</f>
        <v>16278270.115760002</v>
      </c>
      <c r="H29" s="73">
        <f>'EO-TOTAL'!C16</f>
        <v>0.16300000000000001</v>
      </c>
      <c r="I29" s="98">
        <f>G29*H29</f>
        <v>2653358.0288688806</v>
      </c>
    </row>
    <row r="33" spans="2:9" ht="19" thickBot="1" x14ac:dyDescent="0.5">
      <c r="B33" s="95" t="s">
        <v>101</v>
      </c>
    </row>
    <row r="34" spans="2:9" x14ac:dyDescent="0.35">
      <c r="B34" s="54"/>
      <c r="C34" s="55" t="s">
        <v>102</v>
      </c>
      <c r="D34" s="56"/>
      <c r="E34" s="56"/>
      <c r="F34" s="56"/>
      <c r="G34" s="56"/>
      <c r="H34" s="56"/>
      <c r="I34" s="56"/>
    </row>
    <row r="35" spans="2:9" ht="58" x14ac:dyDescent="0.35">
      <c r="B35" s="58" t="s">
        <v>67</v>
      </c>
      <c r="C35" s="20" t="s">
        <v>103</v>
      </c>
      <c r="D35" s="20" t="s">
        <v>104</v>
      </c>
      <c r="E35" s="20" t="s">
        <v>70</v>
      </c>
      <c r="F35" s="20" t="s">
        <v>105</v>
      </c>
      <c r="G35" s="20" t="s">
        <v>106</v>
      </c>
      <c r="H35" s="20" t="s">
        <v>99</v>
      </c>
      <c r="I35" s="20" t="s">
        <v>107</v>
      </c>
    </row>
    <row r="36" spans="2:9" x14ac:dyDescent="0.35">
      <c r="B36" s="58" t="s">
        <v>75</v>
      </c>
      <c r="C36" s="61" t="s">
        <v>100</v>
      </c>
      <c r="D36" s="61"/>
      <c r="E36" s="61" t="s">
        <v>77</v>
      </c>
      <c r="F36" s="61" t="s">
        <v>77</v>
      </c>
      <c r="G36" s="61" t="s">
        <v>77</v>
      </c>
      <c r="H36" s="61"/>
      <c r="I36" s="62" t="s">
        <v>77</v>
      </c>
    </row>
    <row r="37" spans="2:9" ht="29" x14ac:dyDescent="0.35">
      <c r="B37" s="58" t="s">
        <v>78</v>
      </c>
      <c r="C37" s="63" t="s">
        <v>79</v>
      </c>
      <c r="D37" s="63" t="s">
        <v>80</v>
      </c>
      <c r="E37" s="63" t="s">
        <v>81</v>
      </c>
      <c r="F37" s="70" t="s">
        <v>82</v>
      </c>
      <c r="G37" s="70" t="s">
        <v>88</v>
      </c>
      <c r="H37" s="63" t="s">
        <v>84</v>
      </c>
      <c r="I37" s="72" t="s">
        <v>85</v>
      </c>
    </row>
    <row r="38" spans="2:9" ht="15" thickBot="1" x14ac:dyDescent="0.4">
      <c r="B38" s="65"/>
      <c r="C38" s="66">
        <f>D38</f>
        <v>10</v>
      </c>
      <c r="D38" s="93">
        <f>'EO-TOTAL'!E20</f>
        <v>10</v>
      </c>
      <c r="E38" s="94">
        <v>1</v>
      </c>
      <c r="F38" s="75">
        <f>E38*D38</f>
        <v>10</v>
      </c>
      <c r="G38" s="75">
        <f>MIN(F38,C38)</f>
        <v>10</v>
      </c>
      <c r="H38" s="73">
        <f>'EO-TOTAL'!C20</f>
        <v>80000</v>
      </c>
      <c r="I38" s="98">
        <f>G38*H38</f>
        <v>800000</v>
      </c>
    </row>
    <row r="40" spans="2:9" x14ac:dyDescent="0.35">
      <c r="B40" s="54"/>
      <c r="C40" s="55" t="s">
        <v>108</v>
      </c>
      <c r="D40" s="56"/>
      <c r="E40" s="56"/>
      <c r="F40" s="56"/>
      <c r="G40" s="56"/>
      <c r="H40" s="56"/>
      <c r="I40" s="56"/>
    </row>
    <row r="41" spans="2:9" ht="43.5" x14ac:dyDescent="0.35">
      <c r="B41" s="58" t="s">
        <v>67</v>
      </c>
      <c r="C41" s="20" t="s">
        <v>109</v>
      </c>
      <c r="D41" s="20" t="s">
        <v>104</v>
      </c>
      <c r="E41" s="20" t="s">
        <v>70</v>
      </c>
      <c r="F41" s="20" t="s">
        <v>110</v>
      </c>
      <c r="G41" s="20" t="s">
        <v>111</v>
      </c>
      <c r="H41" s="20" t="s">
        <v>99</v>
      </c>
      <c r="I41" s="20" t="s">
        <v>107</v>
      </c>
    </row>
    <row r="42" spans="2:9" x14ac:dyDescent="0.35">
      <c r="B42" s="58" t="s">
        <v>75</v>
      </c>
      <c r="C42" s="61" t="s">
        <v>100</v>
      </c>
      <c r="D42" s="61"/>
      <c r="E42" s="61" t="s">
        <v>77</v>
      </c>
      <c r="F42" s="61" t="s">
        <v>77</v>
      </c>
      <c r="G42" s="61" t="s">
        <v>77</v>
      </c>
      <c r="H42" s="61"/>
      <c r="I42" s="62" t="s">
        <v>77</v>
      </c>
    </row>
    <row r="43" spans="2:9" ht="29" x14ac:dyDescent="0.35">
      <c r="B43" s="58" t="s">
        <v>78</v>
      </c>
      <c r="C43" s="63" t="s">
        <v>79</v>
      </c>
      <c r="D43" s="63" t="s">
        <v>80</v>
      </c>
      <c r="E43" s="63" t="s">
        <v>81</v>
      </c>
      <c r="F43" s="70" t="s">
        <v>82</v>
      </c>
      <c r="G43" s="70" t="s">
        <v>88</v>
      </c>
      <c r="H43" s="63" t="s">
        <v>84</v>
      </c>
      <c r="I43" s="72" t="s">
        <v>85</v>
      </c>
    </row>
    <row r="44" spans="2:9" ht="15" thickBot="1" x14ac:dyDescent="0.4">
      <c r="B44" s="65"/>
      <c r="C44" s="92">
        <f>D44</f>
        <v>2000000</v>
      </c>
      <c r="D44" s="89">
        <f>'EO-TOTAL'!E21</f>
        <v>2000000</v>
      </c>
      <c r="E44" s="96">
        <v>1</v>
      </c>
      <c r="F44" s="90">
        <f>E44*D44</f>
        <v>2000000</v>
      </c>
      <c r="G44" s="90">
        <f>MIN(F44,C44)</f>
        <v>2000000</v>
      </c>
      <c r="H44" s="73">
        <f>'EO-TOTAL'!C21</f>
        <v>0.1</v>
      </c>
      <c r="I44" s="98">
        <f>G44*H44</f>
        <v>200000</v>
      </c>
    </row>
  </sheetData>
  <pageMargins left="0.7" right="0.7" top="0.75" bottom="0.75" header="0.3" footer="0.3"/>
  <pageSetup scale="60" fitToHeight="0" orientation="portrait" horizontalDpi="1200" verticalDpi="1200" r:id="rId1"/>
  <headerFooter>
    <oddHeader xml:space="preserve">&amp;RAppendix N - Earnings Opportunity Calculator </oddHeader>
    <oddFooter>&amp;L2024-26 MEEIA Plan&amp;RPage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2216-1DC6-41F7-8EA3-93B62CD1F684}">
  <sheetPr>
    <pageSetUpPr fitToPage="1"/>
  </sheetPr>
  <dimension ref="B1:J44"/>
  <sheetViews>
    <sheetView tabSelected="1" view="pageLayout" zoomScaleNormal="100" workbookViewId="0">
      <selection activeCell="C40" sqref="C40"/>
    </sheetView>
  </sheetViews>
  <sheetFormatPr defaultRowHeight="14.5" x14ac:dyDescent="0.35"/>
  <cols>
    <col min="1" max="1" width="4.7265625" customWidth="1"/>
    <col min="2" max="2" width="12.7265625" customWidth="1"/>
    <col min="3" max="3" width="32.54296875" customWidth="1"/>
    <col min="4" max="4" width="12.453125" customWidth="1"/>
    <col min="5" max="5" width="12.54296875" bestFit="1" customWidth="1"/>
    <col min="6" max="6" width="19.26953125" customWidth="1"/>
    <col min="7" max="7" width="18.26953125" customWidth="1"/>
    <col min="8" max="8" width="17.7265625" customWidth="1"/>
    <col min="9" max="9" width="18.26953125" customWidth="1"/>
  </cols>
  <sheetData>
    <row r="1" spans="2:9" x14ac:dyDescent="0.35">
      <c r="F1" s="48" t="s">
        <v>59</v>
      </c>
      <c r="H1" s="49" t="s">
        <v>112</v>
      </c>
    </row>
    <row r="2" spans="2:9" x14ac:dyDescent="0.35">
      <c r="C2" s="49" t="s">
        <v>61</v>
      </c>
      <c r="F2" s="50" t="s">
        <v>62</v>
      </c>
      <c r="H2" s="51" t="s">
        <v>63</v>
      </c>
      <c r="I2" s="97">
        <f>I11+I17+I23+I29+I38+I44</f>
        <v>19402589.596164815</v>
      </c>
    </row>
    <row r="3" spans="2:9" x14ac:dyDescent="0.35">
      <c r="F3" s="52" t="s">
        <v>64</v>
      </c>
    </row>
    <row r="4" spans="2:9" x14ac:dyDescent="0.35">
      <c r="F4" s="53" t="s">
        <v>65</v>
      </c>
    </row>
    <row r="5" spans="2:9" x14ac:dyDescent="0.35">
      <c r="I5" s="6"/>
    </row>
    <row r="6" spans="2:9" ht="15" thickBot="1" x14ac:dyDescent="0.4"/>
    <row r="7" spans="2:9" x14ac:dyDescent="0.35">
      <c r="B7" s="54"/>
      <c r="C7" s="55" t="s">
        <v>66</v>
      </c>
      <c r="D7" s="56"/>
      <c r="E7" s="56"/>
      <c r="F7" s="56"/>
      <c r="G7" s="56"/>
      <c r="H7" s="56"/>
      <c r="I7" s="57"/>
    </row>
    <row r="8" spans="2:9" ht="87" x14ac:dyDescent="0.35">
      <c r="B8" s="58" t="s">
        <v>67</v>
      </c>
      <c r="C8" s="20" t="s">
        <v>68</v>
      </c>
      <c r="D8" s="20" t="s">
        <v>69</v>
      </c>
      <c r="E8" s="20" t="s">
        <v>70</v>
      </c>
      <c r="F8" s="20" t="s">
        <v>71</v>
      </c>
      <c r="G8" s="20" t="s">
        <v>72</v>
      </c>
      <c r="H8" s="20" t="s">
        <v>73</v>
      </c>
      <c r="I8" s="20" t="s">
        <v>74</v>
      </c>
    </row>
    <row r="9" spans="2:9" x14ac:dyDescent="0.35">
      <c r="B9" s="58" t="s">
        <v>75</v>
      </c>
      <c r="C9" s="68" t="s">
        <v>76</v>
      </c>
      <c r="D9" s="61"/>
      <c r="E9" s="61"/>
      <c r="F9" s="61" t="s">
        <v>77</v>
      </c>
      <c r="G9" s="61" t="s">
        <v>77</v>
      </c>
      <c r="H9" s="69"/>
      <c r="I9" s="62" t="s">
        <v>77</v>
      </c>
    </row>
    <row r="10" spans="2:9" ht="29" x14ac:dyDescent="0.35">
      <c r="B10" s="58" t="s">
        <v>78</v>
      </c>
      <c r="C10" s="42" t="s">
        <v>79</v>
      </c>
      <c r="D10" s="70" t="s">
        <v>80</v>
      </c>
      <c r="E10" s="70" t="s">
        <v>81</v>
      </c>
      <c r="F10" s="70" t="s">
        <v>82</v>
      </c>
      <c r="G10" s="70" t="s">
        <v>83</v>
      </c>
      <c r="H10" s="71" t="s">
        <v>84</v>
      </c>
      <c r="I10" s="72" t="s">
        <v>85</v>
      </c>
    </row>
    <row r="11" spans="2:9" ht="15" thickBot="1" x14ac:dyDescent="0.4">
      <c r="B11" s="65"/>
      <c r="C11" s="86">
        <f>D11</f>
        <v>188.239214</v>
      </c>
      <c r="D11" s="83">
        <f>'EO-TOTAL'!J13</f>
        <v>188.239214</v>
      </c>
      <c r="E11" s="67">
        <v>1.25</v>
      </c>
      <c r="F11" s="84">
        <f>E11*D11</f>
        <v>235.29901749999999</v>
      </c>
      <c r="G11" s="84">
        <f>MIN(F11,C11)</f>
        <v>188.239214</v>
      </c>
      <c r="H11" s="85">
        <f>'EO-TOTAL'!C13</f>
        <v>14457.05</v>
      </c>
      <c r="I11" s="98">
        <f>G11*H11</f>
        <v>2721383.7287586997</v>
      </c>
    </row>
    <row r="12" spans="2:9" ht="15" thickBot="1" x14ac:dyDescent="0.4"/>
    <row r="13" spans="2:9" x14ac:dyDescent="0.35">
      <c r="B13" s="54"/>
      <c r="C13" s="76" t="s">
        <v>86</v>
      </c>
      <c r="D13" s="77"/>
      <c r="E13" s="77"/>
      <c r="F13" s="77"/>
      <c r="G13" s="77"/>
      <c r="H13" s="77"/>
      <c r="I13" s="57"/>
    </row>
    <row r="14" spans="2:9" ht="88" customHeight="1" x14ac:dyDescent="0.35">
      <c r="B14" s="58" t="s">
        <v>67</v>
      </c>
      <c r="C14" s="74" t="s">
        <v>87</v>
      </c>
      <c r="D14" s="88" t="s">
        <v>69</v>
      </c>
      <c r="E14" s="88" t="s">
        <v>70</v>
      </c>
      <c r="F14" s="88" t="s">
        <v>71</v>
      </c>
      <c r="G14" s="88" t="s">
        <v>72</v>
      </c>
      <c r="H14" s="88" t="s">
        <v>73</v>
      </c>
      <c r="I14" s="20" t="s">
        <v>74</v>
      </c>
    </row>
    <row r="15" spans="2:9" x14ac:dyDescent="0.35">
      <c r="B15" s="58" t="s">
        <v>75</v>
      </c>
      <c r="C15" s="78" t="s">
        <v>76</v>
      </c>
      <c r="D15" s="79"/>
      <c r="E15" s="79"/>
      <c r="F15" s="79" t="s">
        <v>77</v>
      </c>
      <c r="G15" s="79" t="s">
        <v>77</v>
      </c>
      <c r="H15" s="80"/>
      <c r="I15" s="62" t="s">
        <v>77</v>
      </c>
    </row>
    <row r="16" spans="2:9" ht="29" x14ac:dyDescent="0.35">
      <c r="B16" s="58" t="s">
        <v>78</v>
      </c>
      <c r="C16" s="81" t="s">
        <v>79</v>
      </c>
      <c r="D16" s="63" t="s">
        <v>80</v>
      </c>
      <c r="E16" s="63" t="s">
        <v>81</v>
      </c>
      <c r="F16" s="63" t="s">
        <v>82</v>
      </c>
      <c r="G16" s="63" t="s">
        <v>88</v>
      </c>
      <c r="H16" s="64" t="s">
        <v>84</v>
      </c>
      <c r="I16" s="72" t="s">
        <v>85</v>
      </c>
    </row>
    <row r="17" spans="2:10" ht="15" thickBot="1" x14ac:dyDescent="0.4">
      <c r="B17" s="65"/>
      <c r="C17" s="82">
        <f>D17</f>
        <v>68.922394453651577</v>
      </c>
      <c r="D17" s="83">
        <f>'EO-TOTAL'!J14</f>
        <v>68.922394453651577</v>
      </c>
      <c r="E17" s="67">
        <v>1.25</v>
      </c>
      <c r="F17" s="84">
        <f>E17*D17</f>
        <v>86.152993067064472</v>
      </c>
      <c r="G17" s="84">
        <f>MIN(F17,C17)</f>
        <v>68.922394453651577</v>
      </c>
      <c r="H17" s="85">
        <f>'EO-TOTAL'!C14</f>
        <v>92364.81</v>
      </c>
      <c r="I17" s="98">
        <f>G17*H17</f>
        <v>6366003.8684565816</v>
      </c>
    </row>
    <row r="18" spans="2:10" ht="15" thickBot="1" x14ac:dyDescent="0.4"/>
    <row r="19" spans="2:10" x14ac:dyDescent="0.35">
      <c r="B19" s="54"/>
      <c r="C19" s="55" t="s">
        <v>89</v>
      </c>
      <c r="D19" s="56"/>
      <c r="E19" s="56"/>
      <c r="F19" s="56"/>
      <c r="G19" s="56"/>
      <c r="H19" s="56"/>
      <c r="I19" s="57"/>
    </row>
    <row r="20" spans="2:10" ht="87" x14ac:dyDescent="0.35">
      <c r="B20" s="58" t="s">
        <v>67</v>
      </c>
      <c r="C20" s="88" t="s">
        <v>90</v>
      </c>
      <c r="D20" s="20" t="s">
        <v>91</v>
      </c>
      <c r="E20" s="20" t="s">
        <v>70</v>
      </c>
      <c r="F20" s="20" t="s">
        <v>92</v>
      </c>
      <c r="G20" s="20" t="s">
        <v>72</v>
      </c>
      <c r="H20" s="20" t="s">
        <v>93</v>
      </c>
      <c r="I20" s="20" t="s">
        <v>74</v>
      </c>
    </row>
    <row r="21" spans="2:10" x14ac:dyDescent="0.35">
      <c r="B21" s="58" t="s">
        <v>75</v>
      </c>
      <c r="C21" s="68" t="s">
        <v>76</v>
      </c>
      <c r="D21" s="61"/>
      <c r="E21" s="61"/>
      <c r="F21" s="61" t="s">
        <v>77</v>
      </c>
      <c r="G21" s="61" t="s">
        <v>77</v>
      </c>
      <c r="H21" s="69"/>
      <c r="I21" s="62" t="s">
        <v>77</v>
      </c>
    </row>
    <row r="22" spans="2:10" ht="29" x14ac:dyDescent="0.35">
      <c r="B22" s="58" t="s">
        <v>78</v>
      </c>
      <c r="C22" s="42" t="s">
        <v>79</v>
      </c>
      <c r="D22" s="70" t="s">
        <v>80</v>
      </c>
      <c r="E22" s="70" t="s">
        <v>81</v>
      </c>
      <c r="F22" s="70" t="s">
        <v>82</v>
      </c>
      <c r="G22" s="70" t="s">
        <v>88</v>
      </c>
      <c r="H22" s="71" t="s">
        <v>84</v>
      </c>
      <c r="I22" s="72" t="s">
        <v>85</v>
      </c>
    </row>
    <row r="23" spans="2:10" ht="15" thickBot="1" x14ac:dyDescent="0.4">
      <c r="B23" s="65"/>
      <c r="C23" s="66">
        <f>D23</f>
        <v>218188.25743998957</v>
      </c>
      <c r="D23" s="87">
        <f>'EO-TOTAL'!J15</f>
        <v>218188.25743998957</v>
      </c>
      <c r="E23" s="67">
        <v>1.25</v>
      </c>
      <c r="F23" s="75">
        <f>E23*D23</f>
        <v>272735.32179998694</v>
      </c>
      <c r="G23" s="75">
        <f>MIN(F23,C23)</f>
        <v>218188.25743998957</v>
      </c>
      <c r="H23" s="73">
        <f>'EO-TOTAL'!C15</f>
        <v>29.23</v>
      </c>
      <c r="I23" s="98">
        <f>G23*H23</f>
        <v>6377642.7649708949</v>
      </c>
    </row>
    <row r="24" spans="2:10" ht="15" thickBot="1" x14ac:dyDescent="0.4"/>
    <row r="25" spans="2:10" x14ac:dyDescent="0.35">
      <c r="B25" s="54"/>
      <c r="C25" s="55" t="s">
        <v>94</v>
      </c>
      <c r="D25" s="56"/>
      <c r="E25" s="56"/>
      <c r="F25" s="56"/>
      <c r="G25" s="56"/>
      <c r="H25" s="56"/>
      <c r="I25" s="56"/>
    </row>
    <row r="26" spans="2:10" ht="58" x14ac:dyDescent="0.35">
      <c r="B26" s="58" t="s">
        <v>67</v>
      </c>
      <c r="C26" s="59" t="s">
        <v>95</v>
      </c>
      <c r="D26" s="20" t="s">
        <v>96</v>
      </c>
      <c r="E26" s="20" t="s">
        <v>70</v>
      </c>
      <c r="F26" s="20" t="s">
        <v>97</v>
      </c>
      <c r="G26" s="20" t="s">
        <v>98</v>
      </c>
      <c r="H26" s="20" t="s">
        <v>99</v>
      </c>
      <c r="I26" s="20" t="s">
        <v>74</v>
      </c>
      <c r="J26" s="60"/>
    </row>
    <row r="27" spans="2:10" x14ac:dyDescent="0.35">
      <c r="B27" s="58" t="s">
        <v>75</v>
      </c>
      <c r="C27" s="61" t="s">
        <v>100</v>
      </c>
      <c r="D27" s="61"/>
      <c r="E27" s="61" t="s">
        <v>77</v>
      </c>
      <c r="F27" s="61" t="s">
        <v>77</v>
      </c>
      <c r="G27" s="61" t="s">
        <v>77</v>
      </c>
      <c r="H27" s="61"/>
      <c r="I27" s="62" t="s">
        <v>77</v>
      </c>
    </row>
    <row r="28" spans="2:10" ht="29" x14ac:dyDescent="0.35">
      <c r="B28" s="58" t="s">
        <v>78</v>
      </c>
      <c r="C28" s="63" t="s">
        <v>79</v>
      </c>
      <c r="D28" s="63" t="s">
        <v>80</v>
      </c>
      <c r="E28" s="63" t="s">
        <v>81</v>
      </c>
      <c r="F28" s="70" t="s">
        <v>82</v>
      </c>
      <c r="G28" s="70" t="s">
        <v>88</v>
      </c>
      <c r="H28" s="63" t="s">
        <v>84</v>
      </c>
      <c r="I28" s="72" t="s">
        <v>85</v>
      </c>
    </row>
    <row r="29" spans="2:10" ht="15" thickBot="1" x14ac:dyDescent="0.4">
      <c r="B29" s="65"/>
      <c r="C29" s="92">
        <f>D29</f>
        <v>18021835.791280001</v>
      </c>
      <c r="D29" s="89">
        <f>'EO-TOTAL'!J16</f>
        <v>18021835.791280001</v>
      </c>
      <c r="E29" s="67">
        <v>1.25</v>
      </c>
      <c r="F29" s="90">
        <f>E29*D29</f>
        <v>22527294.739100002</v>
      </c>
      <c r="G29" s="75">
        <f>MIN(F29,C29)</f>
        <v>18021835.791280001</v>
      </c>
      <c r="H29" s="73">
        <f>'EO-TOTAL'!C16</f>
        <v>0.16300000000000001</v>
      </c>
      <c r="I29" s="98">
        <f>G29*H29</f>
        <v>2937559.2339786403</v>
      </c>
    </row>
    <row r="33" spans="2:9" ht="19" thickBot="1" x14ac:dyDescent="0.5">
      <c r="B33" s="95" t="s">
        <v>101</v>
      </c>
    </row>
    <row r="34" spans="2:9" x14ac:dyDescent="0.35">
      <c r="B34" s="54"/>
      <c r="C34" s="55" t="s">
        <v>102</v>
      </c>
      <c r="D34" s="56"/>
      <c r="E34" s="56"/>
      <c r="F34" s="56"/>
      <c r="G34" s="56"/>
      <c r="H34" s="56"/>
      <c r="I34" s="56"/>
    </row>
    <row r="35" spans="2:9" ht="58" x14ac:dyDescent="0.35">
      <c r="B35" s="58" t="s">
        <v>67</v>
      </c>
      <c r="C35" s="20" t="s">
        <v>103</v>
      </c>
      <c r="D35" s="20" t="s">
        <v>104</v>
      </c>
      <c r="E35" s="20" t="s">
        <v>70</v>
      </c>
      <c r="F35" s="20" t="s">
        <v>105</v>
      </c>
      <c r="G35" s="20" t="s">
        <v>106</v>
      </c>
      <c r="H35" s="20" t="s">
        <v>99</v>
      </c>
      <c r="I35" s="20" t="s">
        <v>107</v>
      </c>
    </row>
    <row r="36" spans="2:9" x14ac:dyDescent="0.35">
      <c r="B36" s="58" t="s">
        <v>75</v>
      </c>
      <c r="C36" s="61" t="s">
        <v>100</v>
      </c>
      <c r="D36" s="61"/>
      <c r="E36" s="61" t="s">
        <v>77</v>
      </c>
      <c r="F36" s="61" t="s">
        <v>77</v>
      </c>
      <c r="G36" s="61" t="s">
        <v>77</v>
      </c>
      <c r="H36" s="61"/>
      <c r="I36" s="62" t="s">
        <v>77</v>
      </c>
    </row>
    <row r="37" spans="2:9" ht="29" x14ac:dyDescent="0.35">
      <c r="B37" s="58" t="s">
        <v>78</v>
      </c>
      <c r="C37" s="63" t="s">
        <v>79</v>
      </c>
      <c r="D37" s="63" t="s">
        <v>80</v>
      </c>
      <c r="E37" s="63" t="s">
        <v>81</v>
      </c>
      <c r="F37" s="70" t="s">
        <v>82</v>
      </c>
      <c r="G37" s="70" t="s">
        <v>88</v>
      </c>
      <c r="H37" s="63" t="s">
        <v>84</v>
      </c>
      <c r="I37" s="72" t="s">
        <v>85</v>
      </c>
    </row>
    <row r="38" spans="2:9" ht="15" thickBot="1" x14ac:dyDescent="0.4">
      <c r="B38" s="65"/>
      <c r="C38" s="66">
        <f>D38</f>
        <v>10</v>
      </c>
      <c r="D38" s="93">
        <f>'EO-TOTAL'!E20</f>
        <v>10</v>
      </c>
      <c r="E38" s="94">
        <v>1</v>
      </c>
      <c r="F38" s="75">
        <f>E38*D38</f>
        <v>10</v>
      </c>
      <c r="G38" s="75">
        <f>MIN(F38,C38)</f>
        <v>10</v>
      </c>
      <c r="H38" s="73">
        <f>'EO-TOTAL'!C20</f>
        <v>80000</v>
      </c>
      <c r="I38" s="98">
        <f>G38*H38</f>
        <v>800000</v>
      </c>
    </row>
    <row r="39" spans="2:9" ht="15" thickBot="1" x14ac:dyDescent="0.4"/>
    <row r="40" spans="2:9" x14ac:dyDescent="0.35">
      <c r="B40" s="54"/>
      <c r="C40" s="55" t="s">
        <v>108</v>
      </c>
      <c r="D40" s="56"/>
      <c r="E40" s="56"/>
      <c r="F40" s="56"/>
      <c r="G40" s="56"/>
      <c r="H40" s="56"/>
      <c r="I40" s="56"/>
    </row>
    <row r="41" spans="2:9" ht="43.5" x14ac:dyDescent="0.35">
      <c r="B41" s="58" t="s">
        <v>67</v>
      </c>
      <c r="C41" s="20" t="s">
        <v>109</v>
      </c>
      <c r="D41" s="20" t="s">
        <v>104</v>
      </c>
      <c r="E41" s="20" t="s">
        <v>70</v>
      </c>
      <c r="F41" s="20" t="s">
        <v>110</v>
      </c>
      <c r="G41" s="20" t="s">
        <v>111</v>
      </c>
      <c r="H41" s="20" t="s">
        <v>99</v>
      </c>
      <c r="I41" s="20" t="s">
        <v>107</v>
      </c>
    </row>
    <row r="42" spans="2:9" x14ac:dyDescent="0.35">
      <c r="B42" s="58" t="s">
        <v>75</v>
      </c>
      <c r="C42" s="61" t="s">
        <v>100</v>
      </c>
      <c r="D42" s="61"/>
      <c r="E42" s="61" t="s">
        <v>77</v>
      </c>
      <c r="F42" s="61" t="s">
        <v>77</v>
      </c>
      <c r="G42" s="61" t="s">
        <v>77</v>
      </c>
      <c r="H42" s="61"/>
      <c r="I42" s="62" t="s">
        <v>77</v>
      </c>
    </row>
    <row r="43" spans="2:9" ht="29" x14ac:dyDescent="0.35">
      <c r="B43" s="58" t="s">
        <v>78</v>
      </c>
      <c r="C43" s="63" t="s">
        <v>79</v>
      </c>
      <c r="D43" s="63" t="s">
        <v>80</v>
      </c>
      <c r="E43" s="63" t="s">
        <v>81</v>
      </c>
      <c r="F43" s="70" t="s">
        <v>82</v>
      </c>
      <c r="G43" s="70" t="s">
        <v>88</v>
      </c>
      <c r="H43" s="63" t="s">
        <v>84</v>
      </c>
      <c r="I43" s="72" t="s">
        <v>85</v>
      </c>
    </row>
    <row r="44" spans="2:9" ht="15" thickBot="1" x14ac:dyDescent="0.4">
      <c r="B44" s="65"/>
      <c r="C44" s="92">
        <f>D44</f>
        <v>2000000</v>
      </c>
      <c r="D44" s="89">
        <f>'EO-TOTAL'!E21</f>
        <v>2000000</v>
      </c>
      <c r="E44" s="96">
        <v>1</v>
      </c>
      <c r="F44" s="90">
        <f>E44*D44</f>
        <v>2000000</v>
      </c>
      <c r="G44" s="90">
        <f>MIN(F44,C44)</f>
        <v>2000000</v>
      </c>
      <c r="H44" s="73">
        <f>'EO-TOTAL'!C21</f>
        <v>0.1</v>
      </c>
      <c r="I44" s="98">
        <f>G44*H44</f>
        <v>200000</v>
      </c>
    </row>
  </sheetData>
  <pageMargins left="0.7" right="0.7" top="0.75" bottom="0.75" header="0.3" footer="0.3"/>
  <pageSetup scale="61" fitToHeight="0" orientation="portrait" horizontalDpi="1200" verticalDpi="1200" r:id="rId1"/>
  <headerFooter>
    <oddHeader xml:space="preserve">&amp;RAppendix N - Earnings Opportunity Calculator </oddHeader>
    <oddFooter>&amp;L2024-26 MEEIA Plan&amp;RPage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BFD9-87CF-471C-8FC5-8BCEEE10C14E}">
  <sheetPr>
    <pageSetUpPr fitToPage="1"/>
  </sheetPr>
  <dimension ref="B1:J44"/>
  <sheetViews>
    <sheetView view="pageLayout" topLeftCell="A37" zoomScaleNormal="100" workbookViewId="0">
      <selection activeCell="C8" sqref="C8"/>
    </sheetView>
  </sheetViews>
  <sheetFormatPr defaultRowHeight="14.5" x14ac:dyDescent="0.35"/>
  <cols>
    <col min="1" max="1" width="4.7265625" customWidth="1"/>
    <col min="2" max="2" width="12.7265625" customWidth="1"/>
    <col min="3" max="3" width="32.54296875" customWidth="1"/>
    <col min="4" max="4" width="12.453125" customWidth="1"/>
    <col min="5" max="5" width="12.54296875" bestFit="1" customWidth="1"/>
    <col min="6" max="6" width="19.26953125" customWidth="1"/>
    <col min="7" max="7" width="18.26953125" customWidth="1"/>
    <col min="8" max="8" width="17.7265625" customWidth="1"/>
    <col min="9" max="9" width="18.26953125" customWidth="1"/>
  </cols>
  <sheetData>
    <row r="1" spans="2:9" x14ac:dyDescent="0.35">
      <c r="F1" s="48" t="s">
        <v>59</v>
      </c>
      <c r="H1" s="49" t="s">
        <v>113</v>
      </c>
    </row>
    <row r="2" spans="2:9" x14ac:dyDescent="0.35">
      <c r="C2" s="49" t="s">
        <v>61</v>
      </c>
      <c r="F2" s="50" t="s">
        <v>62</v>
      </c>
      <c r="H2" s="51" t="s">
        <v>63</v>
      </c>
      <c r="I2" s="97">
        <f>I11+I17+I23+I29+I38+I44</f>
        <v>20022878.991667122</v>
      </c>
    </row>
    <row r="3" spans="2:9" x14ac:dyDescent="0.35">
      <c r="F3" s="52" t="s">
        <v>64</v>
      </c>
    </row>
    <row r="4" spans="2:9" x14ac:dyDescent="0.35">
      <c r="F4" s="53" t="s">
        <v>65</v>
      </c>
    </row>
    <row r="5" spans="2:9" x14ac:dyDescent="0.35">
      <c r="I5" s="6"/>
    </row>
    <row r="6" spans="2:9" ht="15" thickBot="1" x14ac:dyDescent="0.4"/>
    <row r="7" spans="2:9" x14ac:dyDescent="0.35">
      <c r="B7" s="54"/>
      <c r="C7" s="55" t="s">
        <v>66</v>
      </c>
      <c r="D7" s="56"/>
      <c r="E7" s="56"/>
      <c r="F7" s="56"/>
      <c r="G7" s="56"/>
      <c r="H7" s="56"/>
      <c r="I7" s="57"/>
    </row>
    <row r="8" spans="2:9" ht="87" x14ac:dyDescent="0.35">
      <c r="B8" s="58" t="s">
        <v>67</v>
      </c>
      <c r="C8" s="20" t="s">
        <v>68</v>
      </c>
      <c r="D8" s="20" t="s">
        <v>69</v>
      </c>
      <c r="E8" s="20" t="s">
        <v>70</v>
      </c>
      <c r="F8" s="20" t="s">
        <v>71</v>
      </c>
      <c r="G8" s="20" t="s">
        <v>72</v>
      </c>
      <c r="H8" s="20" t="s">
        <v>73</v>
      </c>
      <c r="I8" s="20" t="s">
        <v>74</v>
      </c>
    </row>
    <row r="9" spans="2:9" x14ac:dyDescent="0.35">
      <c r="B9" s="58" t="s">
        <v>75</v>
      </c>
      <c r="C9" s="68" t="s">
        <v>76</v>
      </c>
      <c r="D9" s="61"/>
      <c r="E9" s="61"/>
      <c r="F9" s="61" t="s">
        <v>77</v>
      </c>
      <c r="G9" s="61" t="s">
        <v>77</v>
      </c>
      <c r="H9" s="69"/>
      <c r="I9" s="62" t="s">
        <v>77</v>
      </c>
    </row>
    <row r="10" spans="2:9" ht="29" x14ac:dyDescent="0.35">
      <c r="B10" s="58" t="s">
        <v>78</v>
      </c>
      <c r="C10" s="42" t="s">
        <v>79</v>
      </c>
      <c r="D10" s="70" t="s">
        <v>80</v>
      </c>
      <c r="E10" s="70" t="s">
        <v>81</v>
      </c>
      <c r="F10" s="70" t="s">
        <v>82</v>
      </c>
      <c r="G10" s="70" t="s">
        <v>83</v>
      </c>
      <c r="H10" s="71" t="s">
        <v>84</v>
      </c>
      <c r="I10" s="72" t="s">
        <v>85</v>
      </c>
    </row>
    <row r="11" spans="2:9" ht="15" thickBot="1" x14ac:dyDescent="0.4">
      <c r="B11" s="65"/>
      <c r="C11" s="86">
        <f>D11</f>
        <v>201.6672533</v>
      </c>
      <c r="D11" s="83">
        <f>'EO-TOTAL'!O13</f>
        <v>201.6672533</v>
      </c>
      <c r="E11" s="67">
        <v>1.25</v>
      </c>
      <c r="F11" s="84">
        <f>E11*D11</f>
        <v>252.08406662499999</v>
      </c>
      <c r="G11" s="84">
        <f>MIN(F11,C11)</f>
        <v>201.6672533</v>
      </c>
      <c r="H11" s="85">
        <f>'EO-TOTAL'!C13</f>
        <v>14457.05</v>
      </c>
      <c r="I11" s="98">
        <f>G11*H11</f>
        <v>2915513.564320765</v>
      </c>
    </row>
    <row r="12" spans="2:9" ht="15" thickBot="1" x14ac:dyDescent="0.4"/>
    <row r="13" spans="2:9" x14ac:dyDescent="0.35">
      <c r="B13" s="54"/>
      <c r="C13" s="76" t="s">
        <v>86</v>
      </c>
      <c r="D13" s="77"/>
      <c r="E13" s="77"/>
      <c r="F13" s="77"/>
      <c r="G13" s="77"/>
      <c r="H13" s="77"/>
      <c r="I13" s="57"/>
    </row>
    <row r="14" spans="2:9" ht="88" customHeight="1" x14ac:dyDescent="0.35">
      <c r="B14" s="58" t="s">
        <v>67</v>
      </c>
      <c r="C14" s="74" t="s">
        <v>87</v>
      </c>
      <c r="D14" s="88" t="s">
        <v>69</v>
      </c>
      <c r="E14" s="88" t="s">
        <v>70</v>
      </c>
      <c r="F14" s="88" t="s">
        <v>71</v>
      </c>
      <c r="G14" s="88" t="s">
        <v>72</v>
      </c>
      <c r="H14" s="88" t="s">
        <v>73</v>
      </c>
      <c r="I14" s="20" t="s">
        <v>74</v>
      </c>
    </row>
    <row r="15" spans="2:9" x14ac:dyDescent="0.35">
      <c r="B15" s="58" t="s">
        <v>75</v>
      </c>
      <c r="C15" s="78" t="s">
        <v>76</v>
      </c>
      <c r="D15" s="79"/>
      <c r="E15" s="79"/>
      <c r="F15" s="79" t="s">
        <v>77</v>
      </c>
      <c r="G15" s="79" t="s">
        <v>77</v>
      </c>
      <c r="H15" s="80"/>
      <c r="I15" s="62" t="s">
        <v>77</v>
      </c>
    </row>
    <row r="16" spans="2:9" ht="29" x14ac:dyDescent="0.35">
      <c r="B16" s="58" t="s">
        <v>78</v>
      </c>
      <c r="C16" s="81" t="s">
        <v>79</v>
      </c>
      <c r="D16" s="63" t="s">
        <v>80</v>
      </c>
      <c r="E16" s="63" t="s">
        <v>81</v>
      </c>
      <c r="F16" s="63" t="s">
        <v>82</v>
      </c>
      <c r="G16" s="63" t="s">
        <v>88</v>
      </c>
      <c r="H16" s="64" t="s">
        <v>84</v>
      </c>
      <c r="I16" s="72" t="s">
        <v>85</v>
      </c>
    </row>
    <row r="17" spans="2:10" ht="15" thickBot="1" x14ac:dyDescent="0.4">
      <c r="B17" s="65"/>
      <c r="C17" s="82">
        <f>D17</f>
        <v>70.579075851387572</v>
      </c>
      <c r="D17" s="83">
        <f>'EO-TOTAL'!O14</f>
        <v>70.579075851387572</v>
      </c>
      <c r="E17" s="67">
        <v>1.25</v>
      </c>
      <c r="F17" s="84">
        <f>E17*D17</f>
        <v>88.223844814234468</v>
      </c>
      <c r="G17" s="84">
        <f>MIN(F17,C17)</f>
        <v>70.579075851387572</v>
      </c>
      <c r="H17" s="85">
        <f>'EO-TOTAL'!C14</f>
        <v>92364.81</v>
      </c>
      <c r="I17" s="98">
        <f>G17*H17</f>
        <v>6519022.9309890009</v>
      </c>
    </row>
    <row r="18" spans="2:10" ht="15" thickBot="1" x14ac:dyDescent="0.4"/>
    <row r="19" spans="2:10" x14ac:dyDescent="0.35">
      <c r="B19" s="54"/>
      <c r="C19" s="55" t="s">
        <v>89</v>
      </c>
      <c r="D19" s="56"/>
      <c r="E19" s="56"/>
      <c r="F19" s="56"/>
      <c r="G19" s="56"/>
      <c r="H19" s="56"/>
      <c r="I19" s="57"/>
    </row>
    <row r="20" spans="2:10" ht="87" x14ac:dyDescent="0.35">
      <c r="B20" s="58" t="s">
        <v>67</v>
      </c>
      <c r="C20" s="88" t="s">
        <v>90</v>
      </c>
      <c r="D20" s="20" t="s">
        <v>91</v>
      </c>
      <c r="E20" s="20" t="s">
        <v>70</v>
      </c>
      <c r="F20" s="20" t="s">
        <v>92</v>
      </c>
      <c r="G20" s="20" t="s">
        <v>72</v>
      </c>
      <c r="H20" s="20" t="s">
        <v>93</v>
      </c>
      <c r="I20" s="20" t="s">
        <v>74</v>
      </c>
    </row>
    <row r="21" spans="2:10" x14ac:dyDescent="0.35">
      <c r="B21" s="58" t="s">
        <v>75</v>
      </c>
      <c r="C21" s="68" t="s">
        <v>76</v>
      </c>
      <c r="D21" s="61"/>
      <c r="E21" s="61"/>
      <c r="F21" s="61" t="s">
        <v>77</v>
      </c>
      <c r="G21" s="61" t="s">
        <v>77</v>
      </c>
      <c r="H21" s="69"/>
      <c r="I21" s="62" t="s">
        <v>77</v>
      </c>
    </row>
    <row r="22" spans="2:10" ht="29" x14ac:dyDescent="0.35">
      <c r="B22" s="58" t="s">
        <v>78</v>
      </c>
      <c r="C22" s="42" t="s">
        <v>79</v>
      </c>
      <c r="D22" s="70" t="s">
        <v>80</v>
      </c>
      <c r="E22" s="70" t="s">
        <v>81</v>
      </c>
      <c r="F22" s="70" t="s">
        <v>82</v>
      </c>
      <c r="G22" s="70" t="s">
        <v>88</v>
      </c>
      <c r="H22" s="71" t="s">
        <v>84</v>
      </c>
      <c r="I22" s="72" t="s">
        <v>85</v>
      </c>
    </row>
    <row r="23" spans="2:10" ht="15" thickBot="1" x14ac:dyDescent="0.4">
      <c r="B23" s="65"/>
      <c r="C23" s="66">
        <f>D23</f>
        <v>219242.8127608455</v>
      </c>
      <c r="D23" s="87">
        <f>'EO-TOTAL'!O15</f>
        <v>219242.8127608455</v>
      </c>
      <c r="E23" s="67">
        <v>1.25</v>
      </c>
      <c r="F23" s="75">
        <f>E23*D23</f>
        <v>274053.51595105685</v>
      </c>
      <c r="G23" s="75">
        <f>MIN(F23,C23)</f>
        <v>219242.8127608455</v>
      </c>
      <c r="H23" s="73">
        <f>'EO-TOTAL'!C15</f>
        <v>29.23</v>
      </c>
      <c r="I23" s="98">
        <f>G23*H23</f>
        <v>6408467.4169995142</v>
      </c>
    </row>
    <row r="24" spans="2:10" ht="15" thickBot="1" x14ac:dyDescent="0.4"/>
    <row r="25" spans="2:10" x14ac:dyDescent="0.35">
      <c r="B25" s="54"/>
      <c r="C25" s="55" t="s">
        <v>94</v>
      </c>
      <c r="D25" s="56"/>
      <c r="E25" s="56"/>
      <c r="F25" s="56"/>
      <c r="G25" s="56"/>
      <c r="H25" s="56"/>
      <c r="I25" s="56"/>
    </row>
    <row r="26" spans="2:10" ht="58" x14ac:dyDescent="0.35">
      <c r="B26" s="58" t="s">
        <v>67</v>
      </c>
      <c r="C26" s="59" t="s">
        <v>95</v>
      </c>
      <c r="D26" s="20" t="s">
        <v>96</v>
      </c>
      <c r="E26" s="20" t="s">
        <v>70</v>
      </c>
      <c r="F26" s="20" t="s">
        <v>97</v>
      </c>
      <c r="G26" s="20" t="s">
        <v>98</v>
      </c>
      <c r="H26" s="20" t="s">
        <v>99</v>
      </c>
      <c r="I26" s="20" t="s">
        <v>74</v>
      </c>
      <c r="J26" s="60"/>
    </row>
    <row r="27" spans="2:10" x14ac:dyDescent="0.35">
      <c r="B27" s="58" t="s">
        <v>75</v>
      </c>
      <c r="C27" s="61" t="s">
        <v>100</v>
      </c>
      <c r="D27" s="61"/>
      <c r="E27" s="61" t="s">
        <v>77</v>
      </c>
      <c r="F27" s="61" t="s">
        <v>77</v>
      </c>
      <c r="G27" s="61" t="s">
        <v>77</v>
      </c>
      <c r="H27" s="61"/>
      <c r="I27" s="62" t="s">
        <v>77</v>
      </c>
    </row>
    <row r="28" spans="2:10" ht="29" x14ac:dyDescent="0.35">
      <c r="B28" s="58" t="s">
        <v>78</v>
      </c>
      <c r="C28" s="63" t="s">
        <v>79</v>
      </c>
      <c r="D28" s="63" t="s">
        <v>80</v>
      </c>
      <c r="E28" s="63" t="s">
        <v>81</v>
      </c>
      <c r="F28" s="70" t="s">
        <v>82</v>
      </c>
      <c r="G28" s="70" t="s">
        <v>88</v>
      </c>
      <c r="H28" s="63" t="s">
        <v>84</v>
      </c>
      <c r="I28" s="72" t="s">
        <v>85</v>
      </c>
    </row>
    <row r="29" spans="2:10" ht="15" thickBot="1" x14ac:dyDescent="0.4">
      <c r="B29" s="65"/>
      <c r="C29" s="92">
        <f>D29</f>
        <v>19508436.069679998</v>
      </c>
      <c r="D29" s="89">
        <f>'EO-TOTAL'!O16</f>
        <v>19508436.069679998</v>
      </c>
      <c r="E29" s="67">
        <v>1.25</v>
      </c>
      <c r="F29" s="90">
        <f>E29*D29</f>
        <v>24385545.087099999</v>
      </c>
      <c r="G29" s="75">
        <f>MIN(F29,C29)</f>
        <v>19508436.069679998</v>
      </c>
      <c r="H29" s="73">
        <f>'EO-TOTAL'!C16</f>
        <v>0.16300000000000001</v>
      </c>
      <c r="I29" s="98">
        <f>G29*H29</f>
        <v>3179875.0793578397</v>
      </c>
    </row>
    <row r="33" spans="2:9" ht="19" thickBot="1" x14ac:dyDescent="0.5">
      <c r="B33" s="95" t="s">
        <v>101</v>
      </c>
    </row>
    <row r="34" spans="2:9" x14ac:dyDescent="0.35">
      <c r="B34" s="54"/>
      <c r="C34" s="55" t="s">
        <v>102</v>
      </c>
      <c r="D34" s="56"/>
      <c r="E34" s="56"/>
      <c r="F34" s="56"/>
      <c r="G34" s="56"/>
      <c r="H34" s="56"/>
      <c r="I34" s="56"/>
    </row>
    <row r="35" spans="2:9" ht="58" x14ac:dyDescent="0.35">
      <c r="B35" s="58" t="s">
        <v>67</v>
      </c>
      <c r="C35" s="20" t="s">
        <v>103</v>
      </c>
      <c r="D35" s="20" t="s">
        <v>104</v>
      </c>
      <c r="E35" s="20" t="s">
        <v>70</v>
      </c>
      <c r="F35" s="20" t="s">
        <v>105</v>
      </c>
      <c r="G35" s="20" t="s">
        <v>106</v>
      </c>
      <c r="H35" s="20" t="s">
        <v>99</v>
      </c>
      <c r="I35" s="20" t="s">
        <v>107</v>
      </c>
    </row>
    <row r="36" spans="2:9" x14ac:dyDescent="0.35">
      <c r="B36" s="58" t="s">
        <v>75</v>
      </c>
      <c r="C36" s="61" t="s">
        <v>100</v>
      </c>
      <c r="D36" s="61"/>
      <c r="E36" s="61" t="s">
        <v>77</v>
      </c>
      <c r="F36" s="61" t="s">
        <v>77</v>
      </c>
      <c r="G36" s="61" t="s">
        <v>77</v>
      </c>
      <c r="H36" s="61"/>
      <c r="I36" s="62" t="s">
        <v>77</v>
      </c>
    </row>
    <row r="37" spans="2:9" ht="29" x14ac:dyDescent="0.35">
      <c r="B37" s="58" t="s">
        <v>78</v>
      </c>
      <c r="C37" s="63" t="s">
        <v>79</v>
      </c>
      <c r="D37" s="63" t="s">
        <v>80</v>
      </c>
      <c r="E37" s="63" t="s">
        <v>81</v>
      </c>
      <c r="F37" s="70" t="s">
        <v>82</v>
      </c>
      <c r="G37" s="70" t="s">
        <v>88</v>
      </c>
      <c r="H37" s="63" t="s">
        <v>84</v>
      </c>
      <c r="I37" s="72" t="s">
        <v>85</v>
      </c>
    </row>
    <row r="38" spans="2:9" ht="15" thickBot="1" x14ac:dyDescent="0.4">
      <c r="B38" s="65"/>
      <c r="C38" s="66">
        <f>D38</f>
        <v>10</v>
      </c>
      <c r="D38" s="93">
        <f>'EO-TOTAL'!E20</f>
        <v>10</v>
      </c>
      <c r="E38" s="94">
        <v>1</v>
      </c>
      <c r="F38" s="75">
        <f>E38*D38</f>
        <v>10</v>
      </c>
      <c r="G38" s="75">
        <f>MIN(F38,C38)</f>
        <v>10</v>
      </c>
      <c r="H38" s="73">
        <f>'EO-TOTAL'!C20</f>
        <v>80000</v>
      </c>
      <c r="I38" s="98">
        <f>G38*H38</f>
        <v>800000</v>
      </c>
    </row>
    <row r="39" spans="2:9" ht="15" thickBot="1" x14ac:dyDescent="0.4"/>
    <row r="40" spans="2:9" x14ac:dyDescent="0.35">
      <c r="B40" s="54"/>
      <c r="C40" s="55" t="s">
        <v>108</v>
      </c>
      <c r="D40" s="56"/>
      <c r="E40" s="56"/>
      <c r="F40" s="56"/>
      <c r="G40" s="56"/>
      <c r="H40" s="56"/>
      <c r="I40" s="56"/>
    </row>
    <row r="41" spans="2:9" ht="43.5" x14ac:dyDescent="0.35">
      <c r="B41" s="58" t="s">
        <v>67</v>
      </c>
      <c r="C41" s="20" t="s">
        <v>109</v>
      </c>
      <c r="D41" s="20" t="s">
        <v>104</v>
      </c>
      <c r="E41" s="20" t="s">
        <v>70</v>
      </c>
      <c r="F41" s="20" t="s">
        <v>110</v>
      </c>
      <c r="G41" s="20" t="s">
        <v>111</v>
      </c>
      <c r="H41" s="20" t="s">
        <v>99</v>
      </c>
      <c r="I41" s="20" t="s">
        <v>107</v>
      </c>
    </row>
    <row r="42" spans="2:9" x14ac:dyDescent="0.35">
      <c r="B42" s="58" t="s">
        <v>75</v>
      </c>
      <c r="C42" s="61" t="s">
        <v>100</v>
      </c>
      <c r="D42" s="61"/>
      <c r="E42" s="61" t="s">
        <v>77</v>
      </c>
      <c r="F42" s="61" t="s">
        <v>77</v>
      </c>
      <c r="G42" s="61" t="s">
        <v>77</v>
      </c>
      <c r="H42" s="61"/>
      <c r="I42" s="62" t="s">
        <v>77</v>
      </c>
    </row>
    <row r="43" spans="2:9" ht="29" x14ac:dyDescent="0.35">
      <c r="B43" s="58" t="s">
        <v>78</v>
      </c>
      <c r="C43" s="63" t="s">
        <v>79</v>
      </c>
      <c r="D43" s="63" t="s">
        <v>80</v>
      </c>
      <c r="E43" s="63" t="s">
        <v>81</v>
      </c>
      <c r="F43" s="70" t="s">
        <v>82</v>
      </c>
      <c r="G43" s="70" t="s">
        <v>88</v>
      </c>
      <c r="H43" s="63" t="s">
        <v>84</v>
      </c>
      <c r="I43" s="72" t="s">
        <v>85</v>
      </c>
    </row>
    <row r="44" spans="2:9" ht="15" thickBot="1" x14ac:dyDescent="0.4">
      <c r="B44" s="65"/>
      <c r="C44" s="92">
        <f>D44</f>
        <v>2000000</v>
      </c>
      <c r="D44" s="89">
        <f>'EO-TOTAL'!E21</f>
        <v>2000000</v>
      </c>
      <c r="E44" s="96">
        <v>1</v>
      </c>
      <c r="F44" s="90">
        <f>E44*D44</f>
        <v>2000000</v>
      </c>
      <c r="G44" s="90">
        <f>MIN(F44,C44)</f>
        <v>2000000</v>
      </c>
      <c r="H44" s="73">
        <f>'EO-TOTAL'!C21</f>
        <v>0.1</v>
      </c>
      <c r="I44" s="98">
        <f>G44*H44</f>
        <v>200000</v>
      </c>
    </row>
  </sheetData>
  <pageMargins left="0.7" right="0.7" top="0.75" bottom="0.75" header="0.3" footer="0.3"/>
  <pageSetup scale="61" fitToHeight="0" orientation="portrait" horizontalDpi="1200" verticalDpi="1200" r:id="rId1"/>
  <headerFooter>
    <oddHeader xml:space="preserve">&amp;RAppendix N - Earnings Opportunity Calculator </oddHeader>
    <oddFooter>&amp;L2024-26 MEEIA Plan&amp;RPage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D530B1233ACF4CAACD391DAB2C85E9" ma:contentTypeVersion="" ma:contentTypeDescription="Create a new document." ma:contentTypeScope="" ma:versionID="c25fa98d663aa6029669255169072c1a">
  <xsd:schema xmlns:xsd="http://www.w3.org/2001/XMLSchema" xmlns:xs="http://www.w3.org/2001/XMLSchema" xmlns:p="http://schemas.microsoft.com/office/2006/metadata/properties" xmlns:ns2="9AE26521-5799-4200-B4BD-F3EAC40AD417" xmlns:ns3="8b86ae58-4ff9-4300-8876-bb89783e485c" xmlns:ns4="3cd211b7-472a-4bec-b012-d8e46728dbd9" targetNamespace="http://schemas.microsoft.com/office/2006/metadata/properties" ma:root="true" ma:fieldsID="9063b11a52d1fb9553ee5a177b921649" ns2:_="" ns3:_="" ns4:_="">
    <xsd:import namespace="9AE26521-5799-4200-B4BD-F3EAC40AD417"/>
    <xsd:import namespace="8b86ae58-4ff9-4300-8876-bb89783e485c"/>
    <xsd:import namespace="3cd211b7-472a-4bec-b012-d8e46728dbd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26521-5799-4200-B4BD-F3EAC40AD417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211b7-472a-4bec-b012-d8e46728db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Comments xmlns="9AE26521-5799-4200-B4BD-F3EAC40AD417" xsi:nil="true"/>
    <SRCH_ObjectType xmlns="8b86ae58-4ff9-4300-8876-bb89783e485c">PWD</SRCH_ObjectType>
    <SRCH_DRSetNumber xmlns="8b86ae58-4ff9-4300-8876-bb89783e485c" xsi:nil="true"/>
    <SRCH_DocketId xmlns="8b86ae58-4ff9-4300-8876-bb89783e485c">754</SRCH_DocketId>
    <CaseType xmlns="8b86ae58-4ff9-4300-8876-bb89783e485c" xsi:nil="true"/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9AECE1C0-F29E-43E8-980A-D0AAB5F5D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26521-5799-4200-B4BD-F3EAC40AD417"/>
    <ds:schemaRef ds:uri="8b86ae58-4ff9-4300-8876-bb89783e485c"/>
    <ds:schemaRef ds:uri="3cd211b7-472a-4bec-b012-d8e46728d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4FD2C7-8796-4DBD-A3B0-8A255AE1FC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4036E0-29A3-4768-AA08-75710A3AB81F}">
  <ds:schemaRefs>
    <ds:schemaRef ds:uri="http://purl.org/dc/dcmitype/"/>
    <ds:schemaRef ds:uri="http://schemas.microsoft.com/office/2006/metadata/properties"/>
    <ds:schemaRef ds:uri="9534df87-e7de-418b-ac4b-c78fe0d74fdc"/>
    <ds:schemaRef ds:uri="http://schemas.openxmlformats.org/package/2006/metadata/core-properties"/>
    <ds:schemaRef ds:uri="http://purl.org/dc/elements/1.1/"/>
    <ds:schemaRef ds:uri="http://www.w3.org/XML/1998/namespace"/>
    <ds:schemaRef ds:uri="35dc6cea-04ce-4d80-8594-0d5293a0a40f"/>
    <ds:schemaRef ds:uri="http://schemas.microsoft.com/office/2006/documentManagement/types"/>
    <ds:schemaRef ds:uri="http://schemas.microsoft.com/office/infopath/2007/PartnerControls"/>
    <ds:schemaRef ds:uri="http://purl.org/dc/terms/"/>
    <ds:schemaRef ds:uri="8b86ae58-4ff9-4300-8876-bb89783e485c"/>
    <ds:schemaRef ds:uri="9AE26521-5799-4200-B4BD-F3EAC40AD4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EO-TOTAL</vt:lpstr>
      <vt:lpstr>PY1-2024</vt:lpstr>
      <vt:lpstr>PY2-2025</vt:lpstr>
      <vt:lpstr>PY3-2026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Via, Timothy E</dc:creator>
  <cp:keywords/>
  <dc:description/>
  <cp:lastModifiedBy>Melton, LaShay</cp:lastModifiedBy>
  <cp:revision/>
  <cp:lastPrinted>2023-03-22T21:52:07Z</cp:lastPrinted>
  <dcterms:created xsi:type="dcterms:W3CDTF">2022-11-19T17:53:30Z</dcterms:created>
  <dcterms:modified xsi:type="dcterms:W3CDTF">2023-03-22T21:53:16Z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16700</vt:r8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ediaServiceImageTags">
    <vt:lpwstr/>
  </property>
  <property fmtid="{D5CDD505-2E9C-101B-9397-08002B2CF9AE}" pid="5" name="ContentTypeId">
    <vt:lpwstr>0x01010027D530B1233ACF4CAACD391DAB2C85E9</vt:lpwstr>
  </property>
</Properties>
</file>