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1-06 substitute\"/>
    </mc:Choice>
  </mc:AlternateContent>
  <xr:revisionPtr revIDLastSave="0" documentId="8_{C28E1EA5-5172-47B5-8002-6EEB4D058514}" xr6:coauthVersionLast="45" xr6:coauthVersionMax="45" xr10:uidLastSave="{00000000-0000-0000-0000-000000000000}"/>
  <bookViews>
    <workbookView xWindow="28680" yWindow="-120" windowWidth="29040" windowHeight="15840" xr2:uid="{00000000-000D-0000-FFFF-FFFF00000000}"/>
  </bookViews>
  <sheets>
    <sheet name="tariff tables" sheetId="5" r:id="rId1"/>
    <sheet name="DSIM Cycle Tables" sheetId="20" r:id="rId2"/>
    <sheet name="PPC Cycle 3" sheetId="18" r:id="rId3"/>
    <sheet name="PCR Cycle 3" sheetId="22" r:id="rId4"/>
    <sheet name="PCR Cycle 2" sheetId="15" r:id="rId5"/>
    <sheet name="PTD Cycle 2" sheetId="12" r:id="rId6"/>
    <sheet name="PTD Cycle 3" sheetId="19" r:id="rId7"/>
    <sheet name="TDR Cycle 2" sheetId="16" r:id="rId8"/>
    <sheet name="TDR Cycle 3" sheetId="24" r:id="rId9"/>
    <sheet name="EO Cycle 2" sheetId="8" r:id="rId10"/>
    <sheet name="EOR Cycle 2" sheetId="23" r:id="rId11"/>
    <sheet name="OA Cycle 2" sheetId="10" r:id="rId12"/>
    <sheet name="OAR Cycle 2"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4">'PCR Cycle 2'!$A$1:$O$67</definedName>
    <definedName name="_xlnm.Print_Area" localSheetId="3">'PCR Cycle 3'!$A$1:$O$71</definedName>
    <definedName name="solver_adj" localSheetId="4" hidden="1">'PCR Cycle 2'!$F$50</definedName>
    <definedName name="solver_adj" localSheetId="3" hidden="1">'PCR Cycle 3'!$F$51</definedName>
    <definedName name="solver_adj" localSheetId="7" hidden="1">'TDR Cycle 2'!#REF!</definedName>
    <definedName name="solver_adj" localSheetId="8" hidden="1">'TDR Cycle 3'!#REF!</definedName>
    <definedName name="solver_cvg" localSheetId="4" hidden="1">0.0001</definedName>
    <definedName name="solver_cvg" localSheetId="3" hidden="1">0.0001</definedName>
    <definedName name="solver_cvg" localSheetId="7" hidden="1">0.0001</definedName>
    <definedName name="solver_cvg" localSheetId="8" hidden="1">0.0001</definedName>
    <definedName name="solver_drv" localSheetId="4" hidden="1">1</definedName>
    <definedName name="solver_drv" localSheetId="3" hidden="1">1</definedName>
    <definedName name="solver_drv" localSheetId="7" hidden="1">2</definedName>
    <definedName name="solver_drv" localSheetId="8" hidden="1">2</definedName>
    <definedName name="solver_eng" localSheetId="4" hidden="1">1</definedName>
    <definedName name="solver_eng" localSheetId="3" hidden="1">1</definedName>
    <definedName name="solver_eng" localSheetId="7" hidden="1">1</definedName>
    <definedName name="solver_eng" localSheetId="8" hidden="1">1</definedName>
    <definedName name="solver_est" localSheetId="4" hidden="1">1</definedName>
    <definedName name="solver_est" localSheetId="3" hidden="1">1</definedName>
    <definedName name="solver_est" localSheetId="7" hidden="1">1</definedName>
    <definedName name="solver_est" localSheetId="8" hidden="1">1</definedName>
    <definedName name="solver_itr" localSheetId="4" hidden="1">2147483647</definedName>
    <definedName name="solver_itr" localSheetId="3" hidden="1">2147483647</definedName>
    <definedName name="solver_itr" localSheetId="7" hidden="1">2147483647</definedName>
    <definedName name="solver_itr" localSheetId="8" hidden="1">2147483647</definedName>
    <definedName name="solver_mip" localSheetId="4" hidden="1">2147483647</definedName>
    <definedName name="solver_mip" localSheetId="3" hidden="1">2147483647</definedName>
    <definedName name="solver_mip" localSheetId="7" hidden="1">2147483647</definedName>
    <definedName name="solver_mip" localSheetId="8" hidden="1">2147483647</definedName>
    <definedName name="solver_mni" localSheetId="4" hidden="1">30</definedName>
    <definedName name="solver_mni" localSheetId="3" hidden="1">30</definedName>
    <definedName name="solver_mni" localSheetId="7" hidden="1">30</definedName>
    <definedName name="solver_mni" localSheetId="8" hidden="1">30</definedName>
    <definedName name="solver_mrt" localSheetId="4" hidden="1">0.075</definedName>
    <definedName name="solver_mrt" localSheetId="3" hidden="1">0.075</definedName>
    <definedName name="solver_mrt" localSheetId="7" hidden="1">0.075</definedName>
    <definedName name="solver_mrt" localSheetId="8" hidden="1">0.075</definedName>
    <definedName name="solver_msl" localSheetId="4" hidden="1">2</definedName>
    <definedName name="solver_msl" localSheetId="3" hidden="1">2</definedName>
    <definedName name="solver_msl" localSheetId="7" hidden="1">2</definedName>
    <definedName name="solver_msl" localSheetId="8" hidden="1">2</definedName>
    <definedName name="solver_neg" localSheetId="4" hidden="1">1</definedName>
    <definedName name="solver_neg" localSheetId="3" hidden="1">1</definedName>
    <definedName name="solver_neg" localSheetId="7" hidden="1">1</definedName>
    <definedName name="solver_neg" localSheetId="8" hidden="1">1</definedName>
    <definedName name="solver_nod" localSheetId="4" hidden="1">2147483647</definedName>
    <definedName name="solver_nod" localSheetId="3" hidden="1">2147483647</definedName>
    <definedName name="solver_nod" localSheetId="7" hidden="1">2147483647</definedName>
    <definedName name="solver_nod" localSheetId="8" hidden="1">2147483647</definedName>
    <definedName name="solver_num" localSheetId="4" hidden="1">0</definedName>
    <definedName name="solver_num" localSheetId="3" hidden="1">0</definedName>
    <definedName name="solver_num" localSheetId="7" hidden="1">0</definedName>
    <definedName name="solver_num" localSheetId="8" hidden="1">0</definedName>
    <definedName name="solver_nwt" localSheetId="4" hidden="1">1</definedName>
    <definedName name="solver_nwt" localSheetId="3" hidden="1">1</definedName>
    <definedName name="solver_nwt" localSheetId="7" hidden="1">1</definedName>
    <definedName name="solver_nwt" localSheetId="8" hidden="1">1</definedName>
    <definedName name="solver_opt" localSheetId="4" hidden="1">'PCR Cycle 2'!$F$55</definedName>
    <definedName name="solver_opt" localSheetId="3" hidden="1">'PCR Cycle 3'!$F$59</definedName>
    <definedName name="solver_opt" localSheetId="7" hidden="1">'TDR Cycle 2'!#REF!</definedName>
    <definedName name="solver_opt" localSheetId="8" hidden="1">'TDR Cycle 3'!#REF!</definedName>
    <definedName name="solver_pre" localSheetId="4" hidden="1">0.000001</definedName>
    <definedName name="solver_pre" localSheetId="3" hidden="1">0.000001</definedName>
    <definedName name="solver_pre" localSheetId="7" hidden="1">0.000001</definedName>
    <definedName name="solver_pre" localSheetId="8" hidden="1">0.000001</definedName>
    <definedName name="solver_rbv" localSheetId="4" hidden="1">1</definedName>
    <definedName name="solver_rbv" localSheetId="3" hidden="1">1</definedName>
    <definedName name="solver_rbv" localSheetId="7" hidden="1">2</definedName>
    <definedName name="solver_rbv" localSheetId="8" hidden="1">2</definedName>
    <definedName name="solver_rlx" localSheetId="4" hidden="1">2</definedName>
    <definedName name="solver_rlx" localSheetId="3" hidden="1">2</definedName>
    <definedName name="solver_rlx" localSheetId="7" hidden="1">2</definedName>
    <definedName name="solver_rlx" localSheetId="8" hidden="1">2</definedName>
    <definedName name="solver_rsd" localSheetId="4" hidden="1">0</definedName>
    <definedName name="solver_rsd" localSheetId="3" hidden="1">0</definedName>
    <definedName name="solver_rsd" localSheetId="7" hidden="1">0</definedName>
    <definedName name="solver_rsd" localSheetId="8" hidden="1">0</definedName>
    <definedName name="solver_scl" localSheetId="4" hidden="1">1</definedName>
    <definedName name="solver_scl" localSheetId="3" hidden="1">1</definedName>
    <definedName name="solver_scl" localSheetId="7" hidden="1">2</definedName>
    <definedName name="solver_scl" localSheetId="8" hidden="1">2</definedName>
    <definedName name="solver_sho" localSheetId="4" hidden="1">2</definedName>
    <definedName name="solver_sho" localSheetId="3" hidden="1">2</definedName>
    <definedName name="solver_sho" localSheetId="7" hidden="1">2</definedName>
    <definedName name="solver_sho" localSheetId="8" hidden="1">2</definedName>
    <definedName name="solver_ssz" localSheetId="4" hidden="1">100</definedName>
    <definedName name="solver_ssz" localSheetId="3" hidden="1">100</definedName>
    <definedName name="solver_ssz" localSheetId="7" hidden="1">100</definedName>
    <definedName name="solver_ssz" localSheetId="8" hidden="1">100</definedName>
    <definedName name="solver_tim" localSheetId="4" hidden="1">2147483647</definedName>
    <definedName name="solver_tim" localSheetId="3" hidden="1">2147483647</definedName>
    <definedName name="solver_tim" localSheetId="7" hidden="1">2147483647</definedName>
    <definedName name="solver_tim" localSheetId="8" hidden="1">2147483647</definedName>
    <definedName name="solver_tol" localSheetId="4" hidden="1">0.01</definedName>
    <definedName name="solver_tol" localSheetId="3" hidden="1">0.01</definedName>
    <definedName name="solver_tol" localSheetId="7" hidden="1">0.01</definedName>
    <definedName name="solver_tol" localSheetId="8" hidden="1">0.01</definedName>
    <definedName name="solver_typ" localSheetId="4" hidden="1">3</definedName>
    <definedName name="solver_typ" localSheetId="3" hidden="1">3</definedName>
    <definedName name="solver_typ" localSheetId="7" hidden="1">3</definedName>
    <definedName name="solver_typ" localSheetId="8" hidden="1">3</definedName>
    <definedName name="solver_val" localSheetId="4" hidden="1">0</definedName>
    <definedName name="solver_val" localSheetId="3" hidden="1">0</definedName>
    <definedName name="solver_val" localSheetId="7" hidden="1">23888.44</definedName>
    <definedName name="solver_val" localSheetId="8" hidden="1">23888.44</definedName>
    <definedName name="solver_ver" localSheetId="4" hidden="1">3</definedName>
    <definedName name="solver_ver" localSheetId="3" hidden="1">3</definedName>
    <definedName name="solver_ver" localSheetId="7" hidden="1">3</definedName>
    <definedName name="solver_ver" localSheetId="8"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22" l="1"/>
  <c r="J18" i="22"/>
  <c r="J17" i="22"/>
  <c r="J16" i="22"/>
  <c r="J15" i="22"/>
  <c r="I15" i="22" l="1"/>
  <c r="I18" i="22" l="1"/>
  <c r="I17" i="22"/>
  <c r="I16" i="22" l="1"/>
  <c r="I19" i="22" l="1"/>
  <c r="H15" i="22" l="1"/>
  <c r="H18" i="22" l="1"/>
  <c r="H17" i="22"/>
  <c r="H16" i="22" l="1"/>
  <c r="H19" i="22" l="1"/>
  <c r="G15" i="22" l="1"/>
  <c r="G18" i="22" l="1"/>
  <c r="G17" i="22"/>
  <c r="G16" i="22" l="1"/>
  <c r="G19" i="22" l="1"/>
  <c r="F15" i="22" l="1"/>
  <c r="F17" i="22" l="1"/>
  <c r="F18" i="22"/>
  <c r="F16" i="22" l="1"/>
  <c r="F19" i="22" l="1"/>
  <c r="E15" i="22" l="1"/>
  <c r="E17" i="22" l="1"/>
  <c r="E18" i="22"/>
  <c r="E16" i="22" l="1"/>
  <c r="E19" i="22" l="1"/>
  <c r="D57" i="22" l="1"/>
  <c r="D56" i="22"/>
  <c r="D55" i="22"/>
  <c r="D54" i="22"/>
  <c r="D53" i="22"/>
  <c r="D19" i="22"/>
  <c r="D42" i="22" s="1"/>
  <c r="D18" i="22"/>
  <c r="D41" i="22" s="1"/>
  <c r="D17" i="22"/>
  <c r="D40" i="22" s="1"/>
  <c r="D16" i="22"/>
  <c r="D39" i="22" s="1"/>
  <c r="D15" i="22"/>
  <c r="D38" i="22" s="1"/>
  <c r="K15" i="22" l="1"/>
  <c r="F8" i="10" l="1"/>
  <c r="D6" i="10"/>
  <c r="E9" i="10"/>
  <c r="E8" i="10"/>
  <c r="D9" i="10"/>
  <c r="F9" i="10" s="1"/>
  <c r="D8" i="10"/>
  <c r="D10" i="10" s="1"/>
  <c r="D11" i="10" s="1"/>
  <c r="E10" i="10" l="1"/>
  <c r="E11" i="10" s="1"/>
  <c r="C9" i="10"/>
  <c r="C8" i="10"/>
  <c r="D40" i="15" l="1"/>
  <c r="L11" i="15"/>
  <c r="L10" i="15"/>
  <c r="L9" i="15"/>
  <c r="L8" i="15"/>
  <c r="C38" i="8" l="1"/>
  <c r="C36" i="8"/>
  <c r="C37" i="8"/>
  <c r="D38" i="8" l="1"/>
  <c r="D37" i="8"/>
  <c r="D36" i="8"/>
  <c r="E36" i="8" l="1"/>
  <c r="E38" i="8" l="1"/>
  <c r="E37" i="8" l="1"/>
  <c r="E35" i="8" l="1"/>
  <c r="C35" i="8" l="1"/>
  <c r="D35" i="8" l="1"/>
  <c r="E31" i="8" l="1"/>
  <c r="D31" i="8"/>
  <c r="C31" i="8"/>
  <c r="E26" i="8"/>
  <c r="D26" i="8"/>
  <c r="C26" i="8"/>
  <c r="E25" i="8"/>
  <c r="D25" i="8"/>
  <c r="C25" i="8"/>
  <c r="E24" i="8"/>
  <c r="D24" i="8"/>
  <c r="C24" i="8"/>
  <c r="E23" i="8"/>
  <c r="D23" i="8"/>
  <c r="C23" i="8"/>
  <c r="E19" i="8"/>
  <c r="D19" i="8"/>
  <c r="C19" i="8"/>
  <c r="E20" i="8" l="1"/>
  <c r="C20" i="8"/>
  <c r="D20" i="8"/>
  <c r="E43" i="8" l="1"/>
  <c r="E7" i="8" s="1"/>
  <c r="C43" i="8" l="1"/>
  <c r="C7" i="8" s="1"/>
  <c r="D43" i="8" l="1"/>
  <c r="D7" i="8" s="1"/>
  <c r="C49" i="8" l="1"/>
  <c r="C48" i="8"/>
  <c r="C50" i="8"/>
  <c r="D49" i="8" l="1"/>
  <c r="D50" i="8"/>
  <c r="D48" i="8"/>
  <c r="E48" i="8" l="1"/>
  <c r="E50" i="8" l="1"/>
  <c r="E47" i="8" l="1"/>
  <c r="E49" i="8" l="1"/>
  <c r="E44" i="8" l="1"/>
  <c r="D47" i="8"/>
  <c r="D44" i="8" l="1"/>
  <c r="C47" i="8"/>
  <c r="C44" i="8" l="1"/>
  <c r="F50" i="8"/>
  <c r="G50" i="8" s="1"/>
  <c r="F49" i="8"/>
  <c r="G49" i="8" s="1"/>
  <c r="F48" i="8"/>
  <c r="G48" i="8" s="1"/>
  <c r="E51" i="8"/>
  <c r="D51" i="8"/>
  <c r="C51" i="8"/>
  <c r="B51" i="8"/>
  <c r="B45" i="8"/>
  <c r="F47" i="8" l="1"/>
  <c r="F31" i="15"/>
  <c r="E31" i="15"/>
  <c r="F30" i="15"/>
  <c r="E30" i="15"/>
  <c r="F29" i="15"/>
  <c r="E29" i="15"/>
  <c r="F28" i="15"/>
  <c r="E28" i="15"/>
  <c r="G47" i="8" l="1"/>
  <c r="F51" i="8"/>
  <c r="F27" i="15"/>
  <c r="G51" i="8" l="1"/>
  <c r="E27" i="15"/>
  <c r="F38" i="15" l="1"/>
  <c r="E38" i="15"/>
  <c r="F37" i="15"/>
  <c r="E37" i="15"/>
  <c r="F36" i="15"/>
  <c r="E36" i="15"/>
  <c r="F35" i="15"/>
  <c r="E35" i="15"/>
  <c r="F34" i="15"/>
  <c r="E34" i="15"/>
  <c r="K27" i="16" l="1"/>
  <c r="K34" i="16" l="1"/>
  <c r="K37" i="16"/>
  <c r="K36" i="16"/>
  <c r="K35" i="16"/>
  <c r="K28" i="16"/>
  <c r="L28" i="16"/>
  <c r="L30" i="16"/>
  <c r="K30" i="16"/>
  <c r="K29" i="16"/>
  <c r="K26" i="16"/>
  <c r="L35" i="16" l="1"/>
  <c r="L37" i="16"/>
  <c r="L27" i="16"/>
  <c r="L36" i="16"/>
  <c r="L29" i="16"/>
  <c r="L26" i="16"/>
  <c r="L34" i="16" l="1"/>
  <c r="K33" i="16" l="1"/>
  <c r="L33" i="16" l="1"/>
  <c r="B13" i="12" l="1"/>
  <c r="B10" i="12"/>
  <c r="B11" i="12"/>
  <c r="B12" i="12"/>
  <c r="B6" i="12"/>
  <c r="C11" i="12" l="1"/>
  <c r="C10" i="12"/>
  <c r="C12" i="12"/>
  <c r="C6" i="12"/>
  <c r="C13" i="12"/>
  <c r="C9" i="18" l="1"/>
  <c r="C8" i="18"/>
  <c r="C7" i="18"/>
  <c r="C6" i="18"/>
  <c r="C5" i="18"/>
  <c r="L19" i="22"/>
  <c r="K19" i="22"/>
  <c r="L18" i="22"/>
  <c r="K18" i="22"/>
  <c r="L17" i="22"/>
  <c r="K17" i="22"/>
  <c r="L16" i="22"/>
  <c r="K16" i="22"/>
  <c r="L15" i="22"/>
  <c r="F23" i="23" l="1"/>
  <c r="F22" i="23"/>
  <c r="F21" i="23"/>
  <c r="F20" i="23"/>
  <c r="F19" i="23"/>
  <c r="G23" i="23"/>
  <c r="G22" i="23"/>
  <c r="G21" i="23"/>
  <c r="G20" i="23"/>
  <c r="G19" i="23"/>
  <c r="H23" i="23"/>
  <c r="H22" i="23"/>
  <c r="H21" i="23"/>
  <c r="H20" i="23"/>
  <c r="H19" i="23"/>
  <c r="I23" i="23"/>
  <c r="I22" i="23"/>
  <c r="I21" i="23"/>
  <c r="I20" i="23"/>
  <c r="I19" i="23"/>
  <c r="J23" i="23"/>
  <c r="J22" i="23"/>
  <c r="J21" i="23"/>
  <c r="J20" i="23"/>
  <c r="J19" i="23"/>
  <c r="E23" i="23"/>
  <c r="E22" i="23"/>
  <c r="E21" i="23"/>
  <c r="E20" i="23"/>
  <c r="E19" i="23"/>
  <c r="D50" i="23"/>
  <c r="D32" i="23"/>
  <c r="D55" i="24"/>
  <c r="D56" i="24"/>
  <c r="D57" i="24"/>
  <c r="D58" i="24"/>
  <c r="D54" i="24"/>
  <c r="D36" i="24"/>
  <c r="E26" i="24" l="1"/>
  <c r="E23" i="24"/>
  <c r="E25" i="24"/>
  <c r="E27" i="24"/>
  <c r="F25" i="24" l="1"/>
  <c r="F27" i="24"/>
  <c r="F26" i="24"/>
  <c r="F23" i="24"/>
  <c r="E34" i="24"/>
  <c r="E32" i="24"/>
  <c r="E33" i="24" l="1"/>
  <c r="E24" i="24"/>
  <c r="G23" i="24"/>
  <c r="G26" i="24"/>
  <c r="G27" i="24"/>
  <c r="F33" i="24"/>
  <c r="F32" i="24"/>
  <c r="G25" i="24"/>
  <c r="F34" i="24"/>
  <c r="F30" i="24"/>
  <c r="E30" i="24" l="1"/>
  <c r="F24" i="24"/>
  <c r="H27" i="24"/>
  <c r="H26" i="24"/>
  <c r="H25" i="24"/>
  <c r="H23" i="24"/>
  <c r="G34" i="24"/>
  <c r="G33" i="24"/>
  <c r="G30" i="24" l="1"/>
  <c r="G32" i="24"/>
  <c r="E31" i="24"/>
  <c r="G24" i="24"/>
  <c r="I23" i="24"/>
  <c r="I26" i="24"/>
  <c r="I25" i="24"/>
  <c r="H32" i="24"/>
  <c r="H34" i="24"/>
  <c r="I27" i="24"/>
  <c r="H30" i="24"/>
  <c r="F31" i="24" l="1"/>
  <c r="H24" i="24"/>
  <c r="I30" i="24"/>
  <c r="J26" i="24"/>
  <c r="J27" i="24"/>
  <c r="J23" i="24"/>
  <c r="J25" i="24"/>
  <c r="I33" i="24"/>
  <c r="I32" i="24"/>
  <c r="H33" i="24" l="1"/>
  <c r="G31" i="24"/>
  <c r="I34" i="24"/>
  <c r="I24" i="24"/>
  <c r="J32" i="24"/>
  <c r="H31" i="24" l="1"/>
  <c r="J33" i="24"/>
  <c r="J34" i="24"/>
  <c r="J24" i="24"/>
  <c r="I31" i="24" l="1"/>
  <c r="J30" i="24"/>
  <c r="J31" i="24" l="1"/>
  <c r="J20" i="24" l="1"/>
  <c r="J19" i="24"/>
  <c r="J18" i="24"/>
  <c r="J17" i="24"/>
  <c r="J16" i="24"/>
  <c r="I20" i="24"/>
  <c r="I19" i="24"/>
  <c r="I18" i="24"/>
  <c r="I17" i="24"/>
  <c r="I16" i="24"/>
  <c r="H20" i="24"/>
  <c r="H19" i="24"/>
  <c r="H18" i="24"/>
  <c r="H17" i="24"/>
  <c r="H16" i="24"/>
  <c r="G20" i="24"/>
  <c r="G19" i="24"/>
  <c r="G18" i="24"/>
  <c r="G17" i="24"/>
  <c r="G16" i="24"/>
  <c r="F20" i="24"/>
  <c r="F19" i="24"/>
  <c r="F18" i="24"/>
  <c r="F17" i="24"/>
  <c r="F16" i="24"/>
  <c r="E20" i="24"/>
  <c r="E19" i="24"/>
  <c r="E18" i="24"/>
  <c r="E17" i="24"/>
  <c r="E16" i="24"/>
  <c r="D11" i="24"/>
  <c r="D52" i="16"/>
  <c r="D51" i="16"/>
  <c r="D39" i="16"/>
  <c r="E27" i="16" l="1"/>
  <c r="E34" i="16" l="1"/>
  <c r="E37" i="16"/>
  <c r="E35" i="16"/>
  <c r="E29" i="16"/>
  <c r="E30" i="16"/>
  <c r="E28" i="16"/>
  <c r="E26" i="16"/>
  <c r="F36" i="16" l="1"/>
  <c r="E36" i="16"/>
  <c r="F37" i="16"/>
  <c r="F35" i="16"/>
  <c r="G29" i="16"/>
  <c r="F27" i="16"/>
  <c r="G30" i="16"/>
  <c r="F28" i="16"/>
  <c r="F29" i="16"/>
  <c r="F30" i="16"/>
  <c r="F26" i="16"/>
  <c r="G36" i="16" l="1"/>
  <c r="G34" i="16"/>
  <c r="G37" i="16"/>
  <c r="F34" i="16"/>
  <c r="G27" i="16"/>
  <c r="G35" i="16"/>
  <c r="G28" i="16"/>
  <c r="H27" i="16"/>
  <c r="H28" i="16"/>
  <c r="G26" i="16"/>
  <c r="H34" i="16" l="1"/>
  <c r="H35" i="16"/>
  <c r="H37" i="16"/>
  <c r="H36" i="16"/>
  <c r="H29" i="16"/>
  <c r="H30" i="16"/>
  <c r="H26" i="16"/>
  <c r="E33" i="16" l="1"/>
  <c r="I36" i="16"/>
  <c r="I37" i="16"/>
  <c r="I29" i="16"/>
  <c r="I27" i="16"/>
  <c r="I30" i="16"/>
  <c r="I28" i="16"/>
  <c r="I26" i="16"/>
  <c r="F33" i="16" l="1"/>
  <c r="I34" i="16"/>
  <c r="J35" i="16"/>
  <c r="I35" i="16"/>
  <c r="J34" i="16"/>
  <c r="J37" i="16"/>
  <c r="J28" i="16"/>
  <c r="J30" i="16"/>
  <c r="J36" i="16"/>
  <c r="J29" i="16"/>
  <c r="J27" i="16"/>
  <c r="J26" i="16"/>
  <c r="G33" i="16" l="1"/>
  <c r="H33" i="16" l="1"/>
  <c r="I33" i="16" l="1"/>
  <c r="J33" i="16" l="1"/>
  <c r="J23" i="16" l="1"/>
  <c r="J22" i="16"/>
  <c r="J21" i="16"/>
  <c r="J20" i="16"/>
  <c r="J19" i="16"/>
  <c r="I23" i="16"/>
  <c r="I22" i="16"/>
  <c r="I21" i="16"/>
  <c r="I20" i="16"/>
  <c r="I19" i="16"/>
  <c r="H23" i="16"/>
  <c r="H22" i="16"/>
  <c r="H21" i="16"/>
  <c r="H20" i="16"/>
  <c r="H19" i="16"/>
  <c r="G23" i="16"/>
  <c r="G22" i="16"/>
  <c r="G21" i="16"/>
  <c r="G20" i="16"/>
  <c r="G19" i="16"/>
  <c r="F23" i="16"/>
  <c r="F22" i="16"/>
  <c r="F21" i="16"/>
  <c r="F20" i="16"/>
  <c r="F19" i="16"/>
  <c r="E23" i="16"/>
  <c r="E22" i="16"/>
  <c r="E21" i="16"/>
  <c r="E20" i="16"/>
  <c r="E19" i="16"/>
  <c r="D14" i="16"/>
  <c r="C14" i="16"/>
  <c r="J33" i="22" l="1"/>
  <c r="I33" i="22"/>
  <c r="H33" i="22"/>
  <c r="G33" i="22"/>
  <c r="F33" i="22"/>
  <c r="J32" i="22"/>
  <c r="I32" i="22"/>
  <c r="H32" i="22"/>
  <c r="G32" i="22"/>
  <c r="F32" i="22"/>
  <c r="J31" i="22"/>
  <c r="I31" i="22"/>
  <c r="H31" i="22"/>
  <c r="G31" i="22"/>
  <c r="F31" i="22"/>
  <c r="J30" i="22"/>
  <c r="I30" i="22"/>
  <c r="H30" i="22"/>
  <c r="G30" i="22"/>
  <c r="F30" i="22"/>
  <c r="J29" i="22"/>
  <c r="I29" i="22"/>
  <c r="H29" i="22"/>
  <c r="G29" i="22"/>
  <c r="F29" i="22"/>
  <c r="E33" i="22"/>
  <c r="E32" i="22"/>
  <c r="E31" i="22"/>
  <c r="E30" i="22"/>
  <c r="E29" i="22"/>
  <c r="F22" i="22"/>
  <c r="E22" i="22"/>
  <c r="J50" i="15" l="1"/>
  <c r="I50" i="15"/>
  <c r="H50" i="15"/>
  <c r="G50" i="15"/>
  <c r="E50" i="15"/>
  <c r="F50" i="15" l="1"/>
  <c r="D53" i="15" l="1"/>
  <c r="D52" i="15"/>
  <c r="J31" i="15" l="1"/>
  <c r="J26" i="22" s="1"/>
  <c r="I31" i="15"/>
  <c r="I26" i="22" s="1"/>
  <c r="H31" i="15"/>
  <c r="H26" i="22" s="1"/>
  <c r="G31" i="15"/>
  <c r="G26" i="22" s="1"/>
  <c r="J30" i="15"/>
  <c r="J25" i="22" s="1"/>
  <c r="I30" i="15"/>
  <c r="I25" i="22" s="1"/>
  <c r="H30" i="15"/>
  <c r="H25" i="22" s="1"/>
  <c r="G30" i="15"/>
  <c r="G25" i="22" s="1"/>
  <c r="J29" i="15"/>
  <c r="J24" i="22" s="1"/>
  <c r="I29" i="15"/>
  <c r="I24" i="22" s="1"/>
  <c r="H29" i="15"/>
  <c r="H24" i="22" s="1"/>
  <c r="G29" i="15"/>
  <c r="G24" i="22" s="1"/>
  <c r="J28" i="15"/>
  <c r="J23" i="22" s="1"/>
  <c r="I28" i="15"/>
  <c r="I23" i="22" s="1"/>
  <c r="H28" i="15"/>
  <c r="H23" i="22" s="1"/>
  <c r="G28" i="15"/>
  <c r="G23" i="22" s="1"/>
  <c r="J27" i="15"/>
  <c r="J22" i="22" s="1"/>
  <c r="I27" i="15"/>
  <c r="I22" i="22" s="1"/>
  <c r="H27" i="15"/>
  <c r="H22" i="22" s="1"/>
  <c r="G27" i="15"/>
  <c r="G22" i="22" s="1"/>
  <c r="J38" i="15"/>
  <c r="I38" i="15"/>
  <c r="H38" i="15"/>
  <c r="J37" i="15"/>
  <c r="I37" i="15"/>
  <c r="H37" i="15"/>
  <c r="J36" i="15"/>
  <c r="I36" i="15"/>
  <c r="H36" i="15"/>
  <c r="J35" i="15"/>
  <c r="I35" i="15"/>
  <c r="H35" i="15"/>
  <c r="J34" i="15"/>
  <c r="I34" i="15"/>
  <c r="H34" i="15"/>
  <c r="G38" i="15"/>
  <c r="G37" i="15"/>
  <c r="G36" i="15"/>
  <c r="G35" i="15"/>
  <c r="G34" i="15"/>
  <c r="E26" i="22" l="1"/>
  <c r="E25" i="22"/>
  <c r="E24" i="22"/>
  <c r="E23" i="22"/>
  <c r="F23" i="22" l="1"/>
  <c r="F24" i="22" l="1"/>
  <c r="F25" i="22"/>
  <c r="F26" i="22"/>
  <c r="J18" i="15" l="1"/>
  <c r="I18" i="15"/>
  <c r="H18" i="15"/>
  <c r="G18" i="15"/>
  <c r="F18" i="15"/>
  <c r="E18" i="15"/>
  <c r="F16" i="15"/>
  <c r="G16" i="15"/>
  <c r="H16" i="15"/>
  <c r="G17" i="15"/>
  <c r="H17" i="15"/>
  <c r="I17" i="15"/>
  <c r="J17" i="15"/>
  <c r="F19" i="15"/>
  <c r="G19" i="15"/>
  <c r="H19" i="15"/>
  <c r="I19" i="15"/>
  <c r="J19" i="15"/>
  <c r="E19" i="15"/>
  <c r="E17" i="15"/>
  <c r="E16" i="15"/>
  <c r="I16" i="15" l="1"/>
  <c r="J16" i="15"/>
  <c r="F17" i="15"/>
  <c r="J11" i="13" l="1"/>
  <c r="J10" i="13"/>
  <c r="J9" i="13"/>
  <c r="J8" i="13"/>
  <c r="E15" i="10" l="1"/>
  <c r="D15" i="10" s="1"/>
  <c r="L8" i="16"/>
  <c r="E13" i="10"/>
  <c r="L9" i="16"/>
  <c r="E14" i="10"/>
  <c r="L10" i="16"/>
  <c r="L11" i="16"/>
  <c r="E16" i="10"/>
  <c r="K8" i="23"/>
  <c r="K9" i="23"/>
  <c r="K10" i="23"/>
  <c r="K11" i="23"/>
  <c r="A1" i="13"/>
  <c r="A2" i="10"/>
  <c r="A1" i="10"/>
  <c r="A1" i="23"/>
  <c r="A2" i="8"/>
  <c r="A1" i="8"/>
  <c r="A1" i="24"/>
  <c r="A1" i="16"/>
  <c r="A1" i="19"/>
  <c r="A1" i="12"/>
  <c r="A1" i="22"/>
  <c r="A1" i="15"/>
  <c r="A2" i="12"/>
  <c r="A1" i="5"/>
  <c r="C42" i="16"/>
  <c r="B38" i="8" l="1"/>
  <c r="B37" i="8"/>
  <c r="B36" i="8"/>
  <c r="B35" i="8"/>
  <c r="B32" i="8"/>
  <c r="B31" i="8"/>
  <c r="B26" i="8"/>
  <c r="B25" i="8"/>
  <c r="B13" i="8" s="1"/>
  <c r="B24" i="8"/>
  <c r="B23" i="8"/>
  <c r="B20" i="8"/>
  <c r="B19" i="8"/>
  <c r="B12" i="8" l="1"/>
  <c r="B8" i="8"/>
  <c r="B11" i="8"/>
  <c r="B14" i="8"/>
  <c r="B7" i="8"/>
  <c r="C17" i="5"/>
  <c r="C16" i="5"/>
  <c r="C15" i="5"/>
  <c r="C14" i="5"/>
  <c r="C13" i="5"/>
  <c r="B61" i="22" l="1"/>
  <c r="P16" i="22" l="1"/>
  <c r="P18" i="22" l="1"/>
  <c r="P17" i="22"/>
  <c r="P19" i="22"/>
  <c r="H5" i="23" l="1"/>
  <c r="B58" i="23"/>
  <c r="B62" i="24" l="1"/>
  <c r="D43" i="16" l="1"/>
  <c r="C43" i="16"/>
  <c r="I7" i="24" l="1"/>
  <c r="I6" i="24"/>
  <c r="I5" i="24"/>
  <c r="C43" i="24" l="1"/>
  <c r="C50" i="24" s="1"/>
  <c r="C42" i="24"/>
  <c r="C49" i="24" s="1"/>
  <c r="C41" i="24"/>
  <c r="C48" i="24" s="1"/>
  <c r="C40" i="24"/>
  <c r="C47" i="24" s="1"/>
  <c r="C39" i="24"/>
  <c r="G43" i="24"/>
  <c r="F43" i="24"/>
  <c r="E43" i="24"/>
  <c r="D43" i="24"/>
  <c r="G42" i="24"/>
  <c r="F42" i="24"/>
  <c r="E42" i="24"/>
  <c r="D42" i="24"/>
  <c r="G41" i="24"/>
  <c r="F41" i="24"/>
  <c r="E41" i="24"/>
  <c r="D41" i="24"/>
  <c r="G40" i="24"/>
  <c r="F40" i="24"/>
  <c r="E40" i="24"/>
  <c r="D40" i="24"/>
  <c r="G39" i="24"/>
  <c r="F39" i="24"/>
  <c r="E39" i="24"/>
  <c r="D48" i="24" l="1"/>
  <c r="E48" i="24" s="1"/>
  <c r="D49" i="24"/>
  <c r="E49" i="24" s="1"/>
  <c r="D50" i="24"/>
  <c r="E50" i="24" s="1"/>
  <c r="D47" i="24"/>
  <c r="E47" i="24" l="1"/>
  <c r="G13" i="24"/>
  <c r="F13" i="24"/>
  <c r="E13" i="24"/>
  <c r="H41" i="24" l="1"/>
  <c r="H42" i="24"/>
  <c r="H43" i="24"/>
  <c r="H39" i="24"/>
  <c r="I41" i="24" l="1"/>
  <c r="I42" i="24"/>
  <c r="I43" i="24"/>
  <c r="H13" i="24" l="1"/>
  <c r="H40" i="24"/>
  <c r="J43" i="24"/>
  <c r="J41" i="24"/>
  <c r="I39" i="24"/>
  <c r="J42" i="24"/>
  <c r="I40" i="24" l="1"/>
  <c r="I13" i="24"/>
  <c r="J39" i="24"/>
  <c r="J13" i="24" l="1"/>
  <c r="J40" i="24" l="1"/>
  <c r="I7" i="22" l="1"/>
  <c r="I6" i="22"/>
  <c r="I5" i="22"/>
  <c r="I41" i="22" l="1"/>
  <c r="H41" i="22"/>
  <c r="G41" i="22"/>
  <c r="F41" i="22"/>
  <c r="E41" i="22"/>
  <c r="C41" i="22"/>
  <c r="C48" i="22" s="1"/>
  <c r="D48" i="22" s="1"/>
  <c r="I40" i="22"/>
  <c r="H40" i="22"/>
  <c r="G40" i="22"/>
  <c r="F40" i="22"/>
  <c r="E40" i="22"/>
  <c r="C40" i="22"/>
  <c r="C47" i="22" s="1"/>
  <c r="D47" i="22" s="1"/>
  <c r="I39" i="22"/>
  <c r="H39" i="22"/>
  <c r="G39" i="22"/>
  <c r="F39" i="22"/>
  <c r="E39" i="22"/>
  <c r="C39" i="22"/>
  <c r="C46" i="22" s="1"/>
  <c r="D46" i="22" s="1"/>
  <c r="E46" i="22" l="1"/>
  <c r="E47" i="22"/>
  <c r="E48" i="22"/>
  <c r="C38" i="23"/>
  <c r="C45" i="23" s="1"/>
  <c r="C37" i="23"/>
  <c r="C44" i="23" s="1"/>
  <c r="C36" i="23"/>
  <c r="C43" i="23" s="1"/>
  <c r="C14" i="13"/>
  <c r="B14" i="13"/>
  <c r="C14" i="23"/>
  <c r="B14" i="23"/>
  <c r="C11" i="24"/>
  <c r="B11" i="24"/>
  <c r="B14" i="16"/>
  <c r="C11" i="22"/>
  <c r="B11" i="22"/>
  <c r="K50" i="15" l="1"/>
  <c r="L50" i="15" s="1"/>
  <c r="C62" i="24" l="1"/>
  <c r="D39" i="24"/>
  <c r="C46" i="24"/>
  <c r="E12" i="24"/>
  <c r="F12" i="24" s="1"/>
  <c r="G12" i="24" s="1"/>
  <c r="H12" i="24" s="1"/>
  <c r="I12" i="24" s="1"/>
  <c r="J12" i="24" s="1"/>
  <c r="K12" i="24" s="1"/>
  <c r="L12" i="24" s="1"/>
  <c r="M12" i="24" s="1"/>
  <c r="I8" i="24"/>
  <c r="I4" i="24"/>
  <c r="D46" i="24" l="1"/>
  <c r="E46" i="24" s="1"/>
  <c r="I9" i="24"/>
  <c r="D62" i="24"/>
  <c r="D15" i="13" l="1"/>
  <c r="E15" i="23"/>
  <c r="F15" i="23" s="1"/>
  <c r="G15" i="23" s="1"/>
  <c r="H15" i="23" s="1"/>
  <c r="I15" i="23" s="1"/>
  <c r="J15" i="23" s="1"/>
  <c r="K15" i="23" s="1"/>
  <c r="L15" i="23" s="1"/>
  <c r="M15" i="23" s="1"/>
  <c r="E15" i="16"/>
  <c r="E12" i="22"/>
  <c r="F15" i="15"/>
  <c r="G15" i="15" s="1"/>
  <c r="H15" i="15" s="1"/>
  <c r="I15" i="15" s="1"/>
  <c r="J15" i="15" s="1"/>
  <c r="K15" i="15" s="1"/>
  <c r="L15" i="15" s="1"/>
  <c r="M15" i="15" s="1"/>
  <c r="M12" i="22" s="1"/>
  <c r="C58" i="23"/>
  <c r="C39" i="23"/>
  <c r="C46" i="23" s="1"/>
  <c r="C35" i="23"/>
  <c r="C42" i="23" s="1"/>
  <c r="H4" i="23"/>
  <c r="H6" i="23" s="1"/>
  <c r="C61" i="22"/>
  <c r="D61" i="22" s="1"/>
  <c r="M59" i="22"/>
  <c r="C42" i="22"/>
  <c r="C49" i="22" s="1"/>
  <c r="D49" i="22" s="1"/>
  <c r="H42" i="22"/>
  <c r="G42" i="22"/>
  <c r="G38" i="22"/>
  <c r="F38" i="22"/>
  <c r="I8" i="22"/>
  <c r="I4" i="22"/>
  <c r="I9" i="22" s="1"/>
  <c r="D54" i="23" l="1"/>
  <c r="D51" i="23"/>
  <c r="D53" i="23"/>
  <c r="D52" i="23"/>
  <c r="H38" i="22"/>
  <c r="I38" i="22"/>
  <c r="F42" i="22"/>
  <c r="I42" i="22"/>
  <c r="K12" i="23"/>
  <c r="F12" i="22"/>
  <c r="H12" i="22"/>
  <c r="G12" i="22"/>
  <c r="I12" i="22"/>
  <c r="J12" i="22"/>
  <c r="K12" i="22"/>
  <c r="L12" i="22"/>
  <c r="E42" i="22"/>
  <c r="E49" i="22" s="1"/>
  <c r="C38" i="22"/>
  <c r="C45" i="22" s="1"/>
  <c r="D45" i="22" s="1"/>
  <c r="E38" i="22"/>
  <c r="E45" i="22" l="1"/>
  <c r="A2" i="19"/>
  <c r="J12" i="13" l="1"/>
  <c r="E17" i="10" l="1"/>
  <c r="L12" i="15"/>
  <c r="B27" i="8"/>
  <c r="L12" i="16"/>
  <c r="B21" i="8" l="1"/>
  <c r="D42" i="16" l="1"/>
  <c r="D16" i="16"/>
  <c r="B56" i="16" l="1"/>
  <c r="B57" i="15"/>
  <c r="C10" i="10" l="1"/>
  <c r="C43" i="13" l="1"/>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G6" i="13" l="1"/>
  <c r="D34" i="13"/>
  <c r="D33" i="13"/>
  <c r="I30" i="13"/>
  <c r="E5" i="13"/>
  <c r="E4" i="13"/>
  <c r="G30" i="13"/>
  <c r="H16" i="13"/>
  <c r="E6" i="13" l="1"/>
  <c r="J24" i="15" l="1"/>
  <c r="J44" i="15" s="1"/>
  <c r="J23" i="15"/>
  <c r="C24" i="15"/>
  <c r="C44" i="15" s="1"/>
  <c r="C23" i="15"/>
  <c r="H24" i="15"/>
  <c r="H44" i="15" s="1"/>
  <c r="H23" i="15" l="1"/>
  <c r="G24" i="15"/>
  <c r="G44" i="15" s="1"/>
  <c r="F24" i="15"/>
  <c r="F44" i="15" s="1"/>
  <c r="I24" i="15"/>
  <c r="I44" i="15" s="1"/>
  <c r="I23" i="15"/>
  <c r="E23" i="15"/>
  <c r="F23" i="15"/>
  <c r="E24" i="15"/>
  <c r="E44" i="15" s="1"/>
  <c r="G23" i="15"/>
  <c r="H52" i="24" l="1"/>
  <c r="G36" i="13"/>
  <c r="H48" i="23"/>
  <c r="H49" i="16"/>
  <c r="H51" i="22"/>
  <c r="E52" i="24"/>
  <c r="D36" i="13"/>
  <c r="E49" i="16"/>
  <c r="E48" i="23"/>
  <c r="E51" i="22"/>
  <c r="F52" i="24"/>
  <c r="E36" i="13"/>
  <c r="F48" i="23"/>
  <c r="F49" i="16"/>
  <c r="F51" i="22"/>
  <c r="G52" i="24"/>
  <c r="F36" i="13"/>
  <c r="G48" i="23"/>
  <c r="G49" i="16"/>
  <c r="G51" i="22"/>
  <c r="I52" i="24"/>
  <c r="H36" i="13"/>
  <c r="I48" i="23"/>
  <c r="I49" i="16"/>
  <c r="I51" i="22"/>
  <c r="E55" i="22" l="1"/>
  <c r="E54" i="22"/>
  <c r="E56" i="22"/>
  <c r="E57" i="22"/>
  <c r="E53" i="22"/>
  <c r="E58" i="24"/>
  <c r="F58" i="24" s="1"/>
  <c r="E55" i="24"/>
  <c r="E57" i="24"/>
  <c r="E56" i="24"/>
  <c r="D39" i="13"/>
  <c r="D38" i="13"/>
  <c r="J52" i="24"/>
  <c r="J48" i="23"/>
  <c r="J49" i="16"/>
  <c r="I36" i="13"/>
  <c r="J51" i="22"/>
  <c r="E54" i="24"/>
  <c r="C56" i="16"/>
  <c r="D56" i="16" s="1"/>
  <c r="E61" i="22" l="1"/>
  <c r="E58" i="22" s="1"/>
  <c r="F50" i="24"/>
  <c r="G58" i="24" s="1"/>
  <c r="F48" i="24"/>
  <c r="F56" i="24"/>
  <c r="F57" i="24"/>
  <c r="F49" i="24"/>
  <c r="F46" i="24"/>
  <c r="F54" i="24"/>
  <c r="F55" i="24"/>
  <c r="F47" i="24"/>
  <c r="F48" i="22"/>
  <c r="F56" i="22"/>
  <c r="F46" i="22"/>
  <c r="F54" i="22"/>
  <c r="F47" i="22"/>
  <c r="F55" i="22"/>
  <c r="F53" i="22"/>
  <c r="E59" i="22"/>
  <c r="F45" i="22"/>
  <c r="E62" i="24"/>
  <c r="E59" i="24" s="1"/>
  <c r="E60" i="24"/>
  <c r="E38" i="13"/>
  <c r="E33" i="13"/>
  <c r="D41" i="13"/>
  <c r="D43" i="13"/>
  <c r="D40" i="13" s="1"/>
  <c r="F57" i="22"/>
  <c r="F49" i="22"/>
  <c r="E34" i="13"/>
  <c r="E39" i="13"/>
  <c r="G48" i="22" l="1"/>
  <c r="G50" i="24"/>
  <c r="H58" i="24" s="1"/>
  <c r="F61" i="22"/>
  <c r="F58" i="22" s="1"/>
  <c r="G46" i="24"/>
  <c r="G47" i="24"/>
  <c r="G55" i="24"/>
  <c r="G54" i="24"/>
  <c r="H54" i="24" s="1"/>
  <c r="G49" i="24"/>
  <c r="G57" i="24"/>
  <c r="G48" i="24"/>
  <c r="G56" i="24"/>
  <c r="G47" i="22"/>
  <c r="G55" i="22"/>
  <c r="G46" i="22"/>
  <c r="G54" i="22"/>
  <c r="G56" i="22"/>
  <c r="H56" i="22" s="1"/>
  <c r="G53" i="22"/>
  <c r="G45" i="22"/>
  <c r="F60" i="24"/>
  <c r="F62" i="24"/>
  <c r="F59" i="24" s="1"/>
  <c r="F59" i="22"/>
  <c r="F34" i="13"/>
  <c r="F39" i="13"/>
  <c r="F33" i="13"/>
  <c r="F38" i="13"/>
  <c r="G49" i="22"/>
  <c r="G57" i="22"/>
  <c r="E41" i="13"/>
  <c r="E43" i="13"/>
  <c r="E40" i="13" s="1"/>
  <c r="H50" i="24" l="1"/>
  <c r="I58" i="24" s="1"/>
  <c r="H46" i="24"/>
  <c r="I54" i="24" s="1"/>
  <c r="H48" i="24"/>
  <c r="H56" i="24"/>
  <c r="H49" i="24"/>
  <c r="H57" i="24"/>
  <c r="H47" i="24"/>
  <c r="H55" i="24"/>
  <c r="G61" i="22"/>
  <c r="G58" i="22" s="1"/>
  <c r="H48" i="22"/>
  <c r="H46" i="22"/>
  <c r="H54" i="22"/>
  <c r="H47" i="22"/>
  <c r="H55" i="22"/>
  <c r="H57" i="22"/>
  <c r="H49" i="22"/>
  <c r="G60" i="24"/>
  <c r="G62" i="24"/>
  <c r="G59" i="24" s="1"/>
  <c r="H45" i="22"/>
  <c r="H53" i="22"/>
  <c r="G34" i="13"/>
  <c r="G39" i="13"/>
  <c r="G59" i="22"/>
  <c r="G33" i="13"/>
  <c r="G38" i="13"/>
  <c r="F43" i="13"/>
  <c r="F40" i="13" s="1"/>
  <c r="F41" i="13"/>
  <c r="I50" i="24" l="1"/>
  <c r="J58" i="24" s="1"/>
  <c r="I46" i="24"/>
  <c r="J54" i="24" s="1"/>
  <c r="I47" i="24"/>
  <c r="I55" i="24"/>
  <c r="I49" i="24"/>
  <c r="I57" i="24"/>
  <c r="I48" i="24"/>
  <c r="I56" i="24"/>
  <c r="H61" i="22"/>
  <c r="H58" i="22" s="1"/>
  <c r="I47" i="22"/>
  <c r="I55" i="22"/>
  <c r="I54" i="22"/>
  <c r="I46" i="22"/>
  <c r="I48" i="22"/>
  <c r="I56" i="22"/>
  <c r="H34" i="13"/>
  <c r="H39" i="13"/>
  <c r="I45" i="22"/>
  <c r="I53" i="22"/>
  <c r="H62" i="24"/>
  <c r="H59" i="24" s="1"/>
  <c r="H60" i="24"/>
  <c r="G41" i="13"/>
  <c r="G43" i="13"/>
  <c r="G40" i="13" s="1"/>
  <c r="H38" i="13"/>
  <c r="H33" i="13"/>
  <c r="H59" i="22"/>
  <c r="I57" i="22"/>
  <c r="I49" i="22"/>
  <c r="C47" i="16"/>
  <c r="D47" i="16" s="1"/>
  <c r="C46" i="16"/>
  <c r="D46" i="16" s="1"/>
  <c r="F15" i="16"/>
  <c r="G15" i="16" s="1"/>
  <c r="H15" i="16" s="1"/>
  <c r="I15" i="16" s="1"/>
  <c r="J15" i="16" s="1"/>
  <c r="K15" i="16" s="1"/>
  <c r="L15" i="16" s="1"/>
  <c r="M15" i="16" s="1"/>
  <c r="I5" i="16"/>
  <c r="I4" i="16"/>
  <c r="C57" i="15"/>
  <c r="D57" i="15" s="1"/>
  <c r="M55" i="15"/>
  <c r="C48" i="15"/>
  <c r="C43" i="15"/>
  <c r="C47" i="15" s="1"/>
  <c r="D47" i="15" s="1"/>
  <c r="M24" i="15"/>
  <c r="M23" i="15"/>
  <c r="J43" i="15"/>
  <c r="I43" i="15"/>
  <c r="H43" i="15"/>
  <c r="G43" i="15"/>
  <c r="F43" i="15"/>
  <c r="E43" i="15"/>
  <c r="I5" i="15"/>
  <c r="I4" i="15"/>
  <c r="D48" i="15" l="1"/>
  <c r="E48" i="15"/>
  <c r="E53" i="15"/>
  <c r="E47" i="15"/>
  <c r="E52" i="15"/>
  <c r="E57" i="15" s="1"/>
  <c r="J50" i="24"/>
  <c r="J46" i="24"/>
  <c r="J48" i="24"/>
  <c r="J56" i="24"/>
  <c r="J49" i="24"/>
  <c r="J57" i="24"/>
  <c r="J47" i="24"/>
  <c r="J55" i="24"/>
  <c r="I61" i="22"/>
  <c r="I58" i="22" s="1"/>
  <c r="I59" i="22"/>
  <c r="K52" i="24"/>
  <c r="K48" i="23"/>
  <c r="K49" i="16"/>
  <c r="J36" i="13"/>
  <c r="K51" i="22"/>
  <c r="I60" i="24"/>
  <c r="I62" i="24"/>
  <c r="I59" i="24" s="1"/>
  <c r="I33" i="13"/>
  <c r="I38" i="13"/>
  <c r="H41" i="13"/>
  <c r="H43" i="13"/>
  <c r="H40" i="13" s="1"/>
  <c r="I34" i="13"/>
  <c r="I39" i="13"/>
  <c r="I6" i="15"/>
  <c r="I6" i="16"/>
  <c r="E54" i="15" l="1"/>
  <c r="I43" i="13"/>
  <c r="I40" i="13" s="1"/>
  <c r="I41" i="13"/>
  <c r="J60" i="24"/>
  <c r="J62" i="24"/>
  <c r="J59" i="24" s="1"/>
  <c r="F48" i="15"/>
  <c r="F53" i="15"/>
  <c r="F47" i="15"/>
  <c r="F52" i="15"/>
  <c r="E55" i="15"/>
  <c r="G48" i="15" l="1"/>
  <c r="G53" i="15"/>
  <c r="G52" i="15"/>
  <c r="G47" i="15"/>
  <c r="F55" i="15"/>
  <c r="F57" i="15"/>
  <c r="F54" i="15" s="1"/>
  <c r="H53" i="15" l="1"/>
  <c r="H48" i="15"/>
  <c r="H47" i="15"/>
  <c r="H52" i="15"/>
  <c r="G57" i="15"/>
  <c r="G54" i="15" s="1"/>
  <c r="G55" i="15"/>
  <c r="H55" i="15" l="1"/>
  <c r="I47" i="15"/>
  <c r="I48" i="15"/>
  <c r="I53" i="15"/>
  <c r="I52" i="15"/>
  <c r="H57" i="15"/>
  <c r="H54" i="15" s="1"/>
  <c r="J48" i="15" l="1"/>
  <c r="J53" i="15"/>
  <c r="J47" i="15"/>
  <c r="J52" i="15"/>
  <c r="I57" i="15"/>
  <c r="I54" i="15" s="1"/>
  <c r="I55" i="15"/>
  <c r="L52" i="24" l="1"/>
  <c r="L48" i="23"/>
  <c r="K36" i="13"/>
  <c r="L51" i="22"/>
  <c r="L49" i="16"/>
  <c r="J57" i="15"/>
  <c r="J54" i="15" l="1"/>
  <c r="J55" i="15"/>
  <c r="D14" i="10" l="1"/>
  <c r="D16" i="10"/>
  <c r="D13" i="10"/>
  <c r="F13" i="5"/>
  <c r="F10" i="10"/>
  <c r="F11" i="10" s="1"/>
  <c r="F14" i="5" l="1"/>
  <c r="D17" i="10"/>
  <c r="F17" i="5"/>
  <c r="F16" i="5"/>
  <c r="F15" i="5"/>
  <c r="L24" i="15" l="1"/>
  <c r="K23" i="15" l="1"/>
  <c r="L23" i="15" l="1"/>
  <c r="G4" i="15" l="1"/>
  <c r="K24" i="15" l="1"/>
  <c r="G5" i="15" l="1"/>
  <c r="G6" i="15" l="1"/>
  <c r="E16" i="16" l="1"/>
  <c r="E42" i="16"/>
  <c r="E43" i="16"/>
  <c r="F42" i="16" l="1"/>
  <c r="E51" i="16"/>
  <c r="E46" i="16"/>
  <c r="E52" i="16"/>
  <c r="E47" i="16"/>
  <c r="E54" i="16" l="1"/>
  <c r="F43" i="16"/>
  <c r="F47" i="16" s="1"/>
  <c r="F16" i="16"/>
  <c r="E56" i="16"/>
  <c r="E53" i="16" s="1"/>
  <c r="G42" i="16"/>
  <c r="F51" i="16"/>
  <c r="F46" i="16"/>
  <c r="G43" i="16"/>
  <c r="H43" i="16"/>
  <c r="F52" i="16" l="1"/>
  <c r="G52" i="16" s="1"/>
  <c r="G16" i="16"/>
  <c r="H16" i="16"/>
  <c r="H42" i="16"/>
  <c r="G46" i="16"/>
  <c r="G51" i="16"/>
  <c r="I43" i="16"/>
  <c r="F54" i="16" l="1"/>
  <c r="F56" i="16"/>
  <c r="F53" i="16" s="1"/>
  <c r="G47" i="16"/>
  <c r="H47" i="16" s="1"/>
  <c r="G54" i="16"/>
  <c r="H51" i="16"/>
  <c r="H46" i="16"/>
  <c r="H52" i="16"/>
  <c r="G56" i="16"/>
  <c r="G53" i="16" s="1"/>
  <c r="J43" i="16"/>
  <c r="H54" i="16" l="1"/>
  <c r="I52" i="16"/>
  <c r="I47" i="16"/>
  <c r="H56" i="16"/>
  <c r="H53" i="16" s="1"/>
  <c r="I16" i="16"/>
  <c r="I42" i="16"/>
  <c r="I51" i="16" s="1"/>
  <c r="N30" i="16"/>
  <c r="N29" i="16"/>
  <c r="I46" i="16" l="1"/>
  <c r="I56" i="16"/>
  <c r="I54" i="16"/>
  <c r="J16" i="16"/>
  <c r="J42" i="16"/>
  <c r="J47" i="16"/>
  <c r="J52" i="16"/>
  <c r="N28" i="16"/>
  <c r="N27" i="16"/>
  <c r="N26" i="16"/>
  <c r="F4" i="16" s="1"/>
  <c r="J46" i="16" l="1"/>
  <c r="F5" i="16"/>
  <c r="F6" i="16" s="1"/>
  <c r="I53" i="16"/>
  <c r="J51" i="16"/>
  <c r="J56" i="16" s="1"/>
  <c r="G5" i="16"/>
  <c r="K16" i="16"/>
  <c r="J53" i="16" l="1"/>
  <c r="J54" i="16"/>
  <c r="L16" i="16"/>
  <c r="G4" i="16"/>
  <c r="G6" i="16" l="1"/>
  <c r="B14" i="12" l="1"/>
  <c r="B7" i="12" s="1"/>
  <c r="B8" i="12" s="1"/>
  <c r="C14" i="12" l="1"/>
  <c r="C7" i="12" s="1"/>
  <c r="C8" i="12" l="1"/>
  <c r="J42" i="22" l="1"/>
  <c r="J41" i="22" l="1"/>
  <c r="G4" i="22"/>
  <c r="J38" i="22"/>
  <c r="G8" i="22"/>
  <c r="J57" i="22"/>
  <c r="J49" i="22"/>
  <c r="G7" i="22" l="1"/>
  <c r="J40" i="22"/>
  <c r="J53" i="22"/>
  <c r="J45" i="22"/>
  <c r="J56" i="22"/>
  <c r="J48" i="22"/>
  <c r="J39" i="22" l="1"/>
  <c r="G5" i="22"/>
  <c r="G6" i="22"/>
  <c r="J47" i="22"/>
  <c r="J55" i="22"/>
  <c r="G9" i="22" l="1"/>
  <c r="J46" i="22"/>
  <c r="J54" i="22"/>
  <c r="C10" i="18"/>
  <c r="J61" i="22" l="1"/>
  <c r="J58" i="22" s="1"/>
  <c r="J59" i="22"/>
  <c r="B39" i="8" l="1"/>
  <c r="B15" i="8"/>
  <c r="B33" i="8"/>
  <c r="B9" i="8"/>
  <c r="M31" i="15" l="1"/>
  <c r="L31" i="15"/>
  <c r="M30" i="15"/>
  <c r="L30" i="15"/>
  <c r="M29" i="15"/>
  <c r="L29" i="15"/>
  <c r="M28" i="15"/>
  <c r="L28" i="15"/>
  <c r="K31" i="15"/>
  <c r="K30" i="15"/>
  <c r="K29" i="15"/>
  <c r="K28" i="15"/>
  <c r="L35" i="15" l="1"/>
  <c r="K20" i="13"/>
  <c r="K30" i="13" s="1"/>
  <c r="L23" i="22"/>
  <c r="L30" i="22" s="1"/>
  <c r="L39" i="22" s="1"/>
  <c r="L20" i="16"/>
  <c r="L20" i="23"/>
  <c r="L17" i="24"/>
  <c r="L24" i="22"/>
  <c r="L31" i="22" s="1"/>
  <c r="L40" i="22" s="1"/>
  <c r="L21" i="16"/>
  <c r="L21" i="23"/>
  <c r="L36" i="15"/>
  <c r="L18" i="24"/>
  <c r="L25" i="22"/>
  <c r="L32" i="22" s="1"/>
  <c r="L41" i="22" s="1"/>
  <c r="L22" i="16"/>
  <c r="L22" i="23"/>
  <c r="L19" i="24"/>
  <c r="L37" i="15"/>
  <c r="L23" i="16"/>
  <c r="L26" i="22"/>
  <c r="L33" i="22" s="1"/>
  <c r="L42" i="22" s="1"/>
  <c r="L23" i="23"/>
  <c r="L20" i="24"/>
  <c r="L38" i="15"/>
  <c r="M35" i="15"/>
  <c r="M23" i="22"/>
  <c r="M30" i="22" s="1"/>
  <c r="M39" i="22" s="1"/>
  <c r="M20" i="23"/>
  <c r="M36" i="23" s="1"/>
  <c r="L20" i="13"/>
  <c r="L30" i="13" s="1"/>
  <c r="M17" i="24"/>
  <c r="M40" i="24" s="1"/>
  <c r="M20" i="16"/>
  <c r="M24" i="22"/>
  <c r="M31" i="22" s="1"/>
  <c r="M40" i="22" s="1"/>
  <c r="M21" i="23"/>
  <c r="M37" i="23" s="1"/>
  <c r="M18" i="24"/>
  <c r="M41" i="24" s="1"/>
  <c r="M21" i="16"/>
  <c r="M36" i="15"/>
  <c r="M25" i="22"/>
  <c r="M32" i="22" s="1"/>
  <c r="M41" i="22" s="1"/>
  <c r="M37" i="15"/>
  <c r="M22" i="23"/>
  <c r="M38" i="23" s="1"/>
  <c r="M22" i="16"/>
  <c r="M19" i="24"/>
  <c r="M42" i="24" s="1"/>
  <c r="M23" i="23"/>
  <c r="M39" i="23" s="1"/>
  <c r="M20" i="24"/>
  <c r="M43" i="24" s="1"/>
  <c r="M23" i="16"/>
  <c r="M26" i="22"/>
  <c r="M33" i="22" s="1"/>
  <c r="M42" i="22" s="1"/>
  <c r="M38" i="15"/>
  <c r="K35" i="15"/>
  <c r="K20" i="23"/>
  <c r="K23" i="22"/>
  <c r="K17" i="24"/>
  <c r="K20" i="16"/>
  <c r="J20" i="13"/>
  <c r="F5" i="15"/>
  <c r="K36" i="15"/>
  <c r="K24" i="22"/>
  <c r="K21" i="23"/>
  <c r="K18" i="24"/>
  <c r="K21" i="16"/>
  <c r="K25" i="22"/>
  <c r="K22" i="23"/>
  <c r="K19" i="24"/>
  <c r="K37" i="15"/>
  <c r="K22" i="16"/>
  <c r="K26" i="22"/>
  <c r="K23" i="23"/>
  <c r="K20" i="24"/>
  <c r="K23" i="16"/>
  <c r="K38" i="15"/>
  <c r="M44" i="15" l="1"/>
  <c r="E5" i="15"/>
  <c r="H5" i="15" s="1"/>
  <c r="K44" i="15"/>
  <c r="K32" i="22"/>
  <c r="F7" i="22"/>
  <c r="E5" i="24"/>
  <c r="K33" i="22"/>
  <c r="F8" i="22"/>
  <c r="K30" i="22"/>
  <c r="F5" i="22"/>
  <c r="M43" i="16"/>
  <c r="J30" i="13"/>
  <c r="D5" i="13"/>
  <c r="F5" i="13" s="1"/>
  <c r="L43" i="16"/>
  <c r="E5" i="16"/>
  <c r="H5" i="16" s="1"/>
  <c r="K43" i="16"/>
  <c r="E7" i="24"/>
  <c r="K31" i="22"/>
  <c r="F6" i="22"/>
  <c r="E5" i="23"/>
  <c r="E6" i="24"/>
  <c r="E8" i="24"/>
  <c r="L44" i="15"/>
  <c r="J34" i="13" l="1"/>
  <c r="J39" i="13"/>
  <c r="E5" i="22"/>
  <c r="H5" i="22" s="1"/>
  <c r="K39" i="22"/>
  <c r="E7" i="22"/>
  <c r="H7" i="22" s="1"/>
  <c r="K41" i="22"/>
  <c r="K47" i="16"/>
  <c r="K52" i="16"/>
  <c r="K48" i="15"/>
  <c r="K53" i="15"/>
  <c r="E8" i="22"/>
  <c r="H8" i="22" s="1"/>
  <c r="K42" i="22"/>
  <c r="E6" i="22"/>
  <c r="H6" i="22" s="1"/>
  <c r="K40" i="22"/>
  <c r="K55" i="22" l="1"/>
  <c r="K47" i="22"/>
  <c r="L47" i="16"/>
  <c r="L52" i="16"/>
  <c r="J5" i="16" s="1"/>
  <c r="K5" i="16" s="1"/>
  <c r="K34" i="13"/>
  <c r="K39" i="13"/>
  <c r="L34" i="13" s="1"/>
  <c r="K48" i="22"/>
  <c r="K56" i="22"/>
  <c r="K49" i="22"/>
  <c r="K57" i="22"/>
  <c r="L53" i="15"/>
  <c r="L48" i="15"/>
  <c r="K46" i="22"/>
  <c r="K54" i="22"/>
  <c r="J5" i="15" l="1"/>
  <c r="K5" i="15" s="1"/>
  <c r="K8" i="15" s="1"/>
  <c r="M48" i="15"/>
  <c r="H5" i="13"/>
  <c r="I5" i="13" s="1"/>
  <c r="I10" i="13" s="1"/>
  <c r="L48" i="22"/>
  <c r="L56" i="22"/>
  <c r="J7" i="22" s="1"/>
  <c r="K7" i="22" s="1"/>
  <c r="L55" i="22"/>
  <c r="L47" i="22"/>
  <c r="K9" i="15"/>
  <c r="S24" i="5" s="1"/>
  <c r="K10" i="15"/>
  <c r="K11" i="15"/>
  <c r="M52" i="16"/>
  <c r="M47" i="16"/>
  <c r="L5" i="16" s="1"/>
  <c r="L54" i="22"/>
  <c r="J5" i="22" s="1"/>
  <c r="K5" i="22" s="1"/>
  <c r="L46" i="22"/>
  <c r="L49" i="22"/>
  <c r="L57" i="22"/>
  <c r="K11" i="16"/>
  <c r="K9" i="16"/>
  <c r="K10" i="16"/>
  <c r="K8" i="16"/>
  <c r="L39" i="13"/>
  <c r="L5" i="15" l="1"/>
  <c r="I8" i="13"/>
  <c r="F23" i="5" s="1"/>
  <c r="I11" i="13"/>
  <c r="F26" i="5" s="1"/>
  <c r="M47" i="22"/>
  <c r="I9" i="13"/>
  <c r="J5" i="13"/>
  <c r="J8" i="22"/>
  <c r="K8" i="22" s="1"/>
  <c r="C26" i="5" s="1"/>
  <c r="M49" i="22"/>
  <c r="C23" i="5"/>
  <c r="K12" i="15"/>
  <c r="M46" i="22"/>
  <c r="L5" i="22" s="1"/>
  <c r="L27" i="15"/>
  <c r="M27" i="15"/>
  <c r="F25" i="5"/>
  <c r="C25" i="5"/>
  <c r="J7" i="5" s="1"/>
  <c r="K27" i="15"/>
  <c r="K12" i="16"/>
  <c r="M48" i="22"/>
  <c r="L7" i="22" s="1"/>
  <c r="J6" i="22"/>
  <c r="K6" i="22" s="1"/>
  <c r="B8" i="18"/>
  <c r="G7" i="5" s="1"/>
  <c r="S25" i="5" s="1"/>
  <c r="B6" i="18"/>
  <c r="G5" i="5" s="1"/>
  <c r="B9" i="18"/>
  <c r="G8" i="5" s="1"/>
  <c r="T26" i="5" l="1"/>
  <c r="V25" i="5"/>
  <c r="T25" i="5"/>
  <c r="S23" i="5"/>
  <c r="B8" i="20"/>
  <c r="I12" i="13"/>
  <c r="F24" i="5"/>
  <c r="L8" i="22"/>
  <c r="B5" i="18"/>
  <c r="G4" i="5" s="1"/>
  <c r="F7" i="5"/>
  <c r="M7" i="5"/>
  <c r="Z26" i="5"/>
  <c r="AA26" i="5"/>
  <c r="AA17" i="5"/>
  <c r="Z17" i="5"/>
  <c r="V17" i="5"/>
  <c r="T17" i="5"/>
  <c r="X17" i="5"/>
  <c r="K22" i="22"/>
  <c r="K19" i="23"/>
  <c r="K19" i="16"/>
  <c r="K16" i="24"/>
  <c r="J19" i="13"/>
  <c r="K34" i="15"/>
  <c r="F4" i="15"/>
  <c r="F6" i="15" s="1"/>
  <c r="V26" i="5"/>
  <c r="F5" i="5"/>
  <c r="M5" i="5"/>
  <c r="Z14" i="5"/>
  <c r="AA14" i="5"/>
  <c r="Z23" i="5"/>
  <c r="AA23" i="5"/>
  <c r="V14" i="5"/>
  <c r="T14" i="5"/>
  <c r="X14" i="5"/>
  <c r="F8" i="5"/>
  <c r="M8" i="5"/>
  <c r="V23" i="5"/>
  <c r="AA16" i="5"/>
  <c r="AA25" i="5"/>
  <c r="Z16" i="5"/>
  <c r="Z25" i="5"/>
  <c r="V16" i="5"/>
  <c r="E8" i="20" s="1"/>
  <c r="T16" i="5"/>
  <c r="X16" i="5"/>
  <c r="B7" i="18"/>
  <c r="G6" i="5" s="1"/>
  <c r="C24" i="5"/>
  <c r="J6" i="5" s="1"/>
  <c r="L6" i="22"/>
  <c r="M22" i="22"/>
  <c r="M29" i="22" s="1"/>
  <c r="M38" i="22" s="1"/>
  <c r="M16" i="24"/>
  <c r="M19" i="23"/>
  <c r="M19" i="16"/>
  <c r="L19" i="13"/>
  <c r="M34" i="15"/>
  <c r="M43" i="15" s="1"/>
  <c r="J8" i="5"/>
  <c r="C8" i="5"/>
  <c r="J5" i="5"/>
  <c r="C5" i="5"/>
  <c r="S26" i="5"/>
  <c r="T23" i="5"/>
  <c r="C7" i="5"/>
  <c r="L22" i="22"/>
  <c r="L29" i="22" s="1"/>
  <c r="K19" i="13"/>
  <c r="L16" i="24"/>
  <c r="L19" i="23"/>
  <c r="L19" i="16"/>
  <c r="L34" i="15"/>
  <c r="X26" i="5"/>
  <c r="X25" i="5"/>
  <c r="X23" i="5"/>
  <c r="E6" i="20" l="1"/>
  <c r="E18" i="20"/>
  <c r="T24" i="5"/>
  <c r="F6" i="5"/>
  <c r="E9" i="20"/>
  <c r="E27" i="20" s="1"/>
  <c r="E33" i="20" s="1"/>
  <c r="E4" i="24"/>
  <c r="C8" i="20"/>
  <c r="B6" i="20"/>
  <c r="E4" i="16"/>
  <c r="K42" i="16"/>
  <c r="M42" i="16"/>
  <c r="B10" i="18"/>
  <c r="C9" i="20"/>
  <c r="E4" i="23"/>
  <c r="D18" i="20"/>
  <c r="AA15" i="5"/>
  <c r="Z24" i="5"/>
  <c r="AA24" i="5"/>
  <c r="Z15" i="5"/>
  <c r="V15" i="5"/>
  <c r="T15" i="5"/>
  <c r="X15" i="5"/>
  <c r="V24" i="5"/>
  <c r="C6" i="20"/>
  <c r="B17" i="20"/>
  <c r="L38" i="22"/>
  <c r="B9" i="20"/>
  <c r="M35" i="23"/>
  <c r="M39" i="24"/>
  <c r="Z13" i="5"/>
  <c r="AA22" i="5"/>
  <c r="AA13" i="5"/>
  <c r="Z22" i="5"/>
  <c r="V13" i="5"/>
  <c r="T13" i="5"/>
  <c r="X13" i="5"/>
  <c r="M6" i="5"/>
  <c r="E15" i="20"/>
  <c r="E24" i="20" s="1"/>
  <c r="E30" i="20" s="1"/>
  <c r="K29" i="22"/>
  <c r="F4" i="22"/>
  <c r="F9" i="22" s="1"/>
  <c r="D17" i="20"/>
  <c r="D15" i="20"/>
  <c r="B18" i="20"/>
  <c r="S29" i="5"/>
  <c r="K29" i="13"/>
  <c r="S32" i="5"/>
  <c r="S31" i="5"/>
  <c r="C6" i="5"/>
  <c r="E4" i="15"/>
  <c r="K43" i="15"/>
  <c r="L43" i="15"/>
  <c r="L42" i="16"/>
  <c r="L29" i="13"/>
  <c r="X24" i="5"/>
  <c r="E17" i="20"/>
  <c r="E26" i="20" s="1"/>
  <c r="E32" i="20" s="1"/>
  <c r="B15" i="20"/>
  <c r="J29" i="13"/>
  <c r="D4" i="13"/>
  <c r="E14" i="20" l="1"/>
  <c r="S30" i="5"/>
  <c r="E16" i="20"/>
  <c r="E6" i="16"/>
  <c r="H4" i="16"/>
  <c r="B16" i="20"/>
  <c r="E9" i="24"/>
  <c r="E6" i="15"/>
  <c r="H4" i="15"/>
  <c r="H6" i="15" s="1"/>
  <c r="C7" i="20"/>
  <c r="B26" i="20"/>
  <c r="B27" i="20"/>
  <c r="D14" i="20"/>
  <c r="E7" i="20"/>
  <c r="K47" i="15"/>
  <c r="K52" i="15"/>
  <c r="D6" i="13"/>
  <c r="F4" i="13"/>
  <c r="D16" i="20"/>
  <c r="J33" i="13"/>
  <c r="J38" i="13"/>
  <c r="B7" i="20"/>
  <c r="E6" i="23"/>
  <c r="B24" i="20"/>
  <c r="E4" i="22"/>
  <c r="K38" i="22"/>
  <c r="K46" i="16"/>
  <c r="K51" i="16"/>
  <c r="E25" i="20" l="1"/>
  <c r="E31" i="20" s="1"/>
  <c r="L52" i="15"/>
  <c r="B33" i="20"/>
  <c r="K55" i="15"/>
  <c r="K57" i="15"/>
  <c r="K54" i="15" s="1"/>
  <c r="H6" i="16"/>
  <c r="K33" i="13"/>
  <c r="K38" i="13"/>
  <c r="H4" i="13" s="1"/>
  <c r="H6" i="13" s="1"/>
  <c r="B25" i="20"/>
  <c r="K45" i="22"/>
  <c r="K53" i="22"/>
  <c r="E9" i="22"/>
  <c r="H4" i="22"/>
  <c r="B32" i="20"/>
  <c r="B30" i="20"/>
  <c r="F6" i="13"/>
  <c r="L46" i="16"/>
  <c r="L51" i="16"/>
  <c r="J4" i="16" s="1"/>
  <c r="K54" i="16"/>
  <c r="K56" i="16"/>
  <c r="K53" i="16" s="1"/>
  <c r="J41" i="13"/>
  <c r="J43" i="13"/>
  <c r="J40" i="13" s="1"/>
  <c r="L47" i="15"/>
  <c r="J4" i="15" l="1"/>
  <c r="J6" i="15" s="1"/>
  <c r="I4" i="13"/>
  <c r="J6" i="16"/>
  <c r="K4" i="16"/>
  <c r="T22" i="5" s="1"/>
  <c r="K59" i="22"/>
  <c r="K61" i="22"/>
  <c r="K58" i="22" s="1"/>
  <c r="L53" i="22"/>
  <c r="L45" i="22"/>
  <c r="B31" i="20"/>
  <c r="F22" i="5"/>
  <c r="I6" i="13"/>
  <c r="V22" i="5"/>
  <c r="E5" i="20" s="1"/>
  <c r="E23" i="20" s="1"/>
  <c r="K41" i="13"/>
  <c r="K43" i="13"/>
  <c r="K40" i="13" s="1"/>
  <c r="M51" i="16"/>
  <c r="M46" i="16"/>
  <c r="L38" i="13"/>
  <c r="L33" i="13"/>
  <c r="J4" i="13" s="1"/>
  <c r="L54" i="16"/>
  <c r="L56" i="16"/>
  <c r="L53" i="16" s="1"/>
  <c r="H9" i="22"/>
  <c r="M47" i="15"/>
  <c r="L55" i="15"/>
  <c r="L57" i="15"/>
  <c r="M57" i="15" s="1"/>
  <c r="K4" i="15" l="1"/>
  <c r="S22" i="5" s="1"/>
  <c r="M45" i="22"/>
  <c r="J4" i="22"/>
  <c r="L59" i="22"/>
  <c r="L61" i="22"/>
  <c r="M61" i="22" s="1"/>
  <c r="L4" i="16"/>
  <c r="K6" i="16"/>
  <c r="L41" i="13"/>
  <c r="L43" i="13"/>
  <c r="L40" i="13" s="1"/>
  <c r="L54" i="15"/>
  <c r="M54" i="15"/>
  <c r="M54" i="16"/>
  <c r="M56" i="16"/>
  <c r="M53" i="16" s="1"/>
  <c r="F4" i="5"/>
  <c r="M4" i="5"/>
  <c r="E29" i="20" s="1"/>
  <c r="K6" i="15" l="1"/>
  <c r="L4" i="15"/>
  <c r="L58" i="22"/>
  <c r="M58" i="22"/>
  <c r="J9" i="22"/>
  <c r="K4" i="22"/>
  <c r="C5" i="20"/>
  <c r="B5" i="20"/>
  <c r="X22" i="5" l="1"/>
  <c r="C22" i="5"/>
  <c r="L4" i="22"/>
  <c r="K9" i="22"/>
  <c r="B14" i="20" l="1"/>
  <c r="J4" i="5"/>
  <c r="S28" i="5" s="1"/>
  <c r="C4" i="5"/>
  <c r="B23" i="20" l="1"/>
  <c r="B29" i="20" l="1"/>
  <c r="K27" i="24" l="1"/>
  <c r="L27" i="24" l="1"/>
  <c r="N27" i="24" s="1"/>
  <c r="F8" i="24" s="1"/>
  <c r="L34" i="24" l="1"/>
  <c r="L43" i="24" s="1"/>
  <c r="K24" i="24"/>
  <c r="K34" i="24" l="1"/>
  <c r="L24" i="24"/>
  <c r="N24" i="24" s="1"/>
  <c r="F5" i="24" s="1"/>
  <c r="K31" i="24"/>
  <c r="K40" i="24" l="1"/>
  <c r="G8" i="24"/>
  <c r="H8" i="24" s="1"/>
  <c r="K43" i="24"/>
  <c r="K25" i="24"/>
  <c r="K26" i="24"/>
  <c r="K50" i="24" l="1"/>
  <c r="K58" i="24"/>
  <c r="K47" i="24"/>
  <c r="K55" i="24"/>
  <c r="K23" i="24"/>
  <c r="K32" i="24"/>
  <c r="L25" i="24"/>
  <c r="N25" i="24" s="1"/>
  <c r="F6" i="24" s="1"/>
  <c r="L31" i="24"/>
  <c r="L26" i="24"/>
  <c r="N26" i="24" s="1"/>
  <c r="F7" i="24" s="1"/>
  <c r="K41" i="24" l="1"/>
  <c r="L40" i="24"/>
  <c r="L55" i="24" s="1"/>
  <c r="G5" i="24"/>
  <c r="H5" i="24" s="1"/>
  <c r="L47" i="24"/>
  <c r="L50" i="24"/>
  <c r="L58" i="24"/>
  <c r="J8" i="24" s="1"/>
  <c r="K8" i="24" s="1"/>
  <c r="L23" i="24"/>
  <c r="N23" i="24" s="1"/>
  <c r="F4" i="24" s="1"/>
  <c r="F9" i="24" s="1"/>
  <c r="L32" i="24"/>
  <c r="L41" i="24" s="1"/>
  <c r="K33" i="24"/>
  <c r="J5" i="24" l="1"/>
  <c r="K5" i="24" s="1"/>
  <c r="M47" i="24"/>
  <c r="K42" i="24"/>
  <c r="D26" i="5"/>
  <c r="Y26" i="5"/>
  <c r="K48" i="24"/>
  <c r="K56" i="24"/>
  <c r="M58" i="24"/>
  <c r="M50" i="24"/>
  <c r="L8" i="24" s="1"/>
  <c r="G6" i="24"/>
  <c r="H6" i="24" s="1"/>
  <c r="K30" i="24"/>
  <c r="K49" i="24" l="1"/>
  <c r="K57" i="24"/>
  <c r="L33" i="24"/>
  <c r="L48" i="24"/>
  <c r="L56" i="24"/>
  <c r="L5" i="24"/>
  <c r="D23" i="5"/>
  <c r="Y23" i="5"/>
  <c r="K13" i="24"/>
  <c r="K39" i="24"/>
  <c r="L30" i="24"/>
  <c r="L13" i="24" l="1"/>
  <c r="L39" i="24"/>
  <c r="M48" i="24"/>
  <c r="J6" i="24"/>
  <c r="K6" i="24" s="1"/>
  <c r="G4" i="24"/>
  <c r="L42" i="24"/>
  <c r="L57" i="24" s="1"/>
  <c r="G7" i="24"/>
  <c r="H7" i="24" s="1"/>
  <c r="K46" i="24"/>
  <c r="K54" i="24"/>
  <c r="K62" i="24" s="1"/>
  <c r="G9" i="24" l="1"/>
  <c r="J7" i="24"/>
  <c r="K7" i="24" s="1"/>
  <c r="L49" i="24"/>
  <c r="M49" i="24" s="1"/>
  <c r="L6" i="24"/>
  <c r="D24" i="5"/>
  <c r="Y24" i="5"/>
  <c r="H4" i="24"/>
  <c r="H9" i="24" s="1"/>
  <c r="K59" i="24"/>
  <c r="K60" i="24"/>
  <c r="L54" i="24"/>
  <c r="L60" i="24" s="1"/>
  <c r="L46" i="24"/>
  <c r="L7" i="24" l="1"/>
  <c r="D25" i="5"/>
  <c r="Y25" i="5"/>
  <c r="J4" i="24"/>
  <c r="L62" i="24"/>
  <c r="M54" i="24"/>
  <c r="M60" i="24" s="1"/>
  <c r="M46" i="24"/>
  <c r="L59" i="24" l="1"/>
  <c r="M62" i="24"/>
  <c r="M59" i="24" s="1"/>
  <c r="J9" i="24"/>
  <c r="K4" i="24"/>
  <c r="L4" i="24" l="1"/>
  <c r="K9" i="24"/>
  <c r="D22" i="5"/>
  <c r="Y22" i="5"/>
  <c r="B10" i="19"/>
  <c r="C10" i="19" l="1"/>
  <c r="B7" i="19"/>
  <c r="D17" i="5" l="1"/>
  <c r="Y17" i="5"/>
  <c r="C18" i="20" l="1"/>
  <c r="K8" i="5"/>
  <c r="T32" i="5" s="1"/>
  <c r="D8" i="5"/>
  <c r="B8" i="19"/>
  <c r="B9" i="19"/>
  <c r="C7" i="19"/>
  <c r="D14" i="5" l="1"/>
  <c r="Y14" i="5"/>
  <c r="F18" i="20"/>
  <c r="C27" i="20"/>
  <c r="B6" i="19"/>
  <c r="B11" i="19" s="1"/>
  <c r="C8" i="19"/>
  <c r="C33" i="20" l="1"/>
  <c r="C15" i="20"/>
  <c r="D15" i="5"/>
  <c r="Y15" i="5"/>
  <c r="D5" i="5"/>
  <c r="K5" i="5"/>
  <c r="T29" i="5" s="1"/>
  <c r="C9" i="19"/>
  <c r="F15" i="20" l="1"/>
  <c r="C24" i="20"/>
  <c r="D16" i="5"/>
  <c r="Y16" i="5"/>
  <c r="C16" i="20"/>
  <c r="D6" i="5"/>
  <c r="K6" i="5"/>
  <c r="T30" i="5" s="1"/>
  <c r="C6" i="19"/>
  <c r="D7" i="5" l="1"/>
  <c r="K7" i="5"/>
  <c r="T31" i="5" s="1"/>
  <c r="F16" i="20"/>
  <c r="C25" i="20"/>
  <c r="C30" i="20"/>
  <c r="C17" i="20"/>
  <c r="D13" i="5"/>
  <c r="C11" i="19"/>
  <c r="Y13" i="5"/>
  <c r="C26" i="20" l="1"/>
  <c r="F17" i="20"/>
  <c r="C31" i="20"/>
  <c r="C14" i="20"/>
  <c r="K4" i="5"/>
  <c r="T28" i="5" s="1"/>
  <c r="D4" i="5"/>
  <c r="C32" i="20" l="1"/>
  <c r="C23" i="20"/>
  <c r="F14" i="20"/>
  <c r="C29" i="20" l="1"/>
  <c r="F19" i="8" l="1"/>
  <c r="G19" i="8" l="1"/>
  <c r="E26" i="23" l="1"/>
  <c r="G26" i="23"/>
  <c r="F26" i="23"/>
  <c r="F35" i="23" l="1"/>
  <c r="G35" i="23"/>
  <c r="E35" i="23"/>
  <c r="E50" i="23" l="1"/>
  <c r="E42" i="23"/>
  <c r="F42" i="23" l="1"/>
  <c r="F50" i="23"/>
  <c r="G50" i="23" l="1"/>
  <c r="G42" i="23"/>
  <c r="C27" i="8" l="1"/>
  <c r="C21" i="8" l="1"/>
  <c r="D27" i="8" l="1"/>
  <c r="D21" i="8" l="1"/>
  <c r="F24" i="8" l="1"/>
  <c r="G24" i="8" s="1"/>
  <c r="F26" i="8"/>
  <c r="G26" i="8" s="1"/>
  <c r="E30" i="23" l="1"/>
  <c r="E39" i="23" s="1"/>
  <c r="F30" i="23"/>
  <c r="F39" i="23" s="1"/>
  <c r="G30" i="23"/>
  <c r="G39" i="23" s="1"/>
  <c r="E28" i="23"/>
  <c r="E37" i="23" s="1"/>
  <c r="F28" i="23"/>
  <c r="F37" i="23" s="1"/>
  <c r="G28" i="23"/>
  <c r="G37" i="23" s="1"/>
  <c r="E52" i="23" l="1"/>
  <c r="E44" i="23"/>
  <c r="E46" i="23"/>
  <c r="E54" i="23"/>
  <c r="F54" i="23" l="1"/>
  <c r="F46" i="23"/>
  <c r="F52" i="23"/>
  <c r="F44" i="23"/>
  <c r="F25" i="8"/>
  <c r="G25" i="8" s="1"/>
  <c r="F29" i="23" l="1"/>
  <c r="F38" i="23" s="1"/>
  <c r="E29" i="23"/>
  <c r="E38" i="23" s="1"/>
  <c r="G29" i="23"/>
  <c r="G38" i="23" s="1"/>
  <c r="E27" i="8"/>
  <c r="F23" i="8"/>
  <c r="G44" i="23"/>
  <c r="G52" i="23"/>
  <c r="G46" i="23"/>
  <c r="G54" i="23"/>
  <c r="E21" i="8" l="1"/>
  <c r="F20" i="8"/>
  <c r="G23" i="8"/>
  <c r="F27" i="8"/>
  <c r="E53" i="23"/>
  <c r="E45" i="23"/>
  <c r="G20" i="8" l="1"/>
  <c r="F21" i="8"/>
  <c r="E27" i="23"/>
  <c r="G27" i="23"/>
  <c r="F27" i="23"/>
  <c r="G27" i="8"/>
  <c r="F53" i="23"/>
  <c r="F45" i="23"/>
  <c r="G53" i="23" l="1"/>
  <c r="G45" i="23"/>
  <c r="F36" i="23"/>
  <c r="F16" i="23"/>
  <c r="G36" i="23"/>
  <c r="G16" i="23"/>
  <c r="E36" i="23"/>
  <c r="E16" i="23"/>
  <c r="G21" i="8"/>
  <c r="E43" i="23" l="1"/>
  <c r="E51" i="23"/>
  <c r="E58" i="23" s="1"/>
  <c r="E55" i="23" s="1"/>
  <c r="E56" i="23" l="1"/>
  <c r="F43" i="23"/>
  <c r="F51" i="23"/>
  <c r="F56" i="23" s="1"/>
  <c r="G43" i="23" l="1"/>
  <c r="G51" i="23"/>
  <c r="G56" i="23" s="1"/>
  <c r="F58" i="23"/>
  <c r="F55" i="23" l="1"/>
  <c r="G58" i="23"/>
  <c r="G55" i="23" s="1"/>
  <c r="F7" i="8" l="1"/>
  <c r="F31" i="8"/>
  <c r="F43" i="8" l="1"/>
  <c r="G31" i="8"/>
  <c r="G43" i="8" l="1"/>
  <c r="G7" i="8" s="1"/>
  <c r="J26" i="23"/>
  <c r="K26" i="23"/>
  <c r="H26" i="23"/>
  <c r="I26" i="23"/>
  <c r="L26" i="23"/>
  <c r="L35" i="23" s="1"/>
  <c r="I35" i="23" l="1"/>
  <c r="H35" i="23"/>
  <c r="F4" i="23"/>
  <c r="G4" i="23" s="1"/>
  <c r="K35" i="23"/>
  <c r="E13" i="5"/>
  <c r="U13" i="5"/>
  <c r="J35" i="23"/>
  <c r="H50" i="23" l="1"/>
  <c r="H42" i="23"/>
  <c r="I42" i="23" l="1"/>
  <c r="I50" i="23"/>
  <c r="J50" i="23" l="1"/>
  <c r="J42" i="23"/>
  <c r="K42" i="23" l="1"/>
  <c r="K50" i="23"/>
  <c r="L42" i="23" l="1"/>
  <c r="L50" i="23"/>
  <c r="I4" i="23" l="1"/>
  <c r="M50" i="23"/>
  <c r="M42" i="23"/>
  <c r="J4" i="23" l="1"/>
  <c r="U22" i="5" s="1"/>
  <c r="E22" i="5" l="1"/>
  <c r="K4" i="23"/>
  <c r="L4" i="5" l="1"/>
  <c r="U28" i="5" s="1"/>
  <c r="E4" i="5"/>
  <c r="H4" i="5" s="1"/>
  <c r="D5" i="20"/>
  <c r="AB13" i="5"/>
  <c r="D23" i="20" l="1"/>
  <c r="F5" i="20"/>
  <c r="N4" i="5"/>
  <c r="D29" i="20" l="1"/>
  <c r="F23" i="20"/>
  <c r="G23" i="20" s="1"/>
  <c r="C12" i="8" l="1"/>
  <c r="C14" i="8"/>
  <c r="C13" i="8"/>
  <c r="D13" i="8" l="1"/>
  <c r="D12" i="8"/>
  <c r="D14" i="8"/>
  <c r="E12" i="8" l="1"/>
  <c r="F12" i="8" l="1"/>
  <c r="F36" i="8"/>
  <c r="G36" i="8" s="1"/>
  <c r="G12" i="8" s="1"/>
  <c r="E14" i="8"/>
  <c r="I28" i="23" l="1"/>
  <c r="I37" i="23" s="1"/>
  <c r="K28" i="23"/>
  <c r="H28" i="23"/>
  <c r="H37" i="23" s="1"/>
  <c r="J28" i="23"/>
  <c r="J37" i="23" s="1"/>
  <c r="L28" i="23"/>
  <c r="L37" i="23" s="1"/>
  <c r="F14" i="8"/>
  <c r="F38" i="8"/>
  <c r="G38" i="8" s="1"/>
  <c r="G14" i="8" s="1"/>
  <c r="I30" i="23" l="1"/>
  <c r="I39" i="23" s="1"/>
  <c r="H30" i="23"/>
  <c r="H39" i="23" s="1"/>
  <c r="J30" i="23"/>
  <c r="J39" i="23" s="1"/>
  <c r="L30" i="23"/>
  <c r="L39" i="23" s="1"/>
  <c r="K30" i="23"/>
  <c r="H52" i="23"/>
  <c r="H44" i="23"/>
  <c r="E15" i="5"/>
  <c r="U15" i="5"/>
  <c r="K37" i="23"/>
  <c r="I44" i="23" l="1"/>
  <c r="I52" i="23"/>
  <c r="E17" i="5"/>
  <c r="U17" i="5"/>
  <c r="H54" i="23"/>
  <c r="H46" i="23"/>
  <c r="K39" i="23"/>
  <c r="E13" i="8"/>
  <c r="F13" i="8" l="1"/>
  <c r="F37" i="8"/>
  <c r="G37" i="8" s="1"/>
  <c r="G13" i="8" s="1"/>
  <c r="I46" i="23"/>
  <c r="I54" i="23"/>
  <c r="J44" i="23"/>
  <c r="J52" i="23"/>
  <c r="E32" i="8" l="1"/>
  <c r="E8" i="8" s="1"/>
  <c r="E11" i="8"/>
  <c r="J54" i="23"/>
  <c r="J46" i="23"/>
  <c r="E39" i="8"/>
  <c r="E15" i="8"/>
  <c r="K52" i="23"/>
  <c r="K44" i="23"/>
  <c r="J29" i="23"/>
  <c r="J38" i="23" s="1"/>
  <c r="H29" i="23"/>
  <c r="H38" i="23" s="1"/>
  <c r="I29" i="23"/>
  <c r="I38" i="23" s="1"/>
  <c r="L29" i="23"/>
  <c r="L38" i="23" s="1"/>
  <c r="K29" i="23"/>
  <c r="E45" i="8" l="1"/>
  <c r="E16" i="5"/>
  <c r="U16" i="5"/>
  <c r="K38" i="23"/>
  <c r="E9" i="8"/>
  <c r="E33" i="8"/>
  <c r="K54" i="23"/>
  <c r="K46" i="23"/>
  <c r="L44" i="23"/>
  <c r="L52" i="23"/>
  <c r="H45" i="23"/>
  <c r="H53" i="23"/>
  <c r="L46" i="23" l="1"/>
  <c r="L54" i="23"/>
  <c r="I53" i="23"/>
  <c r="I45" i="23"/>
  <c r="M44" i="23"/>
  <c r="M52" i="23"/>
  <c r="J45" i="23" l="1"/>
  <c r="J53" i="23"/>
  <c r="M54" i="23"/>
  <c r="M46" i="23"/>
  <c r="K53" i="23" l="1"/>
  <c r="K45" i="23"/>
  <c r="D45" i="8"/>
  <c r="C45" i="8" l="1"/>
  <c r="F44" i="8"/>
  <c r="L45" i="23"/>
  <c r="L53" i="23"/>
  <c r="D32" i="8" l="1"/>
  <c r="D8" i="8" s="1"/>
  <c r="D9" i="8" s="1"/>
  <c r="D11" i="8"/>
  <c r="C32" i="8"/>
  <c r="C8" i="8" s="1"/>
  <c r="C11" i="8"/>
  <c r="G44" i="8"/>
  <c r="F45" i="8"/>
  <c r="M53" i="23"/>
  <c r="M45" i="23"/>
  <c r="D39" i="8"/>
  <c r="D15" i="8"/>
  <c r="C39" i="8"/>
  <c r="F35" i="8"/>
  <c r="C33" i="8" l="1"/>
  <c r="F32" i="8"/>
  <c r="D33" i="8"/>
  <c r="G45" i="8"/>
  <c r="F8" i="8"/>
  <c r="F9" i="8" s="1"/>
  <c r="C9" i="8"/>
  <c r="G32" i="8"/>
  <c r="G8" i="8" s="1"/>
  <c r="F33" i="8"/>
  <c r="C15" i="8"/>
  <c r="F11" i="8"/>
  <c r="F15" i="8" s="1"/>
  <c r="G35" i="8"/>
  <c r="G11" i="8" s="1"/>
  <c r="F39" i="8"/>
  <c r="G39" i="8" l="1"/>
  <c r="I27" i="23"/>
  <c r="J27" i="23"/>
  <c r="K27" i="23"/>
  <c r="L27" i="23"/>
  <c r="H27" i="23"/>
  <c r="G9" i="8"/>
  <c r="G33" i="8"/>
  <c r="L16" i="23" l="1"/>
  <c r="L36" i="23"/>
  <c r="E14" i="5"/>
  <c r="G15" i="8"/>
  <c r="U14" i="5"/>
  <c r="H36" i="23"/>
  <c r="F5" i="23"/>
  <c r="H16" i="23"/>
  <c r="K36" i="23"/>
  <c r="K16" i="23"/>
  <c r="J36" i="23"/>
  <c r="J16" i="23"/>
  <c r="I36" i="23"/>
  <c r="I16" i="23"/>
  <c r="H43" i="23" l="1"/>
  <c r="H51" i="23"/>
  <c r="H58" i="23" s="1"/>
  <c r="F6" i="23"/>
  <c r="G5" i="23"/>
  <c r="G6" i="23" s="1"/>
  <c r="H55" i="23" l="1"/>
  <c r="H56" i="23"/>
  <c r="I43" i="23"/>
  <c r="I51" i="23"/>
  <c r="I56" i="23" s="1"/>
  <c r="J43" i="23" l="1"/>
  <c r="J51" i="23"/>
  <c r="J56" i="23" s="1"/>
  <c r="I58" i="23"/>
  <c r="I55" i="23" l="1"/>
  <c r="J58" i="23"/>
  <c r="K51" i="23"/>
  <c r="K43" i="23"/>
  <c r="L43" i="23" l="1"/>
  <c r="L51" i="23"/>
  <c r="L56" i="23" s="1"/>
  <c r="K56" i="23"/>
  <c r="J55" i="23"/>
  <c r="K58" i="23"/>
  <c r="I5" i="23" l="1"/>
  <c r="K55" i="23"/>
  <c r="L58" i="23"/>
  <c r="M51" i="23"/>
  <c r="M43" i="23"/>
  <c r="J5" i="23"/>
  <c r="I6" i="23"/>
  <c r="J8" i="23" l="1"/>
  <c r="U23" i="5" s="1"/>
  <c r="J9" i="23"/>
  <c r="K5" i="23"/>
  <c r="J11" i="23"/>
  <c r="J10" i="23"/>
  <c r="J6" i="23"/>
  <c r="M56" i="23"/>
  <c r="L55" i="23"/>
  <c r="M58" i="23"/>
  <c r="M55" i="23" s="1"/>
  <c r="U25" i="5" l="1"/>
  <c r="E25" i="5"/>
  <c r="E26" i="5"/>
  <c r="U26" i="5"/>
  <c r="E24" i="5"/>
  <c r="U24" i="5"/>
  <c r="E23" i="5"/>
  <c r="J12" i="23"/>
  <c r="D9" i="20" l="1"/>
  <c r="AB17" i="5"/>
  <c r="D7" i="20"/>
  <c r="AB15" i="5"/>
  <c r="L8" i="5"/>
  <c r="U32" i="5" s="1"/>
  <c r="E8" i="5"/>
  <c r="E7" i="5"/>
  <c r="L7" i="5"/>
  <c r="U31" i="5" s="1"/>
  <c r="L5" i="5"/>
  <c r="U29" i="5" s="1"/>
  <c r="E5" i="5"/>
  <c r="E6" i="5"/>
  <c r="L6" i="5"/>
  <c r="U30" i="5" s="1"/>
  <c r="D6" i="20"/>
  <c r="AB14" i="5"/>
  <c r="D8" i="20"/>
  <c r="AB16" i="5"/>
  <c r="D24" i="20" l="1"/>
  <c r="F6" i="20"/>
  <c r="H8" i="5"/>
  <c r="H5" i="5"/>
  <c r="F7" i="20"/>
  <c r="D25" i="20"/>
  <c r="D26" i="20"/>
  <c r="F8" i="20"/>
  <c r="H6" i="5"/>
  <c r="D27" i="20"/>
  <c r="F9" i="20"/>
  <c r="H7" i="5"/>
  <c r="N6" i="5" l="1"/>
  <c r="D33" i="20"/>
  <c r="F27" i="20"/>
  <c r="G27" i="20" s="1"/>
  <c r="D31" i="20"/>
  <c r="F25" i="20"/>
  <c r="G25" i="20" s="1"/>
  <c r="N5" i="5"/>
  <c r="N8" i="5"/>
  <c r="N7" i="5"/>
  <c r="D32" i="20"/>
  <c r="F26" i="20"/>
  <c r="G26" i="20" s="1"/>
  <c r="D30" i="20"/>
  <c r="F24" i="20"/>
  <c r="G24" i="20" s="1"/>
</calcChain>
</file>

<file path=xl/sharedStrings.xml><?xml version="1.0" encoding="utf-8"?>
<sst xmlns="http://schemas.openxmlformats.org/spreadsheetml/2006/main" count="610" uniqueCount="206">
  <si>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</si>
  <si>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</si>
  <si>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</si>
  <si>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</si>
  <si>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</si>
  <si>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</si>
  <si>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</si>
  <si>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</si>
  <si>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</si>
  <si>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</si>
  <si>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</si>
  <si>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</si>
  <si>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</si>
  <si>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</si>
  <si>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</si>
  <si>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</si>
  <si>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</si>
  <si>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</si>
  <si>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</si>
  <si>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</si>
  <si>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</si>
  <si>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</si>
  <si>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</si>
  <si>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</si>
  <si>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</si>
  <si>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</si>
  <si>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</si>
  <si>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</si>
  <si>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</si>
  <si>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</si>
  <si>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</si>
  <si>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</si>
  <si>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</si>
  <si>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</si>
  <si>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</si>
  <si>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</si>
  <si>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</si>
  <si>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</si>
  <si>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</si>
  <si>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</si>
  <si>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</si>
  <si>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</si>
  <si>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</si>
  <si>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</si>
  <si>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</si>
  <si>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</si>
  <si>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</si>
  <si>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</si>
  <si>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</si>
  <si>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</si>
  <si>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</si>
  <si>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</si>
  <si>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</si>
  <si>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</si>
  <si>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</si>
  <si>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</si>
  <si>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</si>
  <si>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</si>
  <si>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</si>
  <si>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</si>
  <si>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</si>
  <si>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</si>
  <si>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</si>
  <si>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</si>
  <si>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</si>
  <si>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</si>
  <si>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</si>
  <si>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</si>
  <si>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</si>
  <si>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</si>
  <si>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</si>
  <si>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</si>
  <si>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</si>
  <si>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</si>
  <si>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</si>
  <si>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</si>
  <si>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</si>
  <si>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</si>
  <si>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</si>
  <si>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</si>
  <si>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</si>
  <si>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</si>
  <si>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</si>
  <si>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</si>
  <si>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</si>
  <si>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</si>
  <si>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</si>
  <si>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</si>
  <si>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</si>
  <si>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</si>
  <si>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</si>
  <si>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</si>
  <si>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</si>
  <si>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Res/Non-Res Allocation</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</si>
  <si>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</si>
  <si>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</si>
  <si>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</si>
  <si>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</si>
  <si>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</si>
  <si>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</si>
  <si>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</si>
  <si>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</si>
  <si>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</si>
  <si>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</si>
  <si>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</si>
  <si>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</si>
  <si>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</si>
  <si>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</si>
  <si>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</si>
  <si>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</si>
  <si>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</si>
  <si>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</si>
  <si>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</si>
  <si>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</si>
  <si>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</si>
  <si>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</si>
  <si>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</si>
  <si>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</si>
  <si>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</si>
  <si>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</si>
  <si>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</si>
  <si>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</si>
  <si>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</si>
  <si>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</si>
  <si>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</si>
  <si>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</si>
  <si>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</si>
  <si>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</si>
  <si>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</si>
  <si>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</si>
  <si>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</si>
  <si>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</si>
  <si>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</si>
  <si>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</si>
  <si>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</si>
  <si>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</si>
  <si>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</si>
  <si>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</si>
  <si>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</si>
  <si>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</si>
  <si>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</si>
  <si>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</si>
  <si>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</si>
  <si>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</si>
  <si>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</si>
  <si>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</si>
  <si>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</si>
  <si>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</si>
  <si>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</si>
  <si>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</si>
  <si>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</si>
  <si>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</si>
  <si>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</si>
  <si>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</si>
  <si>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</si>
  <si>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</si>
  <si>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MGS</t>
  </si>
  <si>
    <t>LGS</t>
  </si>
  <si>
    <t>LPS</t>
  </si>
  <si>
    <t>1. &amp; 3. Actual monthly Ordered Adjustments - Source: None</t>
  </si>
  <si>
    <t>2. Actual monthly billed revenues by Residential/Non-Residential (program cost revenues only) - None
Forecasted monthly billed revenues by Residential/Non-Residential (program cost revenues only) - Source: calculated = Forecasted billed kWh sales X tariff rate</t>
  </si>
  <si>
    <t>5. Monthly Short-Term Borrowing Rate - Source: None</t>
  </si>
  <si>
    <t>7. Cycle 2 kWh Participation - Source: None</t>
  </si>
  <si>
    <t>DSIM ($/kWh)</t>
  </si>
  <si>
    <t>Cycle 2 - Total</t>
  </si>
  <si>
    <t>Cycle 2 - Program Years 1 to 3 (including EO TD Adjustments through March 2019)</t>
  </si>
  <si>
    <t>1. Total Earnings Opportunity - Source: Metro EO Calculation PY1-PY3 v2.xlsx, Metro EO Calculation PY4.xlsx</t>
  </si>
  <si>
    <t>5. Total Earnings Opportunity plus Carrying Costs - Source: Sum of Columns 1. through 4.</t>
  </si>
  <si>
    <t>Cycle 2 - Program Year 4 (including EO TD Adjustments April 2019 to December 2021)</t>
  </si>
  <si>
    <t>1. Forecasted kWh by Residential/Non-Residential (Reduced for Opt-Out) - Source: Billed kWh Budget Metro 2020-2022.xlsx</t>
  </si>
  <si>
    <t>Evergy Metro, Inc. - DSIM Rider Update Filed 06/01/2021</t>
  </si>
  <si>
    <t>Projections for Cycle 3 July 2021 - June 2022 DSIM</t>
  </si>
  <si>
    <t>Cumulative Over/Under Carryover From 12/01/2020 Filing</t>
  </si>
  <si>
    <t>Reverse November 2020 - January 2021  Forecast From 12/01/2020 Filing</t>
  </si>
  <si>
    <t>Cycle 2 - EO TD Adjustments January - November 2022</t>
  </si>
  <si>
    <t>1. Actual monthly program costs by allocation bucket Residential, Non-Residential, Income-Eligible, Common/General) - Source: SI Projects Metro 112020-042021.xlsx
    Forecasted monthly program costs by allocation bucket - Source: None</t>
  </si>
  <si>
    <t>2. Actual monthly kWh billed sales by Residential/Non-Residential (reduced for opt-out) - Source: Metro MEEIA 2020-2021 Revenue Analysis.xlsx
    Forecasted monthly kWh billed sales by Residential/Non-Residential (reduced for opt-out) - Source: Billed kWh Budget Metro 2020-2022.xlsx</t>
  </si>
  <si>
    <t>3. Actual monthly billed revenues by Residential/Non-Residential (program cost revenues only) - Metro MEEIA 2020-2021 Revenue Analysis.xlsx
    Forecasted monthly billed revenues by Residential/Non-Residential (program cost revenues only) - Source: calculated = Forecasted billed kWh sales X tariff rate</t>
  </si>
  <si>
    <t>5. Monthly Short-Term Borrowing Rate - Source: Metro Short-Term Borrowing Rate November 2020 - April 2021.xlsx</t>
  </si>
  <si>
    <t>7. Cycle 2 kWh Participation - Source: Metro Cycle 2 TD Calc 042021 05062021.xlsx</t>
  </si>
  <si>
    <t>1. Forecasted Residential/Non-Residential kWh savings  - Source: Metro Cycle 2 Monthly TD Calc 042021 05062021.xlsx</t>
  </si>
  <si>
    <t>2. Forecasted Throughput Disincentive - Source: Metro Cycle 2 Monthly TD Calc 042021 05062021.xlsx</t>
  </si>
  <si>
    <t>1. Forecasted Residential/Non-Residential kWh savings  - Source: MEEIA Cycle 3 Forecast Metro 042021 05122021.xlsx</t>
  </si>
  <si>
    <t>1. &amp; 4. Actual monthly TD - Source: Metro Cycle 2 TD Calc 042021 05062021.xlsx
    Forecasted monthly TD - Source: Metro Cycle 2 TD Calc 042021 05062021.xlsx</t>
  </si>
  <si>
    <t>2. Actual monthly billed revenues by Residential/Non-Residential (TD revenues only) - Metro MEEIA 2020-2021 Revenue Analysis.xlsx
Forecasted monthly billed revenues by Residential/Non-Residential (TD revenues only) - Source: calculated = Forecasted billed kWh sales X tariff rate</t>
  </si>
  <si>
    <t>3. Actual kWh Sales Impact - Source:  Metro Cycle 2 TD Calc 042021 05062021.xlsx
    Forecasted kWh Sales Impact - Source: Metro Cycle 2 TD Calc 042021 05062021.xlsx</t>
  </si>
  <si>
    <t>8. Cycle 2 kWh Participation - Source: Metro Cycle 2 TD Calc 042021 05062021.xlsx</t>
  </si>
  <si>
    <t>2. EO TD Ex Post Gross Adjustment -  Source: TD Model Metro PY1-3 042021.xlsx, TD Model PY4 042021.xlsx</t>
  </si>
  <si>
    <t>3. EO TD NTG Adjustment -  Source: TD Model Metro PY1-3 042021.xlsx, TD Model PY4 042021.xlsx</t>
  </si>
  <si>
    <t>4. Carrying Costs @ AFUDC Rate -  Source: TD Model Metro PY1-3 042021.xlsx, TD Model PY4 042021.xlsx</t>
  </si>
  <si>
    <t>2. Actual monthly billed revenues by Residential/Non-Residential (EO revenues only) - Metro MEEIA 2020-2021 Revenue Analysis.xlsx
Forecasted monthly billed revenues by Residential/Non-Residential (EO revenues only) - Source: calculated = Forecasted billed kWh sales X tariff rate</t>
  </si>
  <si>
    <t>1.  Actual monthly EO - Source: Sum of Line 3.
    Forecasted monthly EO - Source: Sum of Line 3.</t>
  </si>
  <si>
    <t>3. Actual/Forecasted EO Amortization - Source:  EO Cycle 2 tab column G divided by remaining months on EO Cycle 2 tab line 6.</t>
  </si>
  <si>
    <t>6. Amortization Over 24 Month Recovery Period - Source: Column 5  PY 1 - 3 divided by 24 times 8 months remaining recovery, PY 4 Column 5 divided by 24 times 12, EO TD Adjustments Column 5 divided by 24 times 12</t>
  </si>
  <si>
    <t>Cumulative Correction of Short-Term Borrowing Rates September 2018 - October 2020 (Note A)</t>
  </si>
  <si>
    <t>Note A: The Company determined that the short-term borrowing rates used from September 2018 through October 2020 were incorrect. This was corrected with a cumulative adjustment. Source: Metro  MEEIA Cycle 3 Over-Under Calc 042021 05062021.xlsx.</t>
  </si>
  <si>
    <t>Note A: The Company determined that the short-term borrowing rates used from September 2018 through October 2020 were incorrect. This was corrected with a cumulative adjustment. Source: Metro  MEEIA Cycle 2 Carrying Costs 042021.xlsx.</t>
  </si>
  <si>
    <t>1. Ordered Adjustment - Source: Ordered Adjustment - Metro.xlsx</t>
  </si>
  <si>
    <t>2. Carrying Costs on OA - Source: Source: Metro Ordered Adjustment Carrying Cost Calculation.xlsx</t>
  </si>
  <si>
    <t>2. Forecasted program costs by customer class - Source: MEEIA Cycle 3 Forecast Metro 042021 06242021.xlsx</t>
  </si>
  <si>
    <t>Cumulative Correction of Short-Term Borrowing Rates September 2018 - October 2020 (Note A)
Cumulative Correction of allocation of Business Demand Response costs with interest (Note B)</t>
  </si>
  <si>
    <t>Note B: The Company determined that the allocation of Business Demand Response program costs for January 2020 - November 2020 were incorrect. This was corrected with a cumulative adjustment. Source: Metro  MEEIA Cycle 3 Over-Under Calc 042021 06242021 BDR alloc.xlsx.</t>
  </si>
  <si>
    <t>1. Actual monthly program costs by allocation bucket Residential, Non-Residential, Income-Eligible, Common/General) - Source: 11 2020 Metro Spend Allocations Worksheet BDR Alloc.xlsx, 12 2020 Metro Spend Allocations Worksheet BDR Alloc.xlsx, 01 2021 Metro Spend Allocations Worksheet BDR Alloc.xlsx, 02 2021 Metro Spend Allocations Worksheet BDR Alloc.xlsx, 03 2021 Metro Spend Allocations Worksheet BDR Alloc.xlsx, 04 2021 Metro Spend Allocations Worksheet BDR Alloc.xlsx
    Forecasted monthly program costs by allocation bucket - Source: MEEIA Cycle 3 Forecast Metro 042021 06242021.xlsx</t>
  </si>
  <si>
    <t>2. Forecasted Throughput Disincentive - Source: MEEIA Cycle 3 Forecast Metro 042021 06242021.xlsx</t>
  </si>
  <si>
    <t>1. &amp; 4. Actual monthly TD - Source: Metro Cycle 3 Monthly TD Calc 042021 05062021.xlsx
    Forecasted monthly TD - Source: MEEIA Cycle 3 Forecast Metro 042021 0624201.xlsx</t>
  </si>
  <si>
    <t>3. Actual kWh Sales Impact - Source:  Metro Cycle 3 Monthly TD Calc 042021 05062021.xlsx
    Forecasted kWh Sales Impact - Source: MEEIA Cycle 3 Forecast Metro 042021 06242021.xlsx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</si>
</sst>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_);_(&quot;$&quot;* \(#,##0.00\);_(&quot;$&quot;* &quot;-&quot;_);_(@_)"/>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09">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0" fontId="7" fillId="0" borderId="0" xfId="8" applyAlignment="1">
      <alignment horizontal="right"/>
    </xf>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72" fontId="30" fillId="0" borderId="4" xfId="0" applyNumberFormat="1" applyFont="1" applyBorder="1" applyAlignment="1">
      <alignment horizontal="center"/>
    </xf>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10" fontId="8" fillId="0" borderId="0" xfId="0" applyNumberFormat="1" applyFont="1" applyAlignment="1">
      <alignment horizontal="center" wrapText="1"/>
    </xf>
    <xf numFmtId="44" fontId="33" fillId="0" borderId="0" xfId="1" applyNumberFormat="1" applyFont="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3" xfId="0" applyNumberFormat="1" applyFont="1" applyFill="1" applyBorder="1" applyAlignment="1">
      <alignment vertical="center"/>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177" fontId="5" fillId="37" borderId="1" xfId="6" applyNumberFormat="1" applyFill="1" applyBorder="1"/>
    <xf numFmtId="170" fontId="40" fillId="0" borderId="3" xfId="0" applyNumberFormat="1" applyFont="1" applyFill="1" applyBorder="1" applyAlignment="1">
      <alignment vertical="center"/>
    </xf>
    <xf numFmtId="172" fontId="40" fillId="0" borderId="6" xfId="0" applyNumberFormat="1" applyFont="1" applyBorder="1" applyAlignment="1">
      <alignment horizontal="right"/>
    </xf>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0" fontId="9" fillId="0" borderId="0" xfId="0" applyFont="1" applyAlignment="1">
      <alignment horizontal="center" wrapText="1"/>
    </xf>
    <xf numFmtId="0" fontId="8" fillId="0" borderId="0" xfId="0" applyFont="1" applyFill="1" applyAlignment="1">
      <alignment horizontal="left" wrapText="1"/>
    </xf>
    <xf numFmtId="0" fontId="8" fillId="0" borderId="0" xfId="0" applyFont="1" applyFill="1" applyAlignment="1">
      <alignment horizontal="left"/>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styles" Target="styles.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Billed%20kWh%20Budget%20Metro%20Missouri%2020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MEEIA%202020-2021%20Revenue%20Analysi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20MEEIA%20Cycle%203%20Over-Under%20Calc%20042021%20050620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Cycle%202%20TD%20Calc%20%20042021%200506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SI%20Projects%20112020-0420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20MEEIA%20Cycle%202%20Carrying%20Costs%2004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Short-Term%20Borrowing%20Rate%20November%202020%20-%20April%20202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Cycle%202%20Monthly%20TD%20Calc%20%20042021%200506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aseworks.evergy.com/CorpAcctg/MEEIA/Month-End%20Close/Deferred%20DSM%20projects%20SI/2021/Cycle%202/Metro/Carrying%20Costs/Metro%20%20MEEIA%20Cycle%202%20Carrying%20Costs%2004202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Cycle%203%20Monthly%20TD%20Calc%20042021%200506202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EO%20Calculation%20PY1-PY3%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EIA%20Cycle%203%20Forecast%20Metro%20042021%200624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TD%20Model%20Metro%20PY1-3%2004202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EO%20Calculation%20PY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TD%20Model%20Metro%20PY4%2004202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Ordered%20Adjustments%20Carrying%20Costs%20Calculation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OA%20Adjustment%20-%20Met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Metro%20%20MEEIA%20Cycle%203%20Over-Under%20Calc%20042021%2006242021%20BDR%20allo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11%202020%20Metro%20Spend%20Allocations%20Worksheet%20BDR%20Allo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12%202020%20Metro%20Spend%20Allocations%20Worksheet%20BDR%20Allo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01%202021%20Metro%20Spend%20Allocations%20Worksheet%20BDR%20Allo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02%202021%20Metro%20Spend%20Allocations%20Worksheet%20BDR%20Allo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03%202021%20Metro%20Spend%20Allocations%20Worksheet%20BDR%20Allo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49Y%20eff%20Aug%202021%20substitute%20filing/04%202021%20Metro%20Spend%20Allocations%20Worksheet%20BDR%20Allo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I24">
            <v>151197969</v>
          </cell>
          <cell r="J24">
            <v>194132921</v>
          </cell>
          <cell r="K24">
            <v>283066672</v>
          </cell>
        </row>
        <row r="25">
          <cell r="I25">
            <v>40460535</v>
          </cell>
          <cell r="J25">
            <v>44790139</v>
          </cell>
          <cell r="K25">
            <v>49213046</v>
          </cell>
        </row>
        <row r="26">
          <cell r="I26">
            <v>88196618</v>
          </cell>
          <cell r="J26">
            <v>97634368</v>
          </cell>
          <cell r="K26">
            <v>107275502</v>
          </cell>
        </row>
        <row r="27">
          <cell r="I27">
            <v>139766949</v>
          </cell>
          <cell r="J27">
            <v>154723142</v>
          </cell>
          <cell r="K27">
            <v>170001640</v>
          </cell>
        </row>
        <row r="28">
          <cell r="I28">
            <v>40168679</v>
          </cell>
          <cell r="J28">
            <v>44467052</v>
          </cell>
          <cell r="K28">
            <v>48858055</v>
          </cell>
        </row>
        <row r="36">
          <cell r="E36">
            <v>1376490271</v>
          </cell>
          <cell r="F36">
            <v>1234292844</v>
          </cell>
        </row>
        <row r="37">
          <cell r="E37">
            <v>269589097</v>
          </cell>
          <cell r="F37">
            <v>258317242</v>
          </cell>
        </row>
        <row r="38">
          <cell r="E38">
            <v>587655259</v>
          </cell>
          <cell r="F38">
            <v>563084665</v>
          </cell>
        </row>
        <row r="39">
          <cell r="E39">
            <v>931269081</v>
          </cell>
          <cell r="F39">
            <v>892331565</v>
          </cell>
        </row>
        <row r="40">
          <cell r="E40">
            <v>267644454</v>
          </cell>
          <cell r="F40">
            <v>256453908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Feb 2021"/>
      <sheetName val="Mar 2021"/>
      <sheetName val="Apr 2021"/>
      <sheetName val="KCP&amp;L MO DSIM Rate Table"/>
      <sheetName val="DSIM Rates - Initial RP"/>
      <sheetName val="DSIM Rates - 2nd RP"/>
      <sheetName val="DSIM Rates - 3rd RP"/>
      <sheetName val="DSIM Rates - 4th RP"/>
      <sheetName val="DSIM Rates - 4th RP Cycle 2"/>
      <sheetName val="DSIM Rates 5th RP"/>
      <sheetName val="DSIM Rates 6th RP"/>
      <sheetName val="DSIM Rates 7th RP"/>
      <sheetName val="DSIM Rates 8th RP"/>
      <sheetName val="DSIM Rates 9th RP"/>
      <sheetName val="DSIM Rates 10th RP"/>
      <sheetName val="DSIM Rates 11th RP"/>
    </sheetNames>
    <sheetDataSet>
      <sheetData sheetId="0"/>
      <sheetData sheetId="1"/>
      <sheetData sheetId="2"/>
      <sheetData sheetId="3"/>
      <sheetData sheetId="4"/>
      <sheetData sheetId="5"/>
      <sheetData sheetId="6"/>
      <sheetData sheetId="7"/>
      <sheetData sheetId="8"/>
      <sheetData sheetId="9"/>
      <sheetData sheetId="10">
        <row r="43">
          <cell r="F43">
            <v>2098.2800000000002</v>
          </cell>
        </row>
        <row r="44">
          <cell r="F44">
            <v>477.43</v>
          </cell>
        </row>
        <row r="45">
          <cell r="F45">
            <v>1013.45</v>
          </cell>
        </row>
        <row r="46">
          <cell r="F46">
            <v>1627.1399999999999</v>
          </cell>
        </row>
        <row r="47">
          <cell r="F47">
            <v>230.35</v>
          </cell>
        </row>
        <row r="52">
          <cell r="F52">
            <v>60160.14</v>
          </cell>
        </row>
        <row r="53">
          <cell r="F53">
            <v>-9747.1899999999987</v>
          </cell>
        </row>
        <row r="54">
          <cell r="F54">
            <v>-20650.22</v>
          </cell>
        </row>
        <row r="55">
          <cell r="F55">
            <v>-23871.269999999997</v>
          </cell>
        </row>
        <row r="56">
          <cell r="F56">
            <v>-5049.42</v>
          </cell>
        </row>
        <row r="61">
          <cell r="F61">
            <v>257684.56</v>
          </cell>
        </row>
        <row r="62">
          <cell r="F62">
            <v>46656.26</v>
          </cell>
        </row>
        <row r="63">
          <cell r="F63">
            <v>84255.39</v>
          </cell>
        </row>
        <row r="64">
          <cell r="F64">
            <v>79573.27</v>
          </cell>
        </row>
        <row r="65">
          <cell r="F65">
            <v>8135.1100000000006</v>
          </cell>
        </row>
        <row r="70">
          <cell r="F70">
            <v>103021.37999999999</v>
          </cell>
        </row>
        <row r="71">
          <cell r="F71">
            <v>33369.35</v>
          </cell>
        </row>
        <row r="72">
          <cell r="F72">
            <v>75968.61</v>
          </cell>
        </row>
        <row r="73">
          <cell r="F73">
            <v>86174.39</v>
          </cell>
        </row>
        <row r="74">
          <cell r="F74">
            <v>16705.480000000003</v>
          </cell>
        </row>
        <row r="79">
          <cell r="F79">
            <v>446431.86</v>
          </cell>
        </row>
        <row r="80">
          <cell r="F80">
            <v>74632.539999999994</v>
          </cell>
        </row>
        <row r="81">
          <cell r="F81">
            <v>136248.89000000001</v>
          </cell>
        </row>
        <row r="82">
          <cell r="F82">
            <v>229357.87</v>
          </cell>
        </row>
        <row r="83">
          <cell r="F83">
            <v>78865.89</v>
          </cell>
        </row>
        <row r="87">
          <cell r="F87">
            <v>65235.71</v>
          </cell>
        </row>
        <row r="88">
          <cell r="F88">
            <v>22678.54</v>
          </cell>
        </row>
        <row r="89">
          <cell r="F89">
            <v>5780.26</v>
          </cell>
        </row>
        <row r="90">
          <cell r="F90">
            <v>9280.3799999999992</v>
          </cell>
        </row>
        <row r="91">
          <cell r="F91">
            <v>5439.03</v>
          </cell>
        </row>
        <row r="95">
          <cell r="F95">
            <v>164831.5</v>
          </cell>
        </row>
        <row r="96">
          <cell r="F96">
            <v>31018.48</v>
          </cell>
        </row>
        <row r="97">
          <cell r="F97">
            <v>23121.02</v>
          </cell>
        </row>
        <row r="98">
          <cell r="F98">
            <v>27841.120000000003</v>
          </cell>
        </row>
        <row r="99">
          <cell r="F99">
            <v>5050.5200000000004</v>
          </cell>
        </row>
        <row r="123">
          <cell r="C123">
            <v>171706913.76149994</v>
          </cell>
        </row>
        <row r="124">
          <cell r="C124">
            <v>37919951.567500003</v>
          </cell>
        </row>
        <row r="125">
          <cell r="C125">
            <v>82575083.608999997</v>
          </cell>
        </row>
        <row r="126">
          <cell r="C126">
            <v>132576801.11580001</v>
          </cell>
        </row>
        <row r="127">
          <cell r="C127">
            <v>38850191.596500009</v>
          </cell>
        </row>
      </sheetData>
      <sheetData sheetId="11">
        <row r="43">
          <cell r="F43">
            <v>2113.8700000000003</v>
          </cell>
        </row>
        <row r="44">
          <cell r="F44">
            <v>860.72</v>
          </cell>
        </row>
        <row r="45">
          <cell r="F45">
            <v>1389.79</v>
          </cell>
        </row>
        <row r="46">
          <cell r="F46">
            <v>2293.9899999999998</v>
          </cell>
        </row>
        <row r="47">
          <cell r="F47">
            <v>-195.7</v>
          </cell>
        </row>
        <row r="52">
          <cell r="F52">
            <v>72277.47</v>
          </cell>
        </row>
        <row r="53">
          <cell r="F53">
            <v>-11050.54</v>
          </cell>
        </row>
        <row r="54">
          <cell r="F54">
            <v>-21722.37</v>
          </cell>
        </row>
        <row r="55">
          <cell r="F55">
            <v>-25912.5</v>
          </cell>
        </row>
        <row r="56">
          <cell r="F56">
            <v>-5036.79</v>
          </cell>
        </row>
        <row r="61">
          <cell r="F61">
            <v>309647.33</v>
          </cell>
        </row>
        <row r="62">
          <cell r="F62">
            <v>53482.439999999995</v>
          </cell>
        </row>
        <row r="63">
          <cell r="F63">
            <v>90052.84</v>
          </cell>
        </row>
        <row r="64">
          <cell r="F64">
            <v>86831.55</v>
          </cell>
        </row>
        <row r="65">
          <cell r="F65">
            <v>8094.67</v>
          </cell>
        </row>
        <row r="70">
          <cell r="F70">
            <v>123857.37</v>
          </cell>
        </row>
        <row r="71">
          <cell r="F71">
            <v>38220.949999999997</v>
          </cell>
        </row>
        <row r="72">
          <cell r="F72">
            <v>81184.39</v>
          </cell>
        </row>
        <row r="73">
          <cell r="F73">
            <v>93997.58</v>
          </cell>
        </row>
        <row r="74">
          <cell r="F74">
            <v>16699.14</v>
          </cell>
        </row>
        <row r="79">
          <cell r="F79">
            <v>536707.68000000005</v>
          </cell>
        </row>
        <row r="80">
          <cell r="F80">
            <v>85411.32</v>
          </cell>
        </row>
        <row r="81">
          <cell r="F81">
            <v>145391.57</v>
          </cell>
        </row>
        <row r="82">
          <cell r="F82">
            <v>250067.46000000002</v>
          </cell>
        </row>
        <row r="83">
          <cell r="F83">
            <v>78834.100000000006</v>
          </cell>
        </row>
        <row r="87">
          <cell r="F87">
            <v>78421.58</v>
          </cell>
        </row>
        <row r="88">
          <cell r="F88">
            <v>25901.39</v>
          </cell>
        </row>
        <row r="89">
          <cell r="F89">
            <v>6148.37</v>
          </cell>
        </row>
        <row r="90">
          <cell r="F90">
            <v>10107.18</v>
          </cell>
        </row>
        <row r="91">
          <cell r="F91">
            <v>5436.83</v>
          </cell>
        </row>
        <row r="95">
          <cell r="F95">
            <v>198160.75</v>
          </cell>
        </row>
        <row r="96">
          <cell r="F96">
            <v>35451.199999999997</v>
          </cell>
        </row>
        <row r="97">
          <cell r="F97">
            <v>24642.5</v>
          </cell>
        </row>
        <row r="98">
          <cell r="F98">
            <v>30339.760000000002</v>
          </cell>
        </row>
        <row r="99">
          <cell r="F99">
            <v>5048.49</v>
          </cell>
        </row>
        <row r="123">
          <cell r="C123">
            <v>206430008.66069999</v>
          </cell>
        </row>
        <row r="124">
          <cell r="C124">
            <v>43432139.264500007</v>
          </cell>
        </row>
        <row r="125">
          <cell r="C125">
            <v>88242354.205900013</v>
          </cell>
        </row>
        <row r="126">
          <cell r="C126">
            <v>144616153.53920001</v>
          </cell>
        </row>
        <row r="127">
          <cell r="C127">
            <v>38834530.521600001</v>
          </cell>
        </row>
      </sheetData>
      <sheetData sheetId="12">
        <row r="43">
          <cell r="F43">
            <v>2888.72</v>
          </cell>
        </row>
        <row r="44">
          <cell r="F44">
            <v>651.62</v>
          </cell>
        </row>
        <row r="45">
          <cell r="F45">
            <v>1329.9499999999998</v>
          </cell>
        </row>
        <row r="46">
          <cell r="F46">
            <v>2044.7900000000004</v>
          </cell>
        </row>
        <row r="47">
          <cell r="F47">
            <v>668.32999999999993</v>
          </cell>
        </row>
        <row r="52">
          <cell r="F52">
            <v>89990.22</v>
          </cell>
        </row>
        <row r="53">
          <cell r="F53">
            <v>-12030.699999999999</v>
          </cell>
        </row>
        <row r="54">
          <cell r="F54">
            <v>-24111.95</v>
          </cell>
        </row>
        <row r="55">
          <cell r="F55">
            <v>-27299.439999999999</v>
          </cell>
        </row>
        <row r="56">
          <cell r="F56">
            <v>-4957.9400000000005</v>
          </cell>
        </row>
        <row r="61">
          <cell r="F61">
            <v>385321.99</v>
          </cell>
        </row>
        <row r="62">
          <cell r="F62">
            <v>57915.229999999996</v>
          </cell>
        </row>
        <row r="63">
          <cell r="F63">
            <v>99409.74</v>
          </cell>
        </row>
        <row r="64">
          <cell r="F64">
            <v>92036.87999999999</v>
          </cell>
        </row>
        <row r="65">
          <cell r="F65">
            <v>8037.35</v>
          </cell>
        </row>
        <row r="70">
          <cell r="F70">
            <v>154100.13</v>
          </cell>
        </row>
        <row r="71">
          <cell r="F71">
            <v>41426.29</v>
          </cell>
        </row>
        <row r="72">
          <cell r="F72">
            <v>89646.26</v>
          </cell>
        </row>
        <row r="73">
          <cell r="F73">
            <v>99672.75</v>
          </cell>
        </row>
        <row r="74">
          <cell r="F74">
            <v>16371.41</v>
          </cell>
        </row>
        <row r="79">
          <cell r="F79">
            <v>667765.64</v>
          </cell>
        </row>
        <row r="80">
          <cell r="F80">
            <v>92610.17</v>
          </cell>
        </row>
        <row r="81">
          <cell r="F81">
            <v>160626.64000000001</v>
          </cell>
        </row>
        <row r="82">
          <cell r="F82">
            <v>265035.24</v>
          </cell>
        </row>
        <row r="83">
          <cell r="F83">
            <v>77288.27</v>
          </cell>
        </row>
        <row r="87">
          <cell r="F87">
            <v>97545.62</v>
          </cell>
        </row>
        <row r="88">
          <cell r="F88">
            <v>28109.200000000001</v>
          </cell>
        </row>
        <row r="89">
          <cell r="F89">
            <v>6800.16</v>
          </cell>
        </row>
        <row r="90">
          <cell r="F90">
            <v>10697.99</v>
          </cell>
        </row>
        <row r="91">
          <cell r="F91">
            <v>5330.23</v>
          </cell>
        </row>
        <row r="95">
          <cell r="F95">
            <v>246545.19</v>
          </cell>
        </row>
        <row r="96">
          <cell r="F96">
            <v>38461.79</v>
          </cell>
        </row>
        <row r="97">
          <cell r="F97">
            <v>27236.03</v>
          </cell>
        </row>
        <row r="98">
          <cell r="F98">
            <v>32136.420000000002</v>
          </cell>
        </row>
        <row r="99">
          <cell r="F99">
            <v>4949.49</v>
          </cell>
        </row>
        <row r="123">
          <cell r="C123">
            <v>256841523.56810001</v>
          </cell>
        </row>
        <row r="124">
          <cell r="C124">
            <v>47075644.781300008</v>
          </cell>
        </row>
        <row r="125">
          <cell r="C125">
            <v>97441545.004099995</v>
          </cell>
        </row>
        <row r="126">
          <cell r="C126">
            <v>153359017.4966</v>
          </cell>
        </row>
        <row r="127">
          <cell r="C127">
            <v>38073037.279299997</v>
          </cell>
        </row>
      </sheetData>
      <sheetData sheetId="13">
        <row r="43">
          <cell r="F43">
            <v>1710.71</v>
          </cell>
        </row>
        <row r="44">
          <cell r="F44">
            <v>363.89</v>
          </cell>
        </row>
        <row r="45">
          <cell r="F45">
            <v>1628.4299999999998</v>
          </cell>
        </row>
        <row r="46">
          <cell r="F46">
            <v>1178.27</v>
          </cell>
        </row>
        <row r="47">
          <cell r="F47">
            <v>3438.8</v>
          </cell>
        </row>
        <row r="52">
          <cell r="F52">
            <v>63378.430000000008</v>
          </cell>
        </row>
        <row r="53">
          <cell r="F53">
            <v>-11080.11</v>
          </cell>
        </row>
        <row r="54">
          <cell r="F54">
            <v>-20174.54</v>
          </cell>
        </row>
        <row r="55">
          <cell r="F55">
            <v>-24038.84</v>
          </cell>
        </row>
        <row r="56">
          <cell r="F56">
            <v>-4064.69</v>
          </cell>
        </row>
        <row r="61">
          <cell r="F61">
            <v>361278.98</v>
          </cell>
        </row>
        <row r="62">
          <cell r="F62">
            <v>60094.04</v>
          </cell>
        </row>
        <row r="63">
          <cell r="F63">
            <v>98706.049999999988</v>
          </cell>
        </row>
        <row r="64">
          <cell r="F64">
            <v>94332.58</v>
          </cell>
        </row>
        <row r="65">
          <cell r="F65">
            <v>8650.51</v>
          </cell>
        </row>
        <row r="70">
          <cell r="F70">
            <v>132176.80000000002</v>
          </cell>
        </row>
        <row r="71">
          <cell r="F71">
            <v>34818.18</v>
          </cell>
        </row>
        <row r="72">
          <cell r="F72">
            <v>96363.17</v>
          </cell>
        </row>
        <row r="73">
          <cell r="F73">
            <v>107435.54</v>
          </cell>
        </row>
        <row r="74">
          <cell r="F74">
            <v>20685.57</v>
          </cell>
        </row>
        <row r="79">
          <cell r="F79">
            <v>687173.33</v>
          </cell>
        </row>
        <row r="80">
          <cell r="F80">
            <v>96696.28</v>
          </cell>
        </row>
        <row r="81">
          <cell r="F81">
            <v>164341.51999999999</v>
          </cell>
        </row>
        <row r="82">
          <cell r="F82">
            <v>274724.45</v>
          </cell>
        </row>
        <row r="83">
          <cell r="F83">
            <v>78450.11</v>
          </cell>
        </row>
        <row r="87">
          <cell r="F87">
            <v>63512.92</v>
          </cell>
        </row>
        <row r="88">
          <cell r="F88">
            <v>17084.88</v>
          </cell>
        </row>
        <row r="89">
          <cell r="F89">
            <v>29899.37</v>
          </cell>
        </row>
        <row r="90">
          <cell r="F90">
            <v>17444.509999999998</v>
          </cell>
        </row>
        <row r="91">
          <cell r="F91">
            <v>-5403.95</v>
          </cell>
        </row>
        <row r="95">
          <cell r="F95">
            <v>299545.17</v>
          </cell>
        </row>
        <row r="96">
          <cell r="F96">
            <v>39896.959999999999</v>
          </cell>
        </row>
        <row r="97">
          <cell r="F97">
            <v>41420.770000000004</v>
          </cell>
        </row>
        <row r="98">
          <cell r="F98">
            <v>41065.979999999996</v>
          </cell>
        </row>
        <row r="99">
          <cell r="F99">
            <v>4180.17</v>
          </cell>
        </row>
        <row r="123">
          <cell r="C123">
            <v>258074452.14089999</v>
          </cell>
        </row>
        <row r="124">
          <cell r="C124">
            <v>47743336.265700005</v>
          </cell>
        </row>
        <row r="125">
          <cell r="C125">
            <v>94856578.525900021</v>
          </cell>
        </row>
        <row r="126">
          <cell r="C126">
            <v>150839894.21359998</v>
          </cell>
        </row>
        <row r="127">
          <cell r="C127">
            <v>36328911.880999997</v>
          </cell>
        </row>
      </sheetData>
      <sheetData sheetId="14">
        <row r="43">
          <cell r="F43">
            <v>772.11</v>
          </cell>
        </row>
        <row r="44">
          <cell r="F44">
            <v>-14.65</v>
          </cell>
        </row>
        <row r="45">
          <cell r="F45">
            <v>2.35</v>
          </cell>
        </row>
        <row r="46">
          <cell r="F46">
            <v>5.6000000000000005</v>
          </cell>
        </row>
        <row r="47">
          <cell r="F47">
            <v>-339.69</v>
          </cell>
        </row>
        <row r="52">
          <cell r="F52">
            <v>23104.84</v>
          </cell>
        </row>
        <row r="53">
          <cell r="F53">
            <v>-8638.84</v>
          </cell>
        </row>
        <row r="54">
          <cell r="F54">
            <v>-14987.42</v>
          </cell>
        </row>
        <row r="55">
          <cell r="F55">
            <v>-19787.080000000002</v>
          </cell>
        </row>
        <row r="56">
          <cell r="F56">
            <v>-3332.71</v>
          </cell>
        </row>
        <row r="61">
          <cell r="F61">
            <v>287579.33</v>
          </cell>
        </row>
        <row r="62">
          <cell r="F62">
            <v>59374.229999999996</v>
          </cell>
        </row>
        <row r="63">
          <cell r="F63">
            <v>100306.38999999998</v>
          </cell>
        </row>
        <row r="64">
          <cell r="F64">
            <v>100304.03</v>
          </cell>
        </row>
        <row r="65">
          <cell r="F65">
            <v>8811.98</v>
          </cell>
        </row>
        <row r="70">
          <cell r="F70">
            <v>89035.17</v>
          </cell>
        </row>
        <row r="71">
          <cell r="F71">
            <v>22662.780000000002</v>
          </cell>
        </row>
        <row r="72">
          <cell r="F72">
            <v>109635.39000000001</v>
          </cell>
        </row>
        <row r="73">
          <cell r="F73">
            <v>121505.76</v>
          </cell>
        </row>
        <row r="74">
          <cell r="F74">
            <v>25447.18</v>
          </cell>
        </row>
        <row r="79">
          <cell r="F79">
            <v>626488.54</v>
          </cell>
        </row>
        <row r="80">
          <cell r="F80">
            <v>96378.04</v>
          </cell>
        </row>
        <row r="81">
          <cell r="F81">
            <v>175276.37</v>
          </cell>
        </row>
        <row r="82">
          <cell r="F82">
            <v>296321.62</v>
          </cell>
        </row>
        <row r="83">
          <cell r="F83">
            <v>82094.960000000006</v>
          </cell>
        </row>
        <row r="87">
          <cell r="F87">
            <v>13815.98</v>
          </cell>
        </row>
        <row r="88">
          <cell r="F88">
            <v>-711.3</v>
          </cell>
        </row>
        <row r="89">
          <cell r="F89">
            <v>66496.509999999995</v>
          </cell>
        </row>
        <row r="90">
          <cell r="F90">
            <v>27300.76</v>
          </cell>
        </row>
        <row r="91">
          <cell r="F91">
            <v>-15773.7</v>
          </cell>
        </row>
        <row r="95">
          <cell r="F95">
            <v>327787.40999999997</v>
          </cell>
        </row>
        <row r="96">
          <cell r="F96">
            <v>39273.43</v>
          </cell>
        </row>
        <row r="97">
          <cell r="F97">
            <v>64642.33</v>
          </cell>
        </row>
        <row r="98">
          <cell r="F98">
            <v>54642.1</v>
          </cell>
        </row>
        <row r="99">
          <cell r="F99">
            <v>3584.93</v>
          </cell>
        </row>
        <row r="123">
          <cell r="C123">
            <v>227856987.37839997</v>
          </cell>
        </row>
        <row r="124">
          <cell r="C124">
            <v>45650428.892700002</v>
          </cell>
        </row>
        <row r="125">
          <cell r="C125">
            <v>93748058.156000003</v>
          </cell>
        </row>
        <row r="126">
          <cell r="C126">
            <v>152025748.42820001</v>
          </cell>
        </row>
        <row r="127">
          <cell r="C127">
            <v>35849326.004699998</v>
          </cell>
        </row>
      </sheetData>
      <sheetData sheetId="15">
        <row r="43">
          <cell r="F43">
            <v>13.85</v>
          </cell>
        </row>
        <row r="44">
          <cell r="F44">
            <v>4.34</v>
          </cell>
        </row>
        <row r="45">
          <cell r="F45">
            <v>0.51</v>
          </cell>
        </row>
        <row r="46">
          <cell r="F46">
            <v>0</v>
          </cell>
        </row>
        <row r="47">
          <cell r="F47">
            <v>2540.6</v>
          </cell>
        </row>
        <row r="52">
          <cell r="F52">
            <v>15680.050000000001</v>
          </cell>
        </row>
        <row r="53">
          <cell r="F53">
            <v>-7173.33</v>
          </cell>
        </row>
        <row r="54">
          <cell r="F54">
            <v>-12322.07</v>
          </cell>
        </row>
        <row r="55">
          <cell r="F55">
            <v>-16964.73</v>
          </cell>
        </row>
        <row r="56">
          <cell r="F56">
            <v>-3228.6600000000003</v>
          </cell>
        </row>
        <row r="61">
          <cell r="F61">
            <v>197438.03</v>
          </cell>
        </row>
        <row r="62">
          <cell r="F62">
            <v>49120.03</v>
          </cell>
        </row>
        <row r="63">
          <cell r="F63">
            <v>82376.23000000001</v>
          </cell>
        </row>
        <row r="64">
          <cell r="F64">
            <v>86109.930000000008</v>
          </cell>
        </row>
        <row r="65">
          <cell r="F65">
            <v>9003.2199999999993</v>
          </cell>
        </row>
        <row r="70">
          <cell r="F70">
            <v>61115.829999999994</v>
          </cell>
        </row>
        <row r="71">
          <cell r="F71">
            <v>18889.7</v>
          </cell>
        </row>
        <row r="72">
          <cell r="F72">
            <v>89984.85</v>
          </cell>
        </row>
        <row r="73">
          <cell r="F73">
            <v>104274.69</v>
          </cell>
        </row>
        <row r="74">
          <cell r="F74">
            <v>25287.54</v>
          </cell>
        </row>
        <row r="79">
          <cell r="F79">
            <v>430887.27</v>
          </cell>
        </row>
        <row r="80">
          <cell r="F80">
            <v>79641.31</v>
          </cell>
        </row>
        <row r="81">
          <cell r="F81">
            <v>143824.63</v>
          </cell>
        </row>
        <row r="82">
          <cell r="F82">
            <v>254169.57</v>
          </cell>
        </row>
        <row r="83">
          <cell r="F83">
            <v>81561.22</v>
          </cell>
        </row>
        <row r="87">
          <cell r="F87">
            <v>9413.85</v>
          </cell>
        </row>
        <row r="88">
          <cell r="F88">
            <v>-360.72</v>
          </cell>
        </row>
        <row r="89">
          <cell r="F89">
            <v>54598.86</v>
          </cell>
        </row>
        <row r="90">
          <cell r="F90">
            <v>23461.81</v>
          </cell>
        </row>
        <row r="91">
          <cell r="F91">
            <v>-15671.15</v>
          </cell>
        </row>
        <row r="95">
          <cell r="F95">
            <v>225614.01</v>
          </cell>
        </row>
        <row r="96">
          <cell r="F96">
            <v>32456.81</v>
          </cell>
        </row>
        <row r="97">
          <cell r="F97">
            <v>53064.05</v>
          </cell>
        </row>
        <row r="98">
          <cell r="F98">
            <v>46923.61</v>
          </cell>
        </row>
        <row r="99">
          <cell r="F99">
            <v>3561.63</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etro Cycle 3 Prog Cost"/>
      <sheetName val="Metro Cycle 3 TD"/>
      <sheetName val="Carrying Costs"/>
      <sheetName val="Jnl Import-Prg Cost"/>
      <sheetName val="Jnl Import-TD"/>
      <sheetName val="Jnl Import-Carrying Costs"/>
      <sheetName val="2021 kWh Budget"/>
    </sheetNames>
    <sheetDataSet>
      <sheetData sheetId="0"/>
      <sheetData sheetId="1">
        <row r="29">
          <cell r="C29">
            <v>365173.44</v>
          </cell>
        </row>
      </sheetData>
      <sheetData sheetId="2"/>
      <sheetData sheetId="3">
        <row r="98">
          <cell r="C98">
            <v>-38.039999999999964</v>
          </cell>
          <cell r="D98">
            <v>-116.74000000000001</v>
          </cell>
          <cell r="E98">
            <v>-176.08999999999992</v>
          </cell>
          <cell r="F98">
            <v>-190.33000000000015</v>
          </cell>
          <cell r="G98">
            <v>-239.26</v>
          </cell>
          <cell r="H98">
            <v>-291.45000000000005</v>
          </cell>
          <cell r="I98">
            <v>-264.9699999999998</v>
          </cell>
          <cell r="J98">
            <v>-220.47000000000003</v>
          </cell>
          <cell r="K98">
            <v>-174.30000000000007</v>
          </cell>
          <cell r="L98">
            <v>-202.10000000000002</v>
          </cell>
        </row>
        <row r="99">
          <cell r="C99">
            <v>-2.4700000000000024</v>
          </cell>
          <cell r="D99">
            <v>-9.0899999999999892</v>
          </cell>
          <cell r="E99">
            <v>-20.139999999999986</v>
          </cell>
          <cell r="F99">
            <v>-41.490000000000009</v>
          </cell>
          <cell r="G99">
            <v>-54.010000000000048</v>
          </cell>
          <cell r="H99">
            <v>-55.740000000000009</v>
          </cell>
          <cell r="I99">
            <v>-56.539999999999964</v>
          </cell>
          <cell r="J99">
            <v>-48.930000000000035</v>
          </cell>
          <cell r="K99">
            <v>-38.03</v>
          </cell>
          <cell r="L99">
            <v>-25.040000000000006</v>
          </cell>
        </row>
        <row r="100">
          <cell r="C100">
            <v>-5.6000000000000014</v>
          </cell>
          <cell r="D100">
            <v>-21.289999999999992</v>
          </cell>
          <cell r="E100">
            <v>-32.989999999999981</v>
          </cell>
          <cell r="F100">
            <v>-29.269999999999982</v>
          </cell>
          <cell r="G100">
            <v>-29.47</v>
          </cell>
          <cell r="H100">
            <v>-35.259999999999991</v>
          </cell>
          <cell r="I100">
            <v>-61.569999999999993</v>
          </cell>
          <cell r="J100">
            <v>-98.38999999999993</v>
          </cell>
          <cell r="K100">
            <v>-147.38</v>
          </cell>
          <cell r="L100">
            <v>-183.80000000000007</v>
          </cell>
        </row>
        <row r="101">
          <cell r="C101">
            <v>-8.9399999999999977</v>
          </cell>
          <cell r="D101">
            <v>-33.920000000000016</v>
          </cell>
          <cell r="E101">
            <v>-49.120000000000005</v>
          </cell>
          <cell r="F101">
            <v>-45.050000000000011</v>
          </cell>
          <cell r="G101">
            <v>-45.689999999999969</v>
          </cell>
          <cell r="H101">
            <v>-61.870000000000005</v>
          </cell>
          <cell r="I101">
            <v>-67.019999999999982</v>
          </cell>
          <cell r="J101">
            <v>-49.649999999999977</v>
          </cell>
          <cell r="K101">
            <v>-28.170000000000016</v>
          </cell>
          <cell r="L101">
            <v>-49.09</v>
          </cell>
        </row>
        <row r="102">
          <cell r="C102">
            <v>-3.1700000000000017</v>
          </cell>
          <cell r="D102">
            <v>-12.060000000000002</v>
          </cell>
          <cell r="E102">
            <v>-17.110000000000014</v>
          </cell>
          <cell r="F102">
            <v>-15.799999999999997</v>
          </cell>
          <cell r="G102">
            <v>-13.759999999999991</v>
          </cell>
          <cell r="H102">
            <v>-10.43</v>
          </cell>
          <cell r="I102">
            <v>-4.4700000000000024</v>
          </cell>
          <cell r="J102">
            <v>3.8100000000000023</v>
          </cell>
          <cell r="K102">
            <v>15.990000000000009</v>
          </cell>
          <cell r="L102">
            <v>33.820000000000022</v>
          </cell>
        </row>
        <row r="106">
          <cell r="C106">
            <v>-8.0799999999999983</v>
          </cell>
          <cell r="D106">
            <v>-24.829999999999984</v>
          </cell>
          <cell r="E106">
            <v>-36.96999999999997</v>
          </cell>
          <cell r="F106">
            <v>-38.620000000000005</v>
          </cell>
          <cell r="G106">
            <v>-36.800000000000011</v>
          </cell>
          <cell r="H106">
            <v>-37.960000000000008</v>
          </cell>
          <cell r="I106">
            <v>-42.069999999999993</v>
          </cell>
          <cell r="J106">
            <v>-48.759999999999962</v>
          </cell>
          <cell r="K106">
            <v>-60.919999999999959</v>
          </cell>
          <cell r="L106">
            <v>-72.53000000000003</v>
          </cell>
        </row>
        <row r="107">
          <cell r="C107">
            <v>-9.999999999999995E-3</v>
          </cell>
          <cell r="D107">
            <v>-1.999999999999999E-2</v>
          </cell>
          <cell r="E107">
            <v>0.20999999999999996</v>
          </cell>
          <cell r="F107">
            <v>0.48999999999999977</v>
          </cell>
          <cell r="G107">
            <v>1.999999999999999E-2</v>
          </cell>
          <cell r="H107">
            <v>-1.1200000000000001</v>
          </cell>
          <cell r="I107">
            <v>-2.2599999999999998</v>
          </cell>
          <cell r="J107">
            <v>-2.3899999999999988</v>
          </cell>
          <cell r="K107">
            <v>0.26</v>
          </cell>
          <cell r="L107">
            <v>4.379999999999999</v>
          </cell>
        </row>
        <row r="108">
          <cell r="C108">
            <v>-2.0000000000000018E-2</v>
          </cell>
          <cell r="D108">
            <v>-5.9999999999999942E-2</v>
          </cell>
          <cell r="E108">
            <v>0.3400000000000003</v>
          </cell>
          <cell r="F108">
            <v>1.6199999999999992</v>
          </cell>
          <cell r="G108">
            <v>3.0399999999999991</v>
          </cell>
          <cell r="H108">
            <v>4.09</v>
          </cell>
          <cell r="I108">
            <v>4.620000000000001</v>
          </cell>
          <cell r="J108">
            <v>4.4700000000000024</v>
          </cell>
          <cell r="K108">
            <v>4.3300000000000018</v>
          </cell>
          <cell r="L108">
            <v>4</v>
          </cell>
        </row>
        <row r="109">
          <cell r="C109">
            <v>-2.9999999999999971E-2</v>
          </cell>
          <cell r="D109">
            <v>-8.9999999999999858E-2</v>
          </cell>
          <cell r="E109">
            <v>0.35999999999999988</v>
          </cell>
          <cell r="F109">
            <v>1.7599999999999998</v>
          </cell>
          <cell r="G109">
            <v>3.2600000000000016</v>
          </cell>
          <cell r="H109">
            <v>4.0600000000000023</v>
          </cell>
          <cell r="I109">
            <v>4.32</v>
          </cell>
          <cell r="J109">
            <v>5.07</v>
          </cell>
          <cell r="K109">
            <v>7.6999999999999957</v>
          </cell>
          <cell r="L109">
            <v>10.910000000000004</v>
          </cell>
        </row>
        <row r="110">
          <cell r="C110">
            <v>-1.0000000000000009E-2</v>
          </cell>
          <cell r="D110">
            <v>-2.9999999999999971E-2</v>
          </cell>
          <cell r="E110">
            <v>-1.0000000000000009E-2</v>
          </cell>
          <cell r="F110">
            <v>0.10999999999999999</v>
          </cell>
          <cell r="G110">
            <v>0.24</v>
          </cell>
          <cell r="H110">
            <v>0.33999999999999986</v>
          </cell>
          <cell r="I110">
            <v>0.42000000000000015</v>
          </cell>
          <cell r="J110">
            <v>0.64999999999999991</v>
          </cell>
          <cell r="K110">
            <v>1.3999999999999995</v>
          </cell>
          <cell r="L110">
            <v>2.5599999999999987</v>
          </cell>
        </row>
      </sheetData>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sheetData sheetId="1">
        <row r="44">
          <cell r="CY44">
            <v>0.13576441564001979</v>
          </cell>
          <cell r="CZ44">
            <v>0.35611574316442379</v>
          </cell>
          <cell r="DA44">
            <v>0.4183185730547726</v>
          </cell>
          <cell r="DB44">
            <v>8.9801268140783777E-2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MEEIA Cycle 2"/>
      <sheetName val="Metro MEEIA Cycle 3"/>
      <sheetName val="MO West MEEIA Cycle 2"/>
      <sheetName val="MO West MEEIA Cycle 3"/>
      <sheetName val="SI Projects 112020-042021"/>
    </sheetNames>
    <sheetDataSet>
      <sheetData sheetId="0">
        <row r="13">
          <cell r="C13">
            <v>0</v>
          </cell>
          <cell r="D13">
            <v>0</v>
          </cell>
          <cell r="E13">
            <v>0</v>
          </cell>
          <cell r="F13">
            <v>0</v>
          </cell>
          <cell r="G13">
            <v>0</v>
          </cell>
          <cell r="H13">
            <v>0</v>
          </cell>
        </row>
        <row r="14">
          <cell r="C14">
            <v>0</v>
          </cell>
          <cell r="D14">
            <v>-61476.800000000003</v>
          </cell>
          <cell r="E14">
            <v>61476.800000000003</v>
          </cell>
          <cell r="F14">
            <v>-13962.41</v>
          </cell>
          <cell r="G14">
            <v>0</v>
          </cell>
          <cell r="H14">
            <v>0</v>
          </cell>
        </row>
        <row r="15">
          <cell r="C15"/>
          <cell r="D15"/>
          <cell r="E15"/>
          <cell r="F15"/>
          <cell r="G15"/>
          <cell r="H15"/>
        </row>
        <row r="16">
          <cell r="C16">
            <v>0</v>
          </cell>
          <cell r="D16">
            <v>0</v>
          </cell>
          <cell r="E16">
            <v>0</v>
          </cell>
          <cell r="F16">
            <v>0</v>
          </cell>
          <cell r="G16">
            <v>0</v>
          </cell>
          <cell r="H16">
            <v>0</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Import"/>
      <sheetName val="Metro Program Cycle 2"/>
      <sheetName val="Metro TD Cycle 2"/>
      <sheetName val="Metro EO Cycle 2 Carrying Cost"/>
      <sheetName val="Metro Short-Term Rate Apr 2021"/>
      <sheetName val="Metro Short-Term Rate Mar 2021"/>
      <sheetName val="Metro Short-Term Rate Feb 2021"/>
      <sheetName val="Metro Short-Term Rate Jan 2 (2)"/>
      <sheetName val="Metro Short-Term Rate Jan 2021"/>
      <sheetName val="Metro Short-Term Rate Dec 2020"/>
      <sheetName val="Metro Short-Term Rate Nov 2020"/>
      <sheetName val="Metro Short-Term Rate Oct 2020"/>
      <sheetName val="Metro Short-Term Rate Sept 2020"/>
      <sheetName val="Metro Short-Term Rate Aug 2020"/>
      <sheetName val="Metro Short-Term Rate July 2020"/>
      <sheetName val="Metro Short-Term Rate June 2020"/>
      <sheetName val="Metro Short-Term Rate May 2020"/>
      <sheetName val="Metro Short-Term Rate Apr 2020"/>
      <sheetName val="Metro Short-Term Rate Mar 2020"/>
      <sheetName val="Metro Short-Term Rate Feb 2020"/>
      <sheetName val="Metro Short-Term Rate Jan 2020"/>
    </sheetNames>
    <sheetDataSet>
      <sheetData sheetId="0"/>
      <sheetData sheetId="1">
        <row r="100">
          <cell r="K100">
            <v>32144.46</v>
          </cell>
          <cell r="L100">
            <v>36478.680000000008</v>
          </cell>
          <cell r="X100">
            <v>-8848.16</v>
          </cell>
          <cell r="Y100">
            <v>-9914.14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20"/>
      <sheetName val="Dec 2020"/>
      <sheetName val="Jan 2021"/>
      <sheetName val="Feb 2021"/>
      <sheetName val=" Mar 2021"/>
      <sheetName val="Apr 2021"/>
    </sheetNames>
    <sheetDataSet>
      <sheetData sheetId="0">
        <row r="51">
          <cell r="F51">
            <v>9.5178000000000005E-4</v>
          </cell>
        </row>
      </sheetData>
      <sheetData sheetId="1">
        <row r="51">
          <cell r="F51">
            <v>9.5761000000000002E-4</v>
          </cell>
        </row>
      </sheetData>
      <sheetData sheetId="2">
        <row r="51">
          <cell r="F51">
            <v>9.4081999999999998E-4</v>
          </cell>
        </row>
      </sheetData>
      <sheetData sheetId="3">
        <row r="48">
          <cell r="F48">
            <v>9.2864E-4</v>
          </cell>
        </row>
      </sheetData>
      <sheetData sheetId="4">
        <row r="51">
          <cell r="F51">
            <v>9.2287999999999995E-4</v>
          </cell>
        </row>
      </sheetData>
      <sheetData sheetId="5">
        <row r="51">
          <cell r="F51">
            <v>9.2628999999999997E-4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sheetData sheetId="1">
        <row r="285">
          <cell r="BF285">
            <v>3066562.9817966414</v>
          </cell>
          <cell r="BG285">
            <v>3662309.1959070778</v>
          </cell>
          <cell r="BH285">
            <v>3670317.7984049888</v>
          </cell>
          <cell r="BI285">
            <v>3305717.5520906802</v>
          </cell>
          <cell r="BJ285">
            <v>3281805.3874220303</v>
          </cell>
          <cell r="BK285">
            <v>3159237.1988244001</v>
          </cell>
          <cell r="BL285">
            <v>3370413.5458254805</v>
          </cell>
          <cell r="BM285">
            <v>3266081.7171445102</v>
          </cell>
          <cell r="BN285">
            <v>3680422.2557181921</v>
          </cell>
          <cell r="BO285">
            <v>3515394.0907785045</v>
          </cell>
          <cell r="BP285">
            <v>3065941.0702093444</v>
          </cell>
          <cell r="BQ285">
            <v>3188466.8000968723</v>
          </cell>
          <cell r="BR285">
            <v>3066562.9817966414</v>
          </cell>
          <cell r="BS285">
            <v>3662309.1959070778</v>
          </cell>
        </row>
        <row r="286">
          <cell r="BF286">
            <v>519241.44169683417</v>
          </cell>
          <cell r="BG286">
            <v>517792.72147182899</v>
          </cell>
          <cell r="BH286">
            <v>546257.46031236276</v>
          </cell>
          <cell r="BI286">
            <v>496691.12885422038</v>
          </cell>
          <cell r="BJ286">
            <v>556097.3657622321</v>
          </cell>
          <cell r="BK286">
            <v>524405.96288920077</v>
          </cell>
          <cell r="BL286">
            <v>556499.47614329192</v>
          </cell>
          <cell r="BM286">
            <v>546992.58507852885</v>
          </cell>
          <cell r="BN286">
            <v>563211.1824736062</v>
          </cell>
          <cell r="BO286">
            <v>575288.93952046824</v>
          </cell>
          <cell r="BP286">
            <v>521940.09533534345</v>
          </cell>
          <cell r="BQ286">
            <v>550893.96566210699</v>
          </cell>
          <cell r="BR286">
            <v>519241.44169683417</v>
          </cell>
          <cell r="BS286">
            <v>517792.72147182899</v>
          </cell>
        </row>
        <row r="287">
          <cell r="BF287">
            <v>1902188.3875856276</v>
          </cell>
          <cell r="BG287">
            <v>1896713.2328896965</v>
          </cell>
          <cell r="BH287">
            <v>1998762.7110877649</v>
          </cell>
          <cell r="BI287">
            <v>1812660.5122951441</v>
          </cell>
          <cell r="BJ287">
            <v>2044973.9453570289</v>
          </cell>
          <cell r="BK287">
            <v>1934325.6695846934</v>
          </cell>
          <cell r="BL287">
            <v>2051435.6097464242</v>
          </cell>
          <cell r="BM287">
            <v>2034680.2422364058</v>
          </cell>
          <cell r="BN287">
            <v>2100193.7252263715</v>
          </cell>
          <cell r="BO287">
            <v>2134682.8023906159</v>
          </cell>
          <cell r="BP287">
            <v>1939903.2451075946</v>
          </cell>
          <cell r="BQ287">
            <v>2014354.5312926706</v>
          </cell>
          <cell r="BR287">
            <v>1902188.3875856276</v>
          </cell>
          <cell r="BS287">
            <v>1896713.2328896965</v>
          </cell>
        </row>
        <row r="288">
          <cell r="BF288">
            <v>2788695.0613562055</v>
          </cell>
          <cell r="BG288">
            <v>2780898.9069368993</v>
          </cell>
          <cell r="BH288">
            <v>2932655.5697997292</v>
          </cell>
          <cell r="BI288">
            <v>2664302.9772219518</v>
          </cell>
          <cell r="BJ288">
            <v>2990023.4024577467</v>
          </cell>
          <cell r="BK288">
            <v>2822497.4988393728</v>
          </cell>
          <cell r="BL288">
            <v>2991661.3414560268</v>
          </cell>
          <cell r="BM288">
            <v>2941625.7665488054</v>
          </cell>
          <cell r="BN288">
            <v>3026421.3147310298</v>
          </cell>
          <cell r="BO288">
            <v>3087695.406693608</v>
          </cell>
          <cell r="BP288">
            <v>2808644.072664205</v>
          </cell>
          <cell r="BQ288">
            <v>2956303.3048945833</v>
          </cell>
          <cell r="BR288">
            <v>2788695.0613562055</v>
          </cell>
          <cell r="BS288">
            <v>2780898.9069368993</v>
          </cell>
        </row>
        <row r="289">
          <cell r="BF289">
            <v>591300.97023510153</v>
          </cell>
          <cell r="BG289">
            <v>590013.94408156979</v>
          </cell>
          <cell r="BH289">
            <v>622361.83728781843</v>
          </cell>
          <cell r="BI289">
            <v>566446.16349277867</v>
          </cell>
          <cell r="BJ289">
            <v>630750.72616422456</v>
          </cell>
          <cell r="BK289">
            <v>594515.60397069028</v>
          </cell>
          <cell r="BL289">
            <v>629016.14873591927</v>
          </cell>
          <cell r="BM289">
            <v>610341.14270159625</v>
          </cell>
          <cell r="BN289">
            <v>625162.41647787194</v>
          </cell>
          <cell r="BO289">
            <v>640902.78208922653</v>
          </cell>
          <cell r="BP289">
            <v>585000.13350031408</v>
          </cell>
          <cell r="BQ289">
            <v>627474.44586290943</v>
          </cell>
          <cell r="BR289">
            <v>591300.97023510153</v>
          </cell>
          <cell r="BS289">
            <v>590013.94408156979</v>
          </cell>
        </row>
        <row r="326">
          <cell r="BF326">
            <v>195698.16</v>
          </cell>
          <cell r="BG326">
            <v>218434.81</v>
          </cell>
          <cell r="BH326">
            <v>202171.15</v>
          </cell>
          <cell r="BI326">
            <v>192644.15</v>
          </cell>
          <cell r="BJ326">
            <v>199173.98</v>
          </cell>
          <cell r="BK326">
            <v>197578.38</v>
          </cell>
          <cell r="BL326">
            <v>216990.47</v>
          </cell>
          <cell r="BM326">
            <v>310643.09000000003</v>
          </cell>
          <cell r="BN326">
            <v>359810.86</v>
          </cell>
          <cell r="BO326">
            <v>342311.19</v>
          </cell>
          <cell r="BP326">
            <v>291163.2</v>
          </cell>
          <cell r="BQ326">
            <v>182673.64</v>
          </cell>
          <cell r="BR326">
            <v>195698.16</v>
          </cell>
          <cell r="BS326">
            <v>218434.81</v>
          </cell>
        </row>
        <row r="327">
          <cell r="BF327">
            <v>38159.29</v>
          </cell>
          <cell r="BG327">
            <v>35422.89</v>
          </cell>
          <cell r="BH327">
            <v>35524.21</v>
          </cell>
          <cell r="BI327">
            <v>33100.22</v>
          </cell>
          <cell r="BJ327">
            <v>37824.6</v>
          </cell>
          <cell r="BK327">
            <v>37436.51</v>
          </cell>
          <cell r="BL327">
            <v>41945.8</v>
          </cell>
          <cell r="BM327">
            <v>52319</v>
          </cell>
          <cell r="BN327">
            <v>51334.75</v>
          </cell>
          <cell r="BO327">
            <v>52372.19</v>
          </cell>
          <cell r="BP327">
            <v>48332.98</v>
          </cell>
          <cell r="BQ327">
            <v>39120.79</v>
          </cell>
          <cell r="BR327">
            <v>38159.29</v>
          </cell>
          <cell r="BS327">
            <v>35422.89</v>
          </cell>
        </row>
        <row r="328">
          <cell r="BF328">
            <v>88423.72</v>
          </cell>
          <cell r="BG328">
            <v>80119.53</v>
          </cell>
          <cell r="BH328">
            <v>79538.84</v>
          </cell>
          <cell r="BI328">
            <v>73707.55</v>
          </cell>
          <cell r="BJ328">
            <v>84193.01</v>
          </cell>
          <cell r="BK328">
            <v>85475.64</v>
          </cell>
          <cell r="BL328">
            <v>98233.21</v>
          </cell>
          <cell r="BM328">
            <v>127653.97</v>
          </cell>
          <cell r="BN328">
            <v>126334.1</v>
          </cell>
          <cell r="BO328">
            <v>128917.53</v>
          </cell>
          <cell r="BP328">
            <v>117550.52</v>
          </cell>
          <cell r="BQ328">
            <v>87309.38</v>
          </cell>
          <cell r="BR328">
            <v>88423.72</v>
          </cell>
          <cell r="BS328">
            <v>80119.53</v>
          </cell>
        </row>
        <row r="329">
          <cell r="BF329">
            <v>81177.56</v>
          </cell>
          <cell r="BG329">
            <v>73142.13</v>
          </cell>
          <cell r="BH329">
            <v>74099.460000000006</v>
          </cell>
          <cell r="BI329">
            <v>70145.59</v>
          </cell>
          <cell r="BJ329">
            <v>80833.100000000006</v>
          </cell>
          <cell r="BK329">
            <v>80990.09</v>
          </cell>
          <cell r="BL329">
            <v>89527.57</v>
          </cell>
          <cell r="BM329">
            <v>119153.73</v>
          </cell>
          <cell r="BN329">
            <v>115601.38</v>
          </cell>
          <cell r="BO329">
            <v>119766.95</v>
          </cell>
          <cell r="BP329">
            <v>105741.59</v>
          </cell>
          <cell r="BQ329">
            <v>81169.53</v>
          </cell>
          <cell r="BR329">
            <v>81177.56</v>
          </cell>
          <cell r="BS329">
            <v>73142.13</v>
          </cell>
        </row>
        <row r="330">
          <cell r="BF330">
            <v>9240.15</v>
          </cell>
          <cell r="BG330">
            <v>8317.08</v>
          </cell>
          <cell r="BH330">
            <v>8391.92</v>
          </cell>
          <cell r="BI330">
            <v>8368.7000000000007</v>
          </cell>
          <cell r="BJ330">
            <v>8930.94</v>
          </cell>
          <cell r="BK330">
            <v>7970.27</v>
          </cell>
          <cell r="BL330">
            <v>9841.15</v>
          </cell>
          <cell r="BM330">
            <v>11275.11</v>
          </cell>
          <cell r="BN330">
            <v>10469.42</v>
          </cell>
          <cell r="BO330">
            <v>11336.85</v>
          </cell>
          <cell r="BP330">
            <v>10391.39</v>
          </cell>
          <cell r="BQ330">
            <v>8434.2900000000009</v>
          </cell>
          <cell r="BR330">
            <v>9240.15</v>
          </cell>
          <cell r="BS330">
            <v>8317.08</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Import"/>
      <sheetName val="Metro Program Cycle 2"/>
      <sheetName val="Metro TD Cycle 2"/>
      <sheetName val="Metro EO Cycle 2 Carrying Cost"/>
      <sheetName val="Metro Short-Term Rate Apr 2021"/>
      <sheetName val="Metro Short-Term Rate Mar 2021"/>
      <sheetName val="Metro Short-Term Rate Feb 2021"/>
      <sheetName val="Metro Short-Term Rate Jan 2 (2)"/>
      <sheetName val="Metro Short-Term Rate Jan 2021"/>
      <sheetName val="Metro Short-Term Rate Dec 2020"/>
      <sheetName val="Metro Short-Term Rate Nov 2020"/>
      <sheetName val="Metro Short-Term Rate Oct 2020"/>
      <sheetName val="Metro Short-Term Rate Sept 2020"/>
      <sheetName val="Metro Short-Term Rate Aug 2020"/>
      <sheetName val="Metro Short-Term Rate July 2020"/>
      <sheetName val="Metro Short-Term Rate June 2020"/>
      <sheetName val="Metro Short-Term Rate May 2020"/>
      <sheetName val="Metro Short-Term Rate Apr 2020"/>
      <sheetName val="Metro Short-Term Rate Mar 2020"/>
      <sheetName val="Metro Short-Term Rate Feb 2020"/>
      <sheetName val="Metro Short-Term Rate Jan 2020"/>
    </sheetNames>
    <sheetDataSet>
      <sheetData sheetId="0"/>
      <sheetData sheetId="1"/>
      <sheetData sheetId="2">
        <row r="100">
          <cell r="K100">
            <v>38103.5</v>
          </cell>
          <cell r="L100">
            <v>41747.869999999995</v>
          </cell>
          <cell r="X100">
            <v>1621.5800000000004</v>
          </cell>
          <cell r="Y100">
            <v>1900.9399999999998</v>
          </cell>
        </row>
      </sheetData>
      <sheetData sheetId="3">
        <row r="42">
          <cell r="K42">
            <v>742.95999999999992</v>
          </cell>
          <cell r="L42">
            <v>886.18</v>
          </cell>
          <cell r="X42">
            <v>1891.91</v>
          </cell>
          <cell r="Y42">
            <v>2274.89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O460">
            <v>2808883.6190009555</v>
          </cell>
          <cell r="P460">
            <v>3287417.3904996868</v>
          </cell>
          <cell r="Q460">
            <v>3785025.8972595911</v>
          </cell>
          <cell r="R460">
            <v>3672261.9875382427</v>
          </cell>
          <cell r="S460">
            <v>3558807.1180025423</v>
          </cell>
          <cell r="T460">
            <v>3917300.3644314967</v>
          </cell>
        </row>
        <row r="461">
          <cell r="O461">
            <v>190441.72487304689</v>
          </cell>
          <cell r="P461">
            <v>223445.90454492462</v>
          </cell>
          <cell r="Q461">
            <v>263331.47671896749</v>
          </cell>
          <cell r="R461">
            <v>246477.44784324605</v>
          </cell>
          <cell r="S461">
            <v>295197.19957677968</v>
          </cell>
          <cell r="T461">
            <v>300383.40112753975</v>
          </cell>
        </row>
        <row r="462">
          <cell r="O462">
            <v>635722.57133773377</v>
          </cell>
          <cell r="P462">
            <v>809263.89355448517</v>
          </cell>
          <cell r="Q462">
            <v>995022.29135029716</v>
          </cell>
          <cell r="R462">
            <v>932405.27392084443</v>
          </cell>
          <cell r="S462">
            <v>1112456.199405686</v>
          </cell>
          <cell r="T462">
            <v>1102759.6201128487</v>
          </cell>
        </row>
        <row r="463">
          <cell r="O463">
            <v>729755.19075231371</v>
          </cell>
          <cell r="P463">
            <v>887535.40876637644</v>
          </cell>
          <cell r="Q463">
            <v>1081816.0718639269</v>
          </cell>
          <cell r="R463">
            <v>979492.32342934294</v>
          </cell>
          <cell r="S463">
            <v>1245548.6295586964</v>
          </cell>
          <cell r="T463">
            <v>1494495.4949819306</v>
          </cell>
        </row>
        <row r="464">
          <cell r="O464">
            <v>27976.825600278906</v>
          </cell>
          <cell r="P464">
            <v>71181.806226543573</v>
          </cell>
          <cell r="Q464">
            <v>118548.42747411507</v>
          </cell>
          <cell r="R464">
            <v>107463.79707132446</v>
          </cell>
          <cell r="S464">
            <v>123724.1371137481</v>
          </cell>
          <cell r="T464">
            <v>115121.70669083088</v>
          </cell>
        </row>
        <row r="562">
          <cell r="O562">
            <v>210456.12</v>
          </cell>
          <cell r="P562">
            <v>225869.08000000002</v>
          </cell>
          <cell r="Q562">
            <v>241711.34999999995</v>
          </cell>
          <cell r="R562">
            <v>248500.41</v>
          </cell>
          <cell r="S562">
            <v>248103.59</v>
          </cell>
          <cell r="T562">
            <v>282363.56999999989</v>
          </cell>
        </row>
        <row r="563">
          <cell r="O563">
            <v>14695.15</v>
          </cell>
          <cell r="P563">
            <v>15981.890000000001</v>
          </cell>
          <cell r="Q563">
            <v>18010.39</v>
          </cell>
          <cell r="R563">
            <v>17276.189999999999</v>
          </cell>
          <cell r="S563">
            <v>21259.579999999998</v>
          </cell>
          <cell r="T563">
            <v>22718.039999999997</v>
          </cell>
        </row>
        <row r="564">
          <cell r="O564">
            <v>31155.989999999998</v>
          </cell>
          <cell r="P564">
            <v>35639.840000000004</v>
          </cell>
          <cell r="Q564">
            <v>41380.400000000001</v>
          </cell>
          <cell r="R564">
            <v>39572.910000000003</v>
          </cell>
          <cell r="S564">
            <v>48301.590000000004</v>
          </cell>
          <cell r="T564">
            <v>51193.84</v>
          </cell>
        </row>
        <row r="565">
          <cell r="O565">
            <v>21948.97</v>
          </cell>
          <cell r="P565">
            <v>23638.629999999997</v>
          </cell>
          <cell r="Q565">
            <v>27725.32</v>
          </cell>
          <cell r="R565">
            <v>26197.98</v>
          </cell>
          <cell r="S565">
            <v>35053.789999999994</v>
          </cell>
          <cell r="T565">
            <v>43625.069999999992</v>
          </cell>
        </row>
        <row r="566">
          <cell r="O566">
            <v>698.54</v>
          </cell>
          <cell r="P566">
            <v>1081.3499999999999</v>
          </cell>
          <cell r="Q566">
            <v>1483.23</v>
          </cell>
          <cell r="R566">
            <v>1503.98</v>
          </cell>
          <cell r="S566">
            <v>2000.2499999999998</v>
          </cell>
          <cell r="T566">
            <v>1572.6999999999998</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3528190.0700000003</v>
          </cell>
          <cell r="T18">
            <v>4826270.37</v>
          </cell>
          <cell r="W18">
            <v>674006.21</v>
          </cell>
          <cell r="X18">
            <v>1713084.19</v>
          </cell>
          <cell r="Y18">
            <v>2024596.5400000003</v>
          </cell>
          <cell r="Z18">
            <v>414583.44999999995</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Program Costs"/>
      <sheetName val="Summary"/>
      <sheetName val="Monthly TD Calc"/>
      <sheetName val="Monthly kWh-kW"/>
      <sheetName val="Metro EO Matrix @Meter"/>
      <sheetName val="Metro EO Table"/>
      <sheetName val="EMV Results"/>
      <sheetName val="Mktg Forecast"/>
      <sheetName val="PAYS"/>
      <sheetName val="MEEIA Labor Alloc"/>
      <sheetName val="Other Admin"/>
      <sheetName val="EMV Costs"/>
      <sheetName val="Implementer Contract Rates"/>
      <sheetName val="Billed kWh Sales"/>
      <sheetName val="DSIM Revenues"/>
    </sheetNames>
    <sheetDataSet>
      <sheetData sheetId="0"/>
      <sheetData sheetId="1"/>
      <sheetData sheetId="2">
        <row r="290">
          <cell r="X290">
            <v>529034.94999999995</v>
          </cell>
          <cell r="Y290">
            <v>693542.97999999986</v>
          </cell>
          <cell r="Z290">
            <v>723482.63</v>
          </cell>
          <cell r="AA290">
            <v>588854.43000000005</v>
          </cell>
          <cell r="AB290">
            <v>743780.72999999986</v>
          </cell>
          <cell r="AC290">
            <v>1185344.32</v>
          </cell>
          <cell r="AD290">
            <v>527426.52</v>
          </cell>
          <cell r="AE290">
            <v>644481.44000000006</v>
          </cell>
          <cell r="AF290">
            <v>502426.58</v>
          </cell>
          <cell r="AG290">
            <v>610097.96000000008</v>
          </cell>
          <cell r="AH290">
            <v>893599.59</v>
          </cell>
          <cell r="AI290">
            <v>766167.40999999992</v>
          </cell>
          <cell r="AJ290">
            <v>844393.36999999988</v>
          </cell>
          <cell r="AK290">
            <v>1129996.1800000002</v>
          </cell>
        </row>
        <row r="291">
          <cell r="X291">
            <v>52731.289999999994</v>
          </cell>
          <cell r="Y291">
            <v>68416.7</v>
          </cell>
          <cell r="Z291">
            <v>76611.849999999991</v>
          </cell>
          <cell r="AA291">
            <v>75587.78</v>
          </cell>
          <cell r="AB291">
            <v>56103.299999999996</v>
          </cell>
          <cell r="AC291">
            <v>100010.81</v>
          </cell>
          <cell r="AD291">
            <v>60950.42</v>
          </cell>
          <cell r="AE291">
            <v>109929.16</v>
          </cell>
          <cell r="AF291">
            <v>63728.749999999985</v>
          </cell>
          <cell r="AG291">
            <v>72311.48000000001</v>
          </cell>
          <cell r="AH291">
            <v>86288.21</v>
          </cell>
          <cell r="AI291">
            <v>80940.639999999999</v>
          </cell>
          <cell r="AJ291">
            <v>82314.489999999991</v>
          </cell>
          <cell r="AK291">
            <v>84739.53</v>
          </cell>
        </row>
        <row r="292">
          <cell r="X292">
            <v>132474.19999999998</v>
          </cell>
          <cell r="Y292">
            <v>176705.07</v>
          </cell>
          <cell r="Z292">
            <v>199262.18</v>
          </cell>
          <cell r="AA292">
            <v>196926.66</v>
          </cell>
          <cell r="AB292">
            <v>141982.85</v>
          </cell>
          <cell r="AC292">
            <v>248901.86</v>
          </cell>
          <cell r="AD292">
            <v>156337.71000000002</v>
          </cell>
          <cell r="AE292">
            <v>294797.39000000007</v>
          </cell>
          <cell r="AF292">
            <v>162750.48000000001</v>
          </cell>
          <cell r="AG292">
            <v>185972.31999999998</v>
          </cell>
          <cell r="AH292">
            <v>227354.73</v>
          </cell>
          <cell r="AI292">
            <v>210787.7</v>
          </cell>
          <cell r="AJ292">
            <v>214661.84</v>
          </cell>
          <cell r="AK292">
            <v>221500.09000000005</v>
          </cell>
        </row>
        <row r="293">
          <cell r="X293">
            <v>214980.13999999998</v>
          </cell>
          <cell r="Y293">
            <v>285494.90000000002</v>
          </cell>
          <cell r="Z293">
            <v>321894.65000000002</v>
          </cell>
          <cell r="AA293">
            <v>317733.02999999997</v>
          </cell>
          <cell r="AB293">
            <v>230139.25000000003</v>
          </cell>
          <cell r="AC293">
            <v>402412.41000000003</v>
          </cell>
          <cell r="AD293">
            <v>253989.5</v>
          </cell>
          <cell r="AE293">
            <v>476428.38000000012</v>
          </cell>
          <cell r="AF293">
            <v>263733.78999999998</v>
          </cell>
          <cell r="AG293">
            <v>301402.90999999997</v>
          </cell>
          <cell r="AH293">
            <v>369153.32999999996</v>
          </cell>
          <cell r="AI293">
            <v>340650.36000000004</v>
          </cell>
          <cell r="AJ293">
            <v>346826.68</v>
          </cell>
          <cell r="AK293">
            <v>357728.51999999996</v>
          </cell>
        </row>
        <row r="294">
          <cell r="X294">
            <v>76237.549999999988</v>
          </cell>
          <cell r="Y294">
            <v>101302.47999999998</v>
          </cell>
          <cell r="Z294">
            <v>114220.32999999999</v>
          </cell>
          <cell r="AA294">
            <v>112761.76000000001</v>
          </cell>
          <cell r="AB294">
            <v>81625.950000000012</v>
          </cell>
          <cell r="AC294">
            <v>142775.78999999998</v>
          </cell>
          <cell r="AD294">
            <v>90058.11</v>
          </cell>
          <cell r="AE294">
            <v>169045.27999999997</v>
          </cell>
          <cell r="AF294">
            <v>93544.409999999989</v>
          </cell>
          <cell r="AG294">
            <v>106903.56999999999</v>
          </cell>
          <cell r="AH294">
            <v>130902.03</v>
          </cell>
          <cell r="AI294">
            <v>120869.18999999999</v>
          </cell>
          <cell r="AJ294">
            <v>123064.61</v>
          </cell>
          <cell r="AK294">
            <v>126939.71999999997</v>
          </cell>
        </row>
      </sheetData>
      <sheetData sheetId="3"/>
      <sheetData sheetId="4">
        <row r="461">
          <cell r="U461">
            <v>3685615.6350460085</v>
          </cell>
          <cell r="V461">
            <v>3478230.4882352534</v>
          </cell>
          <cell r="W461">
            <v>4433629.87532287</v>
          </cell>
          <cell r="X461">
            <v>4549865.0092475628</v>
          </cell>
          <cell r="Y461">
            <v>3968684.1057796823</v>
          </cell>
          <cell r="Z461">
            <v>4419966.3006661767</v>
          </cell>
          <cell r="AA461">
            <v>4488240.5208765641</v>
          </cell>
          <cell r="AB461">
            <v>5450243.4928134652</v>
          </cell>
          <cell r="AC461">
            <v>5599892.1825238811</v>
          </cell>
          <cell r="AD461">
            <v>5218082.6510535134</v>
          </cell>
          <cell r="AE461">
            <v>5224387.9540300136</v>
          </cell>
          <cell r="AF461">
            <v>5190065.927928132</v>
          </cell>
          <cell r="AG461">
            <v>5558542.8305563359</v>
          </cell>
          <cell r="AH461">
            <v>5272863.4037854085</v>
          </cell>
        </row>
        <row r="462">
          <cell r="U462">
            <v>350089.63241613586</v>
          </cell>
          <cell r="V462">
            <v>365305.87934773549</v>
          </cell>
          <cell r="W462">
            <v>407736.35473466112</v>
          </cell>
          <cell r="X462">
            <v>442803.69551902794</v>
          </cell>
          <cell r="Y462">
            <v>425675.4478588925</v>
          </cell>
          <cell r="Z462">
            <v>481632.06887265551</v>
          </cell>
          <cell r="AA462">
            <v>491846.60257388128</v>
          </cell>
          <cell r="AB462">
            <v>534075.12936076173</v>
          </cell>
          <cell r="AC462">
            <v>601454.65373283741</v>
          </cell>
          <cell r="AD462">
            <v>571087.6041955637</v>
          </cell>
          <cell r="AE462">
            <v>660011.93984363868</v>
          </cell>
          <cell r="AF462">
            <v>663558.32736471854</v>
          </cell>
          <cell r="AG462">
            <v>735814.01049256907</v>
          </cell>
          <cell r="AH462">
            <v>741733.48773046979</v>
          </cell>
        </row>
        <row r="463">
          <cell r="U463">
            <v>1249013.5610947297</v>
          </cell>
          <cell r="V463">
            <v>1279364.2483444889</v>
          </cell>
          <cell r="W463">
            <v>1380523.6289635317</v>
          </cell>
          <cell r="X463">
            <v>1484291.1925801679</v>
          </cell>
          <cell r="Y463">
            <v>1442850.3171849099</v>
          </cell>
          <cell r="Z463">
            <v>1620696.2706587072</v>
          </cell>
          <cell r="AA463">
            <v>1634212.2942788235</v>
          </cell>
          <cell r="AB463">
            <v>1755209.6549365455</v>
          </cell>
          <cell r="AC463">
            <v>1959824.565686625</v>
          </cell>
          <cell r="AD463">
            <v>1845618.9569732307</v>
          </cell>
          <cell r="AE463">
            <v>2125872.3116998635</v>
          </cell>
          <cell r="AF463">
            <v>2122724.7902700622</v>
          </cell>
          <cell r="AG463">
            <v>2340492.9107326129</v>
          </cell>
          <cell r="AH463">
            <v>2344474.4850461148</v>
          </cell>
        </row>
        <row r="464">
          <cell r="U464">
            <v>1879920.8375924763</v>
          </cell>
          <cell r="V464">
            <v>1933808.4714422512</v>
          </cell>
          <cell r="W464">
            <v>2092365.760080802</v>
          </cell>
          <cell r="X464">
            <v>2255541.775177333</v>
          </cell>
          <cell r="Y464">
            <v>2197808.395161387</v>
          </cell>
          <cell r="Z464">
            <v>2474364.6068807649</v>
          </cell>
          <cell r="AA464">
            <v>2503250.4000999136</v>
          </cell>
          <cell r="AB464">
            <v>2696731.314036502</v>
          </cell>
          <cell r="AC464">
            <v>3017228.7979110624</v>
          </cell>
          <cell r="AD464">
            <v>2845265.7966934699</v>
          </cell>
          <cell r="AE464">
            <v>3282328.0988587569</v>
          </cell>
          <cell r="AF464">
            <v>3284200.1101812888</v>
          </cell>
          <cell r="AG464">
            <v>3625323.3413701812</v>
          </cell>
          <cell r="AH464">
            <v>3636956.6125894021</v>
          </cell>
        </row>
        <row r="465">
          <cell r="U465">
            <v>166841.01051439901</v>
          </cell>
          <cell r="V465">
            <v>207187.4966894431</v>
          </cell>
          <cell r="W465">
            <v>250455.61702543462</v>
          </cell>
          <cell r="X465">
            <v>299177.30853980494</v>
          </cell>
          <cell r="Y465">
            <v>312389.83121695678</v>
          </cell>
          <cell r="Z465">
            <v>377515.85443290294</v>
          </cell>
          <cell r="AA465">
            <v>414695.41299394995</v>
          </cell>
          <cell r="AB465">
            <v>481569.81850973953</v>
          </cell>
          <cell r="AC465">
            <v>571960.38984414551</v>
          </cell>
          <cell r="AD465">
            <v>558781.73970430472</v>
          </cell>
          <cell r="AE465">
            <v>665603.39224025095</v>
          </cell>
          <cell r="AF465">
            <v>689118.35620117723</v>
          </cell>
          <cell r="AG465">
            <v>787005.29859559773</v>
          </cell>
          <cell r="AH465">
            <v>812342.35721987998</v>
          </cell>
        </row>
        <row r="563">
          <cell r="U563">
            <v>267204.06</v>
          </cell>
          <cell r="V563">
            <v>371340.15</v>
          </cell>
          <cell r="W563">
            <v>489657.56000000006</v>
          </cell>
          <cell r="X563">
            <v>501668.06000000006</v>
          </cell>
          <cell r="Y563">
            <v>424171.19999999995</v>
          </cell>
          <cell r="Z563">
            <v>284550.73000000004</v>
          </cell>
          <cell r="AA563">
            <v>322186.45999999996</v>
          </cell>
          <cell r="AB563">
            <v>361830.74999999994</v>
          </cell>
          <cell r="AC563">
            <v>343215.32999999996</v>
          </cell>
          <cell r="AD563">
            <v>339141.11000000004</v>
          </cell>
          <cell r="AE563">
            <v>355036.39</v>
          </cell>
          <cell r="AF563">
            <v>363982.84</v>
          </cell>
          <cell r="AG563">
            <v>399329.55</v>
          </cell>
          <cell r="AH563">
            <v>559234.97</v>
          </cell>
        </row>
        <row r="564">
          <cell r="U564">
            <v>28059.08</v>
          </cell>
          <cell r="V564">
            <v>37308.129999999997</v>
          </cell>
          <cell r="W564">
            <v>39723.72</v>
          </cell>
          <cell r="X564">
            <v>43129.29</v>
          </cell>
          <cell r="Y564">
            <v>41999.380000000005</v>
          </cell>
          <cell r="Z564">
            <v>36392.699999999997</v>
          </cell>
          <cell r="AA564">
            <v>38399.119999999995</v>
          </cell>
          <cell r="AB564">
            <v>38521.11</v>
          </cell>
          <cell r="AC564">
            <v>41361.629999999997</v>
          </cell>
          <cell r="AD564">
            <v>40259.369999999995</v>
          </cell>
          <cell r="AE564">
            <v>47679.990000000005</v>
          </cell>
          <cell r="AF564">
            <v>50259.86</v>
          </cell>
          <cell r="AG564">
            <v>58963.540000000015</v>
          </cell>
          <cell r="AH564">
            <v>75571.149999999994</v>
          </cell>
        </row>
        <row r="565">
          <cell r="U565">
            <v>64101.739999999991</v>
          </cell>
          <cell r="V565">
            <v>86605.119999999995</v>
          </cell>
          <cell r="W565">
            <v>89685.819999999992</v>
          </cell>
          <cell r="X565">
            <v>96928.11</v>
          </cell>
          <cell r="Y565">
            <v>94322</v>
          </cell>
          <cell r="Z565">
            <v>75353.83</v>
          </cell>
          <cell r="AA565">
            <v>81355.959999999992</v>
          </cell>
          <cell r="AB565">
            <v>78509.329999999987</v>
          </cell>
          <cell r="AC565">
            <v>82721.450000000026</v>
          </cell>
          <cell r="AD565">
            <v>79658.63</v>
          </cell>
          <cell r="AE565">
            <v>93332.360000000015</v>
          </cell>
          <cell r="AF565">
            <v>99938</v>
          </cell>
          <cell r="AG565">
            <v>119616.27</v>
          </cell>
          <cell r="AH565">
            <v>157876.04</v>
          </cell>
        </row>
        <row r="566">
          <cell r="U566">
            <v>59816.429999999993</v>
          </cell>
          <cell r="V566">
            <v>84207.88</v>
          </cell>
          <cell r="W566">
            <v>86025.1</v>
          </cell>
          <cell r="X566">
            <v>94385.35</v>
          </cell>
          <cell r="Y566">
            <v>89071.5</v>
          </cell>
          <cell r="Z566">
            <v>72352.12999999999</v>
          </cell>
          <cell r="AA566">
            <v>77345.109999999986</v>
          </cell>
          <cell r="AB566">
            <v>73635.479999999981</v>
          </cell>
          <cell r="AC566">
            <v>79291.259999999995</v>
          </cell>
          <cell r="AD566">
            <v>78083.27</v>
          </cell>
          <cell r="AE566">
            <v>93099.88</v>
          </cell>
          <cell r="AF566">
            <v>98685.390000000014</v>
          </cell>
          <cell r="AG566">
            <v>113735.45999999999</v>
          </cell>
          <cell r="AH566">
            <v>156085.06999999998</v>
          </cell>
        </row>
        <row r="567">
          <cell r="U567">
            <v>3755.0799999999995</v>
          </cell>
          <cell r="V567">
            <v>5597.56</v>
          </cell>
          <cell r="W567">
            <v>6014.84</v>
          </cell>
          <cell r="X567">
            <v>7136.27</v>
          </cell>
          <cell r="Y567">
            <v>7251.3</v>
          </cell>
          <cell r="Z567">
            <v>5891.84</v>
          </cell>
          <cell r="AA567">
            <v>7202.9000000000005</v>
          </cell>
          <cell r="AB567">
            <v>6822.95</v>
          </cell>
          <cell r="AC567">
            <v>7566.0199999999995</v>
          </cell>
          <cell r="AD567">
            <v>8128.84</v>
          </cell>
          <cell r="AE567">
            <v>9290.5600000000013</v>
          </cell>
          <cell r="AF567">
            <v>8864.3499999999985</v>
          </cell>
          <cell r="AG567">
            <v>11840.840000000002</v>
          </cell>
          <cell r="AH567">
            <v>14701.089999999998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sheetData sheetId="1"/>
      <sheetData sheetId="2">
        <row r="370">
          <cell r="AL370">
            <v>-1041427.6034010574</v>
          </cell>
          <cell r="BE370">
            <v>-694726.81018685759</v>
          </cell>
          <cell r="BS370">
            <v>-377882.06622358249</v>
          </cell>
          <cell r="CE370">
            <v>-357896.53339656233</v>
          </cell>
        </row>
        <row r="371">
          <cell r="AL371">
            <v>-37272.289999999964</v>
          </cell>
          <cell r="BE371">
            <v>-10997.939999999999</v>
          </cell>
          <cell r="BS371">
            <v>-6495.5699999999924</v>
          </cell>
          <cell r="CE371">
            <v>-5754.630000000001</v>
          </cell>
        </row>
        <row r="372">
          <cell r="AL372">
            <v>122147.32999999999</v>
          </cell>
          <cell r="BE372">
            <v>157547.77000000002</v>
          </cell>
          <cell r="BS372">
            <v>106911.15</v>
          </cell>
          <cell r="CE372">
            <v>88328.729999999981</v>
          </cell>
        </row>
        <row r="373">
          <cell r="AL373">
            <v>169641.43999999994</v>
          </cell>
          <cell r="BE373">
            <v>94756.98</v>
          </cell>
          <cell r="BS373">
            <v>63360.95</v>
          </cell>
          <cell r="CE373">
            <v>53167.28</v>
          </cell>
        </row>
        <row r="374">
          <cell r="AL374">
            <v>34067.5</v>
          </cell>
          <cell r="BE374">
            <v>173391.59999999998</v>
          </cell>
          <cell r="BS374">
            <v>124450.89</v>
          </cell>
          <cell r="CE374">
            <v>99547.11</v>
          </cell>
        </row>
      </sheetData>
      <sheetData sheetId="3">
        <row r="384">
          <cell r="AL384">
            <v>537465.77340105746</v>
          </cell>
          <cell r="BE384">
            <v>-925832.85981314245</v>
          </cell>
          <cell r="BS384">
            <v>-646599.65377641749</v>
          </cell>
          <cell r="CE384">
            <v>-519862.80660343764</v>
          </cell>
        </row>
        <row r="385">
          <cell r="AL385">
            <v>101225.01999999997</v>
          </cell>
          <cell r="BE385">
            <v>-272534.92</v>
          </cell>
          <cell r="BS385">
            <v>-190733.81000000006</v>
          </cell>
          <cell r="CE385">
            <v>-154557.82</v>
          </cell>
        </row>
        <row r="386">
          <cell r="AL386">
            <v>340699.47000000009</v>
          </cell>
          <cell r="BE386">
            <v>-149567.88</v>
          </cell>
          <cell r="BS386">
            <v>-103379.37</v>
          </cell>
          <cell r="CE386">
            <v>-84410.84</v>
          </cell>
        </row>
        <row r="387">
          <cell r="AL387">
            <v>191871.41999999998</v>
          </cell>
          <cell r="BE387">
            <v>-169959.09999999995</v>
          </cell>
          <cell r="BS387">
            <v>-117395.95999999999</v>
          </cell>
          <cell r="CE387">
            <v>-96301.62</v>
          </cell>
        </row>
        <row r="388">
          <cell r="AL388">
            <v>28892.499999999996</v>
          </cell>
          <cell r="BE388">
            <v>-64266.69</v>
          </cell>
          <cell r="BS388">
            <v>-45473.929999999993</v>
          </cell>
          <cell r="CE388">
            <v>-36477.08</v>
          </cell>
        </row>
      </sheetData>
      <sheetData sheetId="4"/>
      <sheetData sheetId="5"/>
      <sheetData sheetId="6">
        <row r="63">
          <cell r="AL63">
            <v>11386.110000000004</v>
          </cell>
          <cell r="BE63">
            <v>-101739.62000000001</v>
          </cell>
          <cell r="BK63">
            <v>-63177.49</v>
          </cell>
        </row>
        <row r="64">
          <cell r="AL64">
            <v>4637.5600000000004</v>
          </cell>
          <cell r="BE64">
            <v>-6666.29</v>
          </cell>
          <cell r="BK64">
            <v>-8449.2099999999991</v>
          </cell>
        </row>
        <row r="65">
          <cell r="AL65">
            <v>19663.030000000002</v>
          </cell>
          <cell r="BE65">
            <v>34896.990000000005</v>
          </cell>
          <cell r="BK65">
            <v>9382.2099999999991</v>
          </cell>
        </row>
        <row r="66">
          <cell r="AL66">
            <v>15454.890000000001</v>
          </cell>
          <cell r="BE66">
            <v>23935.109999999997</v>
          </cell>
          <cell r="BK66">
            <v>4526.82</v>
          </cell>
        </row>
        <row r="67">
          <cell r="AL67">
            <v>1656.6799999999998</v>
          </cell>
          <cell r="BE67">
            <v>9086.5399999999991</v>
          </cell>
          <cell r="BK67">
            <v>5032.9799999999996</v>
          </cell>
        </row>
      </sheetData>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1266045.8400000001</v>
          </cell>
          <cell r="W18">
            <v>124816.68000000001</v>
          </cell>
          <cell r="X18">
            <v>390572.25</v>
          </cell>
          <cell r="Y18">
            <v>546171.26</v>
          </cell>
          <cell r="Z18">
            <v>84699.91</v>
          </cell>
        </row>
      </sheetData>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sheetData sheetId="1"/>
      <sheetData sheetId="2">
        <row r="370">
          <cell r="BE370">
            <v>348248.03596538526</v>
          </cell>
          <cell r="BS370">
            <v>462675.89503260842</v>
          </cell>
          <cell r="CE370">
            <v>366790.76557343709</v>
          </cell>
        </row>
        <row r="371">
          <cell r="BE371">
            <v>-7814.8500000000076</v>
          </cell>
          <cell r="BS371">
            <v>-6382.320000000007</v>
          </cell>
          <cell r="CE371">
            <v>-5007.6300000000083</v>
          </cell>
        </row>
        <row r="372">
          <cell r="BE372">
            <v>-12243.369999999977</v>
          </cell>
          <cell r="BS372">
            <v>-8577.5399999999718</v>
          </cell>
          <cell r="CE372">
            <v>-6658.029999999977</v>
          </cell>
        </row>
        <row r="373">
          <cell r="BE373">
            <v>-30357.180000000015</v>
          </cell>
          <cell r="BS373">
            <v>-23144.730000000025</v>
          </cell>
          <cell r="CE373">
            <v>-18624.540000000015</v>
          </cell>
        </row>
        <row r="374">
          <cell r="BE374">
            <v>20419.699999999997</v>
          </cell>
          <cell r="BS374">
            <v>17504.579999999998</v>
          </cell>
          <cell r="CE374">
            <v>14064.82</v>
          </cell>
        </row>
      </sheetData>
      <sheetData sheetId="3">
        <row r="384">
          <cell r="BE384">
            <v>-11312.68596538523</v>
          </cell>
          <cell r="BS384">
            <v>-190551.9250326085</v>
          </cell>
          <cell r="CE384">
            <v>-148807.53557343711</v>
          </cell>
        </row>
        <row r="385">
          <cell r="BE385">
            <v>6418.280000000007</v>
          </cell>
          <cell r="BS385">
            <v>5749.5500000000102</v>
          </cell>
          <cell r="CE385">
            <v>4762.9900000000089</v>
          </cell>
        </row>
        <row r="386">
          <cell r="BE386">
            <v>27424.559999999965</v>
          </cell>
          <cell r="BS386">
            <v>24226.459999999955</v>
          </cell>
          <cell r="CE386">
            <v>19834.069999999963</v>
          </cell>
        </row>
        <row r="387">
          <cell r="BE387">
            <v>9142.860000000017</v>
          </cell>
          <cell r="BS387">
            <v>8020.1500000000269</v>
          </cell>
          <cell r="CE387">
            <v>6547.9200000000164</v>
          </cell>
        </row>
        <row r="388">
          <cell r="BE388">
            <v>-20846.180000000008</v>
          </cell>
          <cell r="BS388">
            <v>-17043.3</v>
          </cell>
          <cell r="CE388">
            <v>-13677.470000000001</v>
          </cell>
        </row>
      </sheetData>
      <sheetData sheetId="4"/>
      <sheetData sheetId="5"/>
      <sheetData sheetId="6">
        <row r="62">
          <cell r="BE62"/>
          <cell r="BK62">
            <v>11762.71</v>
          </cell>
        </row>
        <row r="63">
          <cell r="BE63"/>
          <cell r="BK63">
            <v>-54.609999999999992</v>
          </cell>
        </row>
        <row r="64">
          <cell r="BE64"/>
          <cell r="BK64">
            <v>529.9</v>
          </cell>
        </row>
        <row r="65">
          <cell r="BE65"/>
          <cell r="BK65">
            <v>-739.5200000000001</v>
          </cell>
        </row>
        <row r="66">
          <cell r="BE66"/>
          <cell r="BK66">
            <v>-12.379999999999999</v>
          </cell>
        </row>
      </sheetData>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Ordered Adjustmt Cycle 2"/>
    </sheetNames>
    <sheetDataSet>
      <sheetData sheetId="0">
        <row r="95">
          <cell r="K95">
            <v>-124.15</v>
          </cell>
          <cell r="X95">
            <v>-383.8</v>
          </cell>
          <cell r="AK95">
            <v>-507.95000000000005</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Metro"/>
    </sheetNames>
    <sheetDataSet>
      <sheetData sheetId="0">
        <row r="110">
          <cell r="D110">
            <v>0.22251130932352628</v>
          </cell>
          <cell r="E110">
            <v>2225.11</v>
          </cell>
        </row>
        <row r="111">
          <cell r="D111">
            <v>0.77748869067647375</v>
          </cell>
          <cell r="E111">
            <v>7774.89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Cycle 3 Prog Cost"/>
      <sheetName val="Metro Cycle 3 TD"/>
      <sheetName val="Carrying Costs"/>
    </sheetNames>
    <sheetDataSet>
      <sheetData sheetId="0">
        <row r="102">
          <cell r="C102">
            <v>-3670.3699999999953</v>
          </cell>
          <cell r="D102">
            <v>-8183</v>
          </cell>
          <cell r="E102">
            <v>-10940.150000000023</v>
          </cell>
          <cell r="F102">
            <v>-6333.6300000000047</v>
          </cell>
          <cell r="G102">
            <v>-15475.719999999972</v>
          </cell>
          <cell r="H102">
            <v>-20962.709999999963</v>
          </cell>
          <cell r="I102">
            <v>-23342.479999999981</v>
          </cell>
          <cell r="J102">
            <v>-22792.580000000075</v>
          </cell>
          <cell r="K102">
            <v>-17989.820000000065</v>
          </cell>
          <cell r="L102">
            <v>-1672.3799999998882</v>
          </cell>
          <cell r="M102">
            <v>-6677.4900000000489</v>
          </cell>
        </row>
        <row r="103">
          <cell r="C103">
            <v>370.25</v>
          </cell>
          <cell r="D103">
            <v>825.45000000000437</v>
          </cell>
          <cell r="E103">
            <v>1103.570000000007</v>
          </cell>
          <cell r="F103">
            <v>638.90000000002328</v>
          </cell>
          <cell r="G103">
            <v>1561.0800000000017</v>
          </cell>
          <cell r="H103">
            <v>2114.5800000000017</v>
          </cell>
          <cell r="I103">
            <v>2354.6299999999974</v>
          </cell>
          <cell r="J103">
            <v>2299.1699999999983</v>
          </cell>
          <cell r="K103">
            <v>1814.6900000000023</v>
          </cell>
          <cell r="L103">
            <v>168.69999999999709</v>
          </cell>
          <cell r="M103">
            <v>673.57999999999447</v>
          </cell>
        </row>
        <row r="104">
          <cell r="C104">
            <v>1044.0400000000009</v>
          </cell>
          <cell r="D104">
            <v>2327.6599999999889</v>
          </cell>
          <cell r="E104">
            <v>3111.9300000000003</v>
          </cell>
          <cell r="F104">
            <v>1801.5999999999985</v>
          </cell>
          <cell r="G104">
            <v>4402.0700000000215</v>
          </cell>
          <cell r="H104">
            <v>5962.8500000000058</v>
          </cell>
          <cell r="I104">
            <v>6639.7699999999604</v>
          </cell>
          <cell r="J104">
            <v>6483.3499999999767</v>
          </cell>
          <cell r="K104">
            <v>5117.2099999999627</v>
          </cell>
          <cell r="L104">
            <v>475.70999999999185</v>
          </cell>
          <cell r="M104">
            <v>1899.4100000000035</v>
          </cell>
        </row>
        <row r="105">
          <cell r="C105">
            <v>1664.460000000021</v>
          </cell>
          <cell r="D105">
            <v>3710.8500000000058</v>
          </cell>
          <cell r="E105">
            <v>4961.1699999999983</v>
          </cell>
          <cell r="F105">
            <v>2872.1900000000023</v>
          </cell>
          <cell r="G105">
            <v>7017.9700000000012</v>
          </cell>
          <cell r="H105">
            <v>9506.2299999999814</v>
          </cell>
          <cell r="I105">
            <v>10585.409999999974</v>
          </cell>
          <cell r="J105">
            <v>10336.039999999994</v>
          </cell>
          <cell r="K105">
            <v>8158.070000000007</v>
          </cell>
          <cell r="L105">
            <v>758.39000000001397</v>
          </cell>
          <cell r="M105">
            <v>3028.1300000000047</v>
          </cell>
        </row>
        <row r="106">
          <cell r="C106">
            <v>591.62000000008629</v>
          </cell>
          <cell r="D106">
            <v>1319.0400000000081</v>
          </cell>
          <cell r="E106">
            <v>1763.4799999999996</v>
          </cell>
          <cell r="F106">
            <v>1020.9400000000023</v>
          </cell>
          <cell r="G106">
            <v>2494.6000000000167</v>
          </cell>
          <cell r="H106">
            <v>3379.0500000000029</v>
          </cell>
          <cell r="I106">
            <v>3762.6700000000383</v>
          </cell>
          <cell r="J106">
            <v>3674.0200000000004</v>
          </cell>
          <cell r="K106">
            <v>2899.850000000064</v>
          </cell>
          <cell r="L106">
            <v>269.58000000000175</v>
          </cell>
          <cell r="M106">
            <v>1076.3700000000008</v>
          </cell>
        </row>
      </sheetData>
      <sheetData sheetId="1"/>
      <sheetData sheetId="2">
        <row r="108">
          <cell r="C108">
            <v>-4.0900000000000318</v>
          </cell>
          <cell r="D108">
            <v>-17.060000000000173</v>
          </cell>
          <cell r="E108">
            <v>-27.930000000000064</v>
          </cell>
          <cell r="F108">
            <v>-36.939999999999827</v>
          </cell>
          <cell r="G108">
            <v>-36.880000000000109</v>
          </cell>
          <cell r="H108">
            <v>-54.460000000000036</v>
          </cell>
          <cell r="I108">
            <v>-75.630000000000109</v>
          </cell>
          <cell r="J108">
            <v>-97.319999999999936</v>
          </cell>
          <cell r="K108">
            <v>-116.18999999999994</v>
          </cell>
          <cell r="L108">
            <v>-125.14999999999998</v>
          </cell>
          <cell r="M108">
            <v>-128.76999999999987</v>
          </cell>
        </row>
        <row r="109">
          <cell r="C109">
            <v>0.41000000000000014</v>
          </cell>
          <cell r="D109">
            <v>1.7199999999999989</v>
          </cell>
          <cell r="E109">
            <v>2.8199999999999932</v>
          </cell>
          <cell r="F109">
            <v>3.7300000000000182</v>
          </cell>
          <cell r="G109">
            <v>3.7200000000000273</v>
          </cell>
          <cell r="H109">
            <v>5.4900000000000091</v>
          </cell>
          <cell r="I109">
            <v>7.6200000000000045</v>
          </cell>
          <cell r="J109">
            <v>9.8200000000000216</v>
          </cell>
          <cell r="K109">
            <v>11.730000000000018</v>
          </cell>
          <cell r="L109">
            <v>12.629999999999995</v>
          </cell>
          <cell r="M109">
            <v>12.989999999999995</v>
          </cell>
        </row>
        <row r="110">
          <cell r="C110">
            <v>1.1599999999999966</v>
          </cell>
          <cell r="D110">
            <v>4.8599999999999852</v>
          </cell>
          <cell r="E110">
            <v>7.9500000000000171</v>
          </cell>
          <cell r="F110">
            <v>10.509999999999991</v>
          </cell>
          <cell r="G110">
            <v>10.490000000000009</v>
          </cell>
          <cell r="H110">
            <v>15.489999999999981</v>
          </cell>
          <cell r="I110">
            <v>21.509999999999991</v>
          </cell>
          <cell r="J110">
            <v>27.680000000000007</v>
          </cell>
          <cell r="K110">
            <v>33.050000000000068</v>
          </cell>
          <cell r="L110">
            <v>35.600000000000023</v>
          </cell>
          <cell r="M110">
            <v>36.620000000000005</v>
          </cell>
        </row>
        <row r="111">
          <cell r="C111">
            <v>1.8599999999999994</v>
          </cell>
          <cell r="D111">
            <v>7.7400000000000091</v>
          </cell>
          <cell r="E111">
            <v>12.669999999999959</v>
          </cell>
          <cell r="F111">
            <v>16.75</v>
          </cell>
          <cell r="G111">
            <v>16.72999999999999</v>
          </cell>
          <cell r="H111">
            <v>24.700000000000045</v>
          </cell>
          <cell r="I111">
            <v>34.300000000000011</v>
          </cell>
          <cell r="J111">
            <v>44.139999999999986</v>
          </cell>
          <cell r="K111">
            <v>52.69</v>
          </cell>
          <cell r="L111">
            <v>56.749999999999972</v>
          </cell>
          <cell r="M111">
            <v>58.389999999999986</v>
          </cell>
        </row>
        <row r="112">
          <cell r="C112">
            <v>0.66000000000000369</v>
          </cell>
          <cell r="D112">
            <v>2.75</v>
          </cell>
          <cell r="E112">
            <v>4.5099999999999909</v>
          </cell>
          <cell r="F112">
            <v>5.960000000000008</v>
          </cell>
          <cell r="G112">
            <v>5.9399999999999977</v>
          </cell>
          <cell r="H112">
            <v>8.779999999999994</v>
          </cell>
          <cell r="I112">
            <v>12.189999999999998</v>
          </cell>
          <cell r="J112">
            <v>15.69</v>
          </cell>
          <cell r="K112">
            <v>18.72999999999999</v>
          </cell>
          <cell r="L112">
            <v>20.169999999999987</v>
          </cell>
          <cell r="M112">
            <v>20.759999999999991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12020 12052020"/>
      <sheetName val="Input"/>
      <sheetName val="Program Descriptions"/>
    </sheetNames>
    <sheetDataSet>
      <sheetData sheetId="0">
        <row r="28">
          <cell r="N28">
            <v>282007.34999999998</v>
          </cell>
          <cell r="O28">
            <v>50433.599999999999</v>
          </cell>
          <cell r="P28">
            <v>213821.13999999998</v>
          </cell>
          <cell r="Q28">
            <v>88068.42</v>
          </cell>
          <cell r="R28">
            <v>12877.66</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22020 01112021"/>
      <sheetName val="Input"/>
      <sheetName val="Program Descriptions"/>
    </sheetNames>
    <sheetDataSet>
      <sheetData sheetId="0">
        <row r="28">
          <cell r="N28">
            <v>447094.97</v>
          </cell>
          <cell r="O28">
            <v>94259.199999999997</v>
          </cell>
          <cell r="P28">
            <v>431570.12</v>
          </cell>
          <cell r="Q28">
            <v>479497.38</v>
          </cell>
          <cell r="R28">
            <v>126153.7199999999</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12021 02052021"/>
      <sheetName val="Input"/>
      <sheetName val="Program Descriptions"/>
    </sheetNames>
    <sheetDataSet>
      <sheetData sheetId="0">
        <row r="29">
          <cell r="N29">
            <v>275610.38</v>
          </cell>
          <cell r="O29">
            <v>86669.35</v>
          </cell>
          <cell r="P29">
            <v>96535.39</v>
          </cell>
          <cell r="Q29">
            <v>89392.93</v>
          </cell>
          <cell r="R29">
            <v>29699.500000000007</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22021 03052021"/>
      <sheetName val="Input"/>
      <sheetName val="Program Descriptions"/>
    </sheetNames>
    <sheetDataSet>
      <sheetData sheetId="0">
        <row r="29">
          <cell r="N29">
            <v>367230.85000000003</v>
          </cell>
          <cell r="O29">
            <v>54928.79</v>
          </cell>
          <cell r="P29">
            <v>230967.31</v>
          </cell>
          <cell r="Q29">
            <v>51299.39</v>
          </cell>
          <cell r="R29">
            <v>17973.269999999997</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1 04072021"/>
      <sheetName val="Input"/>
      <sheetName val="Program Descriptions"/>
    </sheetNames>
    <sheetDataSet>
      <sheetData sheetId="0">
        <row r="30">
          <cell r="N30">
            <v>751431.95000000007</v>
          </cell>
          <cell r="O30">
            <v>57058.96</v>
          </cell>
          <cell r="P30">
            <v>197818.91999999998</v>
          </cell>
          <cell r="Q30">
            <v>609234.04999999993</v>
          </cell>
          <cell r="R30">
            <v>36851.660000000156</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42021 05072021"/>
      <sheetName val="Input"/>
      <sheetName val="Program Descriptions"/>
    </sheetNames>
    <sheetDataSet>
      <sheetData sheetId="0">
        <row r="28">
          <cell r="N28">
            <v>474830.45000000007</v>
          </cell>
          <cell r="O28">
            <v>19572.650000000001</v>
          </cell>
          <cell r="P28">
            <v>130387.23</v>
          </cell>
          <cell r="Q28">
            <v>642330.42000000004</v>
          </cell>
          <cell r="R28">
            <v>10273.92</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7"/>
  <sheetViews>
    <sheetView tabSelected="1" workbookViewId="0">
      <pane xSplit="2" ySplit="3" topLeftCell="C4" activePane="bottomRight" state="frozen"/>
      <selection pane="topRight" activeCell="C1" sqref="C1"/>
      <selection pane="bottomLeft" activeCell="A4" sqref="A4"/>
      <selection pane="bottomRight" activeCell="T6" sqref="T6"/>
    </sheetView>
  </sheetViews>
  <sheetFormatPr defaultRowHeight="14.5" outlineLevelCol="1" x14ac:dyDescent="0.35"/>
  <cols>
    <col min="2" max="2" width="25.1796875" customWidth="1"/>
    <col min="3" max="3" width="16" bestFit="1" customWidth="1"/>
    <col min="4" max="4" width="15.54296875" customWidth="1"/>
    <col min="5" max="5" width="14.81640625" bestFit="1" customWidth="1"/>
    <col min="6" max="6" width="11.26953125" bestFit="1" customWidth="1"/>
    <col min="7" max="7" width="18.453125" bestFit="1" customWidth="1"/>
    <col min="8" max="8" width="13.453125" customWidth="1"/>
    <col min="9" max="9" width="3.54296875" customWidth="1"/>
    <col min="10" max="10" width="13.7265625" bestFit="1" customWidth="1"/>
    <col min="11" max="11" width="12.453125" bestFit="1" customWidth="1"/>
    <col min="12" max="13" width="13.7265625" bestFit="1" customWidth="1"/>
    <col min="14" max="14" width="10.7265625" bestFit="1" customWidth="1"/>
    <col min="15" max="15" width="16" bestFit="1" customWidth="1" outlineLevel="1"/>
    <col min="16" max="16" width="19.26953125" customWidth="1" outlineLevel="1"/>
    <col min="17" max="17" width="16" style="47" customWidth="1" outlineLevel="1"/>
    <col min="18" max="18" width="9.1796875" customWidth="1" outlineLevel="1"/>
    <col min="19" max="20" width="16" customWidth="1" outlineLevel="1"/>
    <col min="21" max="21" width="16" style="47" customWidth="1" outlineLevel="1"/>
    <col min="22" max="22" width="16" customWidth="1" outlineLevel="1"/>
    <col min="23" max="23" width="9.1796875" customWidth="1" outlineLevel="1"/>
    <col min="24" max="27" width="16" bestFit="1" customWidth="1" outlineLevel="1"/>
    <col min="28" max="28" width="12" bestFit="1" customWidth="1"/>
  </cols>
  <sheetData>
    <row r="1" spans="1:28" x14ac:dyDescent="0.35">
      <c r="A1" s="3" t="str">
        <f>+'PPC Cycle 3'!A1</f>
        <v>Evergy Metro, Inc. - DSIM Rider Update Filed 06/01/2021</v>
      </c>
    </row>
    <row r="2" spans="1:28" ht="15" thickBot="1" x14ac:dyDescent="0.4">
      <c r="H2" s="47"/>
      <c r="I2" s="47"/>
      <c r="J2" s="49"/>
      <c r="K2" s="49"/>
    </row>
    <row r="3" spans="1:28" ht="27.5" thickBot="1" x14ac:dyDescent="0.4">
      <c r="B3" s="88" t="s">
        <v>7</v>
      </c>
      <c r="C3" s="131" t="s">
        <v>19</v>
      </c>
      <c r="D3" s="131" t="s">
        <v>20</v>
      </c>
      <c r="E3" s="131" t="s">
        <v>57</v>
      </c>
      <c r="F3" s="131" t="s">
        <v>21</v>
      </c>
      <c r="G3" s="131" t="s">
        <v>38</v>
      </c>
      <c r="H3" s="90" t="s">
        <v>28</v>
      </c>
      <c r="I3" s="40"/>
      <c r="J3" s="89" t="s">
        <v>13</v>
      </c>
      <c r="K3" s="90" t="s">
        <v>56</v>
      </c>
      <c r="L3" s="90" t="s">
        <v>72</v>
      </c>
      <c r="M3" s="90" t="s">
        <v>73</v>
      </c>
    </row>
    <row r="4" spans="1:28" ht="15" thickBot="1" x14ac:dyDescent="0.4">
      <c r="B4" s="91" t="s">
        <v>24</v>
      </c>
      <c r="C4" s="129">
        <f t="shared" ref="C4:F8" si="0">C13+C22</f>
        <v>8663344.6849999987</v>
      </c>
      <c r="D4" s="130">
        <f t="shared" si="0"/>
        <v>6519382.6826000009</v>
      </c>
      <c r="E4" s="130">
        <f t="shared" si="0"/>
        <v>186992.94081999984</v>
      </c>
      <c r="F4" s="130">
        <f t="shared" si="0"/>
        <v>-2349.2600000000002</v>
      </c>
      <c r="G4" s="133">
        <f>+'PPC Cycle 3'!B5</f>
        <v>2610783115</v>
      </c>
      <c r="H4" s="134">
        <f>ROUND(SUM(C4:F4)/G4,5)</f>
        <v>5.8900000000000003E-3</v>
      </c>
      <c r="I4" s="135"/>
      <c r="J4" s="199">
        <f>ROUND((C13+C22)/G4,5)</f>
        <v>3.32E-3</v>
      </c>
      <c r="K4" s="136">
        <f>ROUND((D13+D22)/G4,5)</f>
        <v>2.5000000000000001E-3</v>
      </c>
      <c r="L4" s="136">
        <f>ROUND((E13+E22)/G4,5)</f>
        <v>6.9999999999999994E-5</v>
      </c>
      <c r="M4" s="136">
        <f>ROUND((F13+F22)/G4,5)</f>
        <v>0</v>
      </c>
      <c r="N4" s="232">
        <f>+H4-SUM(J4:M4)</f>
        <v>0</v>
      </c>
    </row>
    <row r="5" spans="1:28" ht="15" thickBot="1" x14ac:dyDescent="0.4">
      <c r="B5" s="91" t="s">
        <v>108</v>
      </c>
      <c r="C5" s="129">
        <f t="shared" si="0"/>
        <v>592865.97</v>
      </c>
      <c r="D5" s="130">
        <f t="shared" si="0"/>
        <v>622937.48080000002</v>
      </c>
      <c r="E5" s="130">
        <f t="shared" si="0"/>
        <v>-12305.8</v>
      </c>
      <c r="F5" s="130">
        <f t="shared" si="0"/>
        <v>-1107.6600000000001</v>
      </c>
      <c r="G5" s="133">
        <f>+'PPC Cycle 3'!B6</f>
        <v>527906339</v>
      </c>
      <c r="H5" s="134">
        <f>ROUND(SUM(C5:F5)/G5,5)</f>
        <v>2.2799999999999999E-3</v>
      </c>
      <c r="I5" s="135"/>
      <c r="J5" s="199">
        <f>ROUND((C14+C23)/G5,5)</f>
        <v>1.1199999999999999E-3</v>
      </c>
      <c r="K5" s="136">
        <f>ROUND((D14+D23)/G5,5)</f>
        <v>1.1800000000000001E-3</v>
      </c>
      <c r="L5" s="136">
        <f>ROUND((E14+E23)/G5,5)</f>
        <v>-2.0000000000000002E-5</v>
      </c>
      <c r="M5" s="136">
        <f>ROUND((F14+F23)/G5,5)</f>
        <v>0</v>
      </c>
      <c r="N5" s="232">
        <f t="shared" ref="N5:N8" si="1">+H5-SUM(J5:M5)</f>
        <v>0</v>
      </c>
      <c r="O5" s="267"/>
      <c r="P5" s="267"/>
      <c r="Q5" s="267"/>
      <c r="R5" s="267"/>
      <c r="S5" s="267"/>
      <c r="T5" s="267"/>
    </row>
    <row r="6" spans="1:28" s="47" customFormat="1" ht="15" thickBot="1" x14ac:dyDescent="0.4">
      <c r="B6" s="91" t="s">
        <v>109</v>
      </c>
      <c r="C6" s="129">
        <f t="shared" si="0"/>
        <v>3035226.88</v>
      </c>
      <c r="D6" s="130">
        <f t="shared" si="0"/>
        <v>1705302.1432800002</v>
      </c>
      <c r="E6" s="130">
        <f t="shared" si="0"/>
        <v>997668.82000000007</v>
      </c>
      <c r="F6" s="130">
        <f t="shared" si="0"/>
        <v>-2905.44</v>
      </c>
      <c r="G6" s="133">
        <f>+'PPC Cycle 3'!B7</f>
        <v>1150739924</v>
      </c>
      <c r="H6" s="134">
        <f>ROUND(SUM(C6:F6)/G6,5)</f>
        <v>4.9800000000000001E-3</v>
      </c>
      <c r="I6" s="135"/>
      <c r="J6" s="282">
        <f>ROUND((C15+C24)/G6,5)-0.00001</f>
        <v>2.63E-3</v>
      </c>
      <c r="K6" s="136">
        <f>ROUND((D15+D24)/G6,5)</f>
        <v>1.48E-3</v>
      </c>
      <c r="L6" s="136">
        <f>ROUND((E15+E24)/G6,5)</f>
        <v>8.7000000000000001E-4</v>
      </c>
      <c r="M6" s="136">
        <f>ROUND((F15+F24)/G6,5)</f>
        <v>0</v>
      </c>
      <c r="N6" s="232">
        <f t="shared" si="1"/>
        <v>0</v>
      </c>
      <c r="O6" s="267"/>
      <c r="P6" s="267"/>
      <c r="Q6" s="267"/>
      <c r="R6" s="267"/>
      <c r="S6" s="267"/>
      <c r="T6" s="267"/>
    </row>
    <row r="7" spans="1:28" s="47" customFormat="1" ht="15" thickBot="1" x14ac:dyDescent="0.4">
      <c r="B7" s="91" t="s">
        <v>110</v>
      </c>
      <c r="C7" s="129">
        <f t="shared" si="0"/>
        <v>4118266.8800000004</v>
      </c>
      <c r="D7" s="130">
        <f t="shared" si="0"/>
        <v>1531246.7268400001</v>
      </c>
      <c r="E7" s="130">
        <f t="shared" si="0"/>
        <v>998683.55000000016</v>
      </c>
      <c r="F7" s="130">
        <f t="shared" si="0"/>
        <v>-3412.93</v>
      </c>
      <c r="G7" s="133">
        <f>+'PPC Cycle 3'!B8</f>
        <v>1823600646</v>
      </c>
      <c r="H7" s="134">
        <f>ROUND(SUM(C7:F7)/G7,5)</f>
        <v>3.64E-3</v>
      </c>
      <c r="I7" s="135"/>
      <c r="J7" s="282">
        <f>ROUND((C16+C25)/G7,5)-0.00001</f>
        <v>2.2499999999999998E-3</v>
      </c>
      <c r="K7" s="136">
        <f>ROUND((D16+D25)/G7,5)</f>
        <v>8.4000000000000003E-4</v>
      </c>
      <c r="L7" s="136">
        <f>ROUND((E16+E25)/G7,5)</f>
        <v>5.5000000000000003E-4</v>
      </c>
      <c r="M7" s="136">
        <f>ROUND((F16+F25)/G7,5)</f>
        <v>0</v>
      </c>
      <c r="N7" s="232">
        <f t="shared" si="1"/>
        <v>0</v>
      </c>
      <c r="O7" s="267"/>
      <c r="P7" s="267"/>
      <c r="Q7" s="267"/>
      <c r="R7" s="267"/>
      <c r="S7" s="267"/>
      <c r="T7" s="267"/>
    </row>
    <row r="8" spans="1:28" s="47" customFormat="1" ht="15" thickBot="1" x14ac:dyDescent="0.4">
      <c r="B8" s="91" t="s">
        <v>111</v>
      </c>
      <c r="C8" s="129">
        <f t="shared" si="0"/>
        <v>904296.05</v>
      </c>
      <c r="D8" s="130">
        <f t="shared" si="0"/>
        <v>117255.75140000001</v>
      </c>
      <c r="E8" s="130">
        <f t="shared" si="0"/>
        <v>339572.73</v>
      </c>
      <c r="F8" s="130">
        <f t="shared" si="0"/>
        <v>-732.66</v>
      </c>
      <c r="G8" s="133">
        <f>+'PPC Cycle 3'!B9</f>
        <v>524098362</v>
      </c>
      <c r="H8" s="134">
        <f>ROUND(SUM(C8:F8)/G8,5)</f>
        <v>2.5999999999999999E-3</v>
      </c>
      <c r="I8" s="135"/>
      <c r="J8" s="199">
        <f>ROUND((C17+C26)/G8,5)</f>
        <v>1.73E-3</v>
      </c>
      <c r="K8" s="136">
        <f>ROUND((D17+D26)/G8,5)</f>
        <v>2.2000000000000001E-4</v>
      </c>
      <c r="L8" s="268">
        <f>ROUND((E17+E26)/G8,5)</f>
        <v>6.4999999999999997E-4</v>
      </c>
      <c r="M8" s="136">
        <f>ROUND((F17+F26)/G8,5)</f>
        <v>0</v>
      </c>
      <c r="N8" s="232">
        <f t="shared" si="1"/>
        <v>0</v>
      </c>
      <c r="O8" s="267"/>
      <c r="P8" s="267"/>
      <c r="Q8" s="267"/>
      <c r="R8" s="267"/>
      <c r="S8" s="267"/>
      <c r="T8" s="267"/>
    </row>
    <row r="9" spans="1:28" x14ac:dyDescent="0.35">
      <c r="C9" s="128"/>
      <c r="D9" s="128"/>
      <c r="E9" s="128"/>
      <c r="F9" s="128"/>
      <c r="G9" s="127"/>
    </row>
    <row r="10" spans="1:28" x14ac:dyDescent="0.35">
      <c r="C10" s="128"/>
      <c r="D10" s="128"/>
      <c r="E10" s="128"/>
      <c r="F10" s="128"/>
      <c r="G10" s="127"/>
      <c r="H10" s="287"/>
      <c r="I10" s="152"/>
      <c r="J10" s="287"/>
      <c r="K10" s="287"/>
      <c r="L10" s="287"/>
      <c r="M10" s="287"/>
    </row>
    <row r="11" spans="1:28" ht="15" thickBot="1" x14ac:dyDescent="0.4">
      <c r="C11" s="128"/>
      <c r="D11" s="128"/>
      <c r="E11" s="128"/>
      <c r="F11" s="128"/>
      <c r="G11" s="127"/>
      <c r="H11" s="288"/>
      <c r="I11" s="289"/>
      <c r="J11" s="288"/>
      <c r="K11" s="288"/>
      <c r="L11" s="288"/>
      <c r="M11" s="288"/>
    </row>
    <row r="12" spans="1:28" ht="15" thickBot="1" x14ac:dyDescent="0.4">
      <c r="B12" s="88" t="s">
        <v>7</v>
      </c>
      <c r="C12" s="132" t="s">
        <v>6</v>
      </c>
      <c r="D12" s="132" t="s">
        <v>16</v>
      </c>
      <c r="E12" s="132" t="s">
        <v>58</v>
      </c>
      <c r="F12" s="132" t="s">
        <v>17</v>
      </c>
      <c r="G12" s="127"/>
      <c r="H12" s="288"/>
      <c r="I12" s="289"/>
      <c r="J12" s="288"/>
      <c r="K12" s="288"/>
      <c r="L12" s="288"/>
      <c r="M12" s="288"/>
      <c r="O12" s="132" t="s">
        <v>74</v>
      </c>
      <c r="P12" s="132" t="s">
        <v>75</v>
      </c>
      <c r="Q12" s="132" t="s">
        <v>82</v>
      </c>
      <c r="R12" s="47"/>
      <c r="S12" s="132" t="s">
        <v>76</v>
      </c>
      <c r="T12" s="132" t="s">
        <v>77</v>
      </c>
      <c r="U12" s="132" t="s">
        <v>104</v>
      </c>
      <c r="V12" s="132" t="s">
        <v>94</v>
      </c>
      <c r="X12" s="132" t="s">
        <v>116</v>
      </c>
      <c r="Y12" s="132" t="s">
        <v>117</v>
      </c>
      <c r="Z12" s="132" t="s">
        <v>118</v>
      </c>
      <c r="AA12" s="132" t="s">
        <v>119</v>
      </c>
    </row>
    <row r="13" spans="1:28" ht="15" thickBot="1" x14ac:dyDescent="0.4">
      <c r="B13" s="91" t="s">
        <v>24</v>
      </c>
      <c r="C13" s="130">
        <f>+'PPC Cycle 3'!C5</f>
        <v>9160051.1600000001</v>
      </c>
      <c r="D13" s="130">
        <f>'PTD Cycle 2'!C6+'PTD Cycle 3'!C6</f>
        <v>6334096.8100000005</v>
      </c>
      <c r="E13" s="130">
        <f>+'EO Cycle 2'!G7</f>
        <v>220438.07</v>
      </c>
      <c r="F13" s="129">
        <f>+'OA Cycle 2'!F8</f>
        <v>-2349.2600000000002</v>
      </c>
      <c r="G13" s="127"/>
      <c r="H13" s="288"/>
      <c r="I13" s="289"/>
      <c r="J13" s="288"/>
      <c r="K13" s="288"/>
      <c r="L13" s="288"/>
      <c r="M13" s="288"/>
      <c r="O13" s="186">
        <v>0</v>
      </c>
      <c r="P13" s="186">
        <v>0</v>
      </c>
      <c r="Q13" s="231">
        <v>0</v>
      </c>
      <c r="R13" s="160"/>
      <c r="S13" s="159">
        <v>0</v>
      </c>
      <c r="T13" s="159">
        <f>ROUND(+'PTD Cycle 2'!C6/'tariff tables'!G4,5)</f>
        <v>6.0999999999999997E-4</v>
      </c>
      <c r="U13" s="159">
        <f>ROUND('EO Cycle 2'!G7/'tariff tables'!G4,5)</f>
        <v>8.0000000000000007E-5</v>
      </c>
      <c r="V13" s="159">
        <f>ROUND('OA Cycle 2'!F8/'tariff tables'!G4,5)</f>
        <v>0</v>
      </c>
      <c r="X13" s="159">
        <f>ROUND('PPC Cycle 3'!C5/'tariff tables'!$G4,5)</f>
        <v>3.5100000000000001E-3</v>
      </c>
      <c r="Y13" s="159">
        <f>ROUND('PTD Cycle 3'!C6/'tariff tables'!G4,5)</f>
        <v>1.82E-3</v>
      </c>
      <c r="Z13" s="159">
        <f>ROUND(0/'tariff tables'!G4,5)</f>
        <v>0</v>
      </c>
      <c r="AA13" s="159">
        <f>ROUND(0/'tariff tables'!G4,5)</f>
        <v>0</v>
      </c>
      <c r="AB13" s="160">
        <f>SUM(O13:AA13,O22:AA22)</f>
        <v>5.8899999999999994E-3</v>
      </c>
    </row>
    <row r="14" spans="1:28" ht="15" thickBot="1" x14ac:dyDescent="0.4">
      <c r="B14" s="91" t="s">
        <v>108</v>
      </c>
      <c r="C14" s="130">
        <f>+'PPC Cycle 3'!C6</f>
        <v>949516.42</v>
      </c>
      <c r="D14" s="130">
        <f>'PTD Cycle 2'!C10+'PTD Cycle 3'!C7</f>
        <v>817003.75</v>
      </c>
      <c r="E14" s="130">
        <f>+'EO Cycle 2'!G11</f>
        <v>-19318.89</v>
      </c>
      <c r="F14" s="129">
        <f>+'OA Cycle 2'!D13</f>
        <v>-1107.6600000000001</v>
      </c>
      <c r="G14" s="127"/>
      <c r="H14" s="288"/>
      <c r="I14" s="289"/>
      <c r="J14" s="290"/>
      <c r="K14" s="288"/>
      <c r="L14" s="288"/>
      <c r="M14" s="288"/>
      <c r="O14" s="186">
        <v>0</v>
      </c>
      <c r="P14" s="186">
        <v>0</v>
      </c>
      <c r="Q14" s="231">
        <v>0</v>
      </c>
      <c r="R14" s="160"/>
      <c r="S14" s="159">
        <v>0</v>
      </c>
      <c r="T14" s="186">
        <f>ROUND(+'PTD Cycle 2'!C10/'tariff tables'!G5,5)</f>
        <v>5.0000000000000001E-4</v>
      </c>
      <c r="U14" s="231">
        <f>ROUND('EO Cycle 2'!G11/'tariff tables'!G5,5)</f>
        <v>-4.0000000000000003E-5</v>
      </c>
      <c r="V14" s="186">
        <f>ROUND('OA Cycle 2'!D13/'tariff tables'!G5,5)</f>
        <v>0</v>
      </c>
      <c r="X14" s="159">
        <f>ROUND('PPC Cycle 3'!C6/'tariff tables'!$G5,5)</f>
        <v>1.8E-3</v>
      </c>
      <c r="Y14" s="159">
        <f>ROUND('PTD Cycle 3'!C7/'tariff tables'!G5,5)</f>
        <v>1.0499999999999999E-3</v>
      </c>
      <c r="Z14" s="159">
        <f>ROUND(0/'tariff tables'!G5,5)</f>
        <v>0</v>
      </c>
      <c r="AA14" s="159">
        <f>ROUND(0/'tariff tables'!G5,5)</f>
        <v>0</v>
      </c>
      <c r="AB14" s="160">
        <f t="shared" ref="AB14:AB17" si="2">SUM(O14:AA14,O23:AA23)</f>
        <v>2.2799999999999995E-3</v>
      </c>
    </row>
    <row r="15" spans="1:28" s="47" customFormat="1" ht="15" thickBot="1" x14ac:dyDescent="0.4">
      <c r="B15" s="91" t="s">
        <v>109</v>
      </c>
      <c r="C15" s="130">
        <f>+'PPC Cycle 3'!C7</f>
        <v>2461235.81</v>
      </c>
      <c r="D15" s="130">
        <f>'PTD Cycle 2'!C11+'PTD Cycle 3'!C8</f>
        <v>1777952.58</v>
      </c>
      <c r="E15" s="130">
        <f>+'EO Cycle 2'!G12</f>
        <v>979273.20000000007</v>
      </c>
      <c r="F15" s="129">
        <f>+'OA Cycle 2'!D14</f>
        <v>-2905.44</v>
      </c>
      <c r="G15" s="127"/>
      <c r="H15" s="288"/>
      <c r="I15" s="289"/>
      <c r="J15" s="288"/>
      <c r="K15" s="288"/>
      <c r="L15" s="291"/>
      <c r="M15" s="288"/>
      <c r="O15" s="186">
        <v>0</v>
      </c>
      <c r="P15" s="186">
        <v>0</v>
      </c>
      <c r="Q15" s="231">
        <v>0</v>
      </c>
      <c r="R15" s="160"/>
      <c r="S15" s="159">
        <v>0</v>
      </c>
      <c r="T15" s="186">
        <f>ROUND(+'PTD Cycle 2'!C11/'tariff tables'!G6,5)</f>
        <v>5.5000000000000003E-4</v>
      </c>
      <c r="U15" s="231">
        <f>ROUND('EO Cycle 2'!G12/'tariff tables'!G6,5)</f>
        <v>8.4999999999999995E-4</v>
      </c>
      <c r="V15" s="186">
        <f>ROUND('OA Cycle 2'!D14/'tariff tables'!G6,5)</f>
        <v>0</v>
      </c>
      <c r="X15" s="159">
        <f>ROUND('PPC Cycle 3'!C7/'tariff tables'!$G6,5)</f>
        <v>2.14E-3</v>
      </c>
      <c r="Y15" s="159">
        <f>ROUND('PTD Cycle 3'!C8/'tariff tables'!G6,5)</f>
        <v>1E-3</v>
      </c>
      <c r="Z15" s="159">
        <f>ROUND(0/'tariff tables'!G6,5)</f>
        <v>0</v>
      </c>
      <c r="AA15" s="159">
        <f>ROUND(0/'tariff tables'!G6,5)</f>
        <v>0</v>
      </c>
      <c r="AB15" s="160">
        <f t="shared" si="2"/>
        <v>4.9800000000000001E-3</v>
      </c>
    </row>
    <row r="16" spans="1:28" s="47" customFormat="1" ht="15" thickBot="1" x14ac:dyDescent="0.4">
      <c r="B16" s="91" t="s">
        <v>110</v>
      </c>
      <c r="C16" s="130">
        <f>+'PPC Cycle 3'!C8</f>
        <v>3982092.81</v>
      </c>
      <c r="D16" s="130">
        <f>'PTD Cycle 2'!C12+'PTD Cycle 3'!C9</f>
        <v>1688394.1400000001</v>
      </c>
      <c r="E16" s="130">
        <f>+'EO Cycle 2'!G13</f>
        <v>977074.77000000014</v>
      </c>
      <c r="F16" s="129">
        <f>+'OA Cycle 2'!D15</f>
        <v>-3412.93</v>
      </c>
      <c r="G16" s="127"/>
      <c r="H16" s="17"/>
      <c r="I16" s="17"/>
      <c r="J16" s="157"/>
      <c r="K16" s="17"/>
      <c r="L16" s="17"/>
      <c r="M16" s="17"/>
      <c r="O16" s="186">
        <v>0</v>
      </c>
      <c r="P16" s="186">
        <v>0</v>
      </c>
      <c r="Q16" s="248">
        <v>0</v>
      </c>
      <c r="R16" s="249"/>
      <c r="S16" s="193">
        <v>0</v>
      </c>
      <c r="T16" s="250">
        <f>ROUND(+'PTD Cycle 2'!C12/'tariff tables'!G7,5)</f>
        <v>3.2000000000000003E-4</v>
      </c>
      <c r="U16" s="248">
        <f>ROUND('EO Cycle 2'!G13/'tariff tables'!G7,5)</f>
        <v>5.4000000000000001E-4</v>
      </c>
      <c r="V16" s="186">
        <f>ROUND('OA Cycle 2'!D15/'tariff tables'!G7,5)</f>
        <v>0</v>
      </c>
      <c r="X16" s="159">
        <f>ROUND('PPC Cycle 3'!C8/'tariff tables'!$G7,5)</f>
        <v>2.1800000000000001E-3</v>
      </c>
      <c r="Y16" s="159">
        <f>ROUND('PTD Cycle 3'!C9/'tariff tables'!G7,5)</f>
        <v>6.0999999999999997E-4</v>
      </c>
      <c r="Z16" s="159">
        <f>ROUND(0/'tariff tables'!G7,5)</f>
        <v>0</v>
      </c>
      <c r="AA16" s="159">
        <f>ROUND(0/'tariff tables'!G7,5)</f>
        <v>0</v>
      </c>
      <c r="AB16" s="160">
        <f t="shared" si="2"/>
        <v>3.6399999999999996E-3</v>
      </c>
    </row>
    <row r="17" spans="2:28" s="47" customFormat="1" ht="15" thickBot="1" x14ac:dyDescent="0.4">
      <c r="B17" s="91" t="s">
        <v>111</v>
      </c>
      <c r="C17" s="130">
        <f>+'PPC Cycle 3'!C9</f>
        <v>1412710.75</v>
      </c>
      <c r="D17" s="130">
        <f>'PTD Cycle 2'!C13+'PTD Cycle 3'!C10</f>
        <v>158900.98000000001</v>
      </c>
      <c r="E17" s="130">
        <f>+'EO Cycle 2'!G14</f>
        <v>334933.93</v>
      </c>
      <c r="F17" s="129">
        <f>+'OA Cycle 2'!D16</f>
        <v>-732.66</v>
      </c>
      <c r="G17" s="127"/>
      <c r="J17" s="157"/>
      <c r="K17" s="17"/>
      <c r="O17" s="186">
        <v>0</v>
      </c>
      <c r="P17" s="186">
        <v>0</v>
      </c>
      <c r="Q17" s="248">
        <v>0</v>
      </c>
      <c r="R17" s="249"/>
      <c r="S17" s="193">
        <v>0</v>
      </c>
      <c r="T17" s="250">
        <f>ROUND(+'PTD Cycle 2'!C13/'tariff tables'!G8,5)</f>
        <v>1.1E-4</v>
      </c>
      <c r="U17" s="250">
        <f>ROUND('EO Cycle 2'!G14/'tariff tables'!G8,5)</f>
        <v>6.4000000000000005E-4</v>
      </c>
      <c r="V17" s="186">
        <f>ROUND('OA Cycle 2'!D16/'tariff tables'!G8,5)</f>
        <v>0</v>
      </c>
      <c r="X17" s="159">
        <f>ROUND('PPC Cycle 3'!C9/'tariff tables'!$G8,5)</f>
        <v>2.7000000000000001E-3</v>
      </c>
      <c r="Y17" s="159">
        <f>ROUND('PTD Cycle 3'!C10/'tariff tables'!G8,5)</f>
        <v>1.9000000000000001E-4</v>
      </c>
      <c r="Z17" s="159">
        <f>ROUND(0/'tariff tables'!G8,5)</f>
        <v>0</v>
      </c>
      <c r="AA17" s="159">
        <f>ROUND(0/'tariff tables'!G8,5)</f>
        <v>0</v>
      </c>
      <c r="AB17" s="160">
        <f t="shared" si="2"/>
        <v>2.5999999999999994E-3</v>
      </c>
    </row>
    <row r="18" spans="2:28" x14ac:dyDescent="0.35">
      <c r="C18" s="128"/>
      <c r="D18" s="128"/>
      <c r="E18" s="128"/>
      <c r="F18" s="128"/>
      <c r="G18" s="127"/>
      <c r="J18" s="17"/>
      <c r="K18" s="17"/>
      <c r="O18" s="187"/>
      <c r="P18" s="187"/>
      <c r="Q18" s="251"/>
      <c r="R18" s="249"/>
      <c r="S18" s="249"/>
      <c r="T18" s="249"/>
      <c r="U18" s="249"/>
      <c r="V18" s="160"/>
      <c r="X18" s="160"/>
      <c r="Y18" s="160"/>
      <c r="Z18" s="160"/>
      <c r="AA18" s="160"/>
    </row>
    <row r="19" spans="2:28" x14ac:dyDescent="0.35">
      <c r="C19" s="128"/>
      <c r="D19" s="128"/>
      <c r="E19" s="128"/>
      <c r="F19" s="128"/>
      <c r="G19" s="127"/>
      <c r="J19" s="17"/>
      <c r="K19" s="17"/>
      <c r="O19" s="187"/>
      <c r="P19" s="187"/>
      <c r="Q19" s="251"/>
      <c r="R19" s="249"/>
      <c r="S19" s="249"/>
      <c r="T19" s="249"/>
      <c r="U19" s="249"/>
      <c r="V19" s="160"/>
      <c r="X19" s="160"/>
      <c r="Y19" s="160"/>
      <c r="Z19" s="160"/>
      <c r="AA19" s="160"/>
    </row>
    <row r="20" spans="2:28" ht="15" thickBot="1" x14ac:dyDescent="0.4">
      <c r="C20" s="128"/>
      <c r="D20" s="128"/>
      <c r="E20" s="128"/>
      <c r="F20" s="128"/>
      <c r="G20" s="127"/>
      <c r="J20" s="17"/>
      <c r="K20" s="17"/>
      <c r="O20" s="187"/>
      <c r="P20" s="187"/>
      <c r="Q20" s="251"/>
      <c r="R20" s="249"/>
      <c r="S20" s="249"/>
      <c r="T20" s="249"/>
      <c r="U20" s="249"/>
      <c r="V20" s="160"/>
      <c r="X20" s="160"/>
      <c r="Y20" s="160"/>
      <c r="Z20" s="160"/>
      <c r="AA20" s="160"/>
    </row>
    <row r="21" spans="2:28" ht="15" thickBot="1" x14ac:dyDescent="0.4">
      <c r="B21" s="88" t="s">
        <v>7</v>
      </c>
      <c r="C21" s="132" t="s">
        <v>4</v>
      </c>
      <c r="D21" s="132" t="s">
        <v>9</v>
      </c>
      <c r="E21" s="132" t="s">
        <v>59</v>
      </c>
      <c r="F21" s="132" t="s">
        <v>18</v>
      </c>
      <c r="G21" s="127"/>
      <c r="O21" s="188" t="s">
        <v>78</v>
      </c>
      <c r="P21" s="188" t="s">
        <v>79</v>
      </c>
      <c r="Q21" s="252" t="s">
        <v>83</v>
      </c>
      <c r="R21" s="249"/>
      <c r="S21" s="253" t="s">
        <v>80</v>
      </c>
      <c r="T21" s="253" t="s">
        <v>81</v>
      </c>
      <c r="U21" s="252" t="s">
        <v>107</v>
      </c>
      <c r="V21" s="161" t="s">
        <v>95</v>
      </c>
      <c r="X21" s="161" t="s">
        <v>120</v>
      </c>
      <c r="Y21" s="161" t="s">
        <v>121</v>
      </c>
      <c r="Z21" s="188" t="s">
        <v>122</v>
      </c>
      <c r="AA21" s="161" t="s">
        <v>123</v>
      </c>
    </row>
    <row r="22" spans="2:28" ht="15" thickBot="1" x14ac:dyDescent="0.4">
      <c r="B22" s="91" t="s">
        <v>24</v>
      </c>
      <c r="C22" s="130">
        <f>+'PCR Cycle 3'!K4+'PCR Cycle 2'!K4</f>
        <v>-496706.47500000068</v>
      </c>
      <c r="D22" s="130">
        <f>'TDR Cycle 3'!K4+'TDR Cycle 2'!K4</f>
        <v>185285.87260000029</v>
      </c>
      <c r="E22" s="130">
        <f>+'EOR Cycle 2'!J4</f>
        <v>-33445.129180000171</v>
      </c>
      <c r="F22" s="129">
        <f>+'OAR Cycle 2'!I4</f>
        <v>0</v>
      </c>
      <c r="G22" s="127"/>
      <c r="O22" s="186">
        <v>0</v>
      </c>
      <c r="P22" s="186">
        <v>0</v>
      </c>
      <c r="Q22" s="250">
        <v>0</v>
      </c>
      <c r="R22" s="249"/>
      <c r="S22" s="193">
        <f>ROUND(+'PCR Cycle 2'!K4/'tariff tables'!G4,5)</f>
        <v>3.0000000000000001E-5</v>
      </c>
      <c r="T22" s="283">
        <f>ROUND(+'TDR Cycle 2'!K4/'tariff tables'!G4,5)-0.00001</f>
        <v>3.0000000000000004E-5</v>
      </c>
      <c r="U22" s="283">
        <f>ROUND('EOR Cycle 2'!J4/'tariff tables'!G4,5)</f>
        <v>-1.0000000000000001E-5</v>
      </c>
      <c r="V22" s="193">
        <f>ROUND('OAR Cycle 2'!I4/'tariff tables'!G4,5)</f>
        <v>0</v>
      </c>
      <c r="X22" s="193">
        <f>ROUND('PCR Cycle 3'!K4/'tariff tables'!G4,5)</f>
        <v>-2.2000000000000001E-4</v>
      </c>
      <c r="Y22" s="193">
        <f>ROUND('TDR Cycle 3'!K4/'tariff tables'!G4,5)</f>
        <v>4.0000000000000003E-5</v>
      </c>
      <c r="Z22" s="193">
        <f>ROUND(0/'tariff tables'!G4,5)</f>
        <v>0</v>
      </c>
      <c r="AA22" s="193">
        <f>ROUND(0/'tariff tables'!G4,5)</f>
        <v>0</v>
      </c>
    </row>
    <row r="23" spans="2:28" ht="15" thickBot="1" x14ac:dyDescent="0.4">
      <c r="B23" s="91" t="s">
        <v>108</v>
      </c>
      <c r="C23" s="130">
        <f>'PCR Cycle 3'!K5+'PCR Cycle 2'!K8</f>
        <v>-356650.45</v>
      </c>
      <c r="D23" s="130">
        <f>'TDR Cycle 3'!K5+'TDR Cycle 2'!K8</f>
        <v>-194066.26920000001</v>
      </c>
      <c r="E23" s="130">
        <f>+'EOR Cycle 2'!J8</f>
        <v>7013.09</v>
      </c>
      <c r="F23" s="129">
        <f>+'OAR Cycle 2'!I8</f>
        <v>0</v>
      </c>
      <c r="G23" s="127"/>
      <c r="O23" s="186">
        <v>0</v>
      </c>
      <c r="P23" s="186">
        <v>0</v>
      </c>
      <c r="Q23" s="250">
        <v>0</v>
      </c>
      <c r="R23" s="249"/>
      <c r="S23" s="283">
        <f>ROUND(+'PCR Cycle 2'!K8/'tariff tables'!G5,5)-0.00001</f>
        <v>-7.9999999999999993E-5</v>
      </c>
      <c r="T23" s="193">
        <f>ROUND(+'TDR Cycle 2'!K8/'tariff tables'!G5,5)</f>
        <v>-1.0000000000000001E-5</v>
      </c>
      <c r="U23" s="283">
        <f>ROUND('EOR Cycle 2'!J8/'tariff tables'!G5,5)+0.00001</f>
        <v>2.0000000000000002E-5</v>
      </c>
      <c r="V23" s="193">
        <f>ROUND('OAR Cycle 2'!I8/'tariff tables'!G5,5)</f>
        <v>0</v>
      </c>
      <c r="X23" s="193">
        <f>ROUND('PCR Cycle 3'!K5/'tariff tables'!G5,5)</f>
        <v>-5.9999999999999995E-4</v>
      </c>
      <c r="Y23" s="193">
        <f>ROUND('TDR Cycle 3'!K5/'tariff tables'!G5,5)</f>
        <v>-3.6000000000000002E-4</v>
      </c>
      <c r="Z23" s="193">
        <f>ROUND(0/'tariff tables'!G5,5)</f>
        <v>0</v>
      </c>
      <c r="AA23" s="193">
        <f>ROUND(0/'tariff tables'!G5,5)</f>
        <v>0</v>
      </c>
    </row>
    <row r="24" spans="2:28" s="47" customFormat="1" ht="15" thickBot="1" x14ac:dyDescent="0.4">
      <c r="B24" s="91" t="s">
        <v>109</v>
      </c>
      <c r="C24" s="130">
        <f>'PCR Cycle 3'!K6+'PCR Cycle 2'!K9</f>
        <v>573991.06999999995</v>
      </c>
      <c r="D24" s="130">
        <f>'TDR Cycle 3'!K6+'TDR Cycle 2'!K9</f>
        <v>-72650.436719999925</v>
      </c>
      <c r="E24" s="130">
        <f>+'EOR Cycle 2'!J9</f>
        <v>18395.62</v>
      </c>
      <c r="F24" s="129">
        <f>+'OAR Cycle 2'!I9</f>
        <v>0</v>
      </c>
      <c r="G24" s="127"/>
      <c r="O24" s="186">
        <v>0</v>
      </c>
      <c r="P24" s="186">
        <v>0</v>
      </c>
      <c r="Q24" s="250">
        <v>0</v>
      </c>
      <c r="R24" s="249"/>
      <c r="S24" s="283">
        <f>ROUND(+'PCR Cycle 2'!K9/'tariff tables'!G6,5)-0.00001</f>
        <v>-1E-4</v>
      </c>
      <c r="T24" s="283">
        <f>ROUND(+'TDR Cycle 2'!K9/'tariff tables'!G6,5)-0.00001</f>
        <v>-2.0000000000000002E-5</v>
      </c>
      <c r="U24" s="193">
        <f>ROUND('EOR Cycle 2'!J9/'tariff tables'!G6,5)</f>
        <v>2.0000000000000002E-5</v>
      </c>
      <c r="V24" s="193">
        <f>ROUND('OAR Cycle 2'!I9/'tariff tables'!G6,5)</f>
        <v>0</v>
      </c>
      <c r="X24" s="193">
        <f>ROUND('PCR Cycle 3'!K6/'tariff tables'!G6,5)</f>
        <v>5.9000000000000003E-4</v>
      </c>
      <c r="Y24" s="193">
        <f>ROUND('TDR Cycle 3'!K6/'tariff tables'!G6,5)</f>
        <v>-5.0000000000000002E-5</v>
      </c>
      <c r="Z24" s="193">
        <f>ROUND(0/'tariff tables'!G6,5)</f>
        <v>0</v>
      </c>
      <c r="AA24" s="193">
        <f>ROUND(0/'tariff tables'!G6,5)</f>
        <v>0</v>
      </c>
    </row>
    <row r="25" spans="2:28" s="47" customFormat="1" ht="15" thickBot="1" x14ac:dyDescent="0.4">
      <c r="B25" s="91" t="s">
        <v>110</v>
      </c>
      <c r="C25" s="130">
        <f>'PCR Cycle 3'!K7+'PCR Cycle 2'!K10</f>
        <v>136174.07000000024</v>
      </c>
      <c r="D25" s="130">
        <f>'TDR Cycle 3'!K7+'TDR Cycle 2'!K10</f>
        <v>-157147.41316</v>
      </c>
      <c r="E25" s="130">
        <f>+'EOR Cycle 2'!J10</f>
        <v>21608.78</v>
      </c>
      <c r="F25" s="129">
        <f>+'OAR Cycle 2'!I10</f>
        <v>0</v>
      </c>
      <c r="G25" s="127"/>
      <c r="O25" s="186">
        <v>0</v>
      </c>
      <c r="P25" s="186">
        <v>0</v>
      </c>
      <c r="Q25" s="250">
        <v>0</v>
      </c>
      <c r="R25" s="249"/>
      <c r="S25" s="193">
        <f>ROUND(+'PCR Cycle 2'!K10/'tariff tables'!G7,5)</f>
        <v>-6.9999999999999994E-5</v>
      </c>
      <c r="T25" s="193">
        <f>ROUND(+'TDR Cycle 2'!K10/'tariff tables'!G7,5)</f>
        <v>-1.0000000000000001E-5</v>
      </c>
      <c r="U25" s="193">
        <f>ROUND('EOR Cycle 2'!J10/'tariff tables'!G7,5)</f>
        <v>1.0000000000000001E-5</v>
      </c>
      <c r="V25" s="193">
        <f>ROUND('OAR Cycle 2'!I10/'tariff tables'!G7,5)</f>
        <v>0</v>
      </c>
      <c r="X25" s="193">
        <f>ROUND('PCR Cycle 3'!K7/'tariff tables'!G7,5)</f>
        <v>1.3999999999999999E-4</v>
      </c>
      <c r="Y25" s="193">
        <f>ROUND('TDR Cycle 3'!K7/'tariff tables'!G7,5)</f>
        <v>-8.0000000000000007E-5</v>
      </c>
      <c r="Z25" s="193">
        <f>ROUND(0/'tariff tables'!G7,5)</f>
        <v>0</v>
      </c>
      <c r="AA25" s="193">
        <f>ROUND(0/'tariff tables'!G7,5)</f>
        <v>0</v>
      </c>
    </row>
    <row r="26" spans="2:28" s="47" customFormat="1" ht="15" thickBot="1" x14ac:dyDescent="0.4">
      <c r="B26" s="91" t="s">
        <v>111</v>
      </c>
      <c r="C26" s="130">
        <f>'PCR Cycle 3'!K8+'PCR Cycle 2'!K11</f>
        <v>-508414.69999999995</v>
      </c>
      <c r="D26" s="130">
        <f>'TDR Cycle 3'!K8+'TDR Cycle 2'!K11</f>
        <v>-41645.228600000002</v>
      </c>
      <c r="E26" s="130">
        <f>+'EOR Cycle 2'!J11</f>
        <v>4638.8</v>
      </c>
      <c r="F26" s="129">
        <f>+'OAR Cycle 2'!I11</f>
        <v>0</v>
      </c>
      <c r="G26" s="127"/>
      <c r="O26" s="186">
        <v>0</v>
      </c>
      <c r="P26" s="186">
        <v>0</v>
      </c>
      <c r="Q26" s="250">
        <v>0</v>
      </c>
      <c r="R26" s="249"/>
      <c r="S26" s="193">
        <f>ROUND(+'PCR Cycle 2'!K11/'tariff tables'!G8,5)</f>
        <v>-5.0000000000000002E-5</v>
      </c>
      <c r="T26" s="193">
        <f>ROUND(+'TDR Cycle 2'!K11/'tariff tables'!G8,5)</f>
        <v>-1.0000000000000001E-5</v>
      </c>
      <c r="U26" s="193">
        <f>ROUND('EOR Cycle 2'!J11/'tariff tables'!G8,5)</f>
        <v>1.0000000000000001E-5</v>
      </c>
      <c r="V26" s="193">
        <f>ROUND('OAR Cycle 2'!I11/'tariff tables'!G8,5)</f>
        <v>0</v>
      </c>
      <c r="X26" s="193">
        <f>ROUND('PCR Cycle 3'!K8/'tariff tables'!G8,5)</f>
        <v>-9.2000000000000003E-4</v>
      </c>
      <c r="Y26" s="193">
        <f>ROUND('TDR Cycle 3'!K8/'tariff tables'!G8,5)</f>
        <v>-6.9999999999999994E-5</v>
      </c>
      <c r="Z26" s="193">
        <f>ROUND(0/'tariff tables'!G8,5)</f>
        <v>0</v>
      </c>
      <c r="AA26" s="193">
        <f>ROUND(0/'tariff tables'!G8,5)</f>
        <v>0</v>
      </c>
    </row>
    <row r="27" spans="2:28" x14ac:dyDescent="0.35">
      <c r="O27" s="47"/>
      <c r="P27" s="47"/>
      <c r="R27" s="47"/>
      <c r="S27" s="47"/>
      <c r="T27" s="47"/>
    </row>
    <row r="28" spans="2:28" x14ac:dyDescent="0.35">
      <c r="B28" s="94" t="s">
        <v>39</v>
      </c>
      <c r="R28" t="s">
        <v>154</v>
      </c>
      <c r="S28" s="158">
        <f>+J4-O13-O22-S13-S22-X13-X22</f>
        <v>0</v>
      </c>
      <c r="T28" s="158">
        <f t="shared" ref="S28:U32" si="3">+K4-P13-P22-T13-T22-Y13-Y22</f>
        <v>1.0164395367051604E-19</v>
      </c>
      <c r="U28" s="158">
        <f t="shared" si="3"/>
        <v>-1.1858461261560205E-20</v>
      </c>
    </row>
    <row r="29" spans="2:28" x14ac:dyDescent="0.35">
      <c r="B29" s="95" t="s">
        <v>40</v>
      </c>
      <c r="R29" t="s">
        <v>155</v>
      </c>
      <c r="S29" s="158">
        <f t="shared" si="3"/>
        <v>0</v>
      </c>
      <c r="T29" s="158">
        <f t="shared" si="3"/>
        <v>0</v>
      </c>
      <c r="U29" s="158">
        <f t="shared" si="3"/>
        <v>0</v>
      </c>
    </row>
    <row r="30" spans="2:28" x14ac:dyDescent="0.35">
      <c r="B30" s="95" t="s">
        <v>43</v>
      </c>
      <c r="R30" t="s">
        <v>156</v>
      </c>
      <c r="S30" s="158">
        <f t="shared" si="3"/>
        <v>0</v>
      </c>
      <c r="T30" s="158">
        <f t="shared" si="3"/>
        <v>0</v>
      </c>
      <c r="U30" s="158">
        <f t="shared" si="3"/>
        <v>5.082197683525802E-20</v>
      </c>
    </row>
    <row r="31" spans="2:28" x14ac:dyDescent="0.35">
      <c r="B31" s="95" t="s">
        <v>145</v>
      </c>
      <c r="R31" t="s">
        <v>157</v>
      </c>
      <c r="S31" s="158">
        <f t="shared" si="3"/>
        <v>0</v>
      </c>
      <c r="T31" s="158">
        <f t="shared" si="3"/>
        <v>1.2197274440461925E-19</v>
      </c>
      <c r="U31" s="158">
        <f t="shared" si="3"/>
        <v>2.541098841762901E-20</v>
      </c>
    </row>
    <row r="32" spans="2:28" x14ac:dyDescent="0.35">
      <c r="B32" s="95" t="s">
        <v>41</v>
      </c>
      <c r="R32" t="s">
        <v>158</v>
      </c>
      <c r="S32" s="158">
        <f t="shared" si="3"/>
        <v>0</v>
      </c>
      <c r="T32" s="158">
        <f t="shared" si="3"/>
        <v>0</v>
      </c>
      <c r="U32" s="158">
        <f t="shared" si="3"/>
        <v>-8.3009228830921433E-20</v>
      </c>
    </row>
    <row r="33" spans="2:20" x14ac:dyDescent="0.35">
      <c r="B33" s="95" t="s">
        <v>150</v>
      </c>
      <c r="O33" s="260"/>
      <c r="P33" s="260"/>
      <c r="Q33" s="260"/>
      <c r="R33" s="152"/>
      <c r="S33" s="47"/>
      <c r="T33" s="47"/>
    </row>
    <row r="34" spans="2:20" x14ac:dyDescent="0.35">
      <c r="B34" s="95" t="s">
        <v>144</v>
      </c>
      <c r="O34" s="152"/>
      <c r="P34" s="152"/>
      <c r="Q34" s="261"/>
      <c r="R34" s="152"/>
      <c r="S34" s="47"/>
      <c r="T34" s="47"/>
    </row>
    <row r="35" spans="2:20" x14ac:dyDescent="0.35">
      <c r="B35" s="95" t="s">
        <v>48</v>
      </c>
      <c r="O35" s="262"/>
      <c r="P35" s="152"/>
      <c r="Q35" s="261"/>
      <c r="R35" s="152"/>
      <c r="S35" s="47"/>
      <c r="T35" s="47"/>
    </row>
    <row r="36" spans="2:20" x14ac:dyDescent="0.35">
      <c r="B36" s="95" t="s">
        <v>149</v>
      </c>
      <c r="O36" s="263"/>
      <c r="P36" s="264"/>
      <c r="Q36" s="261"/>
      <c r="R36" s="261"/>
      <c r="S36" s="47"/>
      <c r="T36" s="47"/>
    </row>
    <row r="37" spans="2:20" x14ac:dyDescent="0.35">
      <c r="B37" s="95" t="s">
        <v>146</v>
      </c>
      <c r="O37" s="263"/>
      <c r="P37" s="264"/>
      <c r="Q37" s="261"/>
      <c r="R37" s="261"/>
      <c r="S37" s="47"/>
      <c r="T37" s="47"/>
    </row>
    <row r="38" spans="2:20" x14ac:dyDescent="0.35">
      <c r="B38" s="95" t="s">
        <v>147</v>
      </c>
      <c r="O38" s="263"/>
      <c r="P38" s="264"/>
      <c r="Q38" s="261"/>
      <c r="R38" s="261"/>
      <c r="S38" s="47"/>
      <c r="T38" s="47"/>
    </row>
    <row r="39" spans="2:20" x14ac:dyDescent="0.35">
      <c r="B39" s="95" t="s">
        <v>151</v>
      </c>
      <c r="O39" s="263"/>
      <c r="P39" s="264"/>
      <c r="Q39" s="261"/>
      <c r="R39" s="261"/>
      <c r="S39" s="47"/>
      <c r="T39" s="47"/>
    </row>
    <row r="40" spans="2:20" x14ac:dyDescent="0.35">
      <c r="B40" s="95" t="s">
        <v>42</v>
      </c>
      <c r="O40" s="263"/>
      <c r="P40" s="264"/>
      <c r="Q40" s="261"/>
      <c r="R40" s="261"/>
      <c r="S40" s="47"/>
      <c r="T40" s="47"/>
    </row>
    <row r="41" spans="2:20" x14ac:dyDescent="0.35">
      <c r="B41" s="95" t="s">
        <v>148</v>
      </c>
      <c r="O41" s="263"/>
      <c r="P41" s="264"/>
      <c r="Q41" s="261"/>
      <c r="R41" s="261"/>
      <c r="S41" s="47"/>
      <c r="T41" s="47"/>
    </row>
    <row r="42" spans="2:20" x14ac:dyDescent="0.35">
      <c r="B42" s="95" t="s">
        <v>152</v>
      </c>
      <c r="O42" s="265"/>
      <c r="P42" s="264"/>
      <c r="Q42" s="261"/>
      <c r="R42" s="261"/>
      <c r="S42" s="47"/>
      <c r="T42" s="47"/>
    </row>
    <row r="43" spans="2:20" x14ac:dyDescent="0.35">
      <c r="B43" s="95" t="s">
        <v>153</v>
      </c>
      <c r="O43" s="152"/>
      <c r="P43" s="266"/>
      <c r="Q43" s="261"/>
      <c r="R43" s="261"/>
      <c r="S43" s="47"/>
      <c r="T43" s="47"/>
    </row>
    <row r="44" spans="2:20" x14ac:dyDescent="0.35">
      <c r="O44" s="262"/>
      <c r="P44" s="152"/>
      <c r="Q44" s="261"/>
      <c r="R44" s="261"/>
      <c r="S44" s="47"/>
      <c r="T44" s="47"/>
    </row>
    <row r="45" spans="2:20" x14ac:dyDescent="0.35">
      <c r="O45" s="263"/>
      <c r="P45" s="264"/>
      <c r="Q45" s="261"/>
      <c r="R45" s="261"/>
      <c r="S45" s="47"/>
      <c r="T45" s="47"/>
    </row>
    <row r="46" spans="2:20" x14ac:dyDescent="0.35">
      <c r="O46" s="263"/>
      <c r="P46" s="264"/>
      <c r="Q46" s="261"/>
      <c r="R46" s="261"/>
      <c r="S46" s="47"/>
      <c r="T46" s="47"/>
    </row>
    <row r="47" spans="2:20" x14ac:dyDescent="0.35">
      <c r="O47" s="263"/>
      <c r="P47" s="264"/>
      <c r="Q47" s="261"/>
      <c r="R47" s="261"/>
      <c r="S47" s="47"/>
      <c r="T47" s="47"/>
    </row>
    <row r="48" spans="2:20" x14ac:dyDescent="0.35">
      <c r="O48" s="263"/>
      <c r="P48" s="264"/>
      <c r="Q48" s="261"/>
      <c r="R48" s="261"/>
      <c r="S48" s="47"/>
      <c r="T48" s="47"/>
    </row>
    <row r="49" spans="15:20" x14ac:dyDescent="0.35">
      <c r="O49" s="263"/>
      <c r="P49" s="264"/>
      <c r="Q49" s="261"/>
      <c r="R49" s="261"/>
      <c r="S49" s="47"/>
      <c r="T49" s="47"/>
    </row>
    <row r="50" spans="15:20" x14ac:dyDescent="0.35">
      <c r="O50" s="263"/>
      <c r="P50" s="264"/>
      <c r="Q50" s="261"/>
      <c r="R50" s="261"/>
      <c r="S50" s="47"/>
      <c r="T50" s="47"/>
    </row>
    <row r="51" spans="15:20" x14ac:dyDescent="0.35">
      <c r="O51" s="265"/>
      <c r="P51" s="264"/>
      <c r="Q51" s="261"/>
      <c r="R51" s="261"/>
    </row>
    <row r="52" spans="15:20" x14ac:dyDescent="0.35">
      <c r="O52" s="152"/>
      <c r="P52" s="266"/>
      <c r="Q52" s="261"/>
      <c r="R52" s="261"/>
    </row>
    <row r="53" spans="15:20" x14ac:dyDescent="0.35">
      <c r="O53" s="152"/>
      <c r="P53" s="152"/>
      <c r="Q53" s="261"/>
      <c r="R53" s="261"/>
    </row>
    <row r="54" spans="15:20" x14ac:dyDescent="0.35">
      <c r="O54" s="152"/>
      <c r="P54" s="152"/>
      <c r="Q54" s="152"/>
      <c r="R54" s="152"/>
    </row>
    <row r="55" spans="15:20" x14ac:dyDescent="0.35">
      <c r="O55" s="152"/>
      <c r="P55" s="152"/>
      <c r="Q55" s="152"/>
      <c r="R55" s="152"/>
    </row>
    <row r="56" spans="15:20" x14ac:dyDescent="0.35">
      <c r="O56" s="152"/>
      <c r="P56" s="152"/>
      <c r="Q56" s="152"/>
      <c r="R56" s="152"/>
    </row>
    <row r="57" spans="15:20" x14ac:dyDescent="0.35">
      <c r="O57" s="152"/>
      <c r="P57" s="152"/>
      <c r="Q57" s="152"/>
      <c r="R57" s="152"/>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0"/>
  <sheetViews>
    <sheetView topLeftCell="A10" workbookViewId="0">
      <selection activeCell="E31" sqref="E31"/>
    </sheetView>
  </sheetViews>
  <sheetFormatPr defaultRowHeight="14.5" x14ac:dyDescent="0.35"/>
  <cols>
    <col min="1" max="1" width="22.453125" customWidth="1"/>
    <col min="2" max="2" width="15.26953125" bestFit="1" customWidth="1"/>
    <col min="3" max="3" width="14.26953125" style="47" customWidth="1"/>
    <col min="4" max="4" width="13.26953125" bestFit="1" customWidth="1"/>
    <col min="5" max="5" width="10.81640625" bestFit="1" customWidth="1"/>
    <col min="6" max="6" width="11.54296875" bestFit="1" customWidth="1"/>
    <col min="7" max="7" width="13.1796875" customWidth="1"/>
    <col min="10" max="11" width="12.26953125" bestFit="1" customWidth="1"/>
    <col min="12" max="12" width="9.7265625" bestFit="1" customWidth="1"/>
  </cols>
  <sheetData>
    <row r="1" spans="1:7" x14ac:dyDescent="0.35">
      <c r="A1" s="64" t="str">
        <f>+'PPC Cycle 3'!A1</f>
        <v>Evergy Metro, Inc. - DSIM Rider Update Filed 06/01/2021</v>
      </c>
      <c r="B1" s="47"/>
      <c r="D1" s="47"/>
      <c r="E1" s="47"/>
    </row>
    <row r="2" spans="1:7" x14ac:dyDescent="0.35">
      <c r="A2" s="9" t="str">
        <f>+'PPC Cycle 3'!A2</f>
        <v>Projections for Cycle 3 July 2021 - June 2022 DSIM</v>
      </c>
      <c r="B2" s="47"/>
      <c r="D2" s="47"/>
      <c r="E2" s="47"/>
    </row>
    <row r="3" spans="1:7" ht="45.75" customHeight="1" x14ac:dyDescent="0.35">
      <c r="A3" s="47"/>
      <c r="B3" s="292" t="s">
        <v>99</v>
      </c>
      <c r="C3" s="292"/>
      <c r="D3" s="292"/>
      <c r="E3" s="47"/>
    </row>
    <row r="4" spans="1:7" ht="87" x14ac:dyDescent="0.35">
      <c r="A4" s="47"/>
      <c r="B4" s="71" t="s">
        <v>101</v>
      </c>
      <c r="C4" s="71" t="s">
        <v>102</v>
      </c>
      <c r="D4" s="71" t="s">
        <v>105</v>
      </c>
      <c r="E4" s="71" t="s">
        <v>103</v>
      </c>
      <c r="F4" s="71" t="s">
        <v>100</v>
      </c>
      <c r="G4" s="71" t="s">
        <v>106</v>
      </c>
    </row>
    <row r="5" spans="1:7" s="47" customFormat="1" x14ac:dyDescent="0.35">
      <c r="B5" s="71"/>
      <c r="C5" s="71"/>
      <c r="D5" s="71"/>
      <c r="E5" s="71"/>
      <c r="F5" s="71"/>
      <c r="G5" s="71"/>
    </row>
    <row r="6" spans="1:7" s="47" customFormat="1" x14ac:dyDescent="0.35">
      <c r="A6" s="259" t="s">
        <v>164</v>
      </c>
      <c r="B6" s="71"/>
      <c r="C6" s="71"/>
      <c r="D6" s="156"/>
    </row>
    <row r="7" spans="1:7" s="47" customFormat="1" x14ac:dyDescent="0.35">
      <c r="A7" s="20" t="s">
        <v>24</v>
      </c>
      <c r="B7" s="230">
        <f>+B19+B31+B43</f>
        <v>4794235.91</v>
      </c>
      <c r="C7" s="230">
        <f t="shared" ref="C7:E7" si="0">+C19+C31+C43</f>
        <v>-1294218.32</v>
      </c>
      <c r="D7" s="230">
        <f t="shared" si="0"/>
        <v>-1905501.69</v>
      </c>
      <c r="E7" s="230">
        <f t="shared" si="0"/>
        <v>-141768.28999999998</v>
      </c>
      <c r="F7" s="230">
        <f>SUM(B7:E7)</f>
        <v>1452747.6099999999</v>
      </c>
      <c r="G7" s="230">
        <f t="shared" ref="G7:G8" si="1">+G19+G31+G43</f>
        <v>220438.07</v>
      </c>
    </row>
    <row r="8" spans="1:7" s="47" customFormat="1" x14ac:dyDescent="0.35">
      <c r="A8" s="20" t="s">
        <v>25</v>
      </c>
      <c r="B8" s="230">
        <f t="shared" ref="B8:E8" si="2">+B20+B32+B44</f>
        <v>5972530.4700000007</v>
      </c>
      <c r="C8" s="230">
        <f t="shared" si="2"/>
        <v>1159977.21</v>
      </c>
      <c r="D8" s="230">
        <f t="shared" si="2"/>
        <v>-761810.72</v>
      </c>
      <c r="E8" s="230">
        <f t="shared" si="2"/>
        <v>112880.7</v>
      </c>
      <c r="F8" s="230">
        <f>SUM(B8:E8)</f>
        <v>6483577.6600000011</v>
      </c>
      <c r="G8" s="230">
        <f t="shared" si="1"/>
        <v>2271963.0100000002</v>
      </c>
    </row>
    <row r="9" spans="1:7" s="47" customFormat="1" x14ac:dyDescent="0.35">
      <c r="A9" s="20" t="s">
        <v>5</v>
      </c>
      <c r="B9" s="230">
        <f t="shared" ref="B9:G9" si="3">SUM(B7:B8)</f>
        <v>10766766.380000001</v>
      </c>
      <c r="C9" s="230">
        <f t="shared" si="3"/>
        <v>-134241.1100000001</v>
      </c>
      <c r="D9" s="230">
        <f t="shared" si="3"/>
        <v>-2667312.41</v>
      </c>
      <c r="E9" s="230">
        <f t="shared" si="3"/>
        <v>-28887.589999999982</v>
      </c>
      <c r="F9" s="230">
        <f t="shared" si="3"/>
        <v>7936325.2700000014</v>
      </c>
      <c r="G9" s="230">
        <f t="shared" si="3"/>
        <v>2492401.08</v>
      </c>
    </row>
    <row r="10" spans="1:7" s="47" customFormat="1" x14ac:dyDescent="0.35"/>
    <row r="11" spans="1:7" s="47" customFormat="1" x14ac:dyDescent="0.35">
      <c r="A11" s="20" t="s">
        <v>108</v>
      </c>
      <c r="B11" s="230">
        <f t="shared" ref="B11:E11" si="4">+B23+B35+B47</f>
        <v>798822.8899999999</v>
      </c>
      <c r="C11" s="230">
        <f t="shared" si="4"/>
        <v>-79725.23</v>
      </c>
      <c r="D11" s="230">
        <f t="shared" si="4"/>
        <v>-499670.70999999996</v>
      </c>
      <c r="E11" s="230">
        <f t="shared" si="4"/>
        <v>-10532.55</v>
      </c>
      <c r="F11" s="230">
        <f t="shared" ref="F11:F14" si="5">SUM(B11:E11)</f>
        <v>208894.39999999997</v>
      </c>
      <c r="G11" s="230">
        <f t="shared" ref="G11:G14" si="6">+G23+G35+G47</f>
        <v>-19318.89</v>
      </c>
    </row>
    <row r="12" spans="1:7" s="47" customFormat="1" x14ac:dyDescent="0.35">
      <c r="A12" s="20" t="s">
        <v>109</v>
      </c>
      <c r="B12" s="230">
        <f t="shared" ref="B12:E12" si="7">+B24+B36+B48</f>
        <v>2103656.44</v>
      </c>
      <c r="C12" s="230">
        <f t="shared" si="7"/>
        <v>447456.04000000004</v>
      </c>
      <c r="D12" s="230">
        <f t="shared" si="7"/>
        <v>74826.469999999972</v>
      </c>
      <c r="E12" s="230">
        <f t="shared" si="7"/>
        <v>64472.13</v>
      </c>
      <c r="F12" s="230">
        <f t="shared" si="5"/>
        <v>2690411.08</v>
      </c>
      <c r="G12" s="230">
        <f t="shared" si="6"/>
        <v>979273.20000000007</v>
      </c>
    </row>
    <row r="13" spans="1:7" s="47" customFormat="1" x14ac:dyDescent="0.35">
      <c r="A13" s="20" t="s">
        <v>110</v>
      </c>
      <c r="B13" s="230">
        <f t="shared" ref="B13:E13" si="8">+B25+B37+B49</f>
        <v>2570767.7999999998</v>
      </c>
      <c r="C13" s="230">
        <f t="shared" si="8"/>
        <v>308800.2</v>
      </c>
      <c r="D13" s="230">
        <f t="shared" si="8"/>
        <v>-168074.32999999996</v>
      </c>
      <c r="E13" s="230">
        <f t="shared" si="8"/>
        <v>43177.3</v>
      </c>
      <c r="F13" s="230">
        <f t="shared" si="5"/>
        <v>2754670.9699999997</v>
      </c>
      <c r="G13" s="230">
        <f t="shared" si="6"/>
        <v>977074.77000000014</v>
      </c>
    </row>
    <row r="14" spans="1:7" s="47" customFormat="1" x14ac:dyDescent="0.35">
      <c r="A14" s="20" t="s">
        <v>111</v>
      </c>
      <c r="B14" s="230">
        <f t="shared" ref="B14:E14" si="9">+B26+B38+B50</f>
        <v>499283.36</v>
      </c>
      <c r="C14" s="230">
        <f t="shared" si="9"/>
        <v>483446.2</v>
      </c>
      <c r="D14" s="230">
        <f t="shared" si="9"/>
        <v>-168892.15000000002</v>
      </c>
      <c r="E14" s="230">
        <f t="shared" si="9"/>
        <v>15763.820000000002</v>
      </c>
      <c r="F14" s="230">
        <f t="shared" si="5"/>
        <v>829601.23</v>
      </c>
      <c r="G14" s="230">
        <f t="shared" si="6"/>
        <v>334933.93</v>
      </c>
    </row>
    <row r="15" spans="1:7" s="47" customFormat="1" x14ac:dyDescent="0.35">
      <c r="A15" s="31" t="s">
        <v>113</v>
      </c>
      <c r="B15" s="230">
        <f>SUM(B11:B14)</f>
        <v>5972530.4900000002</v>
      </c>
      <c r="C15" s="230">
        <f>SUM(C11:C14)</f>
        <v>1159977.21</v>
      </c>
      <c r="D15" s="230">
        <f t="shared" ref="D15:G15" si="10">SUM(D11:D14)</f>
        <v>-761810.72</v>
      </c>
      <c r="E15" s="230">
        <f t="shared" si="10"/>
        <v>112880.70000000001</v>
      </c>
      <c r="F15" s="230">
        <f t="shared" si="10"/>
        <v>6483577.6799999997</v>
      </c>
      <c r="G15" s="230">
        <f t="shared" si="10"/>
        <v>2271963.0100000002</v>
      </c>
    </row>
    <row r="16" spans="1:7" s="47" customFormat="1" x14ac:dyDescent="0.35">
      <c r="E16" s="4"/>
    </row>
    <row r="17" spans="1:12" s="47" customFormat="1" x14ac:dyDescent="0.35">
      <c r="A17" s="20"/>
      <c r="B17" s="71"/>
      <c r="C17" s="71"/>
      <c r="D17" s="155"/>
    </row>
    <row r="18" spans="1:12" s="47" customFormat="1" x14ac:dyDescent="0.35">
      <c r="A18" s="259" t="s">
        <v>165</v>
      </c>
      <c r="B18" s="71"/>
      <c r="C18" s="71"/>
      <c r="D18" s="155"/>
    </row>
    <row r="19" spans="1:12" s="47" customFormat="1" x14ac:dyDescent="0.35">
      <c r="A19" s="20" t="s">
        <v>24</v>
      </c>
      <c r="B19" s="26">
        <f>ROUND(+'[19]EO Matrix @Meter'!$S$18,2)</f>
        <v>3528190.07</v>
      </c>
      <c r="C19" s="26">
        <f>ROUND(+'[20]TD EO Ex Post Gross Adj'!$AL$370,2)</f>
        <v>-1041427.6</v>
      </c>
      <c r="D19" s="26">
        <f>ROUND('[20]TD EO NTG Adj'!$AL$384,2)</f>
        <v>537465.77</v>
      </c>
      <c r="E19" s="26">
        <f>ROUND(+'[20]EO TD Carrying Costs'!$AL$63,2)</f>
        <v>11386.11</v>
      </c>
      <c r="F19" s="230">
        <f>SUM(B19:E19)</f>
        <v>3035614.3499999996</v>
      </c>
      <c r="G19" s="230">
        <f>ROUND(F19/24*8,2)</f>
        <v>1011871.45</v>
      </c>
      <c r="J19" s="26">
        <v>-1041427.6</v>
      </c>
      <c r="K19" s="26">
        <v>537465.77</v>
      </c>
      <c r="L19" s="26">
        <v>11386.11</v>
      </c>
    </row>
    <row r="20" spans="1:12" s="47" customFormat="1" x14ac:dyDescent="0.35">
      <c r="A20" s="20" t="s">
        <v>25</v>
      </c>
      <c r="B20" s="229">
        <f>ROUND(+'[19]EO Matrix @Meter'!$T$18,2)</f>
        <v>4826270.37</v>
      </c>
      <c r="C20" s="229">
        <f>SUM(C23:C26)</f>
        <v>288583.98</v>
      </c>
      <c r="D20" s="229">
        <f t="shared" ref="D20:E20" si="11">SUM(D23:D26)</f>
        <v>662688.41</v>
      </c>
      <c r="E20" s="229">
        <f t="shared" si="11"/>
        <v>41412.159999999996</v>
      </c>
      <c r="F20" s="230">
        <f>SUM(B20:E20)</f>
        <v>5818954.9199999999</v>
      </c>
      <c r="G20" s="230">
        <f>ROUND(F20/24*8,2)</f>
        <v>1939651.64</v>
      </c>
      <c r="J20" s="229">
        <v>288583.98</v>
      </c>
      <c r="K20" s="229">
        <v>662688.41</v>
      </c>
      <c r="L20" s="229">
        <v>41412.160000000003</v>
      </c>
    </row>
    <row r="21" spans="1:12" s="47" customFormat="1" x14ac:dyDescent="0.35">
      <c r="A21" s="20" t="s">
        <v>5</v>
      </c>
      <c r="B21" s="230">
        <f t="shared" ref="B21:G21" si="12">SUM(B19:B20)</f>
        <v>8354460.4399999995</v>
      </c>
      <c r="C21" s="230">
        <f t="shared" si="12"/>
        <v>-752843.62</v>
      </c>
      <c r="D21" s="230">
        <f t="shared" si="12"/>
        <v>1200154.1800000002</v>
      </c>
      <c r="E21" s="230">
        <f t="shared" si="12"/>
        <v>52798.27</v>
      </c>
      <c r="F21" s="230">
        <f t="shared" si="12"/>
        <v>8854569.2699999996</v>
      </c>
      <c r="G21" s="230">
        <f t="shared" si="12"/>
        <v>2951523.09</v>
      </c>
      <c r="J21" s="230">
        <v>-752843.62</v>
      </c>
      <c r="K21" s="230">
        <v>1200154.1800000002</v>
      </c>
      <c r="L21" s="230">
        <v>52798.270000000004</v>
      </c>
    </row>
    <row r="22" spans="1:12" s="47" customFormat="1" x14ac:dyDescent="0.35">
      <c r="B22" s="227"/>
      <c r="C22" s="227"/>
      <c r="D22" s="228"/>
      <c r="J22" s="227"/>
      <c r="K22" s="228"/>
    </row>
    <row r="23" spans="1:12" x14ac:dyDescent="0.35">
      <c r="A23" s="20" t="s">
        <v>108</v>
      </c>
      <c r="B23" s="26">
        <f>ROUND(+'[19]EO Matrix @Meter'!$W$18,2)</f>
        <v>674006.21</v>
      </c>
      <c r="C23" s="26">
        <f>ROUND(+'[20]TD EO Ex Post Gross Adj'!AL371,2)</f>
        <v>-37272.29</v>
      </c>
      <c r="D23" s="26">
        <f>ROUND(+'[20]TD EO NTG Adj'!AL385,2)</f>
        <v>101225.02</v>
      </c>
      <c r="E23" s="229">
        <f>ROUND(+'[20]EO TD Carrying Costs'!AL64,2)</f>
        <v>4637.5600000000004</v>
      </c>
      <c r="F23" s="230">
        <f t="shared" ref="F23:F26" si="13">SUM(B23:E23)</f>
        <v>742596.5</v>
      </c>
      <c r="G23" s="230">
        <f>ROUND(F23/24*8,2)</f>
        <v>247532.17</v>
      </c>
      <c r="J23" s="26">
        <v>-37272.29</v>
      </c>
      <c r="K23" s="26">
        <v>101225.02</v>
      </c>
      <c r="L23" s="229">
        <v>4637.5600000000004</v>
      </c>
    </row>
    <row r="24" spans="1:12" x14ac:dyDescent="0.35">
      <c r="A24" s="20" t="s">
        <v>109</v>
      </c>
      <c r="B24" s="229">
        <f>ROUND(+'[19]EO Matrix @Meter'!$X$18,2)</f>
        <v>1713084.19</v>
      </c>
      <c r="C24" s="229">
        <f>ROUND(+'[20]TD EO Ex Post Gross Adj'!AL372,2)</f>
        <v>122147.33</v>
      </c>
      <c r="D24" s="229">
        <f>ROUND(+'[20]TD EO NTG Adj'!AL386,2)</f>
        <v>340699.47</v>
      </c>
      <c r="E24" s="229">
        <f>ROUND(+'[20]EO TD Carrying Costs'!AL65,2)</f>
        <v>19663.03</v>
      </c>
      <c r="F24" s="230">
        <f t="shared" si="13"/>
        <v>2195594.02</v>
      </c>
      <c r="G24" s="230">
        <f>ROUND(F24/24*8,2)</f>
        <v>731864.67</v>
      </c>
      <c r="J24" s="229">
        <v>122147.33</v>
      </c>
      <c r="K24" s="229">
        <v>340699.47</v>
      </c>
      <c r="L24" s="229">
        <v>19663.03</v>
      </c>
    </row>
    <row r="25" spans="1:12" x14ac:dyDescent="0.35">
      <c r="A25" s="20" t="s">
        <v>110</v>
      </c>
      <c r="B25" s="26">
        <f>ROUND(+'[19]EO Matrix @Meter'!$Y$18,2)</f>
        <v>2024596.54</v>
      </c>
      <c r="C25" s="26">
        <f>ROUND(+'[20]TD EO Ex Post Gross Adj'!AL373,2)</f>
        <v>169641.44</v>
      </c>
      <c r="D25" s="26">
        <f>ROUND(+'[20]TD EO NTG Adj'!AL387,2)</f>
        <v>191871.42</v>
      </c>
      <c r="E25" s="26">
        <f>ROUND(+'[20]EO TD Carrying Costs'!AL66,2)</f>
        <v>15454.89</v>
      </c>
      <c r="F25" s="230">
        <f t="shared" si="13"/>
        <v>2401564.29</v>
      </c>
      <c r="G25" s="230">
        <f>ROUND(F25/24*8,2)</f>
        <v>800521.43</v>
      </c>
      <c r="J25" s="26">
        <v>169641.44</v>
      </c>
      <c r="K25" s="26">
        <v>191871.42</v>
      </c>
      <c r="L25" s="26">
        <v>15454.89</v>
      </c>
    </row>
    <row r="26" spans="1:12" x14ac:dyDescent="0.35">
      <c r="A26" s="20" t="s">
        <v>111</v>
      </c>
      <c r="B26" s="229">
        <f>ROUND(+'[19]EO Matrix @Meter'!$Z$18,2)</f>
        <v>414583.45</v>
      </c>
      <c r="C26" s="229">
        <f>ROUND(+'[20]TD EO Ex Post Gross Adj'!AL374,2)</f>
        <v>34067.5</v>
      </c>
      <c r="D26" s="229">
        <f>ROUND(+'[20]TD EO NTG Adj'!AL388,2)</f>
        <v>28892.5</v>
      </c>
      <c r="E26" s="229">
        <f>ROUND(+'[20]EO TD Carrying Costs'!AL67,2)</f>
        <v>1656.68</v>
      </c>
      <c r="F26" s="230">
        <f t="shared" si="13"/>
        <v>479200.13</v>
      </c>
      <c r="G26" s="230">
        <f>ROUND(F26/24*8,2)</f>
        <v>159733.38</v>
      </c>
      <c r="J26" s="229">
        <v>34067.5</v>
      </c>
      <c r="K26" s="229">
        <v>28892.5</v>
      </c>
      <c r="L26" s="229">
        <v>1656.68</v>
      </c>
    </row>
    <row r="27" spans="1:12" x14ac:dyDescent="0.35">
      <c r="A27" s="31" t="s">
        <v>113</v>
      </c>
      <c r="B27" s="230">
        <f>SUM(B23:B26)</f>
        <v>4826270.3899999997</v>
      </c>
      <c r="C27" s="230">
        <f>SUM(C23:C26)</f>
        <v>288583.98</v>
      </c>
      <c r="D27" s="230">
        <f t="shared" ref="D27:G27" si="14">SUM(D23:D26)</f>
        <v>662688.41</v>
      </c>
      <c r="E27" s="230">
        <f t="shared" si="14"/>
        <v>41412.159999999996</v>
      </c>
      <c r="F27" s="230">
        <f t="shared" si="14"/>
        <v>5818954.9400000004</v>
      </c>
      <c r="G27" s="230">
        <f t="shared" si="14"/>
        <v>1939651.65</v>
      </c>
      <c r="J27" s="230">
        <v>288583.98</v>
      </c>
      <c r="K27" s="230">
        <v>662688.41</v>
      </c>
      <c r="L27" s="230">
        <v>41412.159999999996</v>
      </c>
    </row>
    <row r="28" spans="1:12" x14ac:dyDescent="0.35">
      <c r="A28" s="47"/>
      <c r="B28" s="47"/>
      <c r="D28" s="47"/>
      <c r="E28" s="4"/>
    </row>
    <row r="29" spans="1:12" s="47" customFormat="1" x14ac:dyDescent="0.35">
      <c r="E29" s="4"/>
    </row>
    <row r="30" spans="1:12" x14ac:dyDescent="0.35">
      <c r="A30" s="259" t="s">
        <v>168</v>
      </c>
      <c r="B30" s="47"/>
      <c r="D30" s="47"/>
      <c r="E30" s="47"/>
    </row>
    <row r="31" spans="1:12" s="47" customFormat="1" x14ac:dyDescent="0.35">
      <c r="A31" s="20" t="s">
        <v>24</v>
      </c>
      <c r="B31" s="26">
        <f>ROUND(+'[21]EO Matrix @Meter'!$S$18,2)</f>
        <v>1266045.8400000001</v>
      </c>
      <c r="C31" s="26">
        <f>ROUND(+'[20]TD EO Ex Post Gross Adj'!BE370+'[20]TD EO Ex Post Gross Adj'!BS370+'[22]TD EO Ex Post Gross Adj'!BE370+'[22]TD EO Ex Post Gross Adj'!BS370,2)</f>
        <v>-261684.95</v>
      </c>
      <c r="D31" s="26">
        <f>ROUND(+'[20]TD EO NTG Adj'!$BE$384+'[20]TD EO NTG Adj'!$BS$384+'[22]TD EO NTG Adj'!$BE$384+'[22]TD EO NTG Adj'!$BS$384,2)</f>
        <v>-1774297.12</v>
      </c>
      <c r="E31" s="26">
        <f>ROUND(+'[20]EO TD Carrying Costs'!$BE$63+'[22]EO TD Carrying Costs'!$BE$62,2)</f>
        <v>-101739.62</v>
      </c>
      <c r="F31" s="230">
        <f>SUM(B31:E31)</f>
        <v>-871675.85</v>
      </c>
      <c r="G31" s="230">
        <f>ROUND(F31/24*12,2)</f>
        <v>-435837.93</v>
      </c>
      <c r="J31" s="26">
        <v>-261684.95</v>
      </c>
      <c r="K31" s="26">
        <v>-1774297.12</v>
      </c>
      <c r="L31" s="26">
        <v>-89512.47</v>
      </c>
    </row>
    <row r="32" spans="1:12" s="47" customFormat="1" x14ac:dyDescent="0.35">
      <c r="A32" s="20" t="s">
        <v>25</v>
      </c>
      <c r="B32" s="229">
        <f>ROUND(SUM('[21]EO Matrix @Meter'!$W$18:$Z$18),2)</f>
        <v>1146260.1000000001</v>
      </c>
      <c r="C32" s="229">
        <f>SUM(C35:C38)</f>
        <v>652330.12000000011</v>
      </c>
      <c r="D32" s="229">
        <f t="shared" ref="D32:E32" si="15">SUM(D35:D38)</f>
        <v>-1070219.28</v>
      </c>
      <c r="E32" s="229">
        <f t="shared" si="15"/>
        <v>61252.35</v>
      </c>
      <c r="F32" s="230">
        <f>SUM(B32:E32)</f>
        <v>789623.29000000015</v>
      </c>
      <c r="G32" s="230">
        <f>ROUND(F32/24*12,2)</f>
        <v>394811.65</v>
      </c>
      <c r="J32" s="229">
        <v>652330.12</v>
      </c>
      <c r="K32" s="229">
        <v>-1070219.28</v>
      </c>
      <c r="L32" s="229">
        <v>60706.75</v>
      </c>
    </row>
    <row r="33" spans="1:12" s="47" customFormat="1" x14ac:dyDescent="0.35">
      <c r="A33" s="20" t="s">
        <v>5</v>
      </c>
      <c r="B33" s="230">
        <f t="shared" ref="B33:G33" si="16">SUM(B31:B32)</f>
        <v>2412305.9400000004</v>
      </c>
      <c r="C33" s="230">
        <f t="shared" si="16"/>
        <v>390645.1700000001</v>
      </c>
      <c r="D33" s="230">
        <f t="shared" si="16"/>
        <v>-2844516.4000000004</v>
      </c>
      <c r="E33" s="230">
        <f t="shared" si="16"/>
        <v>-40487.269999999997</v>
      </c>
      <c r="F33" s="230">
        <f t="shared" si="16"/>
        <v>-82052.559999999823</v>
      </c>
      <c r="G33" s="230">
        <f t="shared" si="16"/>
        <v>-41026.27999999997</v>
      </c>
      <c r="J33" s="230">
        <v>390645.17</v>
      </c>
      <c r="K33" s="230">
        <v>-2844516.4000000004</v>
      </c>
      <c r="L33" s="230">
        <v>-28805.72</v>
      </c>
    </row>
    <row r="34" spans="1:12" s="47" customFormat="1" x14ac:dyDescent="0.35">
      <c r="B34" s="227"/>
      <c r="C34" s="227"/>
      <c r="D34" s="228"/>
      <c r="J34" s="227"/>
      <c r="K34" s="228"/>
    </row>
    <row r="35" spans="1:12" s="47" customFormat="1" x14ac:dyDescent="0.35">
      <c r="A35" s="20" t="s">
        <v>108</v>
      </c>
      <c r="B35" s="26">
        <f>ROUND(+'[21]EO Matrix @Meter'!$W$18,2)</f>
        <v>124816.68</v>
      </c>
      <c r="C35" s="26">
        <f>ROUND(+'[20]TD EO Ex Post Gross Adj'!BE371+'[20]TD EO Ex Post Gross Adj'!BS371+'[22]TD EO Ex Post Gross Adj'!BE371+'[22]TD EO Ex Post Gross Adj'!BS371,2)</f>
        <v>-31690.68</v>
      </c>
      <c r="D35" s="26">
        <f>ROUND(+'[20]TD EO NTG Adj'!BE385+'[20]TD EO NTG Adj'!BS385+'[22]TD EO NTG Adj'!BE385+'[22]TD EO NTG Adj'!BS385,2)</f>
        <v>-451100.9</v>
      </c>
      <c r="E35" s="229">
        <f>ROUND(+'[20]EO TD Carrying Costs'!BE64+'[22]EO TD Carrying Costs'!BE63,2)</f>
        <v>-6666.29</v>
      </c>
      <c r="F35" s="230">
        <f t="shared" ref="F35:F38" si="17">SUM(B35:E35)</f>
        <v>-364641.19</v>
      </c>
      <c r="G35" s="230">
        <f>ROUND(F35/24*12,2)</f>
        <v>-182320.6</v>
      </c>
      <c r="J35" s="26">
        <v>-31690.68</v>
      </c>
      <c r="K35" s="26">
        <v>-451100.9</v>
      </c>
      <c r="L35" s="229">
        <v>-6747.99</v>
      </c>
    </row>
    <row r="36" spans="1:12" s="47" customFormat="1" x14ac:dyDescent="0.35">
      <c r="A36" s="20" t="s">
        <v>109</v>
      </c>
      <c r="B36" s="229">
        <f>ROUND(+'[21]EO Matrix @Meter'!$X$18,2)</f>
        <v>390572.25</v>
      </c>
      <c r="C36" s="229">
        <f>ROUND(+'[20]TD EO Ex Post Gross Adj'!BE372+'[20]TD EO Ex Post Gross Adj'!BS372+'[22]TD EO Ex Post Gross Adj'!BE372+'[22]TD EO Ex Post Gross Adj'!BS372,2)</f>
        <v>243638.01</v>
      </c>
      <c r="D36" s="229">
        <f>ROUND(+'[20]TD EO NTG Adj'!BE386+'[20]TD EO NTG Adj'!BS386+'[22]TD EO NTG Adj'!BE386+'[22]TD EO NTG Adj'!BS386,2)</f>
        <v>-201296.23</v>
      </c>
      <c r="E36" s="229">
        <f>ROUND(+'[20]EO TD Carrying Costs'!BE65+'[22]EO TD Carrying Costs'!BE64,2)</f>
        <v>34896.99</v>
      </c>
      <c r="F36" s="230">
        <f t="shared" si="17"/>
        <v>467811.02</v>
      </c>
      <c r="G36" s="230">
        <f t="shared" ref="G36:G38" si="18">ROUND(F36/24*12,2)</f>
        <v>233905.51</v>
      </c>
      <c r="J36" s="229">
        <v>243638.01</v>
      </c>
      <c r="K36" s="229">
        <v>-201296.23</v>
      </c>
      <c r="L36" s="229">
        <v>35332.660000000003</v>
      </c>
    </row>
    <row r="37" spans="1:12" s="47" customFormat="1" x14ac:dyDescent="0.35">
      <c r="A37" s="20" t="s">
        <v>110</v>
      </c>
      <c r="B37" s="26">
        <f>ROUND(+'[21]EO Matrix @Meter'!$Y$18,2)</f>
        <v>546171.26</v>
      </c>
      <c r="C37" s="26">
        <f>ROUND(+'[20]TD EO Ex Post Gross Adj'!BE373+'[20]TD EO Ex Post Gross Adj'!BS373+'[22]TD EO Ex Post Gross Adj'!BE373+'[22]TD EO Ex Post Gross Adj'!BS373,2)</f>
        <v>104616.02</v>
      </c>
      <c r="D37" s="26">
        <f>ROUND(+'[20]TD EO NTG Adj'!BE387+'[20]TD EO NTG Adj'!BS387+'[22]TD EO NTG Adj'!BE387+'[22]TD EO NTG Adj'!BS387,2)</f>
        <v>-270192.05</v>
      </c>
      <c r="E37" s="26">
        <f>ROUND(+'[20]EO TD Carrying Costs'!BE66+'[22]EO TD Carrying Costs'!BE65,2)</f>
        <v>23935.11</v>
      </c>
      <c r="F37" s="230">
        <f t="shared" si="17"/>
        <v>404530.34</v>
      </c>
      <c r="G37" s="230">
        <f t="shared" si="18"/>
        <v>202265.17</v>
      </c>
      <c r="J37" s="26">
        <v>104616.02</v>
      </c>
      <c r="K37" s="26">
        <v>-270192.05</v>
      </c>
      <c r="L37" s="26">
        <v>23076.269999999997</v>
      </c>
    </row>
    <row r="38" spans="1:12" s="47" customFormat="1" x14ac:dyDescent="0.35">
      <c r="A38" s="20" t="s">
        <v>111</v>
      </c>
      <c r="B38" s="229">
        <f>ROUND(+'[21]EO Matrix @Meter'!$Z$18,2)</f>
        <v>84699.91</v>
      </c>
      <c r="C38" s="229">
        <f>ROUND(+'[20]TD EO Ex Post Gross Adj'!BE374+'[20]TD EO Ex Post Gross Adj'!BS374+'[22]TD EO Ex Post Gross Adj'!BE374+'[22]TD EO Ex Post Gross Adj'!BS374,2)</f>
        <v>335766.77</v>
      </c>
      <c r="D38" s="229">
        <f>ROUND(+'[20]TD EO NTG Adj'!BE388+'[20]TD EO NTG Adj'!BS388+'[22]TD EO NTG Adj'!BE388+'[22]TD EO NTG Adj'!BS388,2)</f>
        <v>-147630.1</v>
      </c>
      <c r="E38" s="229">
        <f>ROUND(+'[20]EO TD Carrying Costs'!BE67+'[22]EO TD Carrying Costs'!BE66,2)</f>
        <v>9086.5400000000009</v>
      </c>
      <c r="F38" s="230">
        <f t="shared" si="17"/>
        <v>281923.12000000005</v>
      </c>
      <c r="G38" s="230">
        <f t="shared" si="18"/>
        <v>140961.56</v>
      </c>
      <c r="J38" s="229">
        <v>335766.77</v>
      </c>
      <c r="K38" s="229">
        <v>-147630.1</v>
      </c>
      <c r="L38" s="229">
        <v>9045.81</v>
      </c>
    </row>
    <row r="39" spans="1:12" s="47" customFormat="1" x14ac:dyDescent="0.35">
      <c r="A39" s="31" t="s">
        <v>113</v>
      </c>
      <c r="B39" s="230">
        <f>SUM(B35:B38)</f>
        <v>1146260.0999999999</v>
      </c>
      <c r="C39" s="230">
        <f>SUM(C35:C38)</f>
        <v>652330.12000000011</v>
      </c>
      <c r="D39" s="230">
        <f t="shared" ref="D39:G39" si="19">SUM(D35:D38)</f>
        <v>-1070219.28</v>
      </c>
      <c r="E39" s="230">
        <f t="shared" si="19"/>
        <v>61252.35</v>
      </c>
      <c r="F39" s="230">
        <f t="shared" si="19"/>
        <v>789623.29</v>
      </c>
      <c r="G39" s="230">
        <f t="shared" si="19"/>
        <v>394811.64</v>
      </c>
      <c r="J39" s="230">
        <v>652330.12000000011</v>
      </c>
      <c r="K39" s="230">
        <v>-1070219.28</v>
      </c>
      <c r="L39" s="230">
        <v>60706.75</v>
      </c>
    </row>
    <row r="40" spans="1:12" s="47" customFormat="1" x14ac:dyDescent="0.35">
      <c r="E40" s="4"/>
    </row>
    <row r="41" spans="1:12" x14ac:dyDescent="0.35">
      <c r="A41" s="47"/>
      <c r="B41" s="47"/>
      <c r="D41" s="47"/>
      <c r="E41" s="47"/>
    </row>
    <row r="42" spans="1:12" s="47" customFormat="1" x14ac:dyDescent="0.35">
      <c r="A42" s="259" t="s">
        <v>174</v>
      </c>
    </row>
    <row r="43" spans="1:12" s="47" customFormat="1" x14ac:dyDescent="0.35">
      <c r="A43" s="20" t="s">
        <v>24</v>
      </c>
      <c r="B43" s="26">
        <v>0</v>
      </c>
      <c r="C43" s="26">
        <f>ROUND('[20]TD EO Ex Post Gross Adj'!$CE$370+'[22]TD EO Ex Post Gross Adj'!$CE$370,2)</f>
        <v>8894.23</v>
      </c>
      <c r="D43" s="26">
        <f>ROUND('[20]TD EO NTG Adj'!$CE$384+'[22]TD EO NTG Adj'!$CE$384,2)</f>
        <v>-668670.34</v>
      </c>
      <c r="E43" s="26">
        <f>ROUND('[20]EO TD Carrying Costs'!$BK$63+'[22]EO TD Carrying Costs'!$BK$62,2)</f>
        <v>-51414.78</v>
      </c>
      <c r="F43" s="230">
        <f>SUM(B43:E43)</f>
        <v>-711190.89</v>
      </c>
      <c r="G43" s="230">
        <f>ROUND(F43/24*12,2)</f>
        <v>-355595.45</v>
      </c>
    </row>
    <row r="44" spans="1:12" s="47" customFormat="1" x14ac:dyDescent="0.35">
      <c r="A44" s="20" t="s">
        <v>25</v>
      </c>
      <c r="B44" s="229">
        <v>0</v>
      </c>
      <c r="C44" s="229">
        <f>SUM(C47:C50)</f>
        <v>219063.11</v>
      </c>
      <c r="D44" s="229">
        <f t="shared" ref="D44:E44" si="20">SUM(D47:D50)</f>
        <v>-354279.85</v>
      </c>
      <c r="E44" s="229">
        <f t="shared" si="20"/>
        <v>10216.190000000002</v>
      </c>
      <c r="F44" s="230">
        <f>SUM(B44:E44)</f>
        <v>-125000.54999999999</v>
      </c>
      <c r="G44" s="230">
        <f>ROUND(F44/24*12,2)</f>
        <v>-62500.28</v>
      </c>
    </row>
    <row r="45" spans="1:12" s="47" customFormat="1" x14ac:dyDescent="0.35">
      <c r="A45" s="20" t="s">
        <v>5</v>
      </c>
      <c r="B45" s="230">
        <f t="shared" ref="B45:G45" si="21">SUM(B43:B44)</f>
        <v>0</v>
      </c>
      <c r="C45" s="230">
        <f t="shared" si="21"/>
        <v>227957.34</v>
      </c>
      <c r="D45" s="230">
        <f t="shared" si="21"/>
        <v>-1022950.19</v>
      </c>
      <c r="E45" s="230">
        <f t="shared" si="21"/>
        <v>-41198.589999999997</v>
      </c>
      <c r="F45" s="230">
        <f t="shared" si="21"/>
        <v>-836191.44</v>
      </c>
      <c r="G45" s="230">
        <f t="shared" si="21"/>
        <v>-418095.73</v>
      </c>
    </row>
    <row r="46" spans="1:12" s="47" customFormat="1" x14ac:dyDescent="0.35">
      <c r="B46" s="227"/>
      <c r="C46" s="227"/>
      <c r="D46" s="228"/>
    </row>
    <row r="47" spans="1:12" s="47" customFormat="1" x14ac:dyDescent="0.35">
      <c r="A47" s="20" t="s">
        <v>108</v>
      </c>
      <c r="B47" s="26">
        <v>0</v>
      </c>
      <c r="C47" s="26">
        <f>ROUND('[20]TD EO Ex Post Gross Adj'!$CE$371+'[22]TD EO Ex Post Gross Adj'!$CE$371,2)</f>
        <v>-10762.26</v>
      </c>
      <c r="D47" s="26">
        <f>ROUND('[20]TD EO NTG Adj'!$CE$385+'[22]TD EO NTG Adj'!$CE$385,2)</f>
        <v>-149794.82999999999</v>
      </c>
      <c r="E47" s="229">
        <f>ROUND('[20]EO TD Carrying Costs'!$BK$64+'[22]EO TD Carrying Costs'!$BK$63,2)</f>
        <v>-8503.82</v>
      </c>
      <c r="F47" s="230">
        <f t="shared" ref="F47:F50" si="22">SUM(B47:E47)</f>
        <v>-169060.91</v>
      </c>
      <c r="G47" s="230">
        <f>ROUND(F47/24*12,2)</f>
        <v>-84530.46</v>
      </c>
    </row>
    <row r="48" spans="1:12" s="47" customFormat="1" x14ac:dyDescent="0.35">
      <c r="A48" s="20" t="s">
        <v>109</v>
      </c>
      <c r="B48" s="229">
        <v>0</v>
      </c>
      <c r="C48" s="229">
        <f>ROUND('[20]TD EO Ex Post Gross Adj'!$CE$372+'[22]TD EO Ex Post Gross Adj'!$CE$372,2)</f>
        <v>81670.7</v>
      </c>
      <c r="D48" s="229">
        <f>ROUND('[20]TD EO NTG Adj'!$CE$386+'[22]TD EO NTG Adj'!$CE$386,2)</f>
        <v>-64576.77</v>
      </c>
      <c r="E48" s="229">
        <f>ROUND('[20]EO TD Carrying Costs'!$BK$65+'[22]EO TD Carrying Costs'!$BK$64,2)</f>
        <v>9912.11</v>
      </c>
      <c r="F48" s="230">
        <f t="shared" si="22"/>
        <v>27006.04</v>
      </c>
      <c r="G48" s="230">
        <f t="shared" ref="G48:G50" si="23">ROUND(F48/24*12,2)</f>
        <v>13503.02</v>
      </c>
    </row>
    <row r="49" spans="1:7" s="47" customFormat="1" x14ac:dyDescent="0.35">
      <c r="A49" s="20" t="s">
        <v>110</v>
      </c>
      <c r="B49" s="26">
        <v>0</v>
      </c>
      <c r="C49" s="26">
        <f>ROUND('[20]TD EO Ex Post Gross Adj'!$CE$373+'[22]TD EO Ex Post Gross Adj'!$CE$373,2)</f>
        <v>34542.74</v>
      </c>
      <c r="D49" s="26">
        <f>ROUND('[20]TD EO NTG Adj'!$CE$387+'[22]TD EO NTG Adj'!$CE$387,2)</f>
        <v>-89753.7</v>
      </c>
      <c r="E49" s="26">
        <f>ROUND('[20]EO TD Carrying Costs'!$BK$66+'[22]EO TD Carrying Costs'!$BK$65,2)</f>
        <v>3787.3</v>
      </c>
      <c r="F49" s="230">
        <f t="shared" si="22"/>
        <v>-51423.659999999996</v>
      </c>
      <c r="G49" s="230">
        <f t="shared" si="23"/>
        <v>-25711.83</v>
      </c>
    </row>
    <row r="50" spans="1:7" s="47" customFormat="1" x14ac:dyDescent="0.35">
      <c r="A50" s="20" t="s">
        <v>111</v>
      </c>
      <c r="B50" s="229">
        <v>0</v>
      </c>
      <c r="C50" s="229">
        <f>ROUND('[20]TD EO Ex Post Gross Adj'!$CE$374+'[22]TD EO Ex Post Gross Adj'!$CE$374,2)</f>
        <v>113611.93</v>
      </c>
      <c r="D50" s="229">
        <f>ROUND('[20]TD EO NTG Adj'!$CE$388+'[22]TD EO NTG Adj'!$CE$388,2)</f>
        <v>-50154.55</v>
      </c>
      <c r="E50" s="229">
        <f>ROUND('[20]EO TD Carrying Costs'!$BK$67+'[22]EO TD Carrying Costs'!$BK$66,2)</f>
        <v>5020.6000000000004</v>
      </c>
      <c r="F50" s="230">
        <f t="shared" si="22"/>
        <v>68477.98</v>
      </c>
      <c r="G50" s="230">
        <f t="shared" si="23"/>
        <v>34238.99</v>
      </c>
    </row>
    <row r="51" spans="1:7" s="47" customFormat="1" x14ac:dyDescent="0.35">
      <c r="A51" s="31" t="s">
        <v>113</v>
      </c>
      <c r="B51" s="230">
        <f>SUM(B47:B50)</f>
        <v>0</v>
      </c>
      <c r="C51" s="230">
        <f>SUM(C47:C50)</f>
        <v>219063.11</v>
      </c>
      <c r="D51" s="230">
        <f t="shared" ref="D51:G51" si="24">SUM(D47:D50)</f>
        <v>-354279.85</v>
      </c>
      <c r="E51" s="230">
        <f t="shared" si="24"/>
        <v>10216.190000000002</v>
      </c>
      <c r="F51" s="230">
        <f t="shared" si="24"/>
        <v>-125000.55</v>
      </c>
      <c r="G51" s="230">
        <f t="shared" si="24"/>
        <v>-62500.280000000006</v>
      </c>
    </row>
    <row r="52" spans="1:7" s="47" customFormat="1" x14ac:dyDescent="0.35">
      <c r="E52" s="4"/>
    </row>
    <row r="53" spans="1:7" x14ac:dyDescent="0.35">
      <c r="A53" s="47"/>
      <c r="B53" s="47"/>
      <c r="D53" s="47"/>
      <c r="E53" s="47"/>
    </row>
    <row r="54" spans="1:7" x14ac:dyDescent="0.35">
      <c r="A54" s="54" t="s">
        <v>11</v>
      </c>
      <c r="B54" s="47"/>
      <c r="D54" s="47"/>
      <c r="E54" s="47"/>
    </row>
    <row r="55" spans="1:7" x14ac:dyDescent="0.35">
      <c r="A55" s="3" t="s">
        <v>166</v>
      </c>
      <c r="B55" s="47"/>
      <c r="D55" s="47"/>
      <c r="E55" s="47"/>
    </row>
    <row r="56" spans="1:7" s="47" customFormat="1" x14ac:dyDescent="0.35">
      <c r="A56" s="3" t="s">
        <v>187</v>
      </c>
    </row>
    <row r="57" spans="1:7" s="47" customFormat="1" x14ac:dyDescent="0.35">
      <c r="A57" s="3" t="s">
        <v>188</v>
      </c>
    </row>
    <row r="58" spans="1:7" x14ac:dyDescent="0.35">
      <c r="A58" s="3" t="s">
        <v>189</v>
      </c>
      <c r="B58" s="47"/>
      <c r="D58" s="47"/>
      <c r="E58" s="47"/>
    </row>
    <row r="59" spans="1:7" s="47" customFormat="1" x14ac:dyDescent="0.35">
      <c r="A59" s="3" t="s">
        <v>167</v>
      </c>
    </row>
    <row r="60" spans="1:7" ht="28.5" customHeight="1" x14ac:dyDescent="0.35">
      <c r="A60" s="299" t="s">
        <v>193</v>
      </c>
      <c r="B60" s="299"/>
      <c r="C60" s="299"/>
      <c r="D60" s="299"/>
      <c r="E60" s="299"/>
      <c r="F60" s="299"/>
      <c r="G60" s="299"/>
    </row>
  </sheetData>
  <mergeCells count="2">
    <mergeCell ref="B3:D3"/>
    <mergeCell ref="A60:G60"/>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71"/>
  <sheetViews>
    <sheetView topLeftCell="G40" workbookViewId="0">
      <selection activeCell="P40" sqref="P1:P1048576"/>
    </sheetView>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2.453125" style="47" customWidth="1"/>
    <col min="5" max="5" width="15.453125" style="47" customWidth="1"/>
    <col min="6" max="6" width="15.81640625" style="47" bestFit="1" customWidth="1"/>
    <col min="7" max="7" width="12.26953125" style="47" bestFit="1" customWidth="1"/>
    <col min="8" max="9" width="13.26953125" style="47" bestFit="1" customWidth="1"/>
    <col min="10" max="10" width="12.26953125" style="47" bestFit="1" customWidth="1"/>
    <col min="11" max="11" width="12.54296875" style="47" customWidth="1"/>
    <col min="12" max="12" width="12.81640625" style="47" customWidth="1"/>
    <col min="13" max="13" width="16" style="47"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06/01/2021</v>
      </c>
      <c r="B1" s="3"/>
      <c r="C1" s="3"/>
      <c r="D1" s="3"/>
    </row>
    <row r="2" spans="1:35" x14ac:dyDescent="0.35">
      <c r="E2" s="3" t="s">
        <v>143</v>
      </c>
    </row>
    <row r="3" spans="1:35" ht="29" x14ac:dyDescent="0.35">
      <c r="E3" s="49" t="s">
        <v>46</v>
      </c>
      <c r="F3" s="71" t="s">
        <v>58</v>
      </c>
      <c r="G3" s="49" t="s">
        <v>3</v>
      </c>
      <c r="H3" s="71" t="s">
        <v>55</v>
      </c>
      <c r="I3" s="49" t="s">
        <v>10</v>
      </c>
      <c r="J3" s="49" t="s">
        <v>59</v>
      </c>
      <c r="S3" s="49"/>
    </row>
    <row r="4" spans="1:35" x14ac:dyDescent="0.35">
      <c r="A4" s="20" t="s">
        <v>24</v>
      </c>
      <c r="B4" s="20"/>
      <c r="C4" s="20"/>
      <c r="D4" s="20"/>
      <c r="E4" s="22">
        <f>SUM(C19:M19)</f>
        <v>517378.38218000007</v>
      </c>
      <c r="F4" s="22">
        <f>SUM(C26:L26)</f>
        <v>577304.42999999993</v>
      </c>
      <c r="G4" s="22">
        <f>F4-E4</f>
        <v>59926.047819999862</v>
      </c>
      <c r="H4" s="22">
        <f>+B42</f>
        <v>-93393.747000000032</v>
      </c>
      <c r="I4" s="22">
        <f>SUM(C50:L50)</f>
        <v>22.569999999999993</v>
      </c>
      <c r="J4" s="26">
        <f>SUM(G4:I4)</f>
        <v>-33445.129180000171</v>
      </c>
      <c r="K4" s="48">
        <f>+J4-M42</f>
        <v>-1.2369127944111824E-10</v>
      </c>
      <c r="N4" s="48"/>
    </row>
    <row r="5" spans="1:35" ht="15" thickBot="1" x14ac:dyDescent="0.4">
      <c r="A5" s="20" t="s">
        <v>25</v>
      </c>
      <c r="B5" s="20"/>
      <c r="C5" s="20"/>
      <c r="D5" s="20"/>
      <c r="E5" s="22">
        <f>SUM(C20:M23)</f>
        <v>1674945.7193799997</v>
      </c>
      <c r="F5" s="22">
        <f>SUM(C27:L30)</f>
        <v>1619243.5999999996</v>
      </c>
      <c r="G5" s="22">
        <f>F5-E5</f>
        <v>-55702.119380000047</v>
      </c>
      <c r="H5" s="22">
        <f>SUM(B43:B46)</f>
        <v>105914.4255599999</v>
      </c>
      <c r="I5" s="22">
        <f>SUM(C51:L54)</f>
        <v>1443.98</v>
      </c>
      <c r="J5" s="26">
        <f>SUM(G5:I5)</f>
        <v>51656.286179999857</v>
      </c>
      <c r="K5" s="48">
        <f>+J5-SUM(M43:M46)</f>
        <v>-1.5279510989785194E-10</v>
      </c>
      <c r="N5" s="48"/>
    </row>
    <row r="6" spans="1:35" ht="15.5" thickTop="1" thickBot="1" x14ac:dyDescent="0.4">
      <c r="E6" s="28">
        <f t="shared" ref="E6:J6" si="0">SUM(E4:E5)</f>
        <v>2192324.1015599999</v>
      </c>
      <c r="F6" s="28">
        <f t="shared" si="0"/>
        <v>2196548.0299999993</v>
      </c>
      <c r="G6" s="28">
        <f t="shared" si="0"/>
        <v>4223.9284399998141</v>
      </c>
      <c r="H6" s="28">
        <f t="shared" si="0"/>
        <v>12520.678559999869</v>
      </c>
      <c r="I6" s="28">
        <f t="shared" si="0"/>
        <v>1466.55</v>
      </c>
      <c r="J6" s="28">
        <f t="shared" si="0"/>
        <v>18211.156999999686</v>
      </c>
      <c r="T6" s="5"/>
    </row>
    <row r="7" spans="1:35" ht="44" thickTop="1" x14ac:dyDescent="0.35">
      <c r="J7" s="236"/>
      <c r="K7" s="235" t="s">
        <v>124</v>
      </c>
    </row>
    <row r="8" spans="1:35" ht="17.25" customHeight="1" x14ac:dyDescent="0.35">
      <c r="A8" s="20" t="s">
        <v>108</v>
      </c>
      <c r="J8" s="26">
        <f>ROUND($J$5*K8,2)</f>
        <v>7013.09</v>
      </c>
      <c r="K8" s="233">
        <f>+'PCR Cycle 2'!L8</f>
        <v>0.13576441564001979</v>
      </c>
    </row>
    <row r="9" spans="1:35" ht="17.25" customHeight="1" x14ac:dyDescent="0.35">
      <c r="A9" s="20" t="s">
        <v>109</v>
      </c>
      <c r="J9" s="26">
        <f t="shared" ref="J9:J11" si="1">ROUND($J$5*K9,2)</f>
        <v>18395.62</v>
      </c>
      <c r="K9" s="233">
        <f>+'PCR Cycle 2'!L9</f>
        <v>0.35611574316442379</v>
      </c>
    </row>
    <row r="10" spans="1:35" ht="17.25" customHeight="1" x14ac:dyDescent="0.35">
      <c r="A10" s="20" t="s">
        <v>110</v>
      </c>
      <c r="J10" s="26">
        <f t="shared" si="1"/>
        <v>21608.78</v>
      </c>
      <c r="K10" s="233">
        <f>+'PCR Cycle 2'!L10</f>
        <v>0.4183185730547726</v>
      </c>
    </row>
    <row r="11" spans="1:35" ht="17.25" customHeight="1" thickBot="1" x14ac:dyDescent="0.4">
      <c r="A11" s="20" t="s">
        <v>111</v>
      </c>
      <c r="J11" s="26">
        <f t="shared" si="1"/>
        <v>4638.8</v>
      </c>
      <c r="K11" s="233">
        <f>+'PCR Cycle 2'!L11</f>
        <v>8.9801268140783777E-2</v>
      </c>
    </row>
    <row r="12" spans="1:35" ht="17.25" customHeight="1" thickTop="1" thickBot="1" x14ac:dyDescent="0.4">
      <c r="A12" s="20" t="s">
        <v>113</v>
      </c>
      <c r="J12" s="28">
        <f>SUM(J8:J11)</f>
        <v>51656.29</v>
      </c>
      <c r="K12" s="234">
        <f>SUM(K8:K11)</f>
        <v>1</v>
      </c>
    </row>
    <row r="13" spans="1:35" ht="15.5" thickTop="1" thickBot="1" x14ac:dyDescent="0.4">
      <c r="V13" s="4"/>
      <c r="W13" s="5"/>
    </row>
    <row r="14" spans="1:35" ht="116.5" thickBot="1" x14ac:dyDescent="0.4">
      <c r="B14" s="119" t="str">
        <f>+'PCR Cycle 2'!B14</f>
        <v>Cumulative Over/Under Carryover From 12/01/2020 Filing</v>
      </c>
      <c r="C14" s="280" t="str">
        <f>+'PCR Cycle 2'!C14</f>
        <v>Reverse November 2020 - January 2021  Forecast From 12/01/2020 Filing</v>
      </c>
      <c r="D14" s="280"/>
      <c r="E14" s="300" t="s">
        <v>33</v>
      </c>
      <c r="F14" s="300"/>
      <c r="G14" s="301"/>
      <c r="H14" s="305" t="s">
        <v>33</v>
      </c>
      <c r="I14" s="306"/>
      <c r="J14" s="307"/>
      <c r="K14" s="295" t="s">
        <v>8</v>
      </c>
      <c r="L14" s="296"/>
      <c r="M14" s="297"/>
    </row>
    <row r="15" spans="1:35" x14ac:dyDescent="0.35">
      <c r="A15" s="47" t="s">
        <v>86</v>
      </c>
      <c r="C15" s="106"/>
      <c r="D15" s="278"/>
      <c r="E15" s="19">
        <f>+'PCR Cycle 2'!E15</f>
        <v>44165</v>
      </c>
      <c r="F15" s="19">
        <f t="shared" ref="F15:M15" si="2">EOMONTH(E15,1)</f>
        <v>44196</v>
      </c>
      <c r="G15" s="19">
        <f t="shared" si="2"/>
        <v>44227</v>
      </c>
      <c r="H15" s="14">
        <f t="shared" si="2"/>
        <v>44255</v>
      </c>
      <c r="I15" s="19">
        <f t="shared" si="2"/>
        <v>44286</v>
      </c>
      <c r="J15" s="15">
        <f t="shared" si="2"/>
        <v>44316</v>
      </c>
      <c r="K15" s="19">
        <f t="shared" si="2"/>
        <v>44347</v>
      </c>
      <c r="L15" s="19">
        <f t="shared" si="2"/>
        <v>44377</v>
      </c>
      <c r="M15" s="15">
        <f t="shared" si="2"/>
        <v>44408</v>
      </c>
      <c r="Z15" s="1"/>
      <c r="AA15" s="1"/>
      <c r="AB15" s="1"/>
      <c r="AC15" s="1"/>
      <c r="AD15" s="1"/>
      <c r="AE15" s="1"/>
      <c r="AF15" s="1"/>
      <c r="AG15" s="1"/>
      <c r="AH15" s="1"/>
      <c r="AI15" s="1"/>
    </row>
    <row r="16" spans="1:35" x14ac:dyDescent="0.35">
      <c r="A16" s="47" t="s">
        <v>5</v>
      </c>
      <c r="C16" s="98">
        <v>-737880.75999999989</v>
      </c>
      <c r="D16" s="98"/>
      <c r="E16" s="110">
        <f t="shared" ref="E16:L16" si="3">SUM(E26:E30)</f>
        <v>368940.37999999995</v>
      </c>
      <c r="F16" s="110">
        <f t="shared" si="3"/>
        <v>368940.37999999995</v>
      </c>
      <c r="G16" s="111">
        <f t="shared" si="3"/>
        <v>368940.37999999995</v>
      </c>
      <c r="H16" s="16">
        <f t="shared" si="3"/>
        <v>365521.53</v>
      </c>
      <c r="I16" s="56">
        <f t="shared" si="3"/>
        <v>365521.53</v>
      </c>
      <c r="J16" s="169">
        <f t="shared" si="3"/>
        <v>365521.53</v>
      </c>
      <c r="K16" s="162">
        <f t="shared" si="3"/>
        <v>365521.53</v>
      </c>
      <c r="L16" s="79">
        <f t="shared" si="3"/>
        <v>365521.53</v>
      </c>
      <c r="M16" s="80"/>
    </row>
    <row r="17" spans="1:15" x14ac:dyDescent="0.35">
      <c r="C17" s="100"/>
      <c r="D17" s="100"/>
      <c r="E17" s="17"/>
      <c r="F17" s="17"/>
      <c r="G17" s="17"/>
      <c r="H17" s="10"/>
      <c r="I17" s="17"/>
      <c r="J17" s="11"/>
      <c r="K17" s="32"/>
      <c r="L17" s="32"/>
      <c r="M17" s="30"/>
    </row>
    <row r="18" spans="1:15" x14ac:dyDescent="0.35">
      <c r="A18" s="47" t="s">
        <v>87</v>
      </c>
      <c r="C18" s="100"/>
      <c r="D18" s="100"/>
      <c r="E18" s="18"/>
      <c r="F18" s="18"/>
      <c r="G18" s="18"/>
      <c r="H18" s="92"/>
      <c r="I18" s="18"/>
      <c r="J18" s="170"/>
      <c r="K18" s="32"/>
      <c r="L18" s="32"/>
      <c r="M18" s="30"/>
      <c r="N18" s="3" t="s">
        <v>50</v>
      </c>
      <c r="O18" s="40"/>
    </row>
    <row r="19" spans="1:15" x14ac:dyDescent="0.35">
      <c r="A19" s="47" t="s">
        <v>24</v>
      </c>
      <c r="C19" s="98">
        <v>-391003.34699999995</v>
      </c>
      <c r="D19" s="98"/>
      <c r="E19" s="137">
        <f>ROUND('[10]Nov 2020'!$F70,2)</f>
        <v>103021.38</v>
      </c>
      <c r="F19" s="137">
        <f>ROUND('[10]Dec 2020'!$F70,2)</f>
        <v>123857.37</v>
      </c>
      <c r="G19" s="137">
        <f>ROUND('[10]Jan 2021'!$F70,2)</f>
        <v>154100.13</v>
      </c>
      <c r="H19" s="190">
        <f>ROUND('[10]Feb 2021'!$F70,2)</f>
        <v>132176.79999999999</v>
      </c>
      <c r="I19" s="122">
        <f>ROUND('[10]Mar 2021'!$F70,2)</f>
        <v>89035.17</v>
      </c>
      <c r="J19" s="171">
        <f>ROUND('[10]Apr 2021'!$F70,2)</f>
        <v>61115.83</v>
      </c>
      <c r="K19" s="124">
        <f>'PCR Cycle 2'!K27*$N19</f>
        <v>58967.207909999997</v>
      </c>
      <c r="L19" s="42">
        <f>'PCR Cycle 2'!L27*$N19</f>
        <v>75711.839189999999</v>
      </c>
      <c r="M19" s="62">
        <f>'PCR Cycle 2'!M27*$N19</f>
        <v>110396.00207999999</v>
      </c>
      <c r="N19" s="73">
        <v>3.8999999999999999E-4</v>
      </c>
      <c r="O19" s="4"/>
    </row>
    <row r="20" spans="1:15" x14ac:dyDescent="0.35">
      <c r="A20" s="47" t="s">
        <v>136</v>
      </c>
      <c r="C20" s="98">
        <v>-84645.880879999997</v>
      </c>
      <c r="D20" s="98"/>
      <c r="E20" s="137">
        <f>ROUND('[10]Nov 2020'!$F71,2)</f>
        <v>33369.35</v>
      </c>
      <c r="F20" s="137">
        <f>ROUND('[10]Dec 2020'!$F71,2)</f>
        <v>38220.949999999997</v>
      </c>
      <c r="G20" s="137">
        <f>ROUND('[10]Jan 2021'!$F71,2)</f>
        <v>41426.29</v>
      </c>
      <c r="H20" s="190">
        <f>ROUND('[10]Feb 2021'!$F71,2)</f>
        <v>34818.18</v>
      </c>
      <c r="I20" s="122">
        <f>ROUND('[10]Mar 2021'!$F71,2)</f>
        <v>22662.78</v>
      </c>
      <c r="J20" s="171">
        <f>ROUND('[10]Apr 2021'!$F71,2)</f>
        <v>18889.7</v>
      </c>
      <c r="K20" s="124">
        <f>'PCR Cycle 2'!K28*$N20</f>
        <v>20230.267500000002</v>
      </c>
      <c r="L20" s="42">
        <f>'PCR Cycle 2'!L28*$N20</f>
        <v>22395.069500000001</v>
      </c>
      <c r="M20" s="62">
        <f>'PCR Cycle 2'!M28*$N20</f>
        <v>24606.523000000001</v>
      </c>
      <c r="N20" s="73">
        <v>5.0000000000000001E-4</v>
      </c>
      <c r="O20" s="4"/>
    </row>
    <row r="21" spans="1:15" x14ac:dyDescent="0.35">
      <c r="A21" s="47" t="s">
        <v>137</v>
      </c>
      <c r="C21" s="98">
        <v>-252025.30416</v>
      </c>
      <c r="D21" s="98"/>
      <c r="E21" s="137">
        <f>ROUND('[10]Nov 2020'!$F72,2)</f>
        <v>75968.61</v>
      </c>
      <c r="F21" s="137">
        <f>ROUND('[10]Dec 2020'!$F72,2)</f>
        <v>81184.39</v>
      </c>
      <c r="G21" s="137">
        <f>ROUND('[10]Jan 2021'!$F72,2)</f>
        <v>89646.26</v>
      </c>
      <c r="H21" s="190">
        <f>ROUND('[10]Feb 2021'!$F72,2)</f>
        <v>96363.17</v>
      </c>
      <c r="I21" s="122">
        <f>ROUND('[10]Mar 2021'!$F72,2)</f>
        <v>109635.39</v>
      </c>
      <c r="J21" s="171">
        <f>ROUND('[10]Apr 2021'!$F72,2)</f>
        <v>89984.85</v>
      </c>
      <c r="K21" s="124">
        <f>'PCR Cycle 2'!K29*$N21</f>
        <v>103190.04306</v>
      </c>
      <c r="L21" s="42">
        <f>'PCR Cycle 2'!L29*$N21</f>
        <v>114232.21056000001</v>
      </c>
      <c r="M21" s="62">
        <f>'PCR Cycle 2'!M29*$N21</f>
        <v>125512.33734</v>
      </c>
      <c r="N21" s="73">
        <v>1.17E-3</v>
      </c>
      <c r="O21" s="4"/>
    </row>
    <row r="22" spans="1:15" x14ac:dyDescent="0.35">
      <c r="A22" s="47" t="s">
        <v>138</v>
      </c>
      <c r="C22" s="98">
        <v>-276097.75699999998</v>
      </c>
      <c r="D22" s="98"/>
      <c r="E22" s="137">
        <f>ROUND('[10]Nov 2020'!$F73,2)</f>
        <v>86174.39</v>
      </c>
      <c r="F22" s="137">
        <f>ROUND('[10]Dec 2020'!$F73,2)</f>
        <v>93997.58</v>
      </c>
      <c r="G22" s="137">
        <f>ROUND('[10]Jan 2021'!$F73,2)</f>
        <v>99672.75</v>
      </c>
      <c r="H22" s="190">
        <f>ROUND('[10]Feb 2021'!$F73,2)</f>
        <v>107435.54</v>
      </c>
      <c r="I22" s="122">
        <f>ROUND('[10]Mar 2021'!$F73,2)</f>
        <v>121505.76</v>
      </c>
      <c r="J22" s="171">
        <f>ROUND('[10]Apr 2021'!$F73,2)</f>
        <v>104274.69</v>
      </c>
      <c r="K22" s="124">
        <f>'PCR Cycle 2'!K30*$N22</f>
        <v>111813.55919999999</v>
      </c>
      <c r="L22" s="42">
        <f>'PCR Cycle 2'!L30*$N22</f>
        <v>123778.51359999999</v>
      </c>
      <c r="M22" s="62">
        <f>'PCR Cycle 2'!M30*$N22</f>
        <v>136001.31199999998</v>
      </c>
      <c r="N22" s="73">
        <v>7.9999999999999993E-4</v>
      </c>
      <c r="O22" s="4"/>
    </row>
    <row r="23" spans="1:15" x14ac:dyDescent="0.35">
      <c r="A23" s="47" t="s">
        <v>139</v>
      </c>
      <c r="C23" s="98">
        <v>-55252.712400000004</v>
      </c>
      <c r="D23" s="98"/>
      <c r="E23" s="137">
        <f>ROUND('[10]Nov 2020'!$F74,2)</f>
        <v>16705.48</v>
      </c>
      <c r="F23" s="137">
        <f>ROUND('[10]Dec 2020'!$F74,2)</f>
        <v>16699.14</v>
      </c>
      <c r="G23" s="137">
        <f>ROUND('[10]Jan 2021'!$F74,2)</f>
        <v>16371.41</v>
      </c>
      <c r="H23" s="190">
        <f>ROUND('[10]Feb 2021'!$F74,2)</f>
        <v>20685.57</v>
      </c>
      <c r="I23" s="122">
        <f>ROUND('[10]Mar 2021'!$F74,2)</f>
        <v>25447.18</v>
      </c>
      <c r="J23" s="171">
        <f>ROUND('[10]Apr 2021'!$F74,2)</f>
        <v>25287.54</v>
      </c>
      <c r="K23" s="124">
        <f>'PCR Cycle 2'!K31*$N23</f>
        <v>28519.76209</v>
      </c>
      <c r="L23" s="42">
        <f>'PCR Cycle 2'!L31*$N23</f>
        <v>31571.606920000002</v>
      </c>
      <c r="M23" s="62">
        <f>'PCR Cycle 2'!M31*$N23</f>
        <v>34689.21905</v>
      </c>
      <c r="N23" s="73">
        <v>7.1000000000000002E-4</v>
      </c>
      <c r="O23" s="4"/>
    </row>
    <row r="24" spans="1:15" x14ac:dyDescent="0.35">
      <c r="C24" s="68"/>
      <c r="D24" s="68"/>
      <c r="E24" s="69"/>
      <c r="F24" s="69"/>
      <c r="G24" s="69"/>
      <c r="H24" s="68"/>
      <c r="I24" s="69"/>
      <c r="J24" s="172"/>
      <c r="K24" s="57"/>
      <c r="L24" s="57"/>
      <c r="M24" s="13"/>
      <c r="O24" s="4"/>
    </row>
    <row r="25" spans="1:15" x14ac:dyDescent="0.35">
      <c r="A25" s="47" t="s">
        <v>89</v>
      </c>
      <c r="C25" s="37"/>
      <c r="D25" s="37"/>
      <c r="E25" s="38"/>
      <c r="F25" s="38"/>
      <c r="G25" s="38"/>
      <c r="H25" s="37"/>
      <c r="I25" s="38"/>
      <c r="J25" s="175"/>
      <c r="K25" s="53"/>
      <c r="L25" s="53"/>
      <c r="M25" s="39"/>
    </row>
    <row r="26" spans="1:15" x14ac:dyDescent="0.35">
      <c r="A26" s="47" t="s">
        <v>24</v>
      </c>
      <c r="C26" s="98">
        <v>-252967.86</v>
      </c>
      <c r="D26" s="98"/>
      <c r="E26" s="110">
        <f>ROUND('EO Cycle 2'!$G$19/8,2)</f>
        <v>126483.93</v>
      </c>
      <c r="F26" s="110">
        <f>ROUND('EO Cycle 2'!$G$19/8,2)</f>
        <v>126483.93</v>
      </c>
      <c r="G26" s="111">
        <f>ROUND('EO Cycle 2'!$G$19/8,2)</f>
        <v>126483.93</v>
      </c>
      <c r="H26" s="16">
        <f>ROUND('EO Cycle 2'!$G$19/8+'EO Cycle 2'!$G$31/12,2)</f>
        <v>90164.1</v>
      </c>
      <c r="I26" s="56">
        <f>ROUND('EO Cycle 2'!$G$19/8+'EO Cycle 2'!$G$31/12,2)</f>
        <v>90164.1</v>
      </c>
      <c r="J26" s="169">
        <f>ROUND('EO Cycle 2'!$G$19/8+'EO Cycle 2'!$G$31/12,2)</f>
        <v>90164.1</v>
      </c>
      <c r="K26" s="164">
        <f>ROUND('EO Cycle 2'!$G$19/8+'EO Cycle 2'!$G$31/12,2)</f>
        <v>90164.1</v>
      </c>
      <c r="L26" s="144">
        <f>ROUND('EO Cycle 2'!$G$19/8+'EO Cycle 2'!$G$31/12,2)</f>
        <v>90164.1</v>
      </c>
      <c r="M26" s="80"/>
    </row>
    <row r="27" spans="1:15" x14ac:dyDescent="0.35">
      <c r="A27" s="47" t="s">
        <v>136</v>
      </c>
      <c r="C27" s="98">
        <v>-61883.040000000001</v>
      </c>
      <c r="D27" s="98"/>
      <c r="E27" s="110">
        <f>ROUND('EO Cycle 2'!$G$23/8,2)</f>
        <v>30941.52</v>
      </c>
      <c r="F27" s="110">
        <f>ROUND('EO Cycle 2'!$G$23/8,2)</f>
        <v>30941.52</v>
      </c>
      <c r="G27" s="111">
        <f>ROUND('EO Cycle 2'!$G$23/8,2)</f>
        <v>30941.52</v>
      </c>
      <c r="H27" s="16">
        <f>ROUND('EO Cycle 2'!$G$23/8+'EO Cycle 2'!$G$35/12,2)</f>
        <v>15748.14</v>
      </c>
      <c r="I27" s="56">
        <f>ROUND('EO Cycle 2'!$G$23/8+'EO Cycle 2'!$G$35/12,2)</f>
        <v>15748.14</v>
      </c>
      <c r="J27" s="169">
        <f>ROUND('EO Cycle 2'!$G$23/8+'EO Cycle 2'!$G$35/12,2)</f>
        <v>15748.14</v>
      </c>
      <c r="K27" s="164">
        <f>ROUND('EO Cycle 2'!$G$23/8+'EO Cycle 2'!$G$35/12,2)</f>
        <v>15748.14</v>
      </c>
      <c r="L27" s="144">
        <f>ROUND('EO Cycle 2'!$G$23/8+'EO Cycle 2'!$G$35/12,2)</f>
        <v>15748.14</v>
      </c>
      <c r="M27" s="80"/>
    </row>
    <row r="28" spans="1:15" x14ac:dyDescent="0.35">
      <c r="A28" s="47" t="s">
        <v>137</v>
      </c>
      <c r="C28" s="98">
        <v>-182966.16</v>
      </c>
      <c r="D28" s="98"/>
      <c r="E28" s="110">
        <f>ROUND('EO Cycle 2'!$G$24/8,2)</f>
        <v>91483.08</v>
      </c>
      <c r="F28" s="110">
        <f>ROUND('EO Cycle 2'!$G$24/8,2)</f>
        <v>91483.08</v>
      </c>
      <c r="G28" s="111">
        <f>ROUND('EO Cycle 2'!$G$24/8,2)</f>
        <v>91483.08</v>
      </c>
      <c r="H28" s="16">
        <f>ROUND('EO Cycle 2'!$G$24/8+'EO Cycle 2'!$G$36/12,2)</f>
        <v>110975.21</v>
      </c>
      <c r="I28" s="56">
        <f>ROUND('EO Cycle 2'!$G$24/8+'EO Cycle 2'!$G$36/12,2)</f>
        <v>110975.21</v>
      </c>
      <c r="J28" s="169">
        <f>ROUND('EO Cycle 2'!$G$24/8+'EO Cycle 2'!$G$36/12,2)</f>
        <v>110975.21</v>
      </c>
      <c r="K28" s="164">
        <f>ROUND('EO Cycle 2'!$G$24/8+'EO Cycle 2'!$G$36/12,2)</f>
        <v>110975.21</v>
      </c>
      <c r="L28" s="144">
        <f>ROUND('EO Cycle 2'!$G$24/8+'EO Cycle 2'!$G$36/12,2)</f>
        <v>110975.21</v>
      </c>
      <c r="M28" s="80"/>
    </row>
    <row r="29" spans="1:15" x14ac:dyDescent="0.35">
      <c r="A29" s="47" t="s">
        <v>138</v>
      </c>
      <c r="C29" s="98">
        <v>-200130.36</v>
      </c>
      <c r="D29" s="98"/>
      <c r="E29" s="110">
        <f>ROUND('EO Cycle 2'!$G$25/8,2)</f>
        <v>100065.18</v>
      </c>
      <c r="F29" s="110">
        <f>ROUND('EO Cycle 2'!$G$25/8,2)</f>
        <v>100065.18</v>
      </c>
      <c r="G29" s="111">
        <f>ROUND('EO Cycle 2'!$G$25/8,2)</f>
        <v>100065.18</v>
      </c>
      <c r="H29" s="16">
        <f>ROUND('EO Cycle 2'!$G$25/8+'EO Cycle 2'!$G$37/12,2)</f>
        <v>116920.61</v>
      </c>
      <c r="I29" s="56">
        <f>ROUND('EO Cycle 2'!$G$25/8+'EO Cycle 2'!$G$37/12,2)</f>
        <v>116920.61</v>
      </c>
      <c r="J29" s="169">
        <f>ROUND('EO Cycle 2'!$G$25/8+'EO Cycle 2'!$G$37/12,2)</f>
        <v>116920.61</v>
      </c>
      <c r="K29" s="164">
        <f>ROUND('EO Cycle 2'!$G$25/8+'EO Cycle 2'!$G$37/12,2)</f>
        <v>116920.61</v>
      </c>
      <c r="L29" s="144">
        <f>ROUND('EO Cycle 2'!$G$25/8+'EO Cycle 2'!$G$37/12,2)</f>
        <v>116920.61</v>
      </c>
      <c r="M29" s="80"/>
    </row>
    <row r="30" spans="1:15" x14ac:dyDescent="0.35">
      <c r="A30" s="47" t="s">
        <v>139</v>
      </c>
      <c r="C30" s="98">
        <v>-39933.339999999997</v>
      </c>
      <c r="D30" s="98"/>
      <c r="E30" s="110">
        <f>ROUND('EO Cycle 2'!$G$26/8,2)</f>
        <v>19966.669999999998</v>
      </c>
      <c r="F30" s="110">
        <f>ROUND('EO Cycle 2'!$G$26/8,2)</f>
        <v>19966.669999999998</v>
      </c>
      <c r="G30" s="111">
        <f>ROUND('EO Cycle 2'!$G$26/8,2)</f>
        <v>19966.669999999998</v>
      </c>
      <c r="H30" s="16">
        <f>ROUND('EO Cycle 2'!$G$26/8+'EO Cycle 2'!$G$38/12,2)</f>
        <v>31713.47</v>
      </c>
      <c r="I30" s="56">
        <f>ROUND('EO Cycle 2'!$G$26/8+'EO Cycle 2'!$G$38/12,2)</f>
        <v>31713.47</v>
      </c>
      <c r="J30" s="169">
        <f>ROUND('EO Cycle 2'!$G$26/8+'EO Cycle 2'!$G$38/12,2)</f>
        <v>31713.47</v>
      </c>
      <c r="K30" s="164">
        <f>ROUND('EO Cycle 2'!$G$26/8+'EO Cycle 2'!$G$38/12,2)</f>
        <v>31713.47</v>
      </c>
      <c r="L30" s="144">
        <f>ROUND('EO Cycle 2'!$G$26/8+'EO Cycle 2'!$G$38/12,2)</f>
        <v>31713.47</v>
      </c>
      <c r="M30" s="80"/>
      <c r="O30" s="48"/>
    </row>
    <row r="31" spans="1:15" x14ac:dyDescent="0.35">
      <c r="C31" s="100"/>
      <c r="D31" s="100"/>
      <c r="E31" s="18"/>
      <c r="F31" s="18"/>
      <c r="G31" s="18"/>
      <c r="H31" s="92"/>
      <c r="I31" s="18"/>
      <c r="J31" s="170"/>
      <c r="K31" s="57"/>
      <c r="L31" s="57"/>
      <c r="M31" s="13"/>
    </row>
    <row r="32" spans="1:15" ht="15" thickBot="1" x14ac:dyDescent="0.4">
      <c r="A32" s="3" t="s">
        <v>14</v>
      </c>
      <c r="B32" s="3"/>
      <c r="C32" s="104">
        <v>-873.8900000000001</v>
      </c>
      <c r="D32" s="104">
        <f>+'[17]Metro EO Cycle 2 Carrying Cost'!$K$42-'[17]Metro EO Cycle 2 Carrying Cost'!$L$42+'[17]Metro EO Cycle 2 Carrying Cost'!$X$42-'[17]Metro EO Cycle 2 Carrying Cost'!$Y$42</f>
        <v>-526.19999999999982</v>
      </c>
      <c r="E32" s="137">
        <v>341.78</v>
      </c>
      <c r="F32" s="137">
        <v>377.09</v>
      </c>
      <c r="G32" s="138">
        <v>362.69</v>
      </c>
      <c r="H32" s="27">
        <v>331.51</v>
      </c>
      <c r="I32" s="123">
        <v>316.95999999999998</v>
      </c>
      <c r="J32" s="176">
        <v>348.15000000000003</v>
      </c>
      <c r="K32" s="165">
        <v>399.3</v>
      </c>
      <c r="L32" s="146">
        <v>418.94999999999993</v>
      </c>
      <c r="M32" s="83"/>
    </row>
    <row r="33" spans="1:13" x14ac:dyDescent="0.35">
      <c r="C33" s="65"/>
      <c r="D33" s="65"/>
      <c r="E33" s="150"/>
      <c r="F33" s="150"/>
      <c r="G33" s="151"/>
      <c r="H33" s="65"/>
      <c r="I33" s="34"/>
      <c r="J33" s="177"/>
      <c r="K33" s="35"/>
      <c r="L33" s="35"/>
      <c r="M33" s="61"/>
    </row>
    <row r="34" spans="1:13" x14ac:dyDescent="0.35">
      <c r="A34" s="47" t="s">
        <v>52</v>
      </c>
      <c r="C34" s="66"/>
      <c r="D34" s="66"/>
      <c r="E34" s="151"/>
      <c r="F34" s="151"/>
      <c r="G34" s="151"/>
      <c r="H34" s="66"/>
      <c r="I34" s="36"/>
      <c r="J34" s="178"/>
      <c r="K34" s="35"/>
      <c r="L34" s="35"/>
      <c r="M34" s="61"/>
    </row>
    <row r="35" spans="1:13" x14ac:dyDescent="0.35">
      <c r="A35" s="47" t="s">
        <v>24</v>
      </c>
      <c r="C35" s="101">
        <f t="shared" ref="C35:M35" si="4">C26-C19</f>
        <v>138035.48699999996</v>
      </c>
      <c r="D35" s="101"/>
      <c r="E35" s="42">
        <f t="shared" si="4"/>
        <v>23462.549999999988</v>
      </c>
      <c r="F35" s="42">
        <f t="shared" si="4"/>
        <v>2626.5599999999977</v>
      </c>
      <c r="G35" s="109">
        <f t="shared" si="4"/>
        <v>-27616.200000000012</v>
      </c>
      <c r="H35" s="41">
        <f t="shared" si="4"/>
        <v>-42012.699999999983</v>
      </c>
      <c r="I35" s="42">
        <f t="shared" si="4"/>
        <v>1128.9300000000076</v>
      </c>
      <c r="J35" s="62">
        <f t="shared" si="4"/>
        <v>29048.270000000004</v>
      </c>
      <c r="K35" s="124">
        <f t="shared" si="4"/>
        <v>31196.892090000008</v>
      </c>
      <c r="L35" s="42">
        <f t="shared" si="4"/>
        <v>14452.260810000007</v>
      </c>
      <c r="M35" s="62">
        <f t="shared" si="4"/>
        <v>-110396.00207999999</v>
      </c>
    </row>
    <row r="36" spans="1:13" x14ac:dyDescent="0.35">
      <c r="A36" s="47" t="s">
        <v>136</v>
      </c>
      <c r="C36" s="101">
        <f t="shared" ref="C36:M36" si="5">C27-C20</f>
        <v>22762.840879999996</v>
      </c>
      <c r="D36" s="101"/>
      <c r="E36" s="42">
        <f t="shared" si="5"/>
        <v>-2427.8299999999981</v>
      </c>
      <c r="F36" s="42">
        <f t="shared" si="5"/>
        <v>-7279.4299999999967</v>
      </c>
      <c r="G36" s="109">
        <f t="shared" si="5"/>
        <v>-10484.77</v>
      </c>
      <c r="H36" s="41">
        <f t="shared" si="5"/>
        <v>-19070.04</v>
      </c>
      <c r="I36" s="42">
        <f t="shared" si="5"/>
        <v>-6914.6399999999994</v>
      </c>
      <c r="J36" s="62">
        <f t="shared" si="5"/>
        <v>-3141.5600000000013</v>
      </c>
      <c r="K36" s="124">
        <f t="shared" si="5"/>
        <v>-4482.1275000000023</v>
      </c>
      <c r="L36" s="42">
        <f t="shared" si="5"/>
        <v>-6646.929500000002</v>
      </c>
      <c r="M36" s="62">
        <f t="shared" si="5"/>
        <v>-24606.523000000001</v>
      </c>
    </row>
    <row r="37" spans="1:13" x14ac:dyDescent="0.35">
      <c r="A37" s="47" t="s">
        <v>137</v>
      </c>
      <c r="C37" s="101">
        <f t="shared" ref="C37:M37" si="6">C28-C21</f>
        <v>69059.144159999996</v>
      </c>
      <c r="D37" s="101"/>
      <c r="E37" s="42">
        <f t="shared" si="6"/>
        <v>15514.470000000001</v>
      </c>
      <c r="F37" s="42">
        <f t="shared" si="6"/>
        <v>10298.690000000002</v>
      </c>
      <c r="G37" s="109">
        <f t="shared" si="6"/>
        <v>1836.820000000007</v>
      </c>
      <c r="H37" s="41">
        <f t="shared" si="6"/>
        <v>14612.040000000008</v>
      </c>
      <c r="I37" s="42">
        <f t="shared" si="6"/>
        <v>1339.820000000007</v>
      </c>
      <c r="J37" s="62">
        <f t="shared" si="6"/>
        <v>20990.36</v>
      </c>
      <c r="K37" s="124">
        <f t="shared" si="6"/>
        <v>7785.1669400000101</v>
      </c>
      <c r="L37" s="42">
        <f t="shared" si="6"/>
        <v>-3257.0005600000004</v>
      </c>
      <c r="M37" s="62">
        <f t="shared" si="6"/>
        <v>-125512.33734</v>
      </c>
    </row>
    <row r="38" spans="1:13" x14ac:dyDescent="0.35">
      <c r="A38" s="47" t="s">
        <v>138</v>
      </c>
      <c r="C38" s="101">
        <f t="shared" ref="C38:M38" si="7">C29-C22</f>
        <v>75967.396999999997</v>
      </c>
      <c r="D38" s="101"/>
      <c r="E38" s="42">
        <f t="shared" si="7"/>
        <v>13890.789999999994</v>
      </c>
      <c r="F38" s="42">
        <f t="shared" si="7"/>
        <v>6067.5999999999913</v>
      </c>
      <c r="G38" s="109">
        <f t="shared" si="7"/>
        <v>392.42999999999302</v>
      </c>
      <c r="H38" s="41">
        <f t="shared" si="7"/>
        <v>9485.070000000007</v>
      </c>
      <c r="I38" s="42">
        <f t="shared" si="7"/>
        <v>-4585.1499999999942</v>
      </c>
      <c r="J38" s="62">
        <f t="shared" si="7"/>
        <v>12645.919999999998</v>
      </c>
      <c r="K38" s="124">
        <f t="shared" si="7"/>
        <v>5107.0508000000118</v>
      </c>
      <c r="L38" s="42">
        <f t="shared" si="7"/>
        <v>-6857.9035999999905</v>
      </c>
      <c r="M38" s="62">
        <f t="shared" si="7"/>
        <v>-136001.31199999998</v>
      </c>
    </row>
    <row r="39" spans="1:13" x14ac:dyDescent="0.35">
      <c r="A39" s="47" t="s">
        <v>139</v>
      </c>
      <c r="C39" s="101">
        <f t="shared" ref="C39:M39" si="8">C30-C23</f>
        <v>15319.372400000007</v>
      </c>
      <c r="D39" s="101"/>
      <c r="E39" s="42">
        <f t="shared" si="8"/>
        <v>3261.1899999999987</v>
      </c>
      <c r="F39" s="42">
        <f t="shared" si="8"/>
        <v>3267.5299999999988</v>
      </c>
      <c r="G39" s="109">
        <f t="shared" si="8"/>
        <v>3595.2599999999984</v>
      </c>
      <c r="H39" s="41">
        <f t="shared" si="8"/>
        <v>11027.900000000001</v>
      </c>
      <c r="I39" s="42">
        <f t="shared" si="8"/>
        <v>6266.2900000000009</v>
      </c>
      <c r="J39" s="62">
        <f t="shared" si="8"/>
        <v>6425.93</v>
      </c>
      <c r="K39" s="124">
        <f t="shared" si="8"/>
        <v>3193.707910000001</v>
      </c>
      <c r="L39" s="42">
        <f t="shared" si="8"/>
        <v>141.86307999999917</v>
      </c>
      <c r="M39" s="62">
        <f t="shared" si="8"/>
        <v>-34689.21905</v>
      </c>
    </row>
    <row r="40" spans="1:13" x14ac:dyDescent="0.35">
      <c r="C40" s="100"/>
      <c r="D40" s="100"/>
      <c r="E40" s="17"/>
      <c r="F40" s="17"/>
      <c r="G40" s="17"/>
      <c r="H40" s="10"/>
      <c r="I40" s="17"/>
      <c r="J40" s="11"/>
      <c r="K40" s="17"/>
      <c r="L40" s="17"/>
      <c r="M40" s="11"/>
    </row>
    <row r="41" spans="1:13" x14ac:dyDescent="0.35">
      <c r="A41" s="47" t="s">
        <v>53</v>
      </c>
      <c r="C41" s="100"/>
      <c r="D41" s="100"/>
      <c r="E41" s="17"/>
      <c r="F41" s="17"/>
      <c r="G41" s="17"/>
      <c r="H41" s="10"/>
      <c r="I41" s="17"/>
      <c r="J41" s="11"/>
      <c r="K41" s="17"/>
      <c r="L41" s="17"/>
      <c r="M41" s="11"/>
    </row>
    <row r="42" spans="1:13" x14ac:dyDescent="0.35">
      <c r="A42" s="47" t="s">
        <v>24</v>
      </c>
      <c r="B42" s="62">
        <v>-93393.747000000032</v>
      </c>
      <c r="C42" s="101">
        <f t="shared" ref="C42:M42" si="9">B42+C35+B50</f>
        <v>44641.739999999932</v>
      </c>
      <c r="D42" s="101"/>
      <c r="E42" s="42">
        <f>C42+E35+C50+D50</f>
        <v>67808.699999999924</v>
      </c>
      <c r="F42" s="42">
        <f t="shared" si="9"/>
        <v>70488.629999999917</v>
      </c>
      <c r="G42" s="109">
        <f t="shared" si="9"/>
        <v>42938.669999999904</v>
      </c>
      <c r="H42" s="41">
        <f t="shared" si="9"/>
        <v>979.35999999992111</v>
      </c>
      <c r="I42" s="42">
        <f t="shared" si="9"/>
        <v>2128.7099999999286</v>
      </c>
      <c r="J42" s="62">
        <f t="shared" si="9"/>
        <v>31178.419999999933</v>
      </c>
      <c r="K42" s="124">
        <f t="shared" si="9"/>
        <v>62390.742089999942</v>
      </c>
      <c r="L42" s="42">
        <f t="shared" si="9"/>
        <v>76886.342899999945</v>
      </c>
      <c r="M42" s="62">
        <f t="shared" si="9"/>
        <v>-33445.129180000047</v>
      </c>
    </row>
    <row r="43" spans="1:13" x14ac:dyDescent="0.35">
      <c r="A43" s="47" t="s">
        <v>136</v>
      </c>
      <c r="B43" s="62">
        <v>-38555.810880000005</v>
      </c>
      <c r="C43" s="101">
        <f t="shared" ref="C43:M43" si="10">B43+C36+B51</f>
        <v>-15792.970000000008</v>
      </c>
      <c r="D43" s="101"/>
      <c r="E43" s="42">
        <f t="shared" ref="E43:E46" si="11">C43+E36+C51+D51</f>
        <v>-18173.090000000007</v>
      </c>
      <c r="F43" s="42">
        <f t="shared" si="10"/>
        <v>-25468.660000000003</v>
      </c>
      <c r="G43" s="109">
        <f t="shared" si="10"/>
        <v>-35974.330000000009</v>
      </c>
      <c r="H43" s="41">
        <f t="shared" si="10"/>
        <v>-55073.280000000013</v>
      </c>
      <c r="I43" s="42">
        <f t="shared" si="10"/>
        <v>-62030.210000000014</v>
      </c>
      <c r="J43" s="62">
        <f t="shared" si="10"/>
        <v>-65225.830000000016</v>
      </c>
      <c r="K43" s="124">
        <f t="shared" si="10"/>
        <v>-69766.917500000025</v>
      </c>
      <c r="L43" s="42">
        <f t="shared" si="10"/>
        <v>-76476.397000000026</v>
      </c>
      <c r="M43" s="62">
        <f t="shared" si="10"/>
        <v>-101150.68000000002</v>
      </c>
    </row>
    <row r="44" spans="1:13" x14ac:dyDescent="0.35">
      <c r="A44" s="47" t="s">
        <v>137</v>
      </c>
      <c r="B44" s="62">
        <v>59880.875839999957</v>
      </c>
      <c r="C44" s="101">
        <f t="shared" ref="C44:M44" si="12">B44+C37+B52</f>
        <v>128940.01999999996</v>
      </c>
      <c r="D44" s="101"/>
      <c r="E44" s="42">
        <f t="shared" si="11"/>
        <v>143956.04999999999</v>
      </c>
      <c r="F44" s="42">
        <f t="shared" si="12"/>
        <v>154384.37</v>
      </c>
      <c r="G44" s="109">
        <f t="shared" si="12"/>
        <v>156364.1</v>
      </c>
      <c r="H44" s="41">
        <f t="shared" si="12"/>
        <v>171122.39</v>
      </c>
      <c r="I44" s="42">
        <f t="shared" si="12"/>
        <v>172614.34000000003</v>
      </c>
      <c r="J44" s="62">
        <f t="shared" si="12"/>
        <v>193763.38</v>
      </c>
      <c r="K44" s="124">
        <f t="shared" si="12"/>
        <v>201718.30694000004</v>
      </c>
      <c r="L44" s="42">
        <f t="shared" si="12"/>
        <v>198644.54638000001</v>
      </c>
      <c r="M44" s="62">
        <f t="shared" si="12"/>
        <v>73317.719040000011</v>
      </c>
    </row>
    <row r="45" spans="1:13" x14ac:dyDescent="0.35">
      <c r="A45" s="47" t="s">
        <v>138</v>
      </c>
      <c r="B45" s="62">
        <v>60335.142999999945</v>
      </c>
      <c r="C45" s="101">
        <f t="shared" ref="C45:M45" si="13">B45+C38+B53</f>
        <v>136302.53999999995</v>
      </c>
      <c r="D45" s="101"/>
      <c r="E45" s="42">
        <f t="shared" si="11"/>
        <v>149665.71999999997</v>
      </c>
      <c r="F45" s="42">
        <f t="shared" si="13"/>
        <v>155869.15999999995</v>
      </c>
      <c r="G45" s="109">
        <f t="shared" si="13"/>
        <v>156407.94999999992</v>
      </c>
      <c r="H45" s="41">
        <f t="shared" si="13"/>
        <v>166039.98999999993</v>
      </c>
      <c r="I45" s="42">
        <f t="shared" si="13"/>
        <v>161604.62999999995</v>
      </c>
      <c r="J45" s="62">
        <f t="shared" si="13"/>
        <v>174401.80999999994</v>
      </c>
      <c r="K45" s="124">
        <f t="shared" si="13"/>
        <v>179664.55079999997</v>
      </c>
      <c r="L45" s="42">
        <f t="shared" si="13"/>
        <v>172970.70719999998</v>
      </c>
      <c r="M45" s="62">
        <f t="shared" si="13"/>
        <v>37132.7952</v>
      </c>
    </row>
    <row r="46" spans="1:13" x14ac:dyDescent="0.35">
      <c r="A46" s="47" t="s">
        <v>139</v>
      </c>
      <c r="B46" s="62">
        <v>24254.217600000004</v>
      </c>
      <c r="C46" s="101">
        <f>B46+C39+B54</f>
        <v>39573.590000000011</v>
      </c>
      <c r="D46" s="101"/>
      <c r="E46" s="42">
        <f t="shared" si="11"/>
        <v>42684.460000000014</v>
      </c>
      <c r="F46" s="42">
        <f t="shared" ref="F46:M46" si="14">E46+F39+E54</f>
        <v>45991.060000000012</v>
      </c>
      <c r="G46" s="109">
        <f t="shared" si="14"/>
        <v>49628.80000000001</v>
      </c>
      <c r="H46" s="41">
        <f t="shared" si="14"/>
        <v>60701.700000000012</v>
      </c>
      <c r="I46" s="42">
        <f t="shared" si="14"/>
        <v>67019.24000000002</v>
      </c>
      <c r="J46" s="62">
        <f t="shared" si="14"/>
        <v>73504.130000000019</v>
      </c>
      <c r="K46" s="124">
        <f t="shared" si="14"/>
        <v>76762.947910000017</v>
      </c>
      <c r="L46" s="42">
        <f t="shared" si="14"/>
        <v>76974.440990000017</v>
      </c>
      <c r="M46" s="62">
        <f t="shared" si="14"/>
        <v>42356.451940000021</v>
      </c>
    </row>
    <row r="47" spans="1:13" x14ac:dyDescent="0.35">
      <c r="C47" s="100"/>
      <c r="D47" s="100"/>
      <c r="E47" s="17"/>
      <c r="F47" s="17"/>
      <c r="G47" s="17"/>
      <c r="H47" s="10"/>
      <c r="I47" s="17"/>
      <c r="J47" s="11"/>
      <c r="K47" s="17"/>
      <c r="L47" s="17"/>
      <c r="M47" s="11"/>
    </row>
    <row r="48" spans="1:13" x14ac:dyDescent="0.35">
      <c r="A48" s="40" t="s">
        <v>88</v>
      </c>
      <c r="B48" s="40"/>
      <c r="C48" s="105"/>
      <c r="D48" s="105"/>
      <c r="E48" s="84">
        <f>+'PCR Cycle 2'!E50</f>
        <v>9.5178000000000005E-4</v>
      </c>
      <c r="F48" s="84">
        <f>+'PCR Cycle 2'!F50</f>
        <v>9.5761000000000002E-4</v>
      </c>
      <c r="G48" s="84">
        <f>+'PCR Cycle 2'!G50</f>
        <v>9.4081999999999998E-4</v>
      </c>
      <c r="H48" s="85">
        <f>+'PCR Cycle 2'!H50</f>
        <v>9.2864E-4</v>
      </c>
      <c r="I48" s="84">
        <f>+'PCR Cycle 2'!I50</f>
        <v>9.2287999999999995E-4</v>
      </c>
      <c r="J48" s="93">
        <f>+'PCR Cycle 2'!J50</f>
        <v>9.2628999999999997E-4</v>
      </c>
      <c r="K48" s="84">
        <f>+'PCR Cycle 2'!K50</f>
        <v>9.2628999999999997E-4</v>
      </c>
      <c r="L48" s="84">
        <f>+'PCR Cycle 2'!L50</f>
        <v>9.2628999999999997E-4</v>
      </c>
      <c r="M48" s="86"/>
    </row>
    <row r="49" spans="1:13" x14ac:dyDescent="0.35">
      <c r="A49" s="40" t="s">
        <v>37</v>
      </c>
      <c r="B49" s="40"/>
      <c r="C49" s="107"/>
      <c r="D49" s="107"/>
      <c r="E49" s="84"/>
      <c r="F49" s="84"/>
      <c r="G49" s="84"/>
      <c r="H49" s="85"/>
      <c r="I49" s="84"/>
      <c r="J49" s="86"/>
      <c r="K49" s="84"/>
      <c r="L49" s="84"/>
      <c r="M49" s="86"/>
    </row>
    <row r="50" spans="1:13" x14ac:dyDescent="0.35">
      <c r="A50" s="47" t="s">
        <v>24</v>
      </c>
      <c r="C50" s="101">
        <v>-152.37</v>
      </c>
      <c r="D50" s="101">
        <f>+'[17]Metro EO Cycle 2 Carrying Cost'!$K$42-'[17]Metro EO Cycle 2 Carrying Cost'!$L$42</f>
        <v>-143.22000000000003</v>
      </c>
      <c r="E50" s="42">
        <f>ROUND((C42+C50+D50+E35/2)*E$48,2)</f>
        <v>53.37</v>
      </c>
      <c r="F50" s="42">
        <f t="shared" ref="F50:M50" si="15">ROUND((E42+E50+F35/2)*F$48,2)</f>
        <v>66.239999999999995</v>
      </c>
      <c r="G50" s="109">
        <f t="shared" si="15"/>
        <v>53.39</v>
      </c>
      <c r="H50" s="41">
        <f t="shared" si="15"/>
        <v>20.420000000000002</v>
      </c>
      <c r="I50" s="124">
        <f t="shared" si="15"/>
        <v>1.44</v>
      </c>
      <c r="J50" s="50">
        <f t="shared" si="15"/>
        <v>15.43</v>
      </c>
      <c r="K50" s="166">
        <f t="shared" si="15"/>
        <v>43.34</v>
      </c>
      <c r="L50" s="109">
        <f t="shared" si="15"/>
        <v>64.53</v>
      </c>
      <c r="M50" s="62">
        <f t="shared" si="15"/>
        <v>0</v>
      </c>
    </row>
    <row r="51" spans="1:13" x14ac:dyDescent="0.35">
      <c r="A51" s="47" t="s">
        <v>136</v>
      </c>
      <c r="C51" s="101">
        <v>26.78</v>
      </c>
      <c r="D51" s="101">
        <f>ROUND(('[17]Metro EO Cycle 2 Carrying Cost'!$X$42-'[17]Metro EO Cycle 2 Carrying Cost'!$Y$42)*C43/SUM($C$43:$C$46),2)</f>
        <v>20.93</v>
      </c>
      <c r="E51" s="42">
        <f t="shared" ref="E51:E54" si="16">ROUND((C43+C51+D51+E36/2)*E$48,2)</f>
        <v>-16.14</v>
      </c>
      <c r="F51" s="42">
        <f t="shared" ref="F51:M51" si="17">ROUND((E43+E51+F36/2)*F$48,2)</f>
        <v>-20.9</v>
      </c>
      <c r="G51" s="109">
        <f t="shared" si="17"/>
        <v>-28.91</v>
      </c>
      <c r="H51" s="41">
        <f t="shared" si="17"/>
        <v>-42.29</v>
      </c>
      <c r="I51" s="124">
        <f t="shared" si="17"/>
        <v>-54.06</v>
      </c>
      <c r="J51" s="50">
        <f t="shared" si="17"/>
        <v>-58.96</v>
      </c>
      <c r="K51" s="166">
        <f t="shared" si="17"/>
        <v>-62.55</v>
      </c>
      <c r="L51" s="109">
        <f t="shared" si="17"/>
        <v>-67.760000000000005</v>
      </c>
      <c r="M51" s="62">
        <f t="shared" si="17"/>
        <v>0</v>
      </c>
    </row>
    <row r="52" spans="1:13" x14ac:dyDescent="0.35">
      <c r="A52" s="47" t="s">
        <v>137</v>
      </c>
      <c r="C52" s="101">
        <v>-327.58000000000004</v>
      </c>
      <c r="D52" s="101">
        <f>ROUND(('[17]Metro EO Cycle 2 Carrying Cost'!$X$42-'[17]Metro EO Cycle 2 Carrying Cost'!$Y$42)*C44/SUM($C$43:$C$46),2)</f>
        <v>-170.86</v>
      </c>
      <c r="E52" s="42">
        <f t="shared" si="16"/>
        <v>129.63</v>
      </c>
      <c r="F52" s="42">
        <f t="shared" ref="F52:M52" si="18">ROUND((E44+E52+F37/2)*F$48,2)</f>
        <v>142.91</v>
      </c>
      <c r="G52" s="109">
        <f t="shared" si="18"/>
        <v>146.25</v>
      </c>
      <c r="H52" s="41">
        <f t="shared" si="18"/>
        <v>152.13</v>
      </c>
      <c r="I52" s="124">
        <f t="shared" si="18"/>
        <v>158.68</v>
      </c>
      <c r="J52" s="50">
        <f t="shared" si="18"/>
        <v>169.76</v>
      </c>
      <c r="K52" s="166">
        <f t="shared" si="18"/>
        <v>183.24</v>
      </c>
      <c r="L52" s="109">
        <f t="shared" si="18"/>
        <v>185.51</v>
      </c>
      <c r="M52" s="62">
        <f t="shared" si="18"/>
        <v>0</v>
      </c>
    </row>
    <row r="53" spans="1:13" x14ac:dyDescent="0.35">
      <c r="A53" s="47" t="s">
        <v>138</v>
      </c>
      <c r="C53" s="101">
        <v>-347</v>
      </c>
      <c r="D53" s="101">
        <f>ROUND(('[17]Metro EO Cycle 2 Carrying Cost'!$X$42-'[17]Metro EO Cycle 2 Carrying Cost'!$Y$42)*C45/SUM($C$43:$C$46),2)</f>
        <v>-180.61</v>
      </c>
      <c r="E53" s="42">
        <f t="shared" si="16"/>
        <v>135.84</v>
      </c>
      <c r="F53" s="42">
        <f t="shared" ref="F53:M53" si="19">ROUND((E45+E53+F38/2)*F$48,2)</f>
        <v>146.36000000000001</v>
      </c>
      <c r="G53" s="109">
        <f t="shared" si="19"/>
        <v>146.97</v>
      </c>
      <c r="H53" s="41">
        <f t="shared" si="19"/>
        <v>149.79</v>
      </c>
      <c r="I53" s="124">
        <f t="shared" si="19"/>
        <v>151.26</v>
      </c>
      <c r="J53" s="50">
        <f t="shared" si="19"/>
        <v>155.69</v>
      </c>
      <c r="K53" s="166">
        <f t="shared" si="19"/>
        <v>164.06</v>
      </c>
      <c r="L53" s="109">
        <f t="shared" si="19"/>
        <v>163.4</v>
      </c>
      <c r="M53" s="62">
        <f t="shared" si="19"/>
        <v>0</v>
      </c>
    </row>
    <row r="54" spans="1:13" ht="15" thickBot="1" x14ac:dyDescent="0.4">
      <c r="A54" s="47" t="s">
        <v>139</v>
      </c>
      <c r="C54" s="101">
        <v>-97.88</v>
      </c>
      <c r="D54" s="101">
        <f>ROUND(('[17]Metro EO Cycle 2 Carrying Cost'!$X$42-'[17]Metro EO Cycle 2 Carrying Cost'!$Y$42)*C46/SUM($C$43:$C$46),2)</f>
        <v>-52.44</v>
      </c>
      <c r="E54" s="42">
        <f t="shared" si="16"/>
        <v>39.07</v>
      </c>
      <c r="F54" s="42">
        <f t="shared" ref="F54:M54" si="20">ROUND((E46+E54+F39/2)*F$48,2)</f>
        <v>42.48</v>
      </c>
      <c r="G54" s="109">
        <f t="shared" si="20"/>
        <v>45</v>
      </c>
      <c r="H54" s="41">
        <f t="shared" si="20"/>
        <v>51.25</v>
      </c>
      <c r="I54" s="124">
        <f t="shared" si="20"/>
        <v>58.96</v>
      </c>
      <c r="J54" s="50">
        <f t="shared" si="20"/>
        <v>65.11</v>
      </c>
      <c r="K54" s="166">
        <f t="shared" si="20"/>
        <v>69.63</v>
      </c>
      <c r="L54" s="109">
        <f t="shared" si="20"/>
        <v>71.23</v>
      </c>
      <c r="M54" s="62">
        <f t="shared" si="20"/>
        <v>0</v>
      </c>
    </row>
    <row r="55" spans="1:13" ht="15.5" thickTop="1" thickBot="1" x14ac:dyDescent="0.4">
      <c r="A55" s="55" t="s">
        <v>22</v>
      </c>
      <c r="B55" s="55"/>
      <c r="C55" s="108">
        <v>0</v>
      </c>
      <c r="D55" s="108"/>
      <c r="E55" s="43">
        <f t="shared" ref="E55:J55" si="21">SUM(E50:E54)+SUM(E42:E46)-E58</f>
        <v>0</v>
      </c>
      <c r="F55" s="43">
        <f t="shared" si="21"/>
        <v>0</v>
      </c>
      <c r="G55" s="51">
        <f t="shared" ref="G55:I55" si="22">SUM(G50:G54)+SUM(G42:G46)-G58</f>
        <v>0</v>
      </c>
      <c r="H55" s="148">
        <f t="shared" si="22"/>
        <v>0</v>
      </c>
      <c r="I55" s="51">
        <f t="shared" si="22"/>
        <v>0</v>
      </c>
      <c r="J55" s="63">
        <f t="shared" si="21"/>
        <v>0</v>
      </c>
      <c r="K55" s="167">
        <f t="shared" ref="K55:M55" si="23">SUM(K50:K54)+SUM(K42:K46)-K58</f>
        <v>0</v>
      </c>
      <c r="L55" s="51">
        <f t="shared" si="23"/>
        <v>0</v>
      </c>
      <c r="M55" s="63">
        <f t="shared" si="23"/>
        <v>-1.6007106751203537E-10</v>
      </c>
    </row>
    <row r="56" spans="1:13" ht="15.5" thickTop="1" thickBot="1" x14ac:dyDescent="0.4">
      <c r="A56" s="55" t="s">
        <v>23</v>
      </c>
      <c r="B56" s="55"/>
      <c r="C56" s="108">
        <v>0</v>
      </c>
      <c r="D56" s="108"/>
      <c r="E56" s="43">
        <f t="shared" ref="E56:J56" si="24">SUM(E50:E54)-E32</f>
        <v>-9.9999999999909051E-3</v>
      </c>
      <c r="F56" s="43">
        <f t="shared" si="24"/>
        <v>0</v>
      </c>
      <c r="G56" s="51">
        <f t="shared" ref="G56:I56" si="25">SUM(G50:G54)-G32</f>
        <v>9.9999999999909051E-3</v>
      </c>
      <c r="H56" s="148">
        <f t="shared" si="25"/>
        <v>-0.21000000000003638</v>
      </c>
      <c r="I56" s="51">
        <f t="shared" si="25"/>
        <v>-0.68000000000000682</v>
      </c>
      <c r="J56" s="63">
        <f t="shared" si="24"/>
        <v>-1.1200000000000614</v>
      </c>
      <c r="K56" s="168">
        <f t="shared" ref="K56:M56" si="26">SUM(K50:K54)-K32</f>
        <v>-1.5799999999999841</v>
      </c>
      <c r="L56" s="43">
        <f t="shared" si="26"/>
        <v>-2.0399999999999636</v>
      </c>
      <c r="M56" s="43">
        <f t="shared" si="26"/>
        <v>0</v>
      </c>
    </row>
    <row r="57" spans="1:13" ht="15.5" thickTop="1" thickBot="1" x14ac:dyDescent="0.4">
      <c r="C57" s="100"/>
      <c r="D57" s="100"/>
      <c r="E57" s="17"/>
      <c r="F57" s="17"/>
      <c r="G57" s="17"/>
      <c r="H57" s="10"/>
      <c r="I57" s="17"/>
      <c r="J57" s="11"/>
      <c r="K57" s="17"/>
      <c r="L57" s="17"/>
      <c r="M57" s="11"/>
    </row>
    <row r="58" spans="1:13" ht="15" thickBot="1" x14ac:dyDescent="0.4">
      <c r="A58" s="47" t="s">
        <v>36</v>
      </c>
      <c r="B58" s="120">
        <f>SUM(B42:B46)</f>
        <v>12520.678559999877</v>
      </c>
      <c r="C58" s="101">
        <f t="shared" ref="C58:M58" si="27">(C16-SUM(C19:C23))+SUM(C50:C54)+B58</f>
        <v>332766.87</v>
      </c>
      <c r="D58" s="101"/>
      <c r="E58" s="42">
        <f>(E16-SUM(E19:E23))+SUM(D50:E54)+C58</f>
        <v>386283.60999999993</v>
      </c>
      <c r="F58" s="42">
        <f t="shared" si="27"/>
        <v>401641.64999999985</v>
      </c>
      <c r="G58" s="109">
        <f t="shared" si="27"/>
        <v>369727.88999999984</v>
      </c>
      <c r="H58" s="41">
        <f t="shared" si="27"/>
        <v>344101.4599999999</v>
      </c>
      <c r="I58" s="42">
        <f t="shared" si="27"/>
        <v>341652.99</v>
      </c>
      <c r="J58" s="62">
        <f t="shared" si="27"/>
        <v>407968.94000000006</v>
      </c>
      <c r="K58" s="166">
        <f t="shared" si="27"/>
        <v>451167.35024000006</v>
      </c>
      <c r="L58" s="109">
        <f t="shared" si="27"/>
        <v>449416.55047000007</v>
      </c>
      <c r="M58" s="62">
        <f t="shared" si="27"/>
        <v>18211.157000000123</v>
      </c>
    </row>
    <row r="59" spans="1:13" x14ac:dyDescent="0.35">
      <c r="A59" s="47" t="s">
        <v>12</v>
      </c>
      <c r="C59" s="121"/>
      <c r="D59" s="17"/>
      <c r="E59" s="17"/>
      <c r="F59" s="17"/>
      <c r="G59" s="17"/>
      <c r="H59" s="10"/>
      <c r="I59" s="17"/>
      <c r="J59" s="11"/>
      <c r="K59" s="17"/>
      <c r="L59" s="17"/>
      <c r="M59" s="11"/>
    </row>
    <row r="60" spans="1:13" ht="15" thickBot="1" x14ac:dyDescent="0.4">
      <c r="A60" s="38"/>
      <c r="B60" s="38"/>
      <c r="C60" s="149"/>
      <c r="D60" s="279"/>
      <c r="E60" s="45"/>
      <c r="F60" s="45"/>
      <c r="G60" s="45"/>
      <c r="H60" s="44"/>
      <c r="I60" s="45"/>
      <c r="J60" s="46"/>
      <c r="K60" s="45"/>
      <c r="L60" s="45"/>
      <c r="M60" s="46"/>
    </row>
    <row r="62" spans="1:13" x14ac:dyDescent="0.35">
      <c r="A62" s="70" t="s">
        <v>11</v>
      </c>
      <c r="B62" s="70"/>
      <c r="C62" s="70"/>
      <c r="D62" s="70"/>
    </row>
    <row r="63" spans="1:13" ht="31.5" customHeight="1" x14ac:dyDescent="0.35">
      <c r="A63" s="298" t="s">
        <v>191</v>
      </c>
      <c r="B63" s="298"/>
      <c r="C63" s="298"/>
      <c r="D63" s="298"/>
      <c r="E63" s="298"/>
      <c r="F63" s="298"/>
      <c r="G63" s="298"/>
      <c r="H63" s="298"/>
      <c r="I63" s="298"/>
      <c r="J63" s="298"/>
      <c r="K63" s="243"/>
      <c r="L63" s="243"/>
      <c r="M63" s="243"/>
    </row>
    <row r="64" spans="1:13" ht="45" customHeight="1" x14ac:dyDescent="0.35">
      <c r="A64" s="298" t="s">
        <v>190</v>
      </c>
      <c r="B64" s="298"/>
      <c r="C64" s="298"/>
      <c r="D64" s="298"/>
      <c r="E64" s="298"/>
      <c r="F64" s="298"/>
      <c r="G64" s="298"/>
      <c r="H64" s="298"/>
      <c r="I64" s="298"/>
      <c r="J64" s="298"/>
      <c r="K64" s="243"/>
      <c r="L64" s="243"/>
    </row>
    <row r="65" spans="1:13" ht="18.75" customHeight="1" x14ac:dyDescent="0.35">
      <c r="A65" s="298" t="s">
        <v>192</v>
      </c>
      <c r="B65" s="298"/>
      <c r="C65" s="298"/>
      <c r="D65" s="298"/>
      <c r="E65" s="298"/>
      <c r="F65" s="298"/>
      <c r="G65" s="298"/>
      <c r="H65" s="298"/>
      <c r="I65" s="298"/>
      <c r="J65" s="298"/>
      <c r="K65" s="243"/>
      <c r="L65" s="243"/>
      <c r="M65" s="243"/>
    </row>
    <row r="66" spans="1:13" x14ac:dyDescent="0.35">
      <c r="A66" s="64" t="s">
        <v>31</v>
      </c>
      <c r="B66" s="64"/>
      <c r="C66" s="64"/>
      <c r="D66" s="64"/>
      <c r="E66" s="40"/>
      <c r="F66" s="40"/>
      <c r="G66" s="40"/>
      <c r="H66" s="40"/>
      <c r="I66" s="40"/>
      <c r="J66" s="40"/>
    </row>
    <row r="67" spans="1:13" x14ac:dyDescent="0.35">
      <c r="A67" s="64" t="s">
        <v>178</v>
      </c>
      <c r="B67" s="64"/>
      <c r="C67" s="64"/>
      <c r="D67" s="64"/>
      <c r="E67" s="40"/>
      <c r="F67" s="40"/>
      <c r="G67" s="40"/>
      <c r="H67" s="40"/>
      <c r="I67" s="40"/>
      <c r="J67" s="40"/>
    </row>
    <row r="68" spans="1:13" x14ac:dyDescent="0.35">
      <c r="A68" s="64" t="s">
        <v>96</v>
      </c>
      <c r="B68" s="64"/>
      <c r="C68" s="64"/>
      <c r="D68" s="64"/>
      <c r="E68" s="40"/>
      <c r="F68" s="40"/>
      <c r="G68" s="40"/>
      <c r="H68" s="40"/>
      <c r="I68" s="40"/>
      <c r="J68" s="40"/>
    </row>
    <row r="69" spans="1:13" x14ac:dyDescent="0.35">
      <c r="A69" s="3" t="s">
        <v>179</v>
      </c>
      <c r="B69" s="3"/>
      <c r="C69" s="3"/>
      <c r="D69" s="3"/>
    </row>
    <row r="71" spans="1:13" ht="36" customHeight="1" x14ac:dyDescent="0.35">
      <c r="A71" s="299" t="s">
        <v>196</v>
      </c>
      <c r="B71" s="299"/>
      <c r="C71" s="299"/>
      <c r="D71" s="299"/>
      <c r="E71" s="299"/>
      <c r="F71" s="299"/>
      <c r="G71" s="299"/>
    </row>
  </sheetData>
  <mergeCells count="7">
    <mergeCell ref="A71:G71"/>
    <mergeCell ref="A65:J65"/>
    <mergeCell ref="E14:G14"/>
    <mergeCell ref="H14:J14"/>
    <mergeCell ref="K14:M14"/>
    <mergeCell ref="A63:J63"/>
    <mergeCell ref="A64:J64"/>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4"/>
  <sheetViews>
    <sheetView topLeftCell="A13" workbookViewId="0">
      <selection activeCell="H19" sqref="H19"/>
    </sheetView>
  </sheetViews>
  <sheetFormatPr defaultColWidth="9.1796875" defaultRowHeight="14.5" x14ac:dyDescent="0.35"/>
  <cols>
    <col min="1" max="1" width="43.1796875" style="47" customWidth="1"/>
    <col min="2" max="2" width="14.26953125" style="47" bestFit="1" customWidth="1"/>
    <col min="3" max="3" width="14.26953125" style="47" customWidth="1"/>
    <col min="4" max="4" width="13.26953125" style="47" bestFit="1" customWidth="1"/>
    <col min="5" max="5" width="9.7265625" style="47" bestFit="1" customWidth="1"/>
    <col min="6" max="6" width="12.26953125" style="47" bestFit="1" customWidth="1"/>
    <col min="7" max="16384" width="9.1796875" style="47"/>
  </cols>
  <sheetData>
    <row r="1" spans="1:6" x14ac:dyDescent="0.35">
      <c r="A1" s="64" t="str">
        <f>+'PPC Cycle 3'!A1</f>
        <v>Evergy Metro, Inc. - DSIM Rider Update Filed 06/01/2021</v>
      </c>
    </row>
    <row r="2" spans="1:6" x14ac:dyDescent="0.35">
      <c r="A2" s="9" t="str">
        <f>+'PPC Cycle 3'!A2</f>
        <v>Projections for Cycle 3 July 2021 - June 2022 DSIM</v>
      </c>
    </row>
    <row r="3" spans="1:6" ht="45.75" customHeight="1" x14ac:dyDescent="0.35">
      <c r="B3" s="292" t="s">
        <v>98</v>
      </c>
      <c r="C3" s="292"/>
      <c r="D3" s="292"/>
    </row>
    <row r="4" spans="1:6" x14ac:dyDescent="0.35">
      <c r="B4" s="71"/>
      <c r="C4" s="71"/>
      <c r="D4" s="49" t="s">
        <v>17</v>
      </c>
    </row>
    <row r="5" spans="1:6" x14ac:dyDescent="0.35">
      <c r="A5" s="20" t="s">
        <v>84</v>
      </c>
      <c r="B5" s="71"/>
      <c r="C5" s="71"/>
      <c r="D5" s="195">
        <v>-10000</v>
      </c>
    </row>
    <row r="6" spans="1:6" x14ac:dyDescent="0.35">
      <c r="A6" s="20" t="s">
        <v>85</v>
      </c>
      <c r="B6" s="71"/>
      <c r="C6" s="71"/>
      <c r="D6" s="195">
        <f>+'[23]Metro Ordered Adjustmt Cycle 2'!$AK$95</f>
        <v>-507.95000000000005</v>
      </c>
    </row>
    <row r="7" spans="1:6" ht="58" x14ac:dyDescent="0.35">
      <c r="A7" s="20"/>
      <c r="B7" s="71"/>
      <c r="C7" s="71" t="s">
        <v>93</v>
      </c>
      <c r="D7" s="284" t="s">
        <v>84</v>
      </c>
      <c r="E7" s="285" t="s">
        <v>85</v>
      </c>
      <c r="F7" s="3" t="s">
        <v>5</v>
      </c>
    </row>
    <row r="8" spans="1:6" x14ac:dyDescent="0.35">
      <c r="A8" s="20" t="s">
        <v>24</v>
      </c>
      <c r="B8" s="71"/>
      <c r="C8" s="194">
        <f>+'[24]MO Metro'!$D$110</f>
        <v>0.22251130932352628</v>
      </c>
      <c r="D8" s="224">
        <f>-'[24]MO Metro'!$E$110</f>
        <v>-2225.11</v>
      </c>
      <c r="E8" s="224">
        <f>+'[23]Metro Ordered Adjustmt Cycle 2'!$K$95</f>
        <v>-124.15</v>
      </c>
      <c r="F8" s="224">
        <f>SUM(D8:E8)</f>
        <v>-2349.2600000000002</v>
      </c>
    </row>
    <row r="9" spans="1:6" x14ac:dyDescent="0.35">
      <c r="A9" s="20" t="s">
        <v>25</v>
      </c>
      <c r="B9" s="71"/>
      <c r="C9" s="194">
        <f>+'[24]MO Metro'!$D$111</f>
        <v>0.77748869067647375</v>
      </c>
      <c r="D9" s="224">
        <f>-'[24]MO Metro'!$E$111</f>
        <v>-7774.89</v>
      </c>
      <c r="E9" s="224">
        <f>+'[23]Metro Ordered Adjustmt Cycle 2'!$X$95</f>
        <v>-383.8</v>
      </c>
      <c r="F9" s="224">
        <f>SUM(D9:E9)</f>
        <v>-8158.6900000000005</v>
      </c>
    </row>
    <row r="10" spans="1:6" ht="15" thickBot="1" x14ac:dyDescent="0.4">
      <c r="A10" s="20" t="s">
        <v>5</v>
      </c>
      <c r="B10" s="71"/>
      <c r="C10" s="194">
        <f>SUM(C8:C9)</f>
        <v>1</v>
      </c>
      <c r="D10" s="225">
        <f>SUM(D8:D9)</f>
        <v>-10000</v>
      </c>
      <c r="E10" s="225">
        <f>SUM(E8:E9)</f>
        <v>-507.95000000000005</v>
      </c>
      <c r="F10" s="225">
        <f>SUM(F8:F9)</f>
        <v>-10507.95</v>
      </c>
    </row>
    <row r="11" spans="1:6" ht="15.5" thickTop="1" thickBot="1" x14ac:dyDescent="0.4">
      <c r="B11" s="23"/>
      <c r="C11" s="23"/>
      <c r="D11" s="226">
        <f>+D10-D5</f>
        <v>0</v>
      </c>
      <c r="E11" s="226">
        <f>+E10-D6</f>
        <v>0</v>
      </c>
      <c r="F11" s="226">
        <f>ROUND(D5+D6,2)-F10</f>
        <v>0</v>
      </c>
    </row>
    <row r="12" spans="1:6" ht="58.5" thickTop="1" x14ac:dyDescent="0.35">
      <c r="D12" s="236"/>
      <c r="E12" s="235" t="s">
        <v>112</v>
      </c>
    </row>
    <row r="13" spans="1:6" x14ac:dyDescent="0.35">
      <c r="A13" s="20" t="s">
        <v>108</v>
      </c>
      <c r="D13" s="224">
        <f>ROUND($F$9*E13,2)</f>
        <v>-1107.6600000000001</v>
      </c>
      <c r="E13" s="233">
        <f>+'PCR Cycle 2'!L8</f>
        <v>0.13576441564001979</v>
      </c>
    </row>
    <row r="14" spans="1:6" x14ac:dyDescent="0.35">
      <c r="A14" s="20" t="s">
        <v>109</v>
      </c>
      <c r="D14" s="224">
        <f>ROUND($F$9*E14,2)</f>
        <v>-2905.44</v>
      </c>
      <c r="E14" s="233">
        <f>+'PCR Cycle 2'!L9</f>
        <v>0.35611574316442379</v>
      </c>
    </row>
    <row r="15" spans="1:6" x14ac:dyDescent="0.35">
      <c r="A15" s="20" t="s">
        <v>110</v>
      </c>
      <c r="D15" s="286">
        <f>ROUND($F$9*E15,2)</f>
        <v>-3412.93</v>
      </c>
      <c r="E15" s="233">
        <f>+'PCR Cycle 2'!L10</f>
        <v>0.4183185730547726</v>
      </c>
    </row>
    <row r="16" spans="1:6" ht="15" thickBot="1" x14ac:dyDescent="0.4">
      <c r="A16" s="20" t="s">
        <v>111</v>
      </c>
      <c r="D16" s="224">
        <f>ROUND($F$9*E16,2)</f>
        <v>-732.66</v>
      </c>
      <c r="E16" s="233">
        <f>+'PCR Cycle 2'!L11</f>
        <v>8.9801268140783777E-2</v>
      </c>
    </row>
    <row r="17" spans="1:5" ht="15.5" thickTop="1" thickBot="1" x14ac:dyDescent="0.4">
      <c r="A17" s="20" t="s">
        <v>113</v>
      </c>
      <c r="D17" s="33">
        <f>SUM(D13:D16)</f>
        <v>-8158.6900000000005</v>
      </c>
      <c r="E17" s="234">
        <f>SUM(E13:E16)</f>
        <v>1</v>
      </c>
    </row>
    <row r="18" spans="1:5" ht="15" thickTop="1" x14ac:dyDescent="0.35"/>
    <row r="19" spans="1:5" x14ac:dyDescent="0.35">
      <c r="A19" s="54" t="s">
        <v>11</v>
      </c>
    </row>
    <row r="20" spans="1:5" s="40" customFormat="1" x14ac:dyDescent="0.35">
      <c r="A20" s="3" t="s">
        <v>197</v>
      </c>
      <c r="B20" s="47"/>
      <c r="C20" s="47"/>
      <c r="D20" s="47"/>
    </row>
    <row r="21" spans="1:5" s="40" customFormat="1" x14ac:dyDescent="0.35">
      <c r="A21" s="3" t="s">
        <v>198</v>
      </c>
      <c r="B21" s="47"/>
      <c r="C21" s="47"/>
      <c r="D21" s="47"/>
    </row>
    <row r="22" spans="1:5" s="40" customFormat="1" x14ac:dyDescent="0.35">
      <c r="A22" s="3"/>
      <c r="B22" s="47"/>
      <c r="C22" s="47"/>
      <c r="D22" s="47"/>
    </row>
    <row r="24" spans="1:5" x14ac:dyDescent="0.35">
      <c r="A24" s="3"/>
      <c r="D24" s="196"/>
    </row>
    <row r="25" spans="1:5" x14ac:dyDescent="0.35">
      <c r="D25" s="196"/>
    </row>
    <row r="26" spans="1:5" x14ac:dyDescent="0.35">
      <c r="B26" s="71"/>
      <c r="D26" s="196"/>
    </row>
    <row r="27" spans="1:5" x14ac:dyDescent="0.35">
      <c r="A27" s="221"/>
      <c r="B27" s="222"/>
      <c r="D27" s="196"/>
    </row>
    <row r="28" spans="1:5" x14ac:dyDescent="0.35">
      <c r="A28" s="221"/>
      <c r="B28" s="222"/>
      <c r="D28" s="196"/>
    </row>
    <row r="29" spans="1:5" x14ac:dyDescent="0.35">
      <c r="A29" s="221"/>
      <c r="B29" s="222"/>
      <c r="D29" s="196"/>
    </row>
    <row r="30" spans="1:5" x14ac:dyDescent="0.35">
      <c r="A30" s="221"/>
      <c r="B30" s="222"/>
      <c r="D30" s="196"/>
    </row>
    <row r="31" spans="1:5" x14ac:dyDescent="0.35">
      <c r="A31" s="221"/>
      <c r="B31" s="197"/>
      <c r="D31" s="196"/>
    </row>
    <row r="32" spans="1:5" x14ac:dyDescent="0.35">
      <c r="A32" s="221"/>
      <c r="B32" s="197"/>
      <c r="D32" s="196"/>
    </row>
    <row r="33" spans="1:4" ht="16" x14ac:dyDescent="0.5">
      <c r="A33" s="221"/>
      <c r="B33" s="197"/>
      <c r="D33" s="223"/>
    </row>
    <row r="34" spans="1:4" x14ac:dyDescent="0.35">
      <c r="A34" s="221"/>
      <c r="D34" s="196"/>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4"/>
  <sheetViews>
    <sheetView topLeftCell="A10" workbookViewId="0">
      <selection activeCell="C9" sqref="C9"/>
    </sheetView>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5.453125" style="47" customWidth="1"/>
    <col min="5" max="5" width="15.81640625" style="47" bestFit="1" customWidth="1"/>
    <col min="6" max="6" width="12.26953125" style="47" bestFit="1" customWidth="1"/>
    <col min="7" max="8" width="13.26953125" style="47" bestFit="1" customWidth="1"/>
    <col min="9" max="9" width="12.26953125" style="47" bestFit="1" customWidth="1"/>
    <col min="10" max="10" width="12.453125" style="47" customWidth="1"/>
    <col min="11" max="11" width="12.81640625" style="47" customWidth="1"/>
    <col min="12" max="12" width="16" style="47" customWidth="1"/>
    <col min="13" max="13" width="15" style="47" bestFit="1" customWidth="1"/>
    <col min="14" max="14" width="16" style="47" bestFit="1" customWidth="1"/>
    <col min="15" max="15" width="17.81640625" style="47"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06/01/2021</v>
      </c>
      <c r="B1" s="3"/>
      <c r="C1" s="3"/>
    </row>
    <row r="2" spans="1:35" x14ac:dyDescent="0.35">
      <c r="D2" s="3" t="s">
        <v>97</v>
      </c>
    </row>
    <row r="3" spans="1:35" ht="29" x14ac:dyDescent="0.35">
      <c r="D3" s="49" t="s">
        <v>46</v>
      </c>
      <c r="E3" s="71" t="s">
        <v>17</v>
      </c>
      <c r="F3" s="49" t="s">
        <v>3</v>
      </c>
      <c r="G3" s="71" t="s">
        <v>55</v>
      </c>
      <c r="H3" s="49" t="s">
        <v>10</v>
      </c>
      <c r="I3" s="49" t="s">
        <v>18</v>
      </c>
      <c r="S3" s="49"/>
    </row>
    <row r="4" spans="1:35" x14ac:dyDescent="0.35">
      <c r="A4" s="20" t="s">
        <v>24</v>
      </c>
      <c r="B4" s="20"/>
      <c r="C4" s="20"/>
      <c r="D4" s="22">
        <f>SUM(C19:L19)</f>
        <v>0</v>
      </c>
      <c r="E4" s="22">
        <f>SUM(C23:K23)</f>
        <v>0</v>
      </c>
      <c r="F4" s="22">
        <f>E4-D4</f>
        <v>0</v>
      </c>
      <c r="G4" s="22">
        <f>+B33</f>
        <v>0</v>
      </c>
      <c r="H4" s="22">
        <f>SUM(C38:K38)</f>
        <v>0</v>
      </c>
      <c r="I4" s="26">
        <f>SUM(F4:H4)</f>
        <v>0</v>
      </c>
      <c r="J4" s="48">
        <f>+I4-L33</f>
        <v>0</v>
      </c>
      <c r="M4" s="48"/>
    </row>
    <row r="5" spans="1:35" ht="15" thickBot="1" x14ac:dyDescent="0.4">
      <c r="A5" s="20" t="s">
        <v>25</v>
      </c>
      <c r="B5" s="20"/>
      <c r="C5" s="20"/>
      <c r="D5" s="22">
        <f>SUM(C20:L20)</f>
        <v>0</v>
      </c>
      <c r="E5" s="22">
        <f>SUM(C24:K24)</f>
        <v>0</v>
      </c>
      <c r="F5" s="22">
        <f>E5-D5</f>
        <v>0</v>
      </c>
      <c r="G5" s="22">
        <f>+B34</f>
        <v>0</v>
      </c>
      <c r="H5" s="22">
        <f>SUM(C39:K39)</f>
        <v>0</v>
      </c>
      <c r="I5" s="26">
        <f>SUM(F5:H5)</f>
        <v>0</v>
      </c>
      <c r="J5" s="48">
        <f>+I5-L34</f>
        <v>0</v>
      </c>
      <c r="M5" s="48"/>
    </row>
    <row r="6" spans="1:35" ht="15.5" thickTop="1" thickBot="1" x14ac:dyDescent="0.4">
      <c r="D6" s="28">
        <f t="shared" ref="D6" si="0">SUM(D4:D5)</f>
        <v>0</v>
      </c>
      <c r="E6" s="28">
        <f>SUM(E4:E5)</f>
        <v>0</v>
      </c>
      <c r="F6" s="28">
        <f>SUM(F4:F5)</f>
        <v>0</v>
      </c>
      <c r="G6" s="28">
        <f>SUM(G4:G5)</f>
        <v>0</v>
      </c>
      <c r="H6" s="28">
        <f>SUM(H4:H5)</f>
        <v>0</v>
      </c>
      <c r="I6" s="28">
        <f>SUM(I4:I5)</f>
        <v>0</v>
      </c>
      <c r="T6" s="5"/>
    </row>
    <row r="7" spans="1:35" ht="44" thickTop="1" x14ac:dyDescent="0.35">
      <c r="I7" s="236"/>
      <c r="J7" s="235" t="s">
        <v>124</v>
      </c>
    </row>
    <row r="8" spans="1:35" x14ac:dyDescent="0.35">
      <c r="A8" s="20" t="s">
        <v>108</v>
      </c>
      <c r="I8" s="26">
        <f>ROUND($I$5*J8,2)</f>
        <v>0</v>
      </c>
      <c r="J8" s="233">
        <f>+'PCR Cycle 2'!L8</f>
        <v>0.13576441564001979</v>
      </c>
    </row>
    <row r="9" spans="1:35" x14ac:dyDescent="0.35">
      <c r="A9" s="20" t="s">
        <v>109</v>
      </c>
      <c r="I9" s="26">
        <f t="shared" ref="I9:I11" si="1">ROUND($I$5*J9,2)</f>
        <v>0</v>
      </c>
      <c r="J9" s="233">
        <f>+'PCR Cycle 2'!L9</f>
        <v>0.35611574316442379</v>
      </c>
    </row>
    <row r="10" spans="1:35" x14ac:dyDescent="0.35">
      <c r="A10" s="20" t="s">
        <v>110</v>
      </c>
      <c r="I10" s="26">
        <f t="shared" si="1"/>
        <v>0</v>
      </c>
      <c r="J10" s="233">
        <f>+'PCR Cycle 2'!L10</f>
        <v>0.4183185730547726</v>
      </c>
    </row>
    <row r="11" spans="1:35" ht="15" thickBot="1" x14ac:dyDescent="0.4">
      <c r="A11" s="20" t="s">
        <v>111</v>
      </c>
      <c r="I11" s="26">
        <f t="shared" si="1"/>
        <v>0</v>
      </c>
      <c r="J11" s="233">
        <f>+'PCR Cycle 2'!L11</f>
        <v>8.9801268140783777E-2</v>
      </c>
    </row>
    <row r="12" spans="1:35" ht="15.5" thickTop="1" thickBot="1" x14ac:dyDescent="0.4">
      <c r="A12" s="20" t="s">
        <v>113</v>
      </c>
      <c r="I12" s="28">
        <f>SUM(I8:I11)</f>
        <v>0</v>
      </c>
      <c r="J12" s="234">
        <f>SUM(J8:J11)</f>
        <v>1</v>
      </c>
      <c r="V12" s="4"/>
    </row>
    <row r="13" spans="1:35" ht="15.5" thickTop="1" thickBot="1" x14ac:dyDescent="0.4">
      <c r="V13" s="4"/>
      <c r="W13" s="5"/>
    </row>
    <row r="14" spans="1:35" ht="116.5" thickBot="1" x14ac:dyDescent="0.4">
      <c r="B14" s="119" t="str">
        <f>+'PCR Cycle 2'!B14</f>
        <v>Cumulative Over/Under Carryover From 12/01/2020 Filing</v>
      </c>
      <c r="C14" s="154" t="str">
        <f>+'PCR Cycle 2'!C14</f>
        <v>Reverse November 2020 - January 2021  Forecast From 12/01/2020 Filing</v>
      </c>
      <c r="D14" s="300" t="s">
        <v>33</v>
      </c>
      <c r="E14" s="300"/>
      <c r="F14" s="301"/>
      <c r="G14" s="305" t="s">
        <v>33</v>
      </c>
      <c r="H14" s="306"/>
      <c r="I14" s="307"/>
      <c r="J14" s="295" t="s">
        <v>8</v>
      </c>
      <c r="K14" s="296"/>
      <c r="L14" s="297"/>
    </row>
    <row r="15" spans="1:35" x14ac:dyDescent="0.35">
      <c r="A15" s="47" t="s">
        <v>91</v>
      </c>
      <c r="C15" s="106"/>
      <c r="D15" s="19">
        <f>+'PCR Cycle 2'!E15</f>
        <v>44165</v>
      </c>
      <c r="E15" s="19">
        <f t="shared" ref="E15:L15" si="2">EOMONTH(D15,1)</f>
        <v>44196</v>
      </c>
      <c r="F15" s="19">
        <f t="shared" si="2"/>
        <v>44227</v>
      </c>
      <c r="G15" s="14">
        <f t="shared" si="2"/>
        <v>44255</v>
      </c>
      <c r="H15" s="19">
        <f t="shared" si="2"/>
        <v>44286</v>
      </c>
      <c r="I15" s="15">
        <f t="shared" si="2"/>
        <v>44316</v>
      </c>
      <c r="J15" s="19">
        <f t="shared" si="2"/>
        <v>44347</v>
      </c>
      <c r="K15" s="19">
        <f t="shared" si="2"/>
        <v>44377</v>
      </c>
      <c r="L15" s="15">
        <f t="shared" si="2"/>
        <v>44408</v>
      </c>
      <c r="Z15" s="1"/>
      <c r="AA15" s="1"/>
      <c r="AB15" s="1"/>
      <c r="AC15" s="1"/>
      <c r="AD15" s="1"/>
      <c r="AE15" s="1"/>
      <c r="AF15" s="1"/>
      <c r="AG15" s="1"/>
      <c r="AH15" s="1"/>
      <c r="AI15" s="1"/>
    </row>
    <row r="16" spans="1:35" x14ac:dyDescent="0.35">
      <c r="A16" s="47" t="s">
        <v>5</v>
      </c>
      <c r="C16" s="98">
        <v>0</v>
      </c>
      <c r="D16" s="110">
        <f>SUM(D23:D24)</f>
        <v>0</v>
      </c>
      <c r="E16" s="110">
        <f t="shared" ref="E16:H16" si="3">SUM(E23:E24)</f>
        <v>0</v>
      </c>
      <c r="F16" s="111">
        <f t="shared" si="3"/>
        <v>0</v>
      </c>
      <c r="G16" s="16">
        <f t="shared" si="3"/>
        <v>0</v>
      </c>
      <c r="H16" s="56">
        <f t="shared" si="3"/>
        <v>0</v>
      </c>
      <c r="I16" s="169">
        <f>+I23+I24</f>
        <v>0</v>
      </c>
      <c r="J16" s="162">
        <f t="shared" ref="J16:K16" si="4">+J23+J24</f>
        <v>0</v>
      </c>
      <c r="K16" s="79">
        <f t="shared" si="4"/>
        <v>0</v>
      </c>
      <c r="L16" s="80"/>
    </row>
    <row r="17" spans="1:14" x14ac:dyDescent="0.35">
      <c r="C17" s="100"/>
      <c r="D17" s="17"/>
      <c r="E17" s="17"/>
      <c r="F17" s="17"/>
      <c r="G17" s="10"/>
      <c r="H17" s="17"/>
      <c r="I17" s="11"/>
      <c r="J17" s="32"/>
      <c r="K17" s="32"/>
      <c r="L17" s="30"/>
    </row>
    <row r="18" spans="1:14" x14ac:dyDescent="0.35">
      <c r="A18" s="47" t="s">
        <v>90</v>
      </c>
      <c r="C18" s="100"/>
      <c r="D18" s="18"/>
      <c r="E18" s="18"/>
      <c r="F18" s="18"/>
      <c r="G18" s="92"/>
      <c r="H18" s="18"/>
      <c r="I18" s="170"/>
      <c r="J18" s="32"/>
      <c r="K18" s="32"/>
      <c r="L18" s="30"/>
      <c r="M18" s="3" t="s">
        <v>50</v>
      </c>
      <c r="N18" s="40"/>
    </row>
    <row r="19" spans="1:14" x14ac:dyDescent="0.35">
      <c r="A19" s="47" t="s">
        <v>24</v>
      </c>
      <c r="C19" s="98">
        <v>0</v>
      </c>
      <c r="D19" s="137">
        <v>0</v>
      </c>
      <c r="E19" s="137">
        <v>0</v>
      </c>
      <c r="F19" s="191">
        <v>0</v>
      </c>
      <c r="G19" s="16">
        <v>0</v>
      </c>
      <c r="H19" s="122">
        <v>0</v>
      </c>
      <c r="I19" s="171">
        <v>0</v>
      </c>
      <c r="J19" s="124">
        <f>'PCR Cycle 2'!K27*$M19</f>
        <v>0</v>
      </c>
      <c r="K19" s="42">
        <f>'PCR Cycle 2'!L27*$M19</f>
        <v>0</v>
      </c>
      <c r="L19" s="62">
        <f>'PCR Cycle 2'!M27*$M19</f>
        <v>0</v>
      </c>
      <c r="M19" s="73">
        <v>0</v>
      </c>
      <c r="N19" s="4"/>
    </row>
    <row r="20" spans="1:14" x14ac:dyDescent="0.35">
      <c r="A20" s="47" t="s">
        <v>25</v>
      </c>
      <c r="C20" s="98">
        <v>0</v>
      </c>
      <c r="D20" s="137">
        <v>0</v>
      </c>
      <c r="E20" s="137">
        <v>0</v>
      </c>
      <c r="F20" s="191">
        <v>0</v>
      </c>
      <c r="G20" s="16">
        <v>0</v>
      </c>
      <c r="H20" s="122">
        <v>0</v>
      </c>
      <c r="I20" s="171">
        <v>0</v>
      </c>
      <c r="J20" s="124">
        <f>SUM('PCR Cycle 2'!K28:K31)*$M20</f>
        <v>0</v>
      </c>
      <c r="K20" s="42">
        <f>SUM('PCR Cycle 2'!L28:L31)*$M20</f>
        <v>0</v>
      </c>
      <c r="L20" s="62">
        <f>SUM('PCR Cycle 2'!M28:M31)*$M20</f>
        <v>0</v>
      </c>
      <c r="M20" s="73">
        <v>0</v>
      </c>
      <c r="N20" s="4"/>
    </row>
    <row r="21" spans="1:14" x14ac:dyDescent="0.35">
      <c r="C21" s="68"/>
      <c r="D21" s="69"/>
      <c r="E21" s="69"/>
      <c r="F21" s="69"/>
      <c r="G21" s="99"/>
      <c r="H21" s="69"/>
      <c r="I21" s="172"/>
      <c r="J21" s="57"/>
      <c r="K21" s="57"/>
      <c r="L21" s="13"/>
      <c r="N21" s="4"/>
    </row>
    <row r="22" spans="1:14" x14ac:dyDescent="0.35">
      <c r="A22" s="47" t="s">
        <v>92</v>
      </c>
      <c r="C22" s="37"/>
      <c r="D22" s="38"/>
      <c r="E22" s="38"/>
      <c r="F22" s="38"/>
      <c r="G22" s="37"/>
      <c r="H22" s="38"/>
      <c r="I22" s="175"/>
      <c r="J22" s="53"/>
      <c r="K22" s="53"/>
      <c r="L22" s="39"/>
    </row>
    <row r="23" spans="1:14" x14ac:dyDescent="0.35">
      <c r="A23" s="47" t="s">
        <v>24</v>
      </c>
      <c r="C23" s="98">
        <v>0</v>
      </c>
      <c r="D23" s="110">
        <v>0</v>
      </c>
      <c r="E23" s="110">
        <v>0</v>
      </c>
      <c r="F23" s="111">
        <v>0</v>
      </c>
      <c r="G23" s="16">
        <v>0</v>
      </c>
      <c r="H23" s="56">
        <v>0</v>
      </c>
      <c r="I23" s="169">
        <v>0</v>
      </c>
      <c r="J23" s="164">
        <v>0</v>
      </c>
      <c r="K23" s="144">
        <v>0</v>
      </c>
      <c r="L23" s="80"/>
    </row>
    <row r="24" spans="1:14" x14ac:dyDescent="0.35">
      <c r="A24" s="47" t="s">
        <v>25</v>
      </c>
      <c r="C24" s="98">
        <v>0</v>
      </c>
      <c r="D24" s="110">
        <v>0</v>
      </c>
      <c r="E24" s="110">
        <v>0</v>
      </c>
      <c r="F24" s="111">
        <v>0</v>
      </c>
      <c r="G24" s="16">
        <v>0</v>
      </c>
      <c r="H24" s="56">
        <v>0</v>
      </c>
      <c r="I24" s="169">
        <v>0</v>
      </c>
      <c r="J24" s="164">
        <v>0</v>
      </c>
      <c r="K24" s="144">
        <v>0</v>
      </c>
      <c r="L24" s="80"/>
      <c r="N24" s="48"/>
    </row>
    <row r="25" spans="1:14" x14ac:dyDescent="0.35">
      <c r="C25" s="100"/>
      <c r="D25" s="18"/>
      <c r="E25" s="18"/>
      <c r="F25" s="18"/>
      <c r="G25" s="92"/>
      <c r="H25" s="18"/>
      <c r="I25" s="170"/>
      <c r="J25" s="57"/>
      <c r="K25" s="57"/>
      <c r="L25" s="13"/>
    </row>
    <row r="26" spans="1:14" ht="15" thickBot="1" x14ac:dyDescent="0.4">
      <c r="A26" s="3" t="s">
        <v>14</v>
      </c>
      <c r="B26" s="3"/>
      <c r="C26" s="104">
        <v>0</v>
      </c>
      <c r="D26" s="137">
        <v>0</v>
      </c>
      <c r="E26" s="137">
        <v>0</v>
      </c>
      <c r="F26" s="138">
        <v>0</v>
      </c>
      <c r="G26" s="27">
        <v>0</v>
      </c>
      <c r="H26" s="123">
        <v>0</v>
      </c>
      <c r="I26" s="176">
        <v>0</v>
      </c>
      <c r="J26" s="165"/>
      <c r="K26" s="146"/>
      <c r="L26" s="83"/>
    </row>
    <row r="27" spans="1:14" x14ac:dyDescent="0.35">
      <c r="C27" s="65"/>
      <c r="D27" s="150"/>
      <c r="E27" s="150"/>
      <c r="F27" s="151"/>
      <c r="G27" s="65"/>
      <c r="H27" s="34"/>
      <c r="I27" s="177"/>
      <c r="J27" s="35"/>
      <c r="K27" s="35"/>
      <c r="L27" s="61"/>
    </row>
    <row r="28" spans="1:14" x14ac:dyDescent="0.35">
      <c r="A28" s="47" t="s">
        <v>52</v>
      </c>
      <c r="C28" s="66"/>
      <c r="D28" s="151"/>
      <c r="E28" s="151"/>
      <c r="F28" s="151"/>
      <c r="G28" s="66"/>
      <c r="H28" s="36"/>
      <c r="I28" s="178"/>
      <c r="J28" s="35"/>
      <c r="K28" s="35"/>
      <c r="L28" s="61"/>
    </row>
    <row r="29" spans="1:14" x14ac:dyDescent="0.35">
      <c r="A29" s="47" t="s">
        <v>24</v>
      </c>
      <c r="C29" s="101">
        <f t="shared" ref="C29:L29" si="5">C23-C19</f>
        <v>0</v>
      </c>
      <c r="D29" s="42">
        <f t="shared" si="5"/>
        <v>0</v>
      </c>
      <c r="E29" s="42">
        <f t="shared" si="5"/>
        <v>0</v>
      </c>
      <c r="F29" s="109">
        <f t="shared" si="5"/>
        <v>0</v>
      </c>
      <c r="G29" s="41">
        <f t="shared" si="5"/>
        <v>0</v>
      </c>
      <c r="H29" s="42">
        <f t="shared" si="5"/>
        <v>0</v>
      </c>
      <c r="I29" s="62">
        <f t="shared" si="5"/>
        <v>0</v>
      </c>
      <c r="J29" s="124">
        <f t="shared" si="5"/>
        <v>0</v>
      </c>
      <c r="K29" s="42">
        <f t="shared" si="5"/>
        <v>0</v>
      </c>
      <c r="L29" s="62">
        <f t="shared" si="5"/>
        <v>0</v>
      </c>
    </row>
    <row r="30" spans="1:14" x14ac:dyDescent="0.35">
      <c r="A30" s="47" t="s">
        <v>25</v>
      </c>
      <c r="C30" s="101">
        <f t="shared" ref="C30:L30" si="6">C24-C20</f>
        <v>0</v>
      </c>
      <c r="D30" s="42">
        <f t="shared" si="6"/>
        <v>0</v>
      </c>
      <c r="E30" s="42">
        <f t="shared" si="6"/>
        <v>0</v>
      </c>
      <c r="F30" s="109">
        <f t="shared" si="6"/>
        <v>0</v>
      </c>
      <c r="G30" s="41">
        <f t="shared" si="6"/>
        <v>0</v>
      </c>
      <c r="H30" s="42">
        <f t="shared" si="6"/>
        <v>0</v>
      </c>
      <c r="I30" s="62">
        <f t="shared" si="6"/>
        <v>0</v>
      </c>
      <c r="J30" s="124">
        <f t="shared" si="6"/>
        <v>0</v>
      </c>
      <c r="K30" s="42">
        <f t="shared" si="6"/>
        <v>0</v>
      </c>
      <c r="L30" s="62">
        <f t="shared" si="6"/>
        <v>0</v>
      </c>
    </row>
    <row r="31" spans="1:14" x14ac:dyDescent="0.35">
      <c r="C31" s="100"/>
      <c r="D31" s="17"/>
      <c r="E31" s="17"/>
      <c r="F31" s="17"/>
      <c r="G31" s="10"/>
      <c r="H31" s="17"/>
      <c r="I31" s="11"/>
      <c r="J31" s="17"/>
      <c r="K31" s="17"/>
      <c r="L31" s="11"/>
    </row>
    <row r="32" spans="1:14" ht="15" thickBot="1" x14ac:dyDescent="0.4">
      <c r="A32" s="47" t="s">
        <v>53</v>
      </c>
      <c r="C32" s="100"/>
      <c r="D32" s="17"/>
      <c r="E32" s="17"/>
      <c r="F32" s="17"/>
      <c r="G32" s="10"/>
      <c r="H32" s="17"/>
      <c r="I32" s="11"/>
      <c r="J32" s="17"/>
      <c r="K32" s="17"/>
      <c r="L32" s="11"/>
    </row>
    <row r="33" spans="1:12" x14ac:dyDescent="0.35">
      <c r="A33" s="47" t="s">
        <v>24</v>
      </c>
      <c r="B33" s="117">
        <v>0</v>
      </c>
      <c r="C33" s="101">
        <f>B33+C29+B38</f>
        <v>0</v>
      </c>
      <c r="D33" s="42">
        <f t="shared" ref="D33:L34" si="7">C33+D29+C38</f>
        <v>0</v>
      </c>
      <c r="E33" s="42">
        <f t="shared" si="7"/>
        <v>0</v>
      </c>
      <c r="F33" s="109">
        <f t="shared" si="7"/>
        <v>0</v>
      </c>
      <c r="G33" s="41">
        <f t="shared" si="7"/>
        <v>0</v>
      </c>
      <c r="H33" s="42">
        <f t="shared" si="7"/>
        <v>0</v>
      </c>
      <c r="I33" s="62">
        <f t="shared" si="7"/>
        <v>0</v>
      </c>
      <c r="J33" s="124">
        <f t="shared" si="7"/>
        <v>0</v>
      </c>
      <c r="K33" s="42">
        <f t="shared" si="7"/>
        <v>0</v>
      </c>
      <c r="L33" s="62">
        <f t="shared" si="7"/>
        <v>0</v>
      </c>
    </row>
    <row r="34" spans="1:12" ht="15" thickBot="1" x14ac:dyDescent="0.4">
      <c r="A34" s="47" t="s">
        <v>25</v>
      </c>
      <c r="B34" s="118">
        <v>0</v>
      </c>
      <c r="C34" s="101">
        <f>B34+C30+B39</f>
        <v>0</v>
      </c>
      <c r="D34" s="42">
        <f t="shared" si="7"/>
        <v>0</v>
      </c>
      <c r="E34" s="42">
        <f t="shared" si="7"/>
        <v>0</v>
      </c>
      <c r="F34" s="109">
        <f t="shared" si="7"/>
        <v>0</v>
      </c>
      <c r="G34" s="41">
        <f t="shared" si="7"/>
        <v>0</v>
      </c>
      <c r="H34" s="42">
        <f t="shared" si="7"/>
        <v>0</v>
      </c>
      <c r="I34" s="62">
        <f t="shared" si="7"/>
        <v>0</v>
      </c>
      <c r="J34" s="124">
        <f t="shared" si="7"/>
        <v>0</v>
      </c>
      <c r="K34" s="42">
        <f t="shared" si="7"/>
        <v>0</v>
      </c>
      <c r="L34" s="62">
        <f t="shared" si="7"/>
        <v>0</v>
      </c>
    </row>
    <row r="35" spans="1:12" x14ac:dyDescent="0.35">
      <c r="C35" s="100"/>
      <c r="D35" s="17"/>
      <c r="E35" s="17"/>
      <c r="F35" s="17"/>
      <c r="G35" s="10"/>
      <c r="H35" s="17"/>
      <c r="I35" s="11"/>
      <c r="J35" s="17"/>
      <c r="K35" s="17"/>
      <c r="L35" s="11"/>
    </row>
    <row r="36" spans="1:12" x14ac:dyDescent="0.35">
      <c r="A36" s="40" t="s">
        <v>88</v>
      </c>
      <c r="B36" s="40"/>
      <c r="C36" s="105"/>
      <c r="D36" s="84">
        <f>+'PCR Cycle 2'!E50</f>
        <v>9.5178000000000005E-4</v>
      </c>
      <c r="E36" s="84">
        <f>+'PCR Cycle 2'!F50</f>
        <v>9.5761000000000002E-4</v>
      </c>
      <c r="F36" s="84">
        <f>+'PCR Cycle 2'!G50</f>
        <v>9.4081999999999998E-4</v>
      </c>
      <c r="G36" s="85">
        <f>+'PCR Cycle 2'!H50</f>
        <v>9.2864E-4</v>
      </c>
      <c r="H36" s="84">
        <f>+'PCR Cycle 2'!I50</f>
        <v>9.2287999999999995E-4</v>
      </c>
      <c r="I36" s="93">
        <f>+'PCR Cycle 2'!J50</f>
        <v>9.2628999999999997E-4</v>
      </c>
      <c r="J36" s="84">
        <f>+'PCR Cycle 2'!K50</f>
        <v>9.2628999999999997E-4</v>
      </c>
      <c r="K36" s="84">
        <f>+'PCR Cycle 2'!L50</f>
        <v>9.2628999999999997E-4</v>
      </c>
      <c r="L36" s="86"/>
    </row>
    <row r="37" spans="1:12" x14ac:dyDescent="0.35">
      <c r="A37" s="40" t="s">
        <v>37</v>
      </c>
      <c r="B37" s="40"/>
      <c r="C37" s="107"/>
      <c r="D37" s="84"/>
      <c r="E37" s="84"/>
      <c r="F37" s="84"/>
      <c r="G37" s="85"/>
      <c r="H37" s="84"/>
      <c r="I37" s="86"/>
      <c r="J37" s="84"/>
      <c r="K37" s="84"/>
      <c r="L37" s="86"/>
    </row>
    <row r="38" spans="1:12" x14ac:dyDescent="0.35">
      <c r="A38" s="47" t="s">
        <v>24</v>
      </c>
      <c r="C38" s="101">
        <v>0</v>
      </c>
      <c r="D38" s="42">
        <f t="shared" ref="D38:L39" si="8">ROUND((C33+C38+D29/2)*D$36,2)</f>
        <v>0</v>
      </c>
      <c r="E38" s="42">
        <f t="shared" si="8"/>
        <v>0</v>
      </c>
      <c r="F38" s="109">
        <f t="shared" si="8"/>
        <v>0</v>
      </c>
      <c r="G38" s="41">
        <f t="shared" si="8"/>
        <v>0</v>
      </c>
      <c r="H38" s="124">
        <f t="shared" si="8"/>
        <v>0</v>
      </c>
      <c r="I38" s="50">
        <f t="shared" si="8"/>
        <v>0</v>
      </c>
      <c r="J38" s="166">
        <f t="shared" si="8"/>
        <v>0</v>
      </c>
      <c r="K38" s="109">
        <f t="shared" si="8"/>
        <v>0</v>
      </c>
      <c r="L38" s="62">
        <f t="shared" si="8"/>
        <v>0</v>
      </c>
    </row>
    <row r="39" spans="1:12" ht="15" thickBot="1" x14ac:dyDescent="0.4">
      <c r="A39" s="47" t="s">
        <v>25</v>
      </c>
      <c r="C39" s="101">
        <v>0</v>
      </c>
      <c r="D39" s="42">
        <f t="shared" si="8"/>
        <v>0</v>
      </c>
      <c r="E39" s="42">
        <f t="shared" si="8"/>
        <v>0</v>
      </c>
      <c r="F39" s="109">
        <f t="shared" si="8"/>
        <v>0</v>
      </c>
      <c r="G39" s="41">
        <f t="shared" si="8"/>
        <v>0</v>
      </c>
      <c r="H39" s="124">
        <f t="shared" si="8"/>
        <v>0</v>
      </c>
      <c r="I39" s="50">
        <f t="shared" si="8"/>
        <v>0</v>
      </c>
      <c r="J39" s="166">
        <f t="shared" si="8"/>
        <v>0</v>
      </c>
      <c r="K39" s="109">
        <f t="shared" si="8"/>
        <v>0</v>
      </c>
      <c r="L39" s="62">
        <f t="shared" si="8"/>
        <v>0</v>
      </c>
    </row>
    <row r="40" spans="1:12" ht="15.5" thickTop="1" thickBot="1" x14ac:dyDescent="0.4">
      <c r="A40" s="55" t="s">
        <v>22</v>
      </c>
      <c r="B40" s="55"/>
      <c r="C40" s="108">
        <v>0</v>
      </c>
      <c r="D40" s="43">
        <f t="shared" ref="D40:I40" si="9">SUM(D38:D39)+SUM(D33:D34)-D43</f>
        <v>0</v>
      </c>
      <c r="E40" s="43">
        <f t="shared" si="9"/>
        <v>0</v>
      </c>
      <c r="F40" s="51">
        <f t="shared" ref="F40:H40" si="10">SUM(F38:F39)+SUM(F33:F34)-F43</f>
        <v>0</v>
      </c>
      <c r="G40" s="148">
        <f t="shared" si="10"/>
        <v>0</v>
      </c>
      <c r="H40" s="51">
        <f t="shared" si="10"/>
        <v>0</v>
      </c>
      <c r="I40" s="63">
        <f t="shared" si="9"/>
        <v>0</v>
      </c>
      <c r="J40" s="167">
        <f t="shared" ref="J40:L40" si="11">SUM(J38:J39)+SUM(J33:J34)-J43</f>
        <v>0</v>
      </c>
      <c r="K40" s="51">
        <f t="shared" si="11"/>
        <v>0</v>
      </c>
      <c r="L40" s="63">
        <f t="shared" si="11"/>
        <v>0</v>
      </c>
    </row>
    <row r="41" spans="1:12" ht="15.5" thickTop="1" thickBot="1" x14ac:dyDescent="0.4">
      <c r="A41" s="55" t="s">
        <v>23</v>
      </c>
      <c r="B41" s="55"/>
      <c r="C41" s="108">
        <v>0</v>
      </c>
      <c r="D41" s="43">
        <f t="shared" ref="D41:I41" si="12">SUM(D38:D39)-D26</f>
        <v>0</v>
      </c>
      <c r="E41" s="43">
        <f t="shared" si="12"/>
        <v>0</v>
      </c>
      <c r="F41" s="51">
        <f t="shared" ref="F41:H41" si="13">SUM(F38:F39)-F26</f>
        <v>0</v>
      </c>
      <c r="G41" s="148">
        <f t="shared" si="13"/>
        <v>0</v>
      </c>
      <c r="H41" s="51">
        <f t="shared" si="13"/>
        <v>0</v>
      </c>
      <c r="I41" s="63">
        <f t="shared" si="12"/>
        <v>0</v>
      </c>
      <c r="J41" s="168">
        <f t="shared" ref="J41:L41" si="14">SUM(J38:J39)-J26</f>
        <v>0</v>
      </c>
      <c r="K41" s="43">
        <f t="shared" si="14"/>
        <v>0</v>
      </c>
      <c r="L41" s="43">
        <f t="shared" si="14"/>
        <v>0</v>
      </c>
    </row>
    <row r="42" spans="1:12" ht="15.5" thickTop="1" thickBot="1" x14ac:dyDescent="0.4">
      <c r="C42" s="100"/>
      <c r="D42" s="17"/>
      <c r="E42" s="17"/>
      <c r="F42" s="17"/>
      <c r="G42" s="10"/>
      <c r="H42" s="17"/>
      <c r="I42" s="11"/>
      <c r="J42" s="17"/>
      <c r="K42" s="17"/>
      <c r="L42" s="11"/>
    </row>
    <row r="43" spans="1:12" ht="15" thickBot="1" x14ac:dyDescent="0.4">
      <c r="A43" s="47" t="s">
        <v>36</v>
      </c>
      <c r="B43" s="120">
        <v>0</v>
      </c>
      <c r="C43" s="101">
        <f t="shared" ref="C43:L43" si="15">(C16-SUM(C19:C20))+SUM(C38:C39)+B43</f>
        <v>0</v>
      </c>
      <c r="D43" s="42">
        <f t="shared" si="15"/>
        <v>0</v>
      </c>
      <c r="E43" s="42">
        <f t="shared" si="15"/>
        <v>0</v>
      </c>
      <c r="F43" s="109">
        <f t="shared" si="15"/>
        <v>0</v>
      </c>
      <c r="G43" s="41">
        <f t="shared" si="15"/>
        <v>0</v>
      </c>
      <c r="H43" s="42">
        <f t="shared" si="15"/>
        <v>0</v>
      </c>
      <c r="I43" s="62">
        <f t="shared" si="15"/>
        <v>0</v>
      </c>
      <c r="J43" s="166">
        <f t="shared" si="15"/>
        <v>0</v>
      </c>
      <c r="K43" s="109">
        <f t="shared" si="15"/>
        <v>0</v>
      </c>
      <c r="L43" s="62">
        <f t="shared" si="15"/>
        <v>0</v>
      </c>
    </row>
    <row r="44" spans="1:12" x14ac:dyDescent="0.35">
      <c r="A44" s="47" t="s">
        <v>12</v>
      </c>
      <c r="C44" s="121"/>
      <c r="D44" s="17"/>
      <c r="E44" s="17"/>
      <c r="F44" s="17"/>
      <c r="G44" s="10"/>
      <c r="H44" s="17"/>
      <c r="I44" s="11"/>
      <c r="J44" s="17"/>
      <c r="K44" s="17"/>
      <c r="L44" s="11"/>
    </row>
    <row r="45" spans="1:12" ht="15" thickBot="1" x14ac:dyDescent="0.4">
      <c r="A45" s="38"/>
      <c r="B45" s="38"/>
      <c r="C45" s="149"/>
      <c r="D45" s="45"/>
      <c r="E45" s="45"/>
      <c r="F45" s="45"/>
      <c r="G45" s="44"/>
      <c r="H45" s="45"/>
      <c r="I45" s="46"/>
      <c r="J45" s="45"/>
      <c r="K45" s="45"/>
      <c r="L45" s="46"/>
    </row>
    <row r="47" spans="1:12" x14ac:dyDescent="0.35">
      <c r="A47" s="70" t="s">
        <v>11</v>
      </c>
      <c r="B47" s="70"/>
      <c r="C47" s="70"/>
    </row>
    <row r="48" spans="1:12" x14ac:dyDescent="0.35">
      <c r="A48" s="308" t="s">
        <v>159</v>
      </c>
      <c r="B48" s="308"/>
      <c r="C48" s="308"/>
      <c r="D48" s="308"/>
      <c r="E48" s="308"/>
      <c r="F48" s="308"/>
      <c r="G48" s="308"/>
      <c r="H48" s="308"/>
      <c r="I48" s="308"/>
      <c r="J48" s="185"/>
      <c r="K48" s="185"/>
      <c r="L48" s="185"/>
    </row>
    <row r="49" spans="1:12" ht="32.25" customHeight="1" x14ac:dyDescent="0.35">
      <c r="A49" s="308" t="s">
        <v>160</v>
      </c>
      <c r="B49" s="308"/>
      <c r="C49" s="308"/>
      <c r="D49" s="308"/>
      <c r="E49" s="308"/>
      <c r="F49" s="308"/>
      <c r="G49" s="308"/>
      <c r="H49" s="308"/>
      <c r="I49" s="308"/>
      <c r="J49" s="185"/>
      <c r="K49" s="185"/>
    </row>
    <row r="50" spans="1:12" ht="18.75" customHeight="1" x14ac:dyDescent="0.35">
      <c r="A50" s="3" t="s">
        <v>31</v>
      </c>
      <c r="B50" s="3"/>
      <c r="C50" s="3"/>
      <c r="I50" s="4"/>
      <c r="J50" s="185"/>
      <c r="K50" s="185"/>
      <c r="L50" s="185"/>
    </row>
    <row r="51" spans="1:12" x14ac:dyDescent="0.35">
      <c r="A51" s="3" t="s">
        <v>161</v>
      </c>
      <c r="B51" s="3"/>
      <c r="C51" s="3"/>
      <c r="I51" s="4"/>
    </row>
    <row r="52" spans="1:12" x14ac:dyDescent="0.35">
      <c r="A52" s="3" t="s">
        <v>127</v>
      </c>
      <c r="B52" s="3"/>
      <c r="C52" s="3"/>
      <c r="I52" s="4"/>
    </row>
    <row r="53" spans="1:12" x14ac:dyDescent="0.35">
      <c r="A53" s="3" t="s">
        <v>162</v>
      </c>
      <c r="B53" s="64"/>
      <c r="C53" s="64"/>
      <c r="D53" s="40"/>
      <c r="E53" s="40"/>
      <c r="F53" s="40"/>
      <c r="G53" s="40"/>
      <c r="H53" s="40"/>
      <c r="I53" s="40"/>
    </row>
    <row r="54" spans="1:12" x14ac:dyDescent="0.35">
      <c r="A54" s="3"/>
      <c r="B54" s="3"/>
      <c r="C54" s="3"/>
    </row>
  </sheetData>
  <mergeCells count="5">
    <mergeCell ref="D14:F14"/>
    <mergeCell ref="G14:I14"/>
    <mergeCell ref="J14:L14"/>
    <mergeCell ref="A48:I48"/>
    <mergeCell ref="A49:I49"/>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33"/>
  <sheetViews>
    <sheetView workbookViewId="0">
      <selection activeCell="B7" sqref="B7"/>
    </sheetView>
  </sheetViews>
  <sheetFormatPr defaultRowHeight="14.5" x14ac:dyDescent="0.35"/>
  <cols>
    <col min="1" max="1" width="23.1796875" bestFit="1" customWidth="1"/>
    <col min="2" max="2" width="11.26953125" bestFit="1" customWidth="1"/>
    <col min="3" max="3" width="10.1796875" bestFit="1" customWidth="1"/>
    <col min="4" max="4" width="11.26953125" bestFit="1" customWidth="1"/>
    <col min="5" max="6" width="10.1796875" bestFit="1" customWidth="1"/>
    <col min="7" max="7" width="8.26953125" bestFit="1" customWidth="1"/>
  </cols>
  <sheetData>
    <row r="3" spans="1:6" ht="15" thickBot="1" x14ac:dyDescent="0.4">
      <c r="A3" s="3" t="s">
        <v>128</v>
      </c>
    </row>
    <row r="4" spans="1:6" ht="27.5" thickBot="1" x14ac:dyDescent="0.4">
      <c r="A4" s="88" t="s">
        <v>135</v>
      </c>
      <c r="B4" s="131" t="s">
        <v>134</v>
      </c>
      <c r="C4" s="131" t="s">
        <v>133</v>
      </c>
      <c r="D4" s="131" t="s">
        <v>132</v>
      </c>
      <c r="E4" s="131" t="s">
        <v>131</v>
      </c>
      <c r="F4" s="90" t="s">
        <v>163</v>
      </c>
    </row>
    <row r="5" spans="1:6" ht="15" thickBot="1" x14ac:dyDescent="0.4">
      <c r="A5" s="91" t="s">
        <v>24</v>
      </c>
      <c r="B5" s="245">
        <f>+'tariff tables'!S13+'tariff tables'!S22</f>
        <v>3.0000000000000001E-5</v>
      </c>
      <c r="C5" s="246">
        <f>+'tariff tables'!T13+'tariff tables'!T22</f>
        <v>6.3999999999999994E-4</v>
      </c>
      <c r="D5" s="246">
        <f>+'tariff tables'!U13+'tariff tables'!U22</f>
        <v>7.0000000000000007E-5</v>
      </c>
      <c r="E5" s="246">
        <f>+'tariff tables'!V13+'tariff tables'!V22</f>
        <v>0</v>
      </c>
      <c r="F5" s="244">
        <f>SUM(B5:E5)</f>
        <v>7.3999999999999988E-4</v>
      </c>
    </row>
    <row r="6" spans="1:6" ht="15" thickBot="1" x14ac:dyDescent="0.4">
      <c r="A6" s="91" t="s">
        <v>108</v>
      </c>
      <c r="B6" s="245">
        <f>+'tariff tables'!S14+'tariff tables'!S23</f>
        <v>-7.9999999999999993E-5</v>
      </c>
      <c r="C6" s="246">
        <f>+'tariff tables'!T14+'tariff tables'!T23</f>
        <v>4.8999999999999998E-4</v>
      </c>
      <c r="D6" s="246">
        <f>+'tariff tables'!U14+'tariff tables'!U23</f>
        <v>-2.0000000000000002E-5</v>
      </c>
      <c r="E6" s="246">
        <f>+'tariff tables'!V14+'tariff tables'!V23</f>
        <v>0</v>
      </c>
      <c r="F6" s="244">
        <f t="shared" ref="F6:F9" si="0">SUM(B6:E6)</f>
        <v>3.8999999999999999E-4</v>
      </c>
    </row>
    <row r="7" spans="1:6" ht="15" thickBot="1" x14ac:dyDescent="0.4">
      <c r="A7" s="91" t="s">
        <v>109</v>
      </c>
      <c r="B7" s="245">
        <f>+'tariff tables'!S15+'tariff tables'!S24</f>
        <v>-1E-4</v>
      </c>
      <c r="C7" s="246">
        <f>+'tariff tables'!T15+'tariff tables'!T24</f>
        <v>5.2999999999999998E-4</v>
      </c>
      <c r="D7" s="246">
        <f>+'tariff tables'!U15+'tariff tables'!U24</f>
        <v>8.7000000000000001E-4</v>
      </c>
      <c r="E7" s="246">
        <f>+'tariff tables'!V15+'tariff tables'!V24</f>
        <v>0</v>
      </c>
      <c r="F7" s="244">
        <f t="shared" si="0"/>
        <v>1.2999999999999999E-3</v>
      </c>
    </row>
    <row r="8" spans="1:6" ht="15" thickBot="1" x14ac:dyDescent="0.4">
      <c r="A8" s="91" t="s">
        <v>110</v>
      </c>
      <c r="B8" s="245">
        <f>+'tariff tables'!S16+'tariff tables'!S25</f>
        <v>-6.9999999999999994E-5</v>
      </c>
      <c r="C8" s="246">
        <f>+'tariff tables'!T16+'tariff tables'!T25</f>
        <v>3.1E-4</v>
      </c>
      <c r="D8" s="246">
        <f>+'tariff tables'!U16+'tariff tables'!U25</f>
        <v>5.5000000000000003E-4</v>
      </c>
      <c r="E8" s="246">
        <f>+'tariff tables'!V16+'tariff tables'!V25</f>
        <v>0</v>
      </c>
      <c r="F8" s="244">
        <f t="shared" si="0"/>
        <v>7.9000000000000001E-4</v>
      </c>
    </row>
    <row r="9" spans="1:6" ht="15" thickBot="1" x14ac:dyDescent="0.4">
      <c r="A9" s="91" t="s">
        <v>111</v>
      </c>
      <c r="B9" s="245">
        <f>+'tariff tables'!S17+'tariff tables'!S26</f>
        <v>-5.0000000000000002E-5</v>
      </c>
      <c r="C9" s="246">
        <f>+'tariff tables'!T17+'tariff tables'!T26</f>
        <v>1E-4</v>
      </c>
      <c r="D9" s="246">
        <f>+'tariff tables'!U17+'tariff tables'!U26</f>
        <v>6.5000000000000008E-4</v>
      </c>
      <c r="E9" s="246">
        <f>+'tariff tables'!V17+'tariff tables'!V26</f>
        <v>0</v>
      </c>
      <c r="F9" s="244">
        <f t="shared" si="0"/>
        <v>7.000000000000001E-4</v>
      </c>
    </row>
    <row r="12" spans="1:6" ht="15" thickBot="1" x14ac:dyDescent="0.4">
      <c r="A12" s="3" t="s">
        <v>129</v>
      </c>
      <c r="B12" s="47"/>
      <c r="C12" s="47"/>
      <c r="D12" s="47"/>
      <c r="E12" s="47"/>
      <c r="F12" s="47"/>
    </row>
    <row r="13" spans="1:6" ht="27.5" thickBot="1" x14ac:dyDescent="0.4">
      <c r="A13" s="88" t="s">
        <v>135</v>
      </c>
      <c r="B13" s="131" t="s">
        <v>134</v>
      </c>
      <c r="C13" s="131" t="s">
        <v>133</v>
      </c>
      <c r="D13" s="131" t="s">
        <v>132</v>
      </c>
      <c r="E13" s="131" t="s">
        <v>131</v>
      </c>
      <c r="F13" s="90" t="s">
        <v>163</v>
      </c>
    </row>
    <row r="14" spans="1:6" ht="15" thickBot="1" x14ac:dyDescent="0.4">
      <c r="A14" s="91" t="s">
        <v>24</v>
      </c>
      <c r="B14" s="245">
        <f>+'tariff tables'!X13+'tariff tables'!X22</f>
        <v>3.29E-3</v>
      </c>
      <c r="C14" s="246">
        <f>+'tariff tables'!Y13+'tariff tables'!Y22</f>
        <v>1.8600000000000001E-3</v>
      </c>
      <c r="D14" s="246">
        <f>+'tariff tables'!Z13+'tariff tables'!Z22</f>
        <v>0</v>
      </c>
      <c r="E14" s="246">
        <f>+'tariff tables'!AA13+'tariff tables'!AA22</f>
        <v>0</v>
      </c>
      <c r="F14" s="244">
        <f>SUM(B14:E14)</f>
        <v>5.1500000000000001E-3</v>
      </c>
    </row>
    <row r="15" spans="1:6" ht="15" thickBot="1" x14ac:dyDescent="0.4">
      <c r="A15" s="91" t="s">
        <v>108</v>
      </c>
      <c r="B15" s="245">
        <f>+'tariff tables'!X14+'tariff tables'!X23</f>
        <v>1.2000000000000001E-3</v>
      </c>
      <c r="C15" s="246">
        <f>+'tariff tables'!Y14+'tariff tables'!Y23</f>
        <v>6.8999999999999986E-4</v>
      </c>
      <c r="D15" s="246">
        <f>+'tariff tables'!Z14+'tariff tables'!Z23</f>
        <v>0</v>
      </c>
      <c r="E15" s="246">
        <f>+'tariff tables'!AA14+'tariff tables'!AA23</f>
        <v>0</v>
      </c>
      <c r="F15" s="244">
        <f t="shared" ref="F15:F18" si="1">SUM(B15:E15)</f>
        <v>1.89E-3</v>
      </c>
    </row>
    <row r="16" spans="1:6" ht="15" thickBot="1" x14ac:dyDescent="0.4">
      <c r="A16" s="91" t="s">
        <v>109</v>
      </c>
      <c r="B16" s="245">
        <f>+'tariff tables'!X15+'tariff tables'!X24</f>
        <v>2.7299999999999998E-3</v>
      </c>
      <c r="C16" s="246">
        <f>+'tariff tables'!Y15+'tariff tables'!Y24</f>
        <v>9.5E-4</v>
      </c>
      <c r="D16" s="246">
        <f>+'tariff tables'!Z15+'tariff tables'!Z24</f>
        <v>0</v>
      </c>
      <c r="E16" s="246">
        <f>+'tariff tables'!AA15+'tariff tables'!AA24</f>
        <v>0</v>
      </c>
      <c r="F16" s="244">
        <f t="shared" si="1"/>
        <v>3.6799999999999997E-3</v>
      </c>
    </row>
    <row r="17" spans="1:7" ht="15" thickBot="1" x14ac:dyDescent="0.4">
      <c r="A17" s="91" t="s">
        <v>110</v>
      </c>
      <c r="B17" s="245">
        <f>+'tariff tables'!X16+'tariff tables'!X25</f>
        <v>2.32E-3</v>
      </c>
      <c r="C17" s="246">
        <f>+'tariff tables'!Y16+'tariff tables'!Y25</f>
        <v>5.2999999999999998E-4</v>
      </c>
      <c r="D17" s="246">
        <f>+'tariff tables'!Z16+'tariff tables'!Z25</f>
        <v>0</v>
      </c>
      <c r="E17" s="246">
        <f>+'tariff tables'!AA16+'tariff tables'!AA25</f>
        <v>0</v>
      </c>
      <c r="F17" s="244">
        <f t="shared" si="1"/>
        <v>2.8500000000000001E-3</v>
      </c>
    </row>
    <row r="18" spans="1:7" ht="15" thickBot="1" x14ac:dyDescent="0.4">
      <c r="A18" s="91" t="s">
        <v>111</v>
      </c>
      <c r="B18" s="245">
        <f>+'tariff tables'!X17+'tariff tables'!X26</f>
        <v>1.7800000000000001E-3</v>
      </c>
      <c r="C18" s="246">
        <f>+'tariff tables'!Y17+'tariff tables'!Y26</f>
        <v>1.2000000000000002E-4</v>
      </c>
      <c r="D18" s="246">
        <f>+'tariff tables'!Z17+'tariff tables'!Z26</f>
        <v>0</v>
      </c>
      <c r="E18" s="246">
        <f>+'tariff tables'!AA17+'tariff tables'!AA26</f>
        <v>0</v>
      </c>
      <c r="F18" s="244">
        <f t="shared" si="1"/>
        <v>1.9000000000000002E-3</v>
      </c>
    </row>
    <row r="21" spans="1:7" ht="15" thickBot="1" x14ac:dyDescent="0.4">
      <c r="A21" s="3" t="s">
        <v>130</v>
      </c>
      <c r="B21" s="47"/>
      <c r="C21" s="47"/>
      <c r="D21" s="47"/>
      <c r="E21" s="47"/>
      <c r="F21" s="47"/>
    </row>
    <row r="22" spans="1:7" ht="27.5" thickBot="1" x14ac:dyDescent="0.4">
      <c r="A22" s="88" t="s">
        <v>135</v>
      </c>
      <c r="B22" s="131" t="s">
        <v>134</v>
      </c>
      <c r="C22" s="131" t="s">
        <v>133</v>
      </c>
      <c r="D22" s="131" t="s">
        <v>132</v>
      </c>
      <c r="E22" s="131" t="s">
        <v>131</v>
      </c>
      <c r="F22" s="90" t="s">
        <v>163</v>
      </c>
    </row>
    <row r="23" spans="1:7" ht="15" thickBot="1" x14ac:dyDescent="0.4">
      <c r="A23" s="91" t="s">
        <v>24</v>
      </c>
      <c r="B23" s="245">
        <f>+B5+B14</f>
        <v>3.32E-3</v>
      </c>
      <c r="C23" s="246">
        <f t="shared" ref="C23:E23" si="2">+C5+C14</f>
        <v>2.5000000000000001E-3</v>
      </c>
      <c r="D23" s="246">
        <f t="shared" si="2"/>
        <v>7.0000000000000007E-5</v>
      </c>
      <c r="E23" s="246">
        <f t="shared" si="2"/>
        <v>0</v>
      </c>
      <c r="F23" s="244">
        <f>SUM(B23:E23)</f>
        <v>5.8900000000000003E-3</v>
      </c>
      <c r="G23" s="247">
        <f>+F23-'tariff tables'!H4</f>
        <v>0</v>
      </c>
    </row>
    <row r="24" spans="1:7" ht="15" thickBot="1" x14ac:dyDescent="0.4">
      <c r="A24" s="91" t="s">
        <v>108</v>
      </c>
      <c r="B24" s="245">
        <f t="shared" ref="B24:E24" si="3">+B6+B15</f>
        <v>1.1200000000000001E-3</v>
      </c>
      <c r="C24" s="246">
        <f t="shared" si="3"/>
        <v>1.1799999999999998E-3</v>
      </c>
      <c r="D24" s="246">
        <f t="shared" si="3"/>
        <v>-2.0000000000000002E-5</v>
      </c>
      <c r="E24" s="246">
        <f t="shared" si="3"/>
        <v>0</v>
      </c>
      <c r="F24" s="244">
        <f t="shared" ref="F24:F27" si="4">SUM(B24:E24)</f>
        <v>2.2799999999999999E-3</v>
      </c>
      <c r="G24" s="247">
        <f>+F24-'tariff tables'!H5</f>
        <v>0</v>
      </c>
    </row>
    <row r="25" spans="1:7" ht="15" thickBot="1" x14ac:dyDescent="0.4">
      <c r="A25" s="91" t="s">
        <v>109</v>
      </c>
      <c r="B25" s="245">
        <f t="shared" ref="B25:E25" si="5">+B7+B16</f>
        <v>2.63E-3</v>
      </c>
      <c r="C25" s="246">
        <f t="shared" si="5"/>
        <v>1.48E-3</v>
      </c>
      <c r="D25" s="246">
        <f t="shared" si="5"/>
        <v>8.7000000000000001E-4</v>
      </c>
      <c r="E25" s="246">
        <f t="shared" si="5"/>
        <v>0</v>
      </c>
      <c r="F25" s="244">
        <f t="shared" si="4"/>
        <v>4.9800000000000001E-3</v>
      </c>
      <c r="G25" s="247">
        <f>+F25-'tariff tables'!H6</f>
        <v>0</v>
      </c>
    </row>
    <row r="26" spans="1:7" ht="15" thickBot="1" x14ac:dyDescent="0.4">
      <c r="A26" s="91" t="s">
        <v>110</v>
      </c>
      <c r="B26" s="245">
        <f t="shared" ref="B26:E26" si="6">+B8+B17</f>
        <v>2.2499999999999998E-3</v>
      </c>
      <c r="C26" s="246">
        <f t="shared" si="6"/>
        <v>8.4000000000000003E-4</v>
      </c>
      <c r="D26" s="246">
        <f t="shared" si="6"/>
        <v>5.5000000000000003E-4</v>
      </c>
      <c r="E26" s="246">
        <f t="shared" si="6"/>
        <v>0</v>
      </c>
      <c r="F26" s="244">
        <f t="shared" si="4"/>
        <v>3.64E-3</v>
      </c>
      <c r="G26" s="247">
        <f>+F26-'tariff tables'!H7</f>
        <v>0</v>
      </c>
    </row>
    <row r="27" spans="1:7" ht="15" thickBot="1" x14ac:dyDescent="0.4">
      <c r="A27" s="91" t="s">
        <v>111</v>
      </c>
      <c r="B27" s="245">
        <f t="shared" ref="B27:E27" si="7">+B9+B18</f>
        <v>1.7300000000000002E-3</v>
      </c>
      <c r="C27" s="246">
        <f t="shared" si="7"/>
        <v>2.2000000000000003E-4</v>
      </c>
      <c r="D27" s="246">
        <f t="shared" si="7"/>
        <v>6.5000000000000008E-4</v>
      </c>
      <c r="E27" s="246">
        <f t="shared" si="7"/>
        <v>0</v>
      </c>
      <c r="F27" s="244">
        <f t="shared" si="4"/>
        <v>2.6000000000000003E-3</v>
      </c>
      <c r="G27" s="247">
        <f>+F27-'tariff tables'!H8</f>
        <v>0</v>
      </c>
    </row>
    <row r="29" spans="1:7" x14ac:dyDescent="0.35">
      <c r="B29" s="247">
        <f>+B23-'tariff tables'!J4</f>
        <v>0</v>
      </c>
      <c r="C29" s="247">
        <f>+C23-'tariff tables'!K4</f>
        <v>0</v>
      </c>
      <c r="D29" s="247">
        <f>+D23-'tariff tables'!L4</f>
        <v>0</v>
      </c>
      <c r="E29" s="247">
        <f>+E23-'tariff tables'!M4</f>
        <v>0</v>
      </c>
      <c r="F29" s="247"/>
    </row>
    <row r="30" spans="1:7" x14ac:dyDescent="0.35">
      <c r="B30" s="247">
        <f>+B24-'tariff tables'!J5</f>
        <v>0</v>
      </c>
      <c r="C30" s="247">
        <f>+C24-'tariff tables'!K5</f>
        <v>0</v>
      </c>
      <c r="D30" s="247">
        <f>+D24-'tariff tables'!L5</f>
        <v>0</v>
      </c>
      <c r="E30" s="247">
        <f>+E24-'tariff tables'!M5</f>
        <v>0</v>
      </c>
      <c r="F30" s="247"/>
    </row>
    <row r="31" spans="1:7" x14ac:dyDescent="0.35">
      <c r="B31" s="247">
        <f>+B25-'tariff tables'!J6</f>
        <v>0</v>
      </c>
      <c r="C31" s="247">
        <f>+C25-'tariff tables'!K6</f>
        <v>0</v>
      </c>
      <c r="D31" s="247">
        <f>+D25-'tariff tables'!L6</f>
        <v>0</v>
      </c>
      <c r="E31" s="247">
        <f>+E25-'tariff tables'!M6</f>
        <v>0</v>
      </c>
      <c r="F31" s="247"/>
    </row>
    <row r="32" spans="1:7" x14ac:dyDescent="0.35">
      <c r="B32" s="247">
        <f>+B26-'tariff tables'!J7</f>
        <v>0</v>
      </c>
      <c r="C32" s="247">
        <f>+C26-'tariff tables'!K7</f>
        <v>0</v>
      </c>
      <c r="D32" s="247">
        <f>+D26-'tariff tables'!L7</f>
        <v>0</v>
      </c>
      <c r="E32" s="247">
        <f>+E26-'tariff tables'!M7</f>
        <v>0</v>
      </c>
      <c r="F32" s="247"/>
    </row>
    <row r="33" spans="2:6" x14ac:dyDescent="0.35">
      <c r="B33" s="247">
        <f>+B27-'tariff tables'!J8</f>
        <v>0</v>
      </c>
      <c r="C33" s="247">
        <f>+C27-'tariff tables'!K8</f>
        <v>0</v>
      </c>
      <c r="D33" s="247">
        <f>+D27-'tariff tables'!L8</f>
        <v>0</v>
      </c>
      <c r="E33" s="247">
        <f>+E27-'tariff tables'!M8</f>
        <v>0</v>
      </c>
      <c r="F33" s="247"/>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50"/>
  <sheetViews>
    <sheetView workbookViewId="0">
      <selection activeCell="A13" sqref="A13:C13"/>
    </sheetView>
  </sheetViews>
  <sheetFormatPr defaultColWidth="9.1796875" defaultRowHeight="14.5" x14ac:dyDescent="0.35"/>
  <cols>
    <col min="1" max="1" width="20.81640625" style="47" customWidth="1"/>
    <col min="2" max="2" width="22" style="47" customWidth="1"/>
    <col min="3" max="3" width="17.26953125" style="47" customWidth="1"/>
    <col min="4" max="5" width="9.1796875" style="47"/>
    <col min="6" max="6" width="10.7265625" style="47" bestFit="1" customWidth="1"/>
    <col min="7" max="16384" width="9.1796875" style="47"/>
  </cols>
  <sheetData>
    <row r="1" spans="1:25" x14ac:dyDescent="0.35">
      <c r="A1" s="64" t="s">
        <v>170</v>
      </c>
    </row>
    <row r="2" spans="1:25" x14ac:dyDescent="0.35">
      <c r="A2" s="9" t="s">
        <v>171</v>
      </c>
    </row>
    <row r="3" spans="1:25" ht="35.25" customHeight="1" x14ac:dyDescent="0.35">
      <c r="B3" s="292" t="s">
        <v>114</v>
      </c>
      <c r="C3" s="292"/>
    </row>
    <row r="4" spans="1:25" ht="43.5" x14ac:dyDescent="0.35">
      <c r="B4" s="71" t="s">
        <v>44</v>
      </c>
      <c r="C4" s="241" t="s">
        <v>26</v>
      </c>
    </row>
    <row r="5" spans="1:25" x14ac:dyDescent="0.35">
      <c r="A5" s="20" t="s">
        <v>24</v>
      </c>
      <c r="B5" s="76">
        <f>SUM('[1]Billed kWh Sales'!$E36:$F36)</f>
        <v>2610783115</v>
      </c>
      <c r="C5" s="239">
        <f>ROUND(SUM('[2]Monthly Program Costs'!Z290:AK290),2)</f>
        <v>9160051.1600000001</v>
      </c>
      <c r="F5" s="48"/>
    </row>
    <row r="6" spans="1:25" x14ac:dyDescent="0.35">
      <c r="A6" s="20" t="s">
        <v>108</v>
      </c>
      <c r="B6" s="76">
        <f>SUM('[1]Billed kWh Sales'!$E37:$F37)</f>
        <v>527906339</v>
      </c>
      <c r="C6" s="239">
        <f>ROUND(SUM('[2]Monthly Program Costs'!Z291:AK291),2)</f>
        <v>949516.42</v>
      </c>
      <c r="F6" s="48"/>
    </row>
    <row r="7" spans="1:25" x14ac:dyDescent="0.35">
      <c r="A7" s="20" t="s">
        <v>109</v>
      </c>
      <c r="B7" s="76">
        <f>SUM('[1]Billed kWh Sales'!$E38:$F38)</f>
        <v>1150739924</v>
      </c>
      <c r="C7" s="239">
        <f>ROUND(SUM('[2]Monthly Program Costs'!Z292:AK292),2)</f>
        <v>2461235.81</v>
      </c>
      <c r="F7" s="48"/>
    </row>
    <row r="8" spans="1:25" x14ac:dyDescent="0.35">
      <c r="A8" s="20" t="s">
        <v>110</v>
      </c>
      <c r="B8" s="76">
        <f>SUM('[1]Billed kWh Sales'!$E39:$F39)</f>
        <v>1823600646</v>
      </c>
      <c r="C8" s="239">
        <f>ROUND(SUM('[2]Monthly Program Costs'!Z293:AK293),2)</f>
        <v>3982092.81</v>
      </c>
      <c r="F8" s="48"/>
    </row>
    <row r="9" spans="1:25" x14ac:dyDescent="0.35">
      <c r="A9" s="20" t="s">
        <v>111</v>
      </c>
      <c r="B9" s="76">
        <f>SUM('[1]Billed kWh Sales'!$E40:$F40)</f>
        <v>524098362</v>
      </c>
      <c r="C9" s="239">
        <f>ROUND(SUM('[2]Monthly Program Costs'!Z294:AK294),2)</f>
        <v>1412710.75</v>
      </c>
      <c r="F9" s="48"/>
      <c r="P9" s="1"/>
      <c r="Q9" s="1"/>
      <c r="R9" s="1"/>
      <c r="S9" s="1"/>
      <c r="T9" s="1"/>
      <c r="U9" s="1"/>
      <c r="V9" s="1"/>
      <c r="W9" s="1"/>
      <c r="X9" s="1"/>
      <c r="Y9" s="1"/>
    </row>
    <row r="10" spans="1:25" x14ac:dyDescent="0.35">
      <c r="A10" s="31" t="s">
        <v>113</v>
      </c>
      <c r="B10" s="258">
        <f>SUM(B5:B9)</f>
        <v>6637128386</v>
      </c>
      <c r="C10" s="240">
        <f>SUM(C5:C9)</f>
        <v>17965606.950000003</v>
      </c>
      <c r="P10" s="1"/>
      <c r="Q10" s="1"/>
      <c r="R10" s="1"/>
      <c r="S10" s="1"/>
      <c r="T10" s="1"/>
      <c r="U10" s="1"/>
      <c r="V10" s="1"/>
      <c r="W10" s="1"/>
      <c r="X10" s="1"/>
      <c r="Y10" s="1"/>
    </row>
    <row r="12" spans="1:25" x14ac:dyDescent="0.35">
      <c r="A12" s="54" t="s">
        <v>11</v>
      </c>
    </row>
    <row r="13" spans="1:25" ht="30" customHeight="1" x14ac:dyDescent="0.35">
      <c r="A13" s="293" t="s">
        <v>169</v>
      </c>
      <c r="B13" s="293"/>
      <c r="C13" s="293"/>
      <c r="D13" s="294"/>
      <c r="E13" s="294"/>
      <c r="F13" s="294"/>
      <c r="G13" s="294"/>
      <c r="H13" s="294"/>
      <c r="I13" s="294"/>
    </row>
    <row r="14" spans="1:25" ht="33.75" customHeight="1" x14ac:dyDescent="0.35">
      <c r="A14" s="293" t="s">
        <v>199</v>
      </c>
      <c r="B14" s="293"/>
      <c r="C14" s="293"/>
    </row>
    <row r="15" spans="1:25" x14ac:dyDescent="0.35">
      <c r="A15" s="3"/>
    </row>
    <row r="24" spans="3:3" x14ac:dyDescent="0.35">
      <c r="C24" s="2"/>
    </row>
    <row r="46" spans="2:3" x14ac:dyDescent="0.35">
      <c r="B46" s="8"/>
      <c r="C46" s="8"/>
    </row>
    <row r="50" spans="2:3" x14ac:dyDescent="0.35">
      <c r="B50" s="8"/>
      <c r="C50" s="8"/>
    </row>
  </sheetData>
  <mergeCells count="5">
    <mergeCell ref="B3:C3"/>
    <mergeCell ref="A14:C14"/>
    <mergeCell ref="A13:C13"/>
    <mergeCell ref="D13:F13"/>
    <mergeCell ref="G13:I13"/>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I81"/>
  <sheetViews>
    <sheetView topLeftCell="A67" workbookViewId="0">
      <selection activeCell="A75" sqref="A75:G75"/>
    </sheetView>
  </sheetViews>
  <sheetFormatPr defaultColWidth="9.1796875" defaultRowHeight="14.5" x14ac:dyDescent="0.35"/>
  <cols>
    <col min="1" max="1" width="54.54296875" style="47" customWidth="1"/>
    <col min="2" max="2" width="14.7265625" style="47" customWidth="1"/>
    <col min="3" max="4" width="15" style="47" customWidth="1"/>
    <col min="5" max="5" width="15.26953125" style="47" customWidth="1"/>
    <col min="6" max="6" width="15.81640625" style="47" customWidth="1"/>
    <col min="7" max="7" width="17.54296875" style="47" customWidth="1"/>
    <col min="8" max="9" width="13.26953125" style="47" customWidth="1"/>
    <col min="10" max="10" width="15.7265625" style="47" customWidth="1"/>
    <col min="11" max="12" width="12.54296875" style="47" bestFit="1" customWidth="1"/>
    <col min="13" max="13" width="14.453125" style="47" customWidth="1"/>
    <col min="14" max="14" width="15" style="47" bestFit="1" customWidth="1"/>
    <col min="15" max="15" width="16.26953125" style="47" bestFit="1" customWidth="1"/>
    <col min="16" max="16" width="16.1796875" style="47" customWidth="1"/>
    <col min="17" max="17" width="17.26953125" style="47" bestFit="1" customWidth="1"/>
    <col min="18" max="18" width="17.453125" style="47" customWidth="1"/>
    <col min="19" max="19" width="15.54296875" style="47" customWidth="1"/>
    <col min="20" max="20" width="13" style="47" customWidth="1"/>
    <col min="21" max="21" width="9.1796875" style="47"/>
    <col min="22" max="22" width="14.26953125" style="47" bestFit="1" customWidth="1"/>
    <col min="23" max="16384" width="9.1796875" style="47"/>
  </cols>
  <sheetData>
    <row r="1" spans="1:35" x14ac:dyDescent="0.35">
      <c r="A1" s="3" t="str">
        <f>+'PPC Cycle 3'!A1</f>
        <v>Evergy Metro, Inc. - DSIM Rider Update Filed 06/01/2021</v>
      </c>
      <c r="B1" s="3"/>
      <c r="C1" s="3"/>
      <c r="D1" s="3"/>
    </row>
    <row r="2" spans="1:35" x14ac:dyDescent="0.35">
      <c r="E2" s="3" t="s">
        <v>140</v>
      </c>
    </row>
    <row r="3" spans="1:35" ht="29" x14ac:dyDescent="0.35">
      <c r="E3" s="49" t="s">
        <v>46</v>
      </c>
      <c r="F3" s="49" t="s">
        <v>45</v>
      </c>
      <c r="G3" s="71" t="s">
        <v>2</v>
      </c>
      <c r="H3" s="49" t="s">
        <v>3</v>
      </c>
      <c r="I3" s="71" t="s">
        <v>55</v>
      </c>
      <c r="J3" s="49" t="s">
        <v>10</v>
      </c>
      <c r="K3" s="49" t="s">
        <v>4</v>
      </c>
    </row>
    <row r="4" spans="1:35" x14ac:dyDescent="0.35">
      <c r="A4" s="20" t="s">
        <v>24</v>
      </c>
      <c r="E4" s="22">
        <f>SUM(C29:M29)</f>
        <v>3547213.85</v>
      </c>
      <c r="F4" s="139">
        <f>SUM(C22:M22)</f>
        <v>1325492189.888</v>
      </c>
      <c r="G4" s="22">
        <f>SUM(C15:L15)</f>
        <v>2787244.13</v>
      </c>
      <c r="H4" s="22">
        <f>G4-E4</f>
        <v>-759969.7200000002</v>
      </c>
      <c r="I4" s="22">
        <f>+B45</f>
        <v>181166.57999999978</v>
      </c>
      <c r="J4" s="22">
        <f>SUM(C53:L53)</f>
        <v>-2995.1399999999994</v>
      </c>
      <c r="K4" s="26">
        <f>SUM(H4:J4)</f>
        <v>-581798.28000000038</v>
      </c>
      <c r="L4" s="48">
        <f>+K4-M45</f>
        <v>0</v>
      </c>
    </row>
    <row r="5" spans="1:35" x14ac:dyDescent="0.35">
      <c r="A5" s="20" t="s">
        <v>108</v>
      </c>
      <c r="E5" s="22">
        <f>SUM(C30:M30)</f>
        <v>653241.01</v>
      </c>
      <c r="F5" s="139">
        <f>SUM(C23:M23)</f>
        <v>305747148.66440004</v>
      </c>
      <c r="G5" s="22">
        <f>SUM(C16:L16)</f>
        <v>339437.44</v>
      </c>
      <c r="H5" s="22">
        <f>G5-E5</f>
        <v>-313803.57</v>
      </c>
      <c r="I5" s="22">
        <f>+B46</f>
        <v>-2646.5100000000007</v>
      </c>
      <c r="J5" s="22">
        <f>SUM(C54:L54)</f>
        <v>-915.5</v>
      </c>
      <c r="K5" s="26">
        <f>SUM(H5:J5)</f>
        <v>-317365.58</v>
      </c>
      <c r="L5" s="48">
        <f t="shared" ref="L5:L7" si="0">+K5-M46</f>
        <v>0</v>
      </c>
    </row>
    <row r="6" spans="1:35" x14ac:dyDescent="0.35">
      <c r="A6" s="20" t="s">
        <v>109</v>
      </c>
      <c r="E6" s="22">
        <f>SUM(C31:M31)</f>
        <v>1380470.1500000001</v>
      </c>
      <c r="F6" s="139">
        <f>SUM(C24:M24)</f>
        <v>569777617.65690005</v>
      </c>
      <c r="G6" s="22">
        <f>SUM(C17:L17)</f>
        <v>1222371.8800000001</v>
      </c>
      <c r="H6" s="22">
        <f>G6-E6</f>
        <v>-158098.27000000002</v>
      </c>
      <c r="I6" s="22">
        <f>+B47</f>
        <v>829431.59</v>
      </c>
      <c r="J6" s="22">
        <f>SUM(C55:L55)</f>
        <v>5703.6200000000008</v>
      </c>
      <c r="K6" s="26">
        <f>SUM(H6:J6)</f>
        <v>677036.94</v>
      </c>
      <c r="L6" s="48">
        <f t="shared" si="0"/>
        <v>0</v>
      </c>
    </row>
    <row r="7" spans="1:35" x14ac:dyDescent="0.35">
      <c r="A7" s="20" t="s">
        <v>110</v>
      </c>
      <c r="E7" s="22">
        <f>SUM(C32:M32)</f>
        <v>1892757.81</v>
      </c>
      <c r="F7" s="139">
        <f>SUM(C25:M25)</f>
        <v>925169314.22160006</v>
      </c>
      <c r="G7" s="22">
        <f>SUM(C18:L18)</f>
        <v>1825893.7600000002</v>
      </c>
      <c r="H7" s="22">
        <f>G7-E7</f>
        <v>-66864.049999999814</v>
      </c>
      <c r="I7" s="22">
        <f>+B48</f>
        <v>322066.18000000005</v>
      </c>
      <c r="J7" s="22">
        <f>SUM(C56:L56)</f>
        <v>2016.86</v>
      </c>
      <c r="K7" s="26">
        <f>SUM(H7:J7)</f>
        <v>257218.99000000022</v>
      </c>
      <c r="L7" s="48">
        <f t="shared" si="0"/>
        <v>0</v>
      </c>
    </row>
    <row r="8" spans="1:35" ht="15" thickBot="1" x14ac:dyDescent="0.4">
      <c r="A8" s="20" t="s">
        <v>111</v>
      </c>
      <c r="E8" s="22">
        <f>SUM(C33:M33)</f>
        <v>424581.89</v>
      </c>
      <c r="F8" s="139">
        <f>SUM(C26:M26)</f>
        <v>228784429.28780001</v>
      </c>
      <c r="G8" s="22">
        <f>SUM(C19:L19)</f>
        <v>186621.2</v>
      </c>
      <c r="H8" s="22">
        <f>G8-E8</f>
        <v>-237960.69</v>
      </c>
      <c r="I8" s="22">
        <f>+B49</f>
        <v>-242578.34999999992</v>
      </c>
      <c r="J8" s="22">
        <f>SUM(C57:L57)</f>
        <v>-1890.71</v>
      </c>
      <c r="K8" s="26">
        <f>SUM(H8:J8)</f>
        <v>-482429.74999999994</v>
      </c>
      <c r="L8" s="48">
        <f>+K8-M49</f>
        <v>0</v>
      </c>
    </row>
    <row r="9" spans="1:35" ht="15.5" thickTop="1" thickBot="1" x14ac:dyDescent="0.4">
      <c r="E9" s="28">
        <f t="shared" ref="E9:I9" si="1">SUM(E4:E8)</f>
        <v>7898264.71</v>
      </c>
      <c r="F9" s="28">
        <f t="shared" si="1"/>
        <v>3354970699.7186999</v>
      </c>
      <c r="G9" s="28">
        <f t="shared" si="1"/>
        <v>6361568.4100000011</v>
      </c>
      <c r="H9" s="28">
        <f t="shared" si="1"/>
        <v>-1536696.3</v>
      </c>
      <c r="I9" s="28">
        <f t="shared" si="1"/>
        <v>1087439.49</v>
      </c>
      <c r="J9" s="28">
        <f>SUM(J4:J8)</f>
        <v>1919.130000000001</v>
      </c>
      <c r="K9" s="28">
        <f>SUM(K4:K8)</f>
        <v>-447337.68000000011</v>
      </c>
    </row>
    <row r="10" spans="1:35" ht="15.5" thickTop="1" thickBot="1" x14ac:dyDescent="0.4"/>
    <row r="11" spans="1:35" ht="232.5" thickBot="1" x14ac:dyDescent="0.4">
      <c r="B11" s="119" t="str">
        <f>+'PCR Cycle 2'!B14</f>
        <v>Cumulative Over/Under Carryover From 12/01/2020 Filing</v>
      </c>
      <c r="C11" s="280" t="str">
        <f>+'PCR Cycle 2'!C14</f>
        <v>Reverse November 2020 - January 2021  Forecast From 12/01/2020 Filing</v>
      </c>
      <c r="D11" s="280" t="s">
        <v>200</v>
      </c>
      <c r="E11" s="300" t="s">
        <v>33</v>
      </c>
      <c r="F11" s="300"/>
      <c r="G11" s="301"/>
      <c r="H11" s="302" t="s">
        <v>33</v>
      </c>
      <c r="I11" s="303"/>
      <c r="J11" s="304"/>
      <c r="K11" s="295" t="s">
        <v>8</v>
      </c>
      <c r="L11" s="296"/>
      <c r="M11" s="297"/>
    </row>
    <row r="12" spans="1:35" x14ac:dyDescent="0.35">
      <c r="C12" s="14"/>
      <c r="D12" s="19"/>
      <c r="E12" s="19">
        <f>+'PCR Cycle 2'!E15</f>
        <v>44165</v>
      </c>
      <c r="F12" s="19">
        <f>+'PCR Cycle 2'!F15</f>
        <v>44196</v>
      </c>
      <c r="G12" s="19">
        <f>+'PCR Cycle 2'!G15</f>
        <v>44227</v>
      </c>
      <c r="H12" s="14">
        <f>+'PCR Cycle 2'!H15</f>
        <v>44255</v>
      </c>
      <c r="I12" s="19">
        <f>+'PCR Cycle 2'!I15</f>
        <v>44286</v>
      </c>
      <c r="J12" s="15">
        <f>+'PCR Cycle 2'!J15</f>
        <v>44316</v>
      </c>
      <c r="K12" s="19">
        <f>+'PCR Cycle 2'!K15</f>
        <v>44347</v>
      </c>
      <c r="L12" s="19">
        <f>+'PCR Cycle 2'!L15</f>
        <v>44377</v>
      </c>
      <c r="M12" s="96">
        <f>+'PCR Cycle 2'!M15</f>
        <v>44408</v>
      </c>
      <c r="Z12" s="1"/>
      <c r="AA12" s="1"/>
      <c r="AB12" s="1"/>
      <c r="AC12" s="1"/>
      <c r="AD12" s="1"/>
      <c r="AE12" s="1"/>
      <c r="AF12" s="1"/>
      <c r="AG12" s="1"/>
      <c r="AH12" s="1"/>
      <c r="AI12" s="1"/>
    </row>
    <row r="13" spans="1:35" x14ac:dyDescent="0.35">
      <c r="C13" s="99"/>
      <c r="D13" s="270"/>
      <c r="E13" s="32"/>
      <c r="F13" s="32"/>
      <c r="G13" s="32"/>
      <c r="H13" s="29"/>
      <c r="I13" s="32"/>
      <c r="J13" s="11"/>
      <c r="K13" s="32"/>
      <c r="L13" s="32"/>
      <c r="M13" s="30"/>
    </row>
    <row r="14" spans="1:35" x14ac:dyDescent="0.35">
      <c r="A14" s="47" t="s">
        <v>141</v>
      </c>
      <c r="C14" s="100"/>
      <c r="D14" s="152"/>
      <c r="E14" s="32"/>
      <c r="F14" s="32"/>
      <c r="G14" s="32"/>
      <c r="H14" s="29"/>
      <c r="I14" s="32"/>
      <c r="J14" s="170"/>
      <c r="K14" s="17"/>
      <c r="L14" s="17"/>
      <c r="M14" s="11"/>
    </row>
    <row r="15" spans="1:35" x14ac:dyDescent="0.35">
      <c r="A15" s="47" t="s">
        <v>24</v>
      </c>
      <c r="C15" s="98">
        <v>-895499.41999999993</v>
      </c>
      <c r="D15" s="269">
        <f>ROUND(SUM('[3]Metro Cycle 3 Prog Cost'!$C$102:$M$102),2)</f>
        <v>-138040.32999999999</v>
      </c>
      <c r="E15" s="110">
        <f>ROUND([4]Pivot!$N$28,2)</f>
        <v>282007.34999999998</v>
      </c>
      <c r="F15" s="110">
        <f>ROUND([5]Pivot!$N$28,2)</f>
        <v>447094.97</v>
      </c>
      <c r="G15" s="111">
        <f>ROUND([6]Pivot!$N$29,2)</f>
        <v>275610.38</v>
      </c>
      <c r="H15" s="16">
        <f>ROUND([7]Pivot!$N$29,2)</f>
        <v>367230.85</v>
      </c>
      <c r="I15" s="56">
        <f>ROUND([8]Pivot!$N$30,2)</f>
        <v>751431.95</v>
      </c>
      <c r="J15" s="169">
        <f>ROUND([9]Pivot!$N$28,2)</f>
        <v>474830.45</v>
      </c>
      <c r="K15" s="179">
        <f>ROUND('[2]Monthly Program Costs'!X290,2)</f>
        <v>529034.94999999995</v>
      </c>
      <c r="L15" s="141">
        <f>ROUND('[2]Monthly Program Costs'!Y290,2)</f>
        <v>693542.98</v>
      </c>
      <c r="M15" s="77"/>
      <c r="R15" s="47">
        <v>532208.78</v>
      </c>
      <c r="S15" s="47">
        <v>716027.06</v>
      </c>
    </row>
    <row r="16" spans="1:35" x14ac:dyDescent="0.35">
      <c r="A16" s="47" t="s">
        <v>108</v>
      </c>
      <c r="C16" s="98">
        <v>-158557.70000000001</v>
      </c>
      <c r="D16" s="269">
        <f>ROUND(SUM('[3]Metro Cycle 3 Prog Cost'!$C$103:$M$103),2)</f>
        <v>13924.6</v>
      </c>
      <c r="E16" s="110">
        <f>ROUND([4]Pivot!$O$28,2)</f>
        <v>50433.599999999999</v>
      </c>
      <c r="F16" s="110">
        <f>ROUND([5]Pivot!$O$28,2)</f>
        <v>94259.199999999997</v>
      </c>
      <c r="G16" s="111">
        <f>ROUND([6]Pivot!$O$29,2)</f>
        <v>86669.35</v>
      </c>
      <c r="H16" s="16">
        <f>ROUND([7]Pivot!$O$29,2)</f>
        <v>54928.79</v>
      </c>
      <c r="I16" s="56">
        <f>ROUND([8]Pivot!$O$30,2)</f>
        <v>57058.96</v>
      </c>
      <c r="J16" s="169">
        <f>ROUND([9]Pivot!$O$28,2)</f>
        <v>19572.650000000001</v>
      </c>
      <c r="K16" s="179">
        <f>ROUND('[2]Monthly Program Costs'!X291,2)</f>
        <v>52731.29</v>
      </c>
      <c r="L16" s="141">
        <f>ROUND('[2]Monthly Program Costs'!Y291,2)</f>
        <v>68416.7</v>
      </c>
      <c r="M16" s="77"/>
      <c r="P16" s="267">
        <f>SUM(E16:J16)/SUM($E$16:$J$19)</f>
        <v>9.407805268239576E-2</v>
      </c>
      <c r="R16" s="47">
        <v>52411.14</v>
      </c>
      <c r="S16" s="47">
        <v>66148.66</v>
      </c>
    </row>
    <row r="17" spans="1:19" x14ac:dyDescent="0.35">
      <c r="A17" s="47" t="s">
        <v>109</v>
      </c>
      <c r="C17" s="98">
        <v>-427173.1</v>
      </c>
      <c r="D17" s="269">
        <f>ROUND(SUM('[3]Metro Cycle 3 Prog Cost'!$C$104:$M$104),2)</f>
        <v>39265.599999999999</v>
      </c>
      <c r="E17" s="110">
        <f>ROUND([4]Pivot!$P$28,2)</f>
        <v>213821.14</v>
      </c>
      <c r="F17" s="110">
        <f>ROUND([5]Pivot!$P$28,2)</f>
        <v>431570.12</v>
      </c>
      <c r="G17" s="111">
        <f>ROUND([6]Pivot!$P$29,2)</f>
        <v>96535.39</v>
      </c>
      <c r="H17" s="16">
        <f>ROUND([7]Pivot!$P$29,2)</f>
        <v>230967.31</v>
      </c>
      <c r="I17" s="56">
        <f>ROUND([8]Pivot!$P$30,2)</f>
        <v>197818.92</v>
      </c>
      <c r="J17" s="169">
        <f>ROUND([9]Pivot!$P$28,2)</f>
        <v>130387.23</v>
      </c>
      <c r="K17" s="179">
        <f>ROUND('[2]Monthly Program Costs'!X292,2)</f>
        <v>132474.20000000001</v>
      </c>
      <c r="L17" s="141">
        <f>ROUND('[2]Monthly Program Costs'!Y292,2)</f>
        <v>176705.07</v>
      </c>
      <c r="M17" s="77"/>
      <c r="P17" s="267">
        <f t="shared" ref="P17:P19" si="2">SUM(E17:J17)/SUM($E$16:$J$19)</f>
        <v>0.33727572093178254</v>
      </c>
      <c r="R17" s="47">
        <v>131571.41</v>
      </c>
      <c r="S17" s="47">
        <v>170309.47</v>
      </c>
    </row>
    <row r="18" spans="1:19" x14ac:dyDescent="0.35">
      <c r="A18" s="47" t="s">
        <v>110</v>
      </c>
      <c r="C18" s="98">
        <v>-697002.78</v>
      </c>
      <c r="D18" s="269">
        <f>ROUND(SUM('[3]Metro Cycle 3 Prog Cost'!$C$105:$M$105),2)</f>
        <v>62598.91</v>
      </c>
      <c r="E18" s="110">
        <f>ROUND([4]Pivot!$Q$28,2)</f>
        <v>88068.42</v>
      </c>
      <c r="F18" s="110">
        <f>ROUND([5]Pivot!$Q$28,2)</f>
        <v>479497.38</v>
      </c>
      <c r="G18" s="111">
        <f>ROUND([6]Pivot!$Q$29,2)</f>
        <v>89392.93</v>
      </c>
      <c r="H18" s="16">
        <f>ROUND([7]Pivot!$Q$29,2)</f>
        <v>51299.39</v>
      </c>
      <c r="I18" s="56">
        <f>ROUND([8]Pivot!$Q$30,2)</f>
        <v>609234.05000000005</v>
      </c>
      <c r="J18" s="169">
        <f>ROUND([9]Pivot!$Q$28,2)</f>
        <v>642330.42000000004</v>
      </c>
      <c r="K18" s="179">
        <f>ROUND('[2]Monthly Program Costs'!X293,2)</f>
        <v>214980.14</v>
      </c>
      <c r="L18" s="141">
        <f>ROUND('[2]Monthly Program Costs'!Y293,2)</f>
        <v>285494.90000000002</v>
      </c>
      <c r="M18" s="77"/>
      <c r="P18" s="267">
        <f t="shared" si="2"/>
        <v>0.50803206598809925</v>
      </c>
      <c r="R18" s="47">
        <v>213540.87</v>
      </c>
      <c r="S18" s="47">
        <v>275298.77</v>
      </c>
    </row>
    <row r="19" spans="1:19" x14ac:dyDescent="0.35">
      <c r="A19" s="47" t="s">
        <v>111</v>
      </c>
      <c r="C19" s="98">
        <v>-246999.78</v>
      </c>
      <c r="D19" s="269">
        <f>ROUND(SUM('[3]Metro Cycle 3 Prog Cost'!$C$106:$M$106),2)</f>
        <v>22251.22</v>
      </c>
      <c r="E19" s="110">
        <f>ROUND([4]Pivot!$R$28,2)</f>
        <v>12877.66</v>
      </c>
      <c r="F19" s="110">
        <f>ROUND([5]Pivot!$R$28,2)</f>
        <v>126153.72</v>
      </c>
      <c r="G19" s="111">
        <f>ROUND([6]Pivot!$R$29,2)</f>
        <v>29699.5</v>
      </c>
      <c r="H19" s="16">
        <f>ROUND([7]Pivot!$R$29,2)</f>
        <v>17973.27</v>
      </c>
      <c r="I19" s="56">
        <f>ROUND([8]Pivot!$R$30,2)</f>
        <v>36851.660000000003</v>
      </c>
      <c r="J19" s="169">
        <f>ROUND([9]Pivot!$R$28,2)</f>
        <v>10273.92</v>
      </c>
      <c r="K19" s="179">
        <f>ROUND('[2]Monthly Program Costs'!X294,2)</f>
        <v>76237.55</v>
      </c>
      <c r="L19" s="141">
        <f>ROUND('[2]Monthly Program Costs'!Y294,2)</f>
        <v>101302.48</v>
      </c>
      <c r="M19" s="77"/>
      <c r="P19" s="267">
        <f t="shared" si="2"/>
        <v>6.0614160397722251E-2</v>
      </c>
      <c r="R19" s="47">
        <v>75725.94</v>
      </c>
      <c r="S19" s="47">
        <v>97678.19</v>
      </c>
    </row>
    <row r="20" spans="1:19" x14ac:dyDescent="0.35">
      <c r="C20" s="100"/>
      <c r="D20" s="152"/>
      <c r="E20" s="32"/>
      <c r="F20" s="32"/>
      <c r="G20" s="32"/>
      <c r="H20" s="29"/>
      <c r="I20" s="32"/>
      <c r="J20" s="32"/>
      <c r="K20" s="29"/>
      <c r="L20" s="17"/>
      <c r="M20" s="11"/>
    </row>
    <row r="21" spans="1:19" x14ac:dyDescent="0.35">
      <c r="A21" s="40" t="s">
        <v>47</v>
      </c>
      <c r="B21" s="40"/>
      <c r="C21" s="102"/>
      <c r="D21" s="271"/>
      <c r="E21" s="32"/>
      <c r="F21" s="32"/>
      <c r="G21" s="32"/>
      <c r="H21" s="29"/>
      <c r="I21" s="32"/>
      <c r="J21" s="11"/>
      <c r="K21" s="17"/>
      <c r="L21" s="17"/>
      <c r="M21" s="11"/>
    </row>
    <row r="22" spans="1:19" x14ac:dyDescent="0.35">
      <c r="A22" s="47" t="s">
        <v>24</v>
      </c>
      <c r="C22" s="103">
        <v>-651672245</v>
      </c>
      <c r="D22" s="272"/>
      <c r="E22" s="112">
        <f>+'PCR Cycle 2'!E27</f>
        <v>171706913.76149994</v>
      </c>
      <c r="F22" s="112">
        <f>+'PCR Cycle 2'!F27</f>
        <v>206430008.66069999</v>
      </c>
      <c r="G22" s="112">
        <f>+'PCR Cycle 2'!G27</f>
        <v>256841523.56810001</v>
      </c>
      <c r="H22" s="189">
        <f>+'PCR Cycle 2'!H27</f>
        <v>258074452.14089999</v>
      </c>
      <c r="I22" s="192">
        <f>+'PCR Cycle 2'!I27</f>
        <v>227856987.37839997</v>
      </c>
      <c r="J22" s="184">
        <f>+'PCR Cycle 2'!J27</f>
        <v>227856987.37839997</v>
      </c>
      <c r="K22" s="180">
        <f>+'PCR Cycle 2'!K27</f>
        <v>151197969</v>
      </c>
      <c r="L22" s="142">
        <f>+'PCR Cycle 2'!L27</f>
        <v>194132921</v>
      </c>
      <c r="M22" s="78">
        <f>+'PCR Cycle 2'!M27</f>
        <v>283066672</v>
      </c>
    </row>
    <row r="23" spans="1:19" x14ac:dyDescent="0.35">
      <c r="A23" s="47" t="s">
        <v>108</v>
      </c>
      <c r="C23" s="103">
        <v>-96188501</v>
      </c>
      <c r="D23" s="272"/>
      <c r="E23" s="112">
        <f>+'PCR Cycle 2'!E28</f>
        <v>37919951.567500003</v>
      </c>
      <c r="F23" s="112">
        <f>+'PCR Cycle 2'!F28</f>
        <v>43432139.264500007</v>
      </c>
      <c r="G23" s="112">
        <f>+'PCR Cycle 2'!G28</f>
        <v>47075644.781300008</v>
      </c>
      <c r="H23" s="189">
        <f>+'PCR Cycle 2'!H28</f>
        <v>47743336.265700005</v>
      </c>
      <c r="I23" s="192">
        <f>+'PCR Cycle 2'!I28</f>
        <v>45650428.892700002</v>
      </c>
      <c r="J23" s="184">
        <f>+'PCR Cycle 2'!J28</f>
        <v>45650428.892700002</v>
      </c>
      <c r="K23" s="180">
        <f>+'PCR Cycle 2'!K28</f>
        <v>40460535</v>
      </c>
      <c r="L23" s="142">
        <f>+'PCR Cycle 2'!L28</f>
        <v>44790139</v>
      </c>
      <c r="M23" s="78">
        <f>+'PCR Cycle 2'!M28</f>
        <v>49213046</v>
      </c>
    </row>
    <row r="24" spans="1:19" x14ac:dyDescent="0.35">
      <c r="A24" s="47" t="s">
        <v>109</v>
      </c>
      <c r="C24" s="103">
        <v>-273940548</v>
      </c>
      <c r="D24" s="272"/>
      <c r="E24" s="112">
        <f>+'PCR Cycle 2'!E29</f>
        <v>82575083.608999997</v>
      </c>
      <c r="F24" s="112">
        <f>+'PCR Cycle 2'!F29</f>
        <v>88242354.205900013</v>
      </c>
      <c r="G24" s="112">
        <f>+'PCR Cycle 2'!G29</f>
        <v>97441545.004099995</v>
      </c>
      <c r="H24" s="189">
        <f>+'PCR Cycle 2'!H29</f>
        <v>94856578.525900021</v>
      </c>
      <c r="I24" s="192">
        <f>+'PCR Cycle 2'!I29</f>
        <v>93748058.156000003</v>
      </c>
      <c r="J24" s="184">
        <f>+'PCR Cycle 2'!J29</f>
        <v>93748058.156000003</v>
      </c>
      <c r="K24" s="180">
        <f>+'PCR Cycle 2'!K29</f>
        <v>88196618</v>
      </c>
      <c r="L24" s="142">
        <f>+'PCR Cycle 2'!L29</f>
        <v>97634368</v>
      </c>
      <c r="M24" s="78">
        <f>+'PCR Cycle 2'!M29</f>
        <v>107275502</v>
      </c>
    </row>
    <row r="25" spans="1:19" x14ac:dyDescent="0.35">
      <c r="A25" s="47" t="s">
        <v>110</v>
      </c>
      <c r="C25" s="103">
        <v>-424765780</v>
      </c>
      <c r="D25" s="272"/>
      <c r="E25" s="112">
        <f>+'PCR Cycle 2'!E30</f>
        <v>132576801.11580001</v>
      </c>
      <c r="F25" s="112">
        <f>+'PCR Cycle 2'!F30</f>
        <v>144616153.53920001</v>
      </c>
      <c r="G25" s="112">
        <f>+'PCR Cycle 2'!G30</f>
        <v>153359017.4966</v>
      </c>
      <c r="H25" s="189">
        <f>+'PCR Cycle 2'!H30</f>
        <v>150839894.21359998</v>
      </c>
      <c r="I25" s="192">
        <f>+'PCR Cycle 2'!I30</f>
        <v>152025748.42820001</v>
      </c>
      <c r="J25" s="184">
        <f>+'PCR Cycle 2'!J30</f>
        <v>152025748.42820001</v>
      </c>
      <c r="K25" s="180">
        <f>+'PCR Cycle 2'!K30</f>
        <v>139766949</v>
      </c>
      <c r="L25" s="142">
        <f>+'PCR Cycle 2'!L30</f>
        <v>154723142</v>
      </c>
      <c r="M25" s="78">
        <f>+'PCR Cycle 2'!M30</f>
        <v>170001640</v>
      </c>
    </row>
    <row r="26" spans="1:19" x14ac:dyDescent="0.35">
      <c r="A26" s="47" t="s">
        <v>111</v>
      </c>
      <c r="C26" s="103">
        <v>-128494680</v>
      </c>
      <c r="D26" s="272"/>
      <c r="E26" s="112">
        <f>+'PCR Cycle 2'!E31</f>
        <v>38850191.596500009</v>
      </c>
      <c r="F26" s="112">
        <f>+'PCR Cycle 2'!F31</f>
        <v>38834530.521600001</v>
      </c>
      <c r="G26" s="112">
        <f>+'PCR Cycle 2'!G31</f>
        <v>38073037.279299997</v>
      </c>
      <c r="H26" s="189">
        <f>+'PCR Cycle 2'!H31</f>
        <v>36328911.880999997</v>
      </c>
      <c r="I26" s="192">
        <f>+'PCR Cycle 2'!I31</f>
        <v>35849326.004699998</v>
      </c>
      <c r="J26" s="184">
        <f>+'PCR Cycle 2'!J31</f>
        <v>35849326.004699998</v>
      </c>
      <c r="K26" s="180">
        <f>+'PCR Cycle 2'!K31</f>
        <v>40168679</v>
      </c>
      <c r="L26" s="142">
        <f>+'PCR Cycle 2'!L31</f>
        <v>44467052</v>
      </c>
      <c r="M26" s="78">
        <f>+'PCR Cycle 2'!M31</f>
        <v>48858055</v>
      </c>
    </row>
    <row r="27" spans="1:19" x14ac:dyDescent="0.35">
      <c r="C27" s="100"/>
      <c r="D27" s="152"/>
      <c r="E27" s="32"/>
      <c r="F27" s="32"/>
      <c r="G27" s="32"/>
      <c r="H27" s="29"/>
      <c r="I27" s="32"/>
      <c r="J27" s="11"/>
      <c r="K27" s="17"/>
      <c r="L27" s="17"/>
      <c r="M27" s="11"/>
    </row>
    <row r="28" spans="1:19" x14ac:dyDescent="0.35">
      <c r="A28" s="47" t="s">
        <v>34</v>
      </c>
      <c r="C28" s="100"/>
      <c r="D28" s="152"/>
      <c r="E28" s="18"/>
      <c r="F28" s="18"/>
      <c r="G28" s="18"/>
      <c r="H28" s="92"/>
      <c r="I28" s="18"/>
      <c r="J28" s="11"/>
      <c r="K28" s="58"/>
      <c r="L28" s="58"/>
      <c r="M28" s="59"/>
      <c r="N28" s="64" t="s">
        <v>50</v>
      </c>
      <c r="O28" s="40"/>
    </row>
    <row r="29" spans="1:19" x14ac:dyDescent="0.35">
      <c r="A29" s="47" t="s">
        <v>24</v>
      </c>
      <c r="C29" s="98">
        <v>-1941983.28</v>
      </c>
      <c r="D29" s="269"/>
      <c r="E29" s="110">
        <f>ROUND('[10]Nov 2020'!$F79+'[10]Nov 2020'!$F87,2)</f>
        <v>511667.57</v>
      </c>
      <c r="F29" s="110">
        <f>ROUND('[10]Dec 2020'!$F79+'[10]Dec 2020'!$F87,2)</f>
        <v>615129.26</v>
      </c>
      <c r="G29" s="110">
        <f>ROUND('[10]Jan 2021'!$F79+'[10]Jan 2021'!$F87,2)</f>
        <v>765311.26</v>
      </c>
      <c r="H29" s="190">
        <f>ROUND('[10]Feb 2021'!$F79+'[10]Feb 2021'!$F87,2)</f>
        <v>750686.25</v>
      </c>
      <c r="I29" s="56">
        <f>ROUND('[10]Mar 2021'!$F79+'[10]Mar 2021'!$F87,2)</f>
        <v>640304.52</v>
      </c>
      <c r="J29" s="182">
        <f>ROUND('[10]Apr 2021'!$F79+'[10]Apr 2021'!$F87,2)</f>
        <v>440301.12</v>
      </c>
      <c r="K29" s="124">
        <f>ROUND(K22*$N29,2)</f>
        <v>424866.29</v>
      </c>
      <c r="L29" s="42">
        <f t="shared" ref="L29:M29" si="3">ROUND(L22*$N29,2)</f>
        <v>545513.51</v>
      </c>
      <c r="M29" s="62">
        <f t="shared" si="3"/>
        <v>795417.35</v>
      </c>
      <c r="N29" s="73">
        <v>2.81E-3</v>
      </c>
    </row>
    <row r="30" spans="1:19" x14ac:dyDescent="0.35">
      <c r="A30" s="47" t="s">
        <v>108</v>
      </c>
      <c r="C30" s="98">
        <v>-247204.45</v>
      </c>
      <c r="D30" s="269"/>
      <c r="E30" s="110">
        <f>ROUND('[10]Nov 2020'!$F80+'[10]Nov 2020'!$F88,2)</f>
        <v>97311.08</v>
      </c>
      <c r="F30" s="110">
        <f>ROUND('[10]Dec 2020'!$F80+'[10]Dec 2020'!$F88,2)</f>
        <v>111312.71</v>
      </c>
      <c r="G30" s="110">
        <f>ROUND('[10]Jan 2021'!$F80+'[10]Jan 2021'!$F88,2)</f>
        <v>120719.37</v>
      </c>
      <c r="H30" s="190">
        <f>ROUND('[10]Feb 2021'!$F80+'[10]Feb 2021'!$F88,2)</f>
        <v>113781.16</v>
      </c>
      <c r="I30" s="56">
        <f>ROUND('[10]Mar 2021'!$F80+'[10]Mar 2021'!$F88,2)</f>
        <v>95666.74</v>
      </c>
      <c r="J30" s="182">
        <f>ROUND('[10]Apr 2021'!$F80+'[10]Apr 2021'!$F88,2)</f>
        <v>79280.59</v>
      </c>
      <c r="K30" s="124">
        <f t="shared" ref="K30:M30" si="4">ROUND(K23*$N30,2)</f>
        <v>84967.12</v>
      </c>
      <c r="L30" s="42">
        <f t="shared" si="4"/>
        <v>94059.29</v>
      </c>
      <c r="M30" s="62">
        <f t="shared" si="4"/>
        <v>103347.4</v>
      </c>
      <c r="N30" s="73">
        <v>2.0999999999999999E-3</v>
      </c>
    </row>
    <row r="31" spans="1:19" x14ac:dyDescent="0.35">
      <c r="A31" s="47" t="s">
        <v>109</v>
      </c>
      <c r="C31" s="98">
        <v>-471177.74</v>
      </c>
      <c r="D31" s="269"/>
      <c r="E31" s="110">
        <f>ROUND('[10]Nov 2020'!$F81+'[10]Nov 2020'!$F89,2)</f>
        <v>142029.15</v>
      </c>
      <c r="F31" s="110">
        <f>ROUND('[10]Dec 2020'!$F81+'[10]Dec 2020'!$F89,2)</f>
        <v>151539.94</v>
      </c>
      <c r="G31" s="110">
        <f>ROUND('[10]Jan 2021'!$F81+'[10]Jan 2021'!$F89,2)</f>
        <v>167426.79999999999</v>
      </c>
      <c r="H31" s="190">
        <f>ROUND('[10]Feb 2021'!$F81+'[10]Feb 2021'!$F89,2)</f>
        <v>194240.89</v>
      </c>
      <c r="I31" s="56">
        <f>ROUND('[10]Mar 2021'!$F81+'[10]Mar 2021'!$F89,2)</f>
        <v>241772.88</v>
      </c>
      <c r="J31" s="182">
        <f>ROUND('[10]Apr 2021'!$F81+'[10]Apr 2021'!$F89,2)</f>
        <v>198423.49</v>
      </c>
      <c r="K31" s="124">
        <f t="shared" ref="K31:M31" si="5">ROUND(K24*$N31,2)</f>
        <v>227547.27</v>
      </c>
      <c r="L31" s="42">
        <f t="shared" si="5"/>
        <v>251896.67</v>
      </c>
      <c r="M31" s="62">
        <f t="shared" si="5"/>
        <v>276770.8</v>
      </c>
      <c r="N31" s="73">
        <v>2.5799999999999998E-3</v>
      </c>
    </row>
    <row r="32" spans="1:19" x14ac:dyDescent="0.35">
      <c r="A32" s="47" t="s">
        <v>110</v>
      </c>
      <c r="C32" s="98">
        <v>-764578.41</v>
      </c>
      <c r="D32" s="269"/>
      <c r="E32" s="110">
        <f>ROUND('[10]Nov 2020'!$F82+'[10]Nov 2020'!$F90,2)</f>
        <v>238638.25</v>
      </c>
      <c r="F32" s="110">
        <f>ROUND('[10]Dec 2020'!$F82+'[10]Dec 2020'!$F90,2)</f>
        <v>260174.64</v>
      </c>
      <c r="G32" s="110">
        <f>ROUND('[10]Jan 2021'!$F82+'[10]Jan 2021'!$F90,2)</f>
        <v>275733.23</v>
      </c>
      <c r="H32" s="190">
        <f>ROUND('[10]Feb 2021'!$F82+'[10]Feb 2021'!$F90,2)</f>
        <v>292168.96000000002</v>
      </c>
      <c r="I32" s="56">
        <f>ROUND('[10]Mar 2021'!$F82+'[10]Mar 2021'!$F90,2)</f>
        <v>323622.38</v>
      </c>
      <c r="J32" s="182">
        <f>ROUND('[10]Apr 2021'!$F82+'[10]Apr 2021'!$F90,2)</f>
        <v>277631.38</v>
      </c>
      <c r="K32" s="124">
        <f t="shared" ref="K32:M32" si="6">ROUND(K25*$N32,2)</f>
        <v>297703.59999999998</v>
      </c>
      <c r="L32" s="42">
        <f t="shared" si="6"/>
        <v>329560.28999999998</v>
      </c>
      <c r="M32" s="62">
        <f t="shared" si="6"/>
        <v>362103.49</v>
      </c>
      <c r="N32" s="73">
        <v>2.1299999999999999E-3</v>
      </c>
    </row>
    <row r="33" spans="1:14" x14ac:dyDescent="0.35">
      <c r="A33" s="47" t="s">
        <v>111</v>
      </c>
      <c r="C33" s="98">
        <v>-278833.45999999996</v>
      </c>
      <c r="D33" s="269"/>
      <c r="E33" s="110">
        <f>ROUND('[10]Nov 2020'!$F83+'[10]Nov 2020'!$F91,2)</f>
        <v>84304.92</v>
      </c>
      <c r="F33" s="110">
        <f>ROUND('[10]Dec 2020'!$F83+'[10]Dec 2020'!$F91,2)</f>
        <v>84270.93</v>
      </c>
      <c r="G33" s="110">
        <f>ROUND('[10]Jan 2021'!$F83+'[10]Jan 2021'!$F91,2)</f>
        <v>82618.5</v>
      </c>
      <c r="H33" s="190">
        <f>ROUND('[10]Feb 2021'!$F83+'[10]Feb 2021'!$F91,2)</f>
        <v>73046.16</v>
      </c>
      <c r="I33" s="56">
        <f>ROUND('[10]Mar 2021'!$F83+'[10]Mar 2021'!$F91,2)</f>
        <v>66321.259999999995</v>
      </c>
      <c r="J33" s="182">
        <f>ROUND('[10]Apr 2021'!$F83+'[10]Apr 2021'!$F91,2)</f>
        <v>65890.070000000007</v>
      </c>
      <c r="K33" s="124">
        <f>ROUND(K26*$N33,2)</f>
        <v>74312.06</v>
      </c>
      <c r="L33" s="42">
        <f>ROUND(L26*$N33,2)</f>
        <v>82264.05</v>
      </c>
      <c r="M33" s="62">
        <f>ROUND(M26*$N33,2)</f>
        <v>90387.4</v>
      </c>
      <c r="N33" s="73">
        <v>1.8499999999999999E-3</v>
      </c>
    </row>
    <row r="34" spans="1:14" x14ac:dyDescent="0.35">
      <c r="C34" s="68"/>
      <c r="D34" s="69"/>
      <c r="E34" s="18"/>
      <c r="F34" s="18"/>
      <c r="G34" s="18"/>
      <c r="H34" s="92"/>
      <c r="I34" s="18"/>
      <c r="J34" s="11"/>
      <c r="K34" s="57"/>
      <c r="L34" s="57"/>
      <c r="M34" s="13"/>
      <c r="N34" s="4"/>
    </row>
    <row r="35" spans="1:14" ht="15" thickBot="1" x14ac:dyDescent="0.4">
      <c r="A35" s="47" t="s">
        <v>14</v>
      </c>
      <c r="C35" s="104">
        <v>-5659.84</v>
      </c>
      <c r="D35" s="273">
        <v>-3371.95</v>
      </c>
      <c r="E35" s="113">
        <v>2040.22</v>
      </c>
      <c r="F35" s="113">
        <v>2020.8599999999997</v>
      </c>
      <c r="G35" s="114">
        <v>1762.59</v>
      </c>
      <c r="H35" s="27">
        <v>1028.4800000000002</v>
      </c>
      <c r="I35" s="123">
        <v>830.70999999999981</v>
      </c>
      <c r="J35" s="183">
        <v>1066.4000000000001</v>
      </c>
      <c r="K35" s="181">
        <v>1119.2200000000003</v>
      </c>
      <c r="L35" s="143">
        <v>1082.3999999999999</v>
      </c>
      <c r="M35" s="82"/>
    </row>
    <row r="36" spans="1:14" x14ac:dyDescent="0.35">
      <c r="C36" s="100"/>
      <c r="D36" s="152"/>
      <c r="E36" s="32"/>
      <c r="F36" s="32"/>
      <c r="G36" s="32"/>
      <c r="H36" s="29"/>
      <c r="I36" s="32"/>
      <c r="J36" s="11"/>
      <c r="K36" s="17"/>
      <c r="L36" s="17"/>
      <c r="M36" s="11"/>
    </row>
    <row r="37" spans="1:14" x14ac:dyDescent="0.35">
      <c r="A37" s="47" t="s">
        <v>52</v>
      </c>
      <c r="C37" s="100"/>
      <c r="D37" s="152"/>
      <c r="E37" s="32"/>
      <c r="F37" s="32"/>
      <c r="G37" s="32"/>
      <c r="H37" s="29"/>
      <c r="I37" s="32"/>
      <c r="J37" s="11"/>
      <c r="K37" s="17"/>
      <c r="L37" s="17"/>
      <c r="M37" s="11"/>
    </row>
    <row r="38" spans="1:14" x14ac:dyDescent="0.35">
      <c r="A38" s="47" t="s">
        <v>24</v>
      </c>
      <c r="C38" s="41">
        <f t="shared" ref="C38:M38" si="7">C15-C29</f>
        <v>1046483.8600000001</v>
      </c>
      <c r="D38" s="124">
        <f t="shared" ref="D38" si="8">D15-D29</f>
        <v>-138040.32999999999</v>
      </c>
      <c r="E38" s="42">
        <f t="shared" si="7"/>
        <v>-229660.22000000003</v>
      </c>
      <c r="F38" s="42">
        <f t="shared" si="7"/>
        <v>-168034.29000000004</v>
      </c>
      <c r="G38" s="109">
        <f t="shared" si="7"/>
        <v>-489700.88</v>
      </c>
      <c r="H38" s="41">
        <f t="shared" si="7"/>
        <v>-383455.4</v>
      </c>
      <c r="I38" s="42">
        <f t="shared" si="7"/>
        <v>111127.42999999993</v>
      </c>
      <c r="J38" s="62">
        <f t="shared" si="7"/>
        <v>34529.330000000016</v>
      </c>
      <c r="K38" s="124">
        <f t="shared" si="7"/>
        <v>104168.65999999997</v>
      </c>
      <c r="L38" s="42">
        <f t="shared" si="7"/>
        <v>148029.46999999997</v>
      </c>
      <c r="M38" s="50">
        <f t="shared" si="7"/>
        <v>-795417.35</v>
      </c>
    </row>
    <row r="39" spans="1:14" x14ac:dyDescent="0.35">
      <c r="A39" s="47" t="s">
        <v>108</v>
      </c>
      <c r="C39" s="41">
        <f t="shared" ref="C39:M39" si="9">C16-C30</f>
        <v>88646.75</v>
      </c>
      <c r="D39" s="124">
        <f t="shared" ref="D39" si="10">D16-D30</f>
        <v>13924.6</v>
      </c>
      <c r="E39" s="42">
        <f t="shared" si="9"/>
        <v>-46877.48</v>
      </c>
      <c r="F39" s="42">
        <f t="shared" si="9"/>
        <v>-17053.510000000009</v>
      </c>
      <c r="G39" s="109">
        <f t="shared" si="9"/>
        <v>-34050.01999999999</v>
      </c>
      <c r="H39" s="41">
        <f t="shared" si="9"/>
        <v>-58852.37</v>
      </c>
      <c r="I39" s="42">
        <f t="shared" si="9"/>
        <v>-38607.780000000006</v>
      </c>
      <c r="J39" s="62">
        <f t="shared" si="9"/>
        <v>-59707.939999999995</v>
      </c>
      <c r="K39" s="124">
        <f t="shared" si="9"/>
        <v>-32235.829999999994</v>
      </c>
      <c r="L39" s="42">
        <f t="shared" si="9"/>
        <v>-25642.589999999997</v>
      </c>
      <c r="M39" s="50">
        <f t="shared" si="9"/>
        <v>-103347.4</v>
      </c>
    </row>
    <row r="40" spans="1:14" x14ac:dyDescent="0.35">
      <c r="A40" s="47" t="s">
        <v>109</v>
      </c>
      <c r="C40" s="41">
        <f t="shared" ref="C40:M40" si="11">C17-C31</f>
        <v>44004.640000000014</v>
      </c>
      <c r="D40" s="124">
        <f t="shared" ref="D40" si="12">D17-D31</f>
        <v>39265.599999999999</v>
      </c>
      <c r="E40" s="42">
        <f t="shared" si="11"/>
        <v>71791.99000000002</v>
      </c>
      <c r="F40" s="42">
        <f t="shared" si="11"/>
        <v>280030.18</v>
      </c>
      <c r="G40" s="109">
        <f t="shared" si="11"/>
        <v>-70891.409999999989</v>
      </c>
      <c r="H40" s="41">
        <f t="shared" si="11"/>
        <v>36726.419999999984</v>
      </c>
      <c r="I40" s="42">
        <f t="shared" si="11"/>
        <v>-43953.959999999992</v>
      </c>
      <c r="J40" s="62">
        <f t="shared" si="11"/>
        <v>-68036.259999999995</v>
      </c>
      <c r="K40" s="124">
        <f t="shared" si="11"/>
        <v>-95073.069999999978</v>
      </c>
      <c r="L40" s="42">
        <f t="shared" si="11"/>
        <v>-75191.600000000006</v>
      </c>
      <c r="M40" s="50">
        <f t="shared" si="11"/>
        <v>-276770.8</v>
      </c>
    </row>
    <row r="41" spans="1:14" x14ac:dyDescent="0.35">
      <c r="A41" s="47" t="s">
        <v>110</v>
      </c>
      <c r="C41" s="41">
        <f t="shared" ref="C41:M41" si="13">C18-C32</f>
        <v>67575.63</v>
      </c>
      <c r="D41" s="124">
        <f t="shared" ref="D41" si="14">D18-D32</f>
        <v>62598.91</v>
      </c>
      <c r="E41" s="42">
        <f t="shared" si="13"/>
        <v>-150569.83000000002</v>
      </c>
      <c r="F41" s="42">
        <f t="shared" si="13"/>
        <v>219322.74</v>
      </c>
      <c r="G41" s="109">
        <f t="shared" si="13"/>
        <v>-186340.3</v>
      </c>
      <c r="H41" s="41">
        <f t="shared" si="13"/>
        <v>-240869.57</v>
      </c>
      <c r="I41" s="42">
        <f t="shared" si="13"/>
        <v>285611.67000000004</v>
      </c>
      <c r="J41" s="62">
        <f t="shared" si="13"/>
        <v>364699.04000000004</v>
      </c>
      <c r="K41" s="124">
        <f t="shared" si="13"/>
        <v>-82723.459999999963</v>
      </c>
      <c r="L41" s="42">
        <f t="shared" si="13"/>
        <v>-44065.389999999956</v>
      </c>
      <c r="M41" s="50">
        <f t="shared" si="13"/>
        <v>-362103.49</v>
      </c>
    </row>
    <row r="42" spans="1:14" x14ac:dyDescent="0.35">
      <c r="A42" s="47" t="s">
        <v>111</v>
      </c>
      <c r="C42" s="41">
        <f t="shared" ref="C42:M42" si="15">C19-C33</f>
        <v>31833.679999999964</v>
      </c>
      <c r="D42" s="124">
        <f t="shared" ref="D42" si="16">D19-D33</f>
        <v>22251.22</v>
      </c>
      <c r="E42" s="42">
        <f t="shared" si="15"/>
        <v>-71427.259999999995</v>
      </c>
      <c r="F42" s="42">
        <f t="shared" si="15"/>
        <v>41882.790000000008</v>
      </c>
      <c r="G42" s="109">
        <f t="shared" si="15"/>
        <v>-52919</v>
      </c>
      <c r="H42" s="41">
        <f t="shared" si="15"/>
        <v>-55072.89</v>
      </c>
      <c r="I42" s="42">
        <f t="shared" si="15"/>
        <v>-29469.599999999991</v>
      </c>
      <c r="J42" s="62">
        <f t="shared" si="15"/>
        <v>-55616.150000000009</v>
      </c>
      <c r="K42" s="124">
        <f t="shared" si="15"/>
        <v>1925.4900000000052</v>
      </c>
      <c r="L42" s="42">
        <f t="shared" si="15"/>
        <v>19038.429999999993</v>
      </c>
      <c r="M42" s="50">
        <f t="shared" si="15"/>
        <v>-90387.4</v>
      </c>
    </row>
    <row r="43" spans="1:14" x14ac:dyDescent="0.35">
      <c r="C43" s="100"/>
      <c r="D43" s="152"/>
      <c r="E43" s="32"/>
      <c r="F43" s="32"/>
      <c r="G43" s="32"/>
      <c r="H43" s="29"/>
      <c r="I43" s="32"/>
      <c r="J43" s="11"/>
      <c r="K43" s="17"/>
      <c r="L43" s="17"/>
      <c r="M43" s="11"/>
    </row>
    <row r="44" spans="1:14" ht="15" thickBot="1" x14ac:dyDescent="0.4">
      <c r="A44" s="47" t="s">
        <v>53</v>
      </c>
      <c r="C44" s="105"/>
      <c r="D44" s="274"/>
      <c r="E44" s="32"/>
      <c r="F44" s="32"/>
      <c r="G44" s="32"/>
      <c r="H44" s="29"/>
      <c r="I44" s="32"/>
      <c r="J44" s="11"/>
      <c r="K44" s="17"/>
      <c r="L44" s="17"/>
      <c r="M44" s="11"/>
    </row>
    <row r="45" spans="1:14" x14ac:dyDescent="0.35">
      <c r="A45" s="47" t="s">
        <v>24</v>
      </c>
      <c r="B45" s="117">
        <v>181166.57999999978</v>
      </c>
      <c r="C45" s="42">
        <f t="shared" ref="C45:M45" si="17">B45+C38+B53</f>
        <v>1227650.44</v>
      </c>
      <c r="D45" s="42">
        <f t="shared" ref="D45:D49" si="18">C45+D38+C53</f>
        <v>1087060.3799999999</v>
      </c>
      <c r="E45" s="42">
        <f t="shared" ref="E45:E49" si="19">D45+E38+D53</f>
        <v>854765.98999999987</v>
      </c>
      <c r="F45" s="42">
        <f t="shared" si="17"/>
        <v>687785.92999999982</v>
      </c>
      <c r="G45" s="109">
        <f t="shared" si="17"/>
        <v>198824.13999999981</v>
      </c>
      <c r="H45" s="41">
        <f t="shared" si="17"/>
        <v>-184213.8400000002</v>
      </c>
      <c r="I45" s="42">
        <f t="shared" si="17"/>
        <v>-73079.43000000027</v>
      </c>
      <c r="J45" s="62">
        <f t="shared" si="17"/>
        <v>-38668.820000000254</v>
      </c>
      <c r="K45" s="124">
        <f t="shared" si="17"/>
        <v>65448.029999999722</v>
      </c>
      <c r="L45" s="42">
        <f t="shared" si="17"/>
        <v>213489.87999999971</v>
      </c>
      <c r="M45" s="50">
        <f t="shared" si="17"/>
        <v>-581798.28000000026</v>
      </c>
    </row>
    <row r="46" spans="1:14" x14ac:dyDescent="0.35">
      <c r="A46" s="47" t="s">
        <v>108</v>
      </c>
      <c r="B46" s="254">
        <v>-2646.5100000000007</v>
      </c>
      <c r="C46" s="42">
        <f t="shared" ref="C46:M46" si="20">B46+C39+B54</f>
        <v>86000.24</v>
      </c>
      <c r="D46" s="42">
        <f t="shared" si="18"/>
        <v>99727.85</v>
      </c>
      <c r="E46" s="42">
        <f t="shared" si="19"/>
        <v>52571.57</v>
      </c>
      <c r="F46" s="42">
        <f t="shared" si="20"/>
        <v>35577.149999999987</v>
      </c>
      <c r="G46" s="109">
        <f t="shared" si="20"/>
        <v>1569.3599999999974</v>
      </c>
      <c r="H46" s="41">
        <f t="shared" si="20"/>
        <v>-57265.520000000004</v>
      </c>
      <c r="I46" s="42">
        <f t="shared" si="20"/>
        <v>-95899.150000000023</v>
      </c>
      <c r="J46" s="62">
        <f t="shared" si="20"/>
        <v>-155677.78000000003</v>
      </c>
      <c r="K46" s="124">
        <f t="shared" si="20"/>
        <v>-188030.16</v>
      </c>
      <c r="L46" s="42">
        <f t="shared" si="20"/>
        <v>-213831.99</v>
      </c>
      <c r="M46" s="50">
        <f t="shared" si="20"/>
        <v>-317365.58</v>
      </c>
    </row>
    <row r="47" spans="1:14" x14ac:dyDescent="0.35">
      <c r="A47" s="47" t="s">
        <v>109</v>
      </c>
      <c r="B47" s="254">
        <v>829431.59</v>
      </c>
      <c r="C47" s="42">
        <f t="shared" ref="C47:M47" si="21">B47+C40+B55</f>
        <v>873436.23</v>
      </c>
      <c r="D47" s="42">
        <f t="shared" si="18"/>
        <v>910526.23</v>
      </c>
      <c r="E47" s="42">
        <f t="shared" si="19"/>
        <v>981878.12</v>
      </c>
      <c r="F47" s="42">
        <f t="shared" si="21"/>
        <v>1262771.29</v>
      </c>
      <c r="G47" s="109">
        <f t="shared" si="21"/>
        <v>1192955.04</v>
      </c>
      <c r="H47" s="41">
        <f t="shared" si="21"/>
        <v>1230837.1599999999</v>
      </c>
      <c r="I47" s="42">
        <f t="shared" si="21"/>
        <v>1188009.1499999999</v>
      </c>
      <c r="J47" s="62">
        <f t="shared" si="21"/>
        <v>1121089.5599999998</v>
      </c>
      <c r="K47" s="124">
        <f t="shared" si="21"/>
        <v>1027086.4499999998</v>
      </c>
      <c r="L47" s="42">
        <f t="shared" si="21"/>
        <v>952890.25999999989</v>
      </c>
      <c r="M47" s="50">
        <f t="shared" si="21"/>
        <v>677036.94</v>
      </c>
    </row>
    <row r="48" spans="1:14" x14ac:dyDescent="0.35">
      <c r="A48" s="47" t="s">
        <v>110</v>
      </c>
      <c r="B48" s="254">
        <v>322066.18000000005</v>
      </c>
      <c r="C48" s="42">
        <f t="shared" ref="C48:M48" si="22">B48+C41+B56</f>
        <v>389641.81000000006</v>
      </c>
      <c r="D48" s="42">
        <f t="shared" si="18"/>
        <v>451093.53000000009</v>
      </c>
      <c r="E48" s="42">
        <f t="shared" si="19"/>
        <v>300411.90000000008</v>
      </c>
      <c r="F48" s="42">
        <f t="shared" si="22"/>
        <v>520032.64000000007</v>
      </c>
      <c r="G48" s="109">
        <f t="shared" si="22"/>
        <v>334085.32000000007</v>
      </c>
      <c r="H48" s="41">
        <f t="shared" si="22"/>
        <v>93617.720000000059</v>
      </c>
      <c r="I48" s="42">
        <f t="shared" si="22"/>
        <v>379428.17000000016</v>
      </c>
      <c r="J48" s="62">
        <f t="shared" si="22"/>
        <v>744345.58000000019</v>
      </c>
      <c r="K48" s="124">
        <f t="shared" si="22"/>
        <v>662142.69000000018</v>
      </c>
      <c r="L48" s="42">
        <f t="shared" si="22"/>
        <v>618728.9500000003</v>
      </c>
      <c r="M48" s="50">
        <f t="shared" si="22"/>
        <v>257218.99000000031</v>
      </c>
    </row>
    <row r="49" spans="1:14" ht="15" thickBot="1" x14ac:dyDescent="0.4">
      <c r="A49" s="47" t="s">
        <v>111</v>
      </c>
      <c r="B49" s="118">
        <v>-242578.34999999992</v>
      </c>
      <c r="C49" s="42">
        <f>B49+C42+B57</f>
        <v>-210744.66999999995</v>
      </c>
      <c r="D49" s="42">
        <f t="shared" si="18"/>
        <v>-188083.77999999994</v>
      </c>
      <c r="E49" s="42">
        <f t="shared" si="19"/>
        <v>-259418.07999999993</v>
      </c>
      <c r="F49" s="42">
        <f t="shared" ref="F49:M49" si="23">E49+F42+E57</f>
        <v>-217769.38999999993</v>
      </c>
      <c r="G49" s="109">
        <f t="shared" si="23"/>
        <v>-270916.97999999992</v>
      </c>
      <c r="H49" s="41">
        <f t="shared" si="23"/>
        <v>-326219.85999999993</v>
      </c>
      <c r="I49" s="42">
        <f t="shared" si="23"/>
        <v>-355966.8299999999</v>
      </c>
      <c r="J49" s="62">
        <f t="shared" si="23"/>
        <v>-411897.89999999991</v>
      </c>
      <c r="K49" s="124">
        <f t="shared" si="23"/>
        <v>-410328.18999999994</v>
      </c>
      <c r="L49" s="42">
        <f t="shared" si="23"/>
        <v>-391670.72999999992</v>
      </c>
      <c r="M49" s="50">
        <f t="shared" si="23"/>
        <v>-482429.74999999988</v>
      </c>
    </row>
    <row r="50" spans="1:14" x14ac:dyDescent="0.35">
      <c r="C50" s="100"/>
      <c r="D50" s="152"/>
      <c r="E50" s="32"/>
      <c r="F50" s="32"/>
      <c r="G50" s="32"/>
      <c r="H50" s="29"/>
      <c r="I50" s="32"/>
      <c r="J50" s="11"/>
      <c r="K50" s="17"/>
      <c r="L50" s="17"/>
      <c r="M50" s="11"/>
    </row>
    <row r="51" spans="1:14" x14ac:dyDescent="0.35">
      <c r="A51" s="40" t="s">
        <v>49</v>
      </c>
      <c r="B51" s="40"/>
      <c r="C51" s="105"/>
      <c r="D51" s="274"/>
      <c r="E51" s="84">
        <f>+'PCR Cycle 2'!E50</f>
        <v>9.5178000000000005E-4</v>
      </c>
      <c r="F51" s="84">
        <f>+'PCR Cycle 2'!F50</f>
        <v>9.5761000000000002E-4</v>
      </c>
      <c r="G51" s="84">
        <f>+'PCR Cycle 2'!G50</f>
        <v>9.4081999999999998E-4</v>
      </c>
      <c r="H51" s="85">
        <f>+'PCR Cycle 2'!H50</f>
        <v>9.2864E-4</v>
      </c>
      <c r="I51" s="84">
        <f>+'PCR Cycle 2'!I50</f>
        <v>9.2287999999999995E-4</v>
      </c>
      <c r="J51" s="93">
        <f>+'PCR Cycle 2'!J50</f>
        <v>9.2628999999999997E-4</v>
      </c>
      <c r="K51" s="84">
        <f>+'PCR Cycle 2'!K50</f>
        <v>9.2628999999999997E-4</v>
      </c>
      <c r="L51" s="84">
        <f>+'PCR Cycle 2'!L50</f>
        <v>9.2628999999999997E-4</v>
      </c>
      <c r="M51" s="93"/>
    </row>
    <row r="52" spans="1:14" x14ac:dyDescent="0.35">
      <c r="A52" s="40" t="s">
        <v>37</v>
      </c>
      <c r="B52" s="40"/>
      <c r="C52" s="100"/>
      <c r="D52" s="152"/>
      <c r="E52" s="32"/>
      <c r="F52" s="32"/>
      <c r="G52" s="32"/>
      <c r="H52" s="29"/>
      <c r="I52" s="32"/>
      <c r="J52" s="11"/>
      <c r="K52" s="17"/>
      <c r="L52" s="17"/>
      <c r="M52" s="11"/>
      <c r="N52" s="72"/>
    </row>
    <row r="53" spans="1:14" x14ac:dyDescent="0.35">
      <c r="A53" s="47" t="s">
        <v>24</v>
      </c>
      <c r="C53" s="41">
        <v>-2549.73</v>
      </c>
      <c r="D53" s="124">
        <f>SUM('[11]Carrying Costs'!C98:L98)+SUM('[3]Carrying Costs'!$C108:$M108)</f>
        <v>-2634.17</v>
      </c>
      <c r="E53" s="42">
        <f>ROUND((C45+C53+D53+E38/2)*E$51,2)</f>
        <v>1054.23</v>
      </c>
      <c r="F53" s="42">
        <f t="shared" ref="F53:L57" si="24">ROUND((E45+E53+F38/2)*F$51,2)</f>
        <v>739.09</v>
      </c>
      <c r="G53" s="109">
        <f t="shared" si="24"/>
        <v>417.42</v>
      </c>
      <c r="H53" s="41">
        <f t="shared" si="24"/>
        <v>6.98</v>
      </c>
      <c r="I53" s="124">
        <f t="shared" si="24"/>
        <v>-118.72</v>
      </c>
      <c r="J53" s="62">
        <f t="shared" si="24"/>
        <v>-51.81</v>
      </c>
      <c r="K53" s="124">
        <f t="shared" si="24"/>
        <v>12.38</v>
      </c>
      <c r="L53" s="124">
        <f t="shared" si="24"/>
        <v>129.19</v>
      </c>
      <c r="M53" s="50"/>
    </row>
    <row r="54" spans="1:14" x14ac:dyDescent="0.35">
      <c r="A54" s="47" t="s">
        <v>108</v>
      </c>
      <c r="C54" s="255">
        <v>-196.99</v>
      </c>
      <c r="D54" s="275">
        <f>SUM('[11]Carrying Costs'!C99:L99)+SUM('[3]Carrying Costs'!$C109:$M109)</f>
        <v>-278.8</v>
      </c>
      <c r="E54" s="42">
        <f t="shared" ref="E54:E57" si="25">ROUND((C46+C54+D54+E39/2)*E$51,2)</f>
        <v>59.09</v>
      </c>
      <c r="F54" s="42">
        <f t="shared" si="24"/>
        <v>42.23</v>
      </c>
      <c r="G54" s="109">
        <f t="shared" si="24"/>
        <v>17.489999999999998</v>
      </c>
      <c r="H54" s="41">
        <f t="shared" si="24"/>
        <v>-25.85</v>
      </c>
      <c r="I54" s="124">
        <f t="shared" si="24"/>
        <v>-70.69</v>
      </c>
      <c r="J54" s="62">
        <f t="shared" si="24"/>
        <v>-116.55</v>
      </c>
      <c r="K54" s="124">
        <f t="shared" si="24"/>
        <v>-159.24</v>
      </c>
      <c r="L54" s="124">
        <f t="shared" si="24"/>
        <v>-186.19</v>
      </c>
      <c r="M54" s="50"/>
    </row>
    <row r="55" spans="1:14" x14ac:dyDescent="0.35">
      <c r="A55" s="47" t="s">
        <v>109</v>
      </c>
      <c r="C55" s="255">
        <v>-2175.6</v>
      </c>
      <c r="D55" s="275">
        <f>SUM('[11]Carrying Costs'!C100:L100)+SUM('[3]Carrying Costs'!$C110:$M110)</f>
        <v>-440.09999999999991</v>
      </c>
      <c r="E55" s="42">
        <f t="shared" si="25"/>
        <v>862.99</v>
      </c>
      <c r="F55" s="42">
        <f t="shared" si="24"/>
        <v>1075.1600000000001</v>
      </c>
      <c r="G55" s="109">
        <f t="shared" si="24"/>
        <v>1155.7</v>
      </c>
      <c r="H55" s="41">
        <f t="shared" si="24"/>
        <v>1125.95</v>
      </c>
      <c r="I55" s="124">
        <f t="shared" si="24"/>
        <v>1116.67</v>
      </c>
      <c r="J55" s="62">
        <f t="shared" si="24"/>
        <v>1069.96</v>
      </c>
      <c r="K55" s="124">
        <f t="shared" si="24"/>
        <v>995.41</v>
      </c>
      <c r="L55" s="124">
        <f t="shared" si="24"/>
        <v>917.48</v>
      </c>
      <c r="M55" s="50"/>
    </row>
    <row r="56" spans="1:14" x14ac:dyDescent="0.35">
      <c r="A56" s="47" t="s">
        <v>110</v>
      </c>
      <c r="C56" s="255">
        <v>-1147.19</v>
      </c>
      <c r="D56" s="275">
        <f>SUM('[11]Carrying Costs'!C101:L101)+SUM('[3]Carrying Costs'!$C111:$M111)</f>
        <v>-111.80000000000007</v>
      </c>
      <c r="E56" s="42">
        <f t="shared" si="25"/>
        <v>298</v>
      </c>
      <c r="F56" s="42">
        <f t="shared" si="24"/>
        <v>392.98</v>
      </c>
      <c r="G56" s="109">
        <f t="shared" si="24"/>
        <v>401.97</v>
      </c>
      <c r="H56" s="41">
        <f t="shared" si="24"/>
        <v>198.78</v>
      </c>
      <c r="I56" s="124">
        <f t="shared" si="24"/>
        <v>218.37</v>
      </c>
      <c r="J56" s="62">
        <f t="shared" si="24"/>
        <v>520.57000000000005</v>
      </c>
      <c r="K56" s="124">
        <f t="shared" si="24"/>
        <v>651.65</v>
      </c>
      <c r="L56" s="124">
        <f t="shared" si="24"/>
        <v>593.53</v>
      </c>
      <c r="M56" s="50"/>
    </row>
    <row r="57" spans="1:14" ht="15" thickBot="1" x14ac:dyDescent="0.4">
      <c r="A57" s="47" t="s">
        <v>111</v>
      </c>
      <c r="C57" s="115">
        <v>409.67</v>
      </c>
      <c r="D57" s="275">
        <f>SUM('[11]Carrying Costs'!C102:L102)+SUM('[3]Carrying Costs'!$C112:$M112)</f>
        <v>92.95999999999998</v>
      </c>
      <c r="E57" s="42">
        <f t="shared" si="25"/>
        <v>-234.1</v>
      </c>
      <c r="F57" s="42">
        <f t="shared" si="24"/>
        <v>-228.59</v>
      </c>
      <c r="G57" s="109">
        <f t="shared" si="24"/>
        <v>-229.99</v>
      </c>
      <c r="H57" s="41">
        <f t="shared" si="24"/>
        <v>-277.37</v>
      </c>
      <c r="I57" s="124">
        <f t="shared" si="24"/>
        <v>-314.92</v>
      </c>
      <c r="J57" s="62">
        <f t="shared" si="24"/>
        <v>-355.78</v>
      </c>
      <c r="K57" s="124">
        <f t="shared" si="24"/>
        <v>-380.97</v>
      </c>
      <c r="L57" s="124">
        <f t="shared" si="24"/>
        <v>-371.62</v>
      </c>
      <c r="M57" s="50"/>
    </row>
    <row r="58" spans="1:14" ht="15.5" thickTop="1" thickBot="1" x14ac:dyDescent="0.4">
      <c r="A58" s="55" t="s">
        <v>22</v>
      </c>
      <c r="B58" s="55"/>
      <c r="C58" s="116">
        <v>0</v>
      </c>
      <c r="D58" s="276"/>
      <c r="E58" s="33">
        <f t="shared" ref="E58:M58" si="26">SUM(E53:E57)+SUM(E45:E49)-E61</f>
        <v>0</v>
      </c>
      <c r="F58" s="33">
        <f t="shared" si="26"/>
        <v>0</v>
      </c>
      <c r="G58" s="51">
        <f t="shared" si="26"/>
        <v>0</v>
      </c>
      <c r="H58" s="125">
        <f t="shared" si="26"/>
        <v>0</v>
      </c>
      <c r="I58" s="33">
        <f t="shared" si="26"/>
        <v>0</v>
      </c>
      <c r="J58" s="63">
        <f t="shared" si="26"/>
        <v>0</v>
      </c>
      <c r="K58" s="168">
        <f t="shared" si="26"/>
        <v>0</v>
      </c>
      <c r="L58" s="33">
        <f t="shared" si="26"/>
        <v>0</v>
      </c>
      <c r="M58" s="97">
        <f t="shared" si="26"/>
        <v>0</v>
      </c>
    </row>
    <row r="59" spans="1:14" ht="15.5" thickTop="1" thickBot="1" x14ac:dyDescent="0.4">
      <c r="A59" s="55" t="s">
        <v>23</v>
      </c>
      <c r="B59" s="55"/>
      <c r="C59" s="108">
        <v>0</v>
      </c>
      <c r="D59" s="277"/>
      <c r="E59" s="33">
        <f t="shared" ref="E59:J59" si="27">SUM(E53:E57)-E35</f>
        <v>-9.9999999999909051E-3</v>
      </c>
      <c r="F59" s="33">
        <f t="shared" si="27"/>
        <v>1.0000000000445652E-2</v>
      </c>
      <c r="G59" s="51">
        <f t="shared" ref="G59:I59" si="28">SUM(G53:G57)-G35</f>
        <v>0</v>
      </c>
      <c r="H59" s="52">
        <f t="shared" si="28"/>
        <v>9.9999999999909051E-3</v>
      </c>
      <c r="I59" s="33">
        <f t="shared" si="28"/>
        <v>0</v>
      </c>
      <c r="J59" s="63">
        <f t="shared" si="27"/>
        <v>-9.9999999999909051E-3</v>
      </c>
      <c r="K59" s="168">
        <f t="shared" ref="K59:M59" si="29">SUM(K53:K57)-K35</f>
        <v>9.9999999995361577E-3</v>
      </c>
      <c r="L59" s="33">
        <f t="shared" si="29"/>
        <v>-9.9999999999909051E-3</v>
      </c>
      <c r="M59" s="97">
        <f t="shared" si="29"/>
        <v>0</v>
      </c>
    </row>
    <row r="60" spans="1:14" ht="15.5" thickTop="1" thickBot="1" x14ac:dyDescent="0.4">
      <c r="C60" s="100"/>
      <c r="D60" s="152"/>
      <c r="E60" s="17"/>
      <c r="F60" s="17"/>
      <c r="G60" s="17"/>
      <c r="H60" s="10"/>
      <c r="I60" s="17"/>
      <c r="J60" s="11"/>
      <c r="K60" s="17"/>
      <c r="L60" s="17"/>
      <c r="M60" s="11"/>
    </row>
    <row r="61" spans="1:14" ht="15" thickBot="1" x14ac:dyDescent="0.4">
      <c r="A61" s="47" t="s">
        <v>36</v>
      </c>
      <c r="B61" s="120">
        <f>SUM(B45:B49)</f>
        <v>1087439.49</v>
      </c>
      <c r="C61" s="41">
        <f>(SUM(C15:C19)-SUM(C29:C33))+SUM(C53:C57)+B61</f>
        <v>2360324.21</v>
      </c>
      <c r="D61" s="42">
        <f>(SUM(D15:D19)-SUM(D29:D33))+SUM(D53:D57)+C61</f>
        <v>2356952.2999999998</v>
      </c>
      <c r="E61" s="42">
        <f>(SUM(E15:E19)-SUM(E29:E33))+SUM(D53:E57)+C61</f>
        <v>1932249.71</v>
      </c>
      <c r="F61" s="42">
        <f t="shared" ref="F61:M61" si="30">(SUM(F15:F19)-SUM(F29:F33))+SUM(F53:F57)+E61</f>
        <v>2290418.4900000002</v>
      </c>
      <c r="G61" s="109">
        <f t="shared" si="30"/>
        <v>1458279.4700000002</v>
      </c>
      <c r="H61" s="41">
        <f t="shared" si="30"/>
        <v>757784.15000000026</v>
      </c>
      <c r="I61" s="42">
        <f t="shared" si="30"/>
        <v>1043322.6200000001</v>
      </c>
      <c r="J61" s="62">
        <f t="shared" si="30"/>
        <v>1260257.0300000003</v>
      </c>
      <c r="K61" s="124">
        <f t="shared" si="30"/>
        <v>1157438.0500000005</v>
      </c>
      <c r="L61" s="42">
        <f t="shared" si="30"/>
        <v>1180688.7600000002</v>
      </c>
      <c r="M61" s="62">
        <f t="shared" si="30"/>
        <v>-447337.6799999997</v>
      </c>
    </row>
    <row r="62" spans="1:14" x14ac:dyDescent="0.35">
      <c r="A62" s="47" t="s">
        <v>12</v>
      </c>
      <c r="C62" s="121"/>
      <c r="D62" s="17"/>
      <c r="E62" s="57"/>
      <c r="F62" s="57"/>
      <c r="G62" s="57"/>
      <c r="H62" s="12"/>
      <c r="I62" s="57"/>
      <c r="J62" s="11"/>
      <c r="K62" s="17"/>
      <c r="L62" s="17"/>
      <c r="M62" s="11"/>
    </row>
    <row r="63" spans="1:14" ht="15" thickBot="1" x14ac:dyDescent="0.4">
      <c r="B63" s="17"/>
      <c r="C63" s="44"/>
      <c r="D63" s="45"/>
      <c r="E63" s="45"/>
      <c r="F63" s="45"/>
      <c r="G63" s="45"/>
      <c r="H63" s="44"/>
      <c r="I63" s="45"/>
      <c r="J63" s="46"/>
      <c r="K63" s="45"/>
      <c r="L63" s="45"/>
      <c r="M63" s="46"/>
    </row>
    <row r="64" spans="1:14" x14ac:dyDescent="0.35">
      <c r="D64" s="48"/>
    </row>
    <row r="65" spans="1:13" x14ac:dyDescent="0.35">
      <c r="A65" s="70" t="s">
        <v>11</v>
      </c>
      <c r="B65" s="70"/>
      <c r="C65" s="70"/>
      <c r="D65" s="70"/>
    </row>
    <row r="66" spans="1:13" ht="66" customHeight="1" x14ac:dyDescent="0.35">
      <c r="A66" s="298" t="s">
        <v>202</v>
      </c>
      <c r="B66" s="298"/>
      <c r="C66" s="298"/>
      <c r="D66" s="298"/>
      <c r="E66" s="298"/>
      <c r="F66" s="298"/>
      <c r="G66" s="298"/>
      <c r="H66" s="298"/>
      <c r="I66" s="298"/>
      <c r="J66" s="298"/>
      <c r="K66" s="243"/>
      <c r="L66" s="243"/>
      <c r="M66" s="243"/>
    </row>
    <row r="67" spans="1:13" ht="33.75" customHeight="1" x14ac:dyDescent="0.35">
      <c r="A67" s="298" t="s">
        <v>176</v>
      </c>
      <c r="B67" s="298"/>
      <c r="C67" s="298"/>
      <c r="D67" s="298"/>
      <c r="E67" s="298"/>
      <c r="F67" s="298"/>
      <c r="G67" s="298"/>
      <c r="H67" s="298"/>
      <c r="I67" s="298"/>
      <c r="J67" s="298"/>
      <c r="K67" s="243"/>
      <c r="L67" s="243"/>
      <c r="M67" s="243"/>
    </row>
    <row r="68" spans="1:13" ht="33.75" customHeight="1" x14ac:dyDescent="0.35">
      <c r="A68" s="298" t="s">
        <v>177</v>
      </c>
      <c r="B68" s="298"/>
      <c r="C68" s="298"/>
      <c r="D68" s="298"/>
      <c r="E68" s="298"/>
      <c r="F68" s="298"/>
      <c r="G68" s="298"/>
      <c r="H68" s="298"/>
      <c r="I68" s="298"/>
      <c r="J68" s="298"/>
      <c r="K68" s="243"/>
      <c r="L68" s="243"/>
      <c r="M68" s="243"/>
    </row>
    <row r="69" spans="1:13" x14ac:dyDescent="0.35">
      <c r="A69" s="3" t="s">
        <v>31</v>
      </c>
      <c r="B69" s="3"/>
      <c r="C69" s="3"/>
      <c r="D69" s="3"/>
      <c r="J69" s="4"/>
    </row>
    <row r="70" spans="1:13" x14ac:dyDescent="0.35">
      <c r="A70" s="64" t="s">
        <v>178</v>
      </c>
      <c r="B70" s="3"/>
      <c r="C70" s="3"/>
      <c r="D70" s="3"/>
      <c r="J70" s="4"/>
    </row>
    <row r="71" spans="1:13" x14ac:dyDescent="0.35">
      <c r="A71" s="3" t="s">
        <v>51</v>
      </c>
      <c r="B71" s="3"/>
      <c r="C71" s="3"/>
      <c r="D71" s="3"/>
      <c r="J71" s="4"/>
    </row>
    <row r="72" spans="1:13" x14ac:dyDescent="0.35">
      <c r="A72" s="3"/>
    </row>
    <row r="73" spans="1:13" ht="33.75" customHeight="1" x14ac:dyDescent="0.35">
      <c r="A73" s="299" t="s">
        <v>195</v>
      </c>
      <c r="B73" s="299"/>
      <c r="C73" s="299"/>
      <c r="D73" s="299"/>
      <c r="E73" s="299"/>
      <c r="F73" s="299"/>
      <c r="G73" s="299"/>
    </row>
    <row r="75" spans="1:13" ht="31.5" customHeight="1" x14ac:dyDescent="0.35">
      <c r="A75" s="299" t="s">
        <v>201</v>
      </c>
      <c r="B75" s="299"/>
      <c r="C75" s="299"/>
      <c r="D75" s="299"/>
      <c r="E75" s="299"/>
      <c r="F75" s="299"/>
      <c r="G75" s="299"/>
    </row>
    <row r="81" spans="14:14" x14ac:dyDescent="0.35">
      <c r="N81" s="8"/>
    </row>
  </sheetData>
  <mergeCells count="8">
    <mergeCell ref="K11:M11"/>
    <mergeCell ref="A66:J66"/>
    <mergeCell ref="A67:J67"/>
    <mergeCell ref="A75:G75"/>
    <mergeCell ref="A73:G73"/>
    <mergeCell ref="A68:J68"/>
    <mergeCell ref="E11:G11"/>
    <mergeCell ref="H11:J11"/>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7"/>
  <sheetViews>
    <sheetView topLeftCell="D19" workbookViewId="0">
      <selection activeCell="P19" sqref="P1:P1048576"/>
    </sheetView>
  </sheetViews>
  <sheetFormatPr defaultColWidth="9.1796875" defaultRowHeight="14.5" x14ac:dyDescent="0.35"/>
  <cols>
    <col min="1" max="1" width="54.54296875" style="47" customWidth="1"/>
    <col min="2" max="2" width="14.7265625" style="47" customWidth="1"/>
    <col min="3" max="4" width="15" style="47" customWidth="1"/>
    <col min="5" max="5" width="15.26953125" style="47" customWidth="1"/>
    <col min="6" max="6" width="15.81640625" style="47" customWidth="1"/>
    <col min="7" max="7" width="17.54296875" style="47" customWidth="1"/>
    <col min="8" max="9" width="13.26953125" style="47" customWidth="1"/>
    <col min="10" max="10" width="15.7265625" style="47" customWidth="1"/>
    <col min="11" max="12" width="12.54296875" style="47" bestFit="1" customWidth="1"/>
    <col min="13" max="13" width="14.453125" style="47" customWidth="1"/>
    <col min="14" max="14" width="15" style="47" bestFit="1" customWidth="1"/>
    <col min="15" max="15" width="16.26953125" style="47" bestFit="1" customWidth="1"/>
    <col min="16" max="16" width="16.1796875" style="47" customWidth="1"/>
    <col min="17" max="17" width="17.26953125" style="47" bestFit="1" customWidth="1"/>
    <col min="18" max="18" width="17.453125" style="47" customWidth="1"/>
    <col min="19" max="19" width="15.54296875" style="47" customWidth="1"/>
    <col min="20" max="20" width="13" style="47" customWidth="1"/>
    <col min="21" max="21" width="9.1796875" style="47"/>
    <col min="22" max="22" width="14.26953125" style="47" bestFit="1" customWidth="1"/>
    <col min="23" max="16384" width="9.1796875" style="47"/>
  </cols>
  <sheetData>
    <row r="1" spans="1:35" x14ac:dyDescent="0.35">
      <c r="A1" s="3" t="str">
        <f>+'PPC Cycle 3'!A1</f>
        <v>Evergy Metro, Inc. - DSIM Rider Update Filed 06/01/2021</v>
      </c>
      <c r="B1" s="3"/>
      <c r="C1" s="3"/>
      <c r="D1" s="3"/>
    </row>
    <row r="2" spans="1:35" x14ac:dyDescent="0.35">
      <c r="E2" s="3" t="s">
        <v>60</v>
      </c>
    </row>
    <row r="3" spans="1:35" ht="29" x14ac:dyDescent="0.35">
      <c r="E3" s="49" t="s">
        <v>46</v>
      </c>
      <c r="F3" s="49" t="s">
        <v>45</v>
      </c>
      <c r="G3" s="71" t="s">
        <v>2</v>
      </c>
      <c r="H3" s="49" t="s">
        <v>3</v>
      </c>
      <c r="I3" s="71" t="s">
        <v>55</v>
      </c>
      <c r="J3" s="49" t="s">
        <v>10</v>
      </c>
      <c r="K3" s="49" t="s">
        <v>4</v>
      </c>
    </row>
    <row r="4" spans="1:35" x14ac:dyDescent="0.35">
      <c r="A4" s="20" t="s">
        <v>24</v>
      </c>
      <c r="E4" s="22">
        <f>SUM(C34:M34)</f>
        <v>162426.43999999994</v>
      </c>
      <c r="F4" s="139">
        <f>SUM(C27:M27)</f>
        <v>1325492189.888</v>
      </c>
      <c r="G4" s="22">
        <f>SUM(C23:L23)</f>
        <v>0</v>
      </c>
      <c r="H4" s="22">
        <f>G4-E4</f>
        <v>-162426.43999999994</v>
      </c>
      <c r="I4" s="22">
        <f>+B47</f>
        <v>251007.80499999967</v>
      </c>
      <c r="J4" s="22">
        <f>SUM(C52:L52)</f>
        <v>-3489.5600000000086</v>
      </c>
      <c r="K4" s="26">
        <f>SUM(H4:J4)</f>
        <v>85091.804999999717</v>
      </c>
      <c r="L4" s="48">
        <f>+K4-M47</f>
        <v>0</v>
      </c>
    </row>
    <row r="5" spans="1:35" ht="15" thickBot="1" x14ac:dyDescent="0.4">
      <c r="A5" s="20" t="s">
        <v>25</v>
      </c>
      <c r="E5" s="22">
        <f>SUM(C35:M38)</f>
        <v>-283454.15000000008</v>
      </c>
      <c r="F5" s="139">
        <f>SUM(C28:M31)</f>
        <v>2029478509.8306999</v>
      </c>
      <c r="G5" s="22">
        <f>SUM(C24:L24)</f>
        <v>-13962.41</v>
      </c>
      <c r="H5" s="22">
        <f>G5-E5</f>
        <v>269491.74000000011</v>
      </c>
      <c r="I5" s="22">
        <f>+B48</f>
        <v>-557504.05500000005</v>
      </c>
      <c r="J5" s="22">
        <f>SUM(C53:L53)</f>
        <v>-1348.2900000000006</v>
      </c>
      <c r="K5" s="26">
        <f>SUM(H5:J5)</f>
        <v>-289360.60499999992</v>
      </c>
      <c r="L5" s="48">
        <f>+K5-M48</f>
        <v>0</v>
      </c>
    </row>
    <row r="6" spans="1:35" ht="15.5" thickTop="1" thickBot="1" x14ac:dyDescent="0.4">
      <c r="E6" s="28">
        <f t="shared" ref="E6" si="0">SUM(E4:E5)</f>
        <v>-121027.71000000014</v>
      </c>
      <c r="F6" s="28">
        <f t="shared" ref="F6:I6" si="1">SUM(F4:F5)</f>
        <v>3354970699.7186999</v>
      </c>
      <c r="G6" s="28">
        <f t="shared" si="1"/>
        <v>-13962.41</v>
      </c>
      <c r="H6" s="28">
        <f t="shared" si="1"/>
        <v>107065.30000000016</v>
      </c>
      <c r="I6" s="28">
        <f t="shared" si="1"/>
        <v>-306496.25000000035</v>
      </c>
      <c r="J6" s="28">
        <f>SUM(J4:J5)</f>
        <v>-4837.8500000000095</v>
      </c>
      <c r="K6" s="28">
        <f>SUM(K4:K5)</f>
        <v>-204268.80000000022</v>
      </c>
    </row>
    <row r="7" spans="1:35" ht="44" thickTop="1" x14ac:dyDescent="0.35">
      <c r="E7" s="237"/>
      <c r="F7" s="238"/>
      <c r="G7" s="237"/>
      <c r="H7" s="237"/>
      <c r="I7" s="237"/>
      <c r="J7" s="236"/>
      <c r="K7" s="236"/>
      <c r="L7" s="235" t="s">
        <v>124</v>
      </c>
    </row>
    <row r="8" spans="1:35" x14ac:dyDescent="0.35">
      <c r="A8" s="20" t="s">
        <v>108</v>
      </c>
      <c r="E8" s="237"/>
      <c r="F8" s="238"/>
      <c r="G8" s="237"/>
      <c r="H8" s="237"/>
      <c r="I8" s="237"/>
      <c r="J8" s="236"/>
      <c r="K8" s="26">
        <f>ROUND($K$5*L8,2)</f>
        <v>-39284.870000000003</v>
      </c>
      <c r="L8" s="233">
        <f>+'[12]Monthly TD Calc'!$CY$44</f>
        <v>0.13576441564001979</v>
      </c>
    </row>
    <row r="9" spans="1:35" x14ac:dyDescent="0.35">
      <c r="A9" s="20" t="s">
        <v>109</v>
      </c>
      <c r="E9" s="237"/>
      <c r="F9" s="238"/>
      <c r="G9" s="237"/>
      <c r="H9" s="237"/>
      <c r="I9" s="237"/>
      <c r="J9" s="236"/>
      <c r="K9" s="26">
        <f t="shared" ref="K9:K11" si="2">ROUND($K$5*L9,2)</f>
        <v>-103045.87</v>
      </c>
      <c r="L9" s="233">
        <f>+'[12]Monthly TD Calc'!$CZ$44</f>
        <v>0.35611574316442379</v>
      </c>
    </row>
    <row r="10" spans="1:35" x14ac:dyDescent="0.35">
      <c r="A10" s="20" t="s">
        <v>110</v>
      </c>
      <c r="E10" s="237"/>
      <c r="F10" s="238"/>
      <c r="G10" s="237"/>
      <c r="H10" s="237"/>
      <c r="I10" s="237"/>
      <c r="J10" s="236"/>
      <c r="K10" s="26">
        <f t="shared" si="2"/>
        <v>-121044.92</v>
      </c>
      <c r="L10" s="233">
        <f>+'[12]Monthly TD Calc'!$DA$44</f>
        <v>0.4183185730547726</v>
      </c>
    </row>
    <row r="11" spans="1:35" ht="15" thickBot="1" x14ac:dyDescent="0.4">
      <c r="A11" s="20" t="s">
        <v>111</v>
      </c>
      <c r="E11" s="237"/>
      <c r="F11" s="238"/>
      <c r="G11" s="237"/>
      <c r="H11" s="237"/>
      <c r="I11" s="237"/>
      <c r="J11" s="236"/>
      <c r="K11" s="26">
        <f t="shared" si="2"/>
        <v>-25984.95</v>
      </c>
      <c r="L11" s="233">
        <f>+'[12]Monthly TD Calc'!$DB$44</f>
        <v>8.9801268140783777E-2</v>
      </c>
    </row>
    <row r="12" spans="1:35" ht="15.5" thickTop="1" thickBot="1" x14ac:dyDescent="0.4">
      <c r="A12" s="20" t="s">
        <v>113</v>
      </c>
      <c r="E12" s="237"/>
      <c r="F12" s="238"/>
      <c r="G12" s="237"/>
      <c r="H12" s="237"/>
      <c r="I12" s="237"/>
      <c r="J12" s="236"/>
      <c r="K12" s="28">
        <f>SUM(K8:K11)</f>
        <v>-289360.61</v>
      </c>
      <c r="L12" s="234">
        <f>SUM(L8:L11)</f>
        <v>1</v>
      </c>
    </row>
    <row r="13" spans="1:35" ht="15.5" thickTop="1" thickBot="1" x14ac:dyDescent="0.4"/>
    <row r="14" spans="1:35" ht="102" thickBot="1" x14ac:dyDescent="0.4">
      <c r="B14" s="119" t="s">
        <v>172</v>
      </c>
      <c r="C14" s="280" t="s">
        <v>173</v>
      </c>
      <c r="D14" s="280" t="s">
        <v>194</v>
      </c>
      <c r="E14" s="300" t="s">
        <v>33</v>
      </c>
      <c r="F14" s="300"/>
      <c r="G14" s="301"/>
      <c r="H14" s="302" t="s">
        <v>33</v>
      </c>
      <c r="I14" s="303"/>
      <c r="J14" s="304"/>
      <c r="K14" s="295" t="s">
        <v>8</v>
      </c>
      <c r="L14" s="296"/>
      <c r="M14" s="297"/>
    </row>
    <row r="15" spans="1:35" x14ac:dyDescent="0.35">
      <c r="A15" s="47" t="s">
        <v>32</v>
      </c>
      <c r="C15" s="14"/>
      <c r="D15" s="19"/>
      <c r="E15" s="19">
        <v>44165</v>
      </c>
      <c r="F15" s="19">
        <f>EOMONTH(E15,1)</f>
        <v>44196</v>
      </c>
      <c r="G15" s="19">
        <f t="shared" ref="G15:M15" si="3">EOMONTH(F15,1)</f>
        <v>44227</v>
      </c>
      <c r="H15" s="14">
        <f t="shared" si="3"/>
        <v>44255</v>
      </c>
      <c r="I15" s="19">
        <f t="shared" si="3"/>
        <v>44286</v>
      </c>
      <c r="J15" s="15">
        <f t="shared" si="3"/>
        <v>44316</v>
      </c>
      <c r="K15" s="19">
        <f t="shared" si="3"/>
        <v>44347</v>
      </c>
      <c r="L15" s="19">
        <f t="shared" si="3"/>
        <v>44377</v>
      </c>
      <c r="M15" s="96">
        <f t="shared" si="3"/>
        <v>44408</v>
      </c>
      <c r="Z15" s="1"/>
      <c r="AA15" s="1"/>
      <c r="AB15" s="1"/>
      <c r="AC15" s="1"/>
      <c r="AD15" s="1"/>
      <c r="AE15" s="1"/>
      <c r="AF15" s="1"/>
      <c r="AG15" s="1"/>
      <c r="AH15" s="1"/>
      <c r="AI15" s="1"/>
    </row>
    <row r="16" spans="1:35" x14ac:dyDescent="0.35">
      <c r="A16" s="47" t="s">
        <v>24</v>
      </c>
      <c r="C16" s="98">
        <v>0</v>
      </c>
      <c r="D16" s="269"/>
      <c r="E16" s="110">
        <f>+'[13]Metro MEEIA Cycle 2'!C13</f>
        <v>0</v>
      </c>
      <c r="F16" s="110">
        <f>+'[13]Metro MEEIA Cycle 2'!D13</f>
        <v>0</v>
      </c>
      <c r="G16" s="111">
        <f>+'[13]Metro MEEIA Cycle 2'!E13</f>
        <v>0</v>
      </c>
      <c r="H16" s="16">
        <f>+'[13]Metro MEEIA Cycle 2'!F13</f>
        <v>0</v>
      </c>
      <c r="I16" s="56">
        <f>+'[13]Metro MEEIA Cycle 2'!G13</f>
        <v>0</v>
      </c>
      <c r="J16" s="169">
        <f>+'[13]Metro MEEIA Cycle 2'!H13</f>
        <v>0</v>
      </c>
      <c r="K16" s="179">
        <v>0</v>
      </c>
      <c r="L16" s="141">
        <v>0</v>
      </c>
      <c r="M16" s="77"/>
    </row>
    <row r="17" spans="1:14" x14ac:dyDescent="0.35">
      <c r="A17" s="47" t="s">
        <v>25</v>
      </c>
      <c r="C17" s="98">
        <v>0</v>
      </c>
      <c r="D17" s="269"/>
      <c r="E17" s="110">
        <f>+'[13]Metro MEEIA Cycle 2'!C14</f>
        <v>0</v>
      </c>
      <c r="F17" s="110">
        <f>+'[13]Metro MEEIA Cycle 2'!D14</f>
        <v>-61476.800000000003</v>
      </c>
      <c r="G17" s="111">
        <f>+'[13]Metro MEEIA Cycle 2'!E14</f>
        <v>61476.800000000003</v>
      </c>
      <c r="H17" s="16">
        <f>+'[13]Metro MEEIA Cycle 2'!F14</f>
        <v>-13962.41</v>
      </c>
      <c r="I17" s="56">
        <f>+'[13]Metro MEEIA Cycle 2'!G14</f>
        <v>0</v>
      </c>
      <c r="J17" s="169">
        <f>+'[13]Metro MEEIA Cycle 2'!H14</f>
        <v>0</v>
      </c>
      <c r="K17" s="179">
        <v>0</v>
      </c>
      <c r="L17" s="141">
        <v>0</v>
      </c>
      <c r="M17" s="77"/>
      <c r="N17" s="64" t="s">
        <v>27</v>
      </c>
    </row>
    <row r="18" spans="1:14" x14ac:dyDescent="0.35">
      <c r="A18" s="47" t="s">
        <v>0</v>
      </c>
      <c r="C18" s="98">
        <v>0</v>
      </c>
      <c r="D18" s="269"/>
      <c r="E18" s="110">
        <f>+'[13]Metro MEEIA Cycle 2'!C15</f>
        <v>0</v>
      </c>
      <c r="F18" s="110">
        <f>+'[13]Metro MEEIA Cycle 2'!D15</f>
        <v>0</v>
      </c>
      <c r="G18" s="111">
        <f>+'[13]Metro MEEIA Cycle 2'!E15</f>
        <v>0</v>
      </c>
      <c r="H18" s="16">
        <f>+'[13]Metro MEEIA Cycle 2'!F15</f>
        <v>0</v>
      </c>
      <c r="I18" s="56">
        <f>+'[13]Metro MEEIA Cycle 2'!G15</f>
        <v>0</v>
      </c>
      <c r="J18" s="169">
        <f>+'[13]Metro MEEIA Cycle 2'!H15</f>
        <v>0</v>
      </c>
      <c r="K18" s="179">
        <v>0</v>
      </c>
      <c r="L18" s="141">
        <v>0</v>
      </c>
      <c r="M18" s="77"/>
      <c r="N18" s="74">
        <v>0.5</v>
      </c>
    </row>
    <row r="19" spans="1:14" x14ac:dyDescent="0.35">
      <c r="A19" s="47" t="s">
        <v>1</v>
      </c>
      <c r="C19" s="98">
        <v>0</v>
      </c>
      <c r="D19" s="269"/>
      <c r="E19" s="110">
        <f>+'[13]Metro MEEIA Cycle 2'!C16</f>
        <v>0</v>
      </c>
      <c r="F19" s="110">
        <f>+'[13]Metro MEEIA Cycle 2'!D16</f>
        <v>0</v>
      </c>
      <c r="G19" s="111">
        <f>+'[13]Metro MEEIA Cycle 2'!E16</f>
        <v>0</v>
      </c>
      <c r="H19" s="16">
        <f>+'[13]Metro MEEIA Cycle 2'!F16</f>
        <v>0</v>
      </c>
      <c r="I19" s="56">
        <f>+'[13]Metro MEEIA Cycle 2'!G16</f>
        <v>0</v>
      </c>
      <c r="J19" s="169">
        <f>+'[13]Metro MEEIA Cycle 2'!H16</f>
        <v>0</v>
      </c>
      <c r="K19" s="179">
        <v>0</v>
      </c>
      <c r="L19" s="141">
        <v>0</v>
      </c>
      <c r="M19" s="77"/>
      <c r="N19" s="64"/>
    </row>
    <row r="20" spans="1:14" x14ac:dyDescent="0.35">
      <c r="C20" s="99"/>
      <c r="D20" s="270"/>
      <c r="E20" s="32"/>
      <c r="F20" s="32"/>
      <c r="G20" s="32"/>
      <c r="H20" s="29"/>
      <c r="I20" s="32"/>
      <c r="J20" s="11"/>
      <c r="K20" s="32"/>
      <c r="L20" s="32"/>
      <c r="M20" s="30"/>
    </row>
    <row r="21" spans="1:14" x14ac:dyDescent="0.35">
      <c r="C21" s="99"/>
      <c r="D21" s="270"/>
      <c r="E21" s="32"/>
      <c r="F21" s="32"/>
      <c r="G21" s="32"/>
      <c r="H21" s="29"/>
      <c r="I21" s="32"/>
      <c r="J21" s="11"/>
      <c r="K21" s="32"/>
      <c r="L21" s="32"/>
      <c r="M21" s="30"/>
    </row>
    <row r="22" spans="1:14" x14ac:dyDescent="0.35">
      <c r="A22" s="47" t="s">
        <v>35</v>
      </c>
      <c r="C22" s="100"/>
      <c r="D22" s="152"/>
      <c r="E22" s="32"/>
      <c r="F22" s="32"/>
      <c r="G22" s="32"/>
      <c r="H22" s="29"/>
      <c r="I22" s="32"/>
      <c r="J22" s="170"/>
      <c r="K22" s="17"/>
      <c r="L22" s="17"/>
      <c r="M22" s="11"/>
    </row>
    <row r="23" spans="1:14" x14ac:dyDescent="0.35">
      <c r="A23" s="47" t="s">
        <v>24</v>
      </c>
      <c r="C23" s="41">
        <f>C16+($N$18*C$18)+($N$18*C$19)</f>
        <v>0</v>
      </c>
      <c r="D23" s="124"/>
      <c r="E23" s="42">
        <f t="shared" ref="E23:L23" si="4">E16+($N$18*E$18)+($N$18*E$19)</f>
        <v>0</v>
      </c>
      <c r="F23" s="42">
        <f t="shared" si="4"/>
        <v>0</v>
      </c>
      <c r="G23" s="109">
        <f t="shared" si="4"/>
        <v>0</v>
      </c>
      <c r="H23" s="41">
        <f t="shared" si="4"/>
        <v>0</v>
      </c>
      <c r="I23" s="42">
        <f t="shared" si="4"/>
        <v>0</v>
      </c>
      <c r="J23" s="62">
        <f t="shared" si="4"/>
        <v>0</v>
      </c>
      <c r="K23" s="124">
        <f t="shared" si="4"/>
        <v>0</v>
      </c>
      <c r="L23" s="42">
        <f t="shared" si="4"/>
        <v>0</v>
      </c>
      <c r="M23" s="62">
        <f t="shared" ref="M23" si="5">M16+($N$18*M$18)+($N$18*M$19)+M$20*(1-$N$20)</f>
        <v>0</v>
      </c>
    </row>
    <row r="24" spans="1:14" x14ac:dyDescent="0.35">
      <c r="A24" s="47" t="s">
        <v>25</v>
      </c>
      <c r="C24" s="41">
        <f>(C$17+$N$18*C$18)+C$19*$N$18</f>
        <v>0</v>
      </c>
      <c r="D24" s="124"/>
      <c r="E24" s="42">
        <f t="shared" ref="E24:L24" si="6">(E$17+$N$18*E$18)+E$19*$N$18</f>
        <v>0</v>
      </c>
      <c r="F24" s="42">
        <f t="shared" si="6"/>
        <v>-61476.800000000003</v>
      </c>
      <c r="G24" s="109">
        <f t="shared" si="6"/>
        <v>61476.800000000003</v>
      </c>
      <c r="H24" s="41">
        <f t="shared" si="6"/>
        <v>-13962.41</v>
      </c>
      <c r="I24" s="42">
        <f t="shared" si="6"/>
        <v>0</v>
      </c>
      <c r="J24" s="62">
        <f t="shared" si="6"/>
        <v>0</v>
      </c>
      <c r="K24" s="124">
        <f t="shared" si="6"/>
        <v>0</v>
      </c>
      <c r="L24" s="42">
        <f t="shared" si="6"/>
        <v>0</v>
      </c>
      <c r="M24" s="62">
        <f t="shared" ref="M24" si="7">(M$17+$N$18*M$18+M$20*$N$20)+M$19*$N$18</f>
        <v>0</v>
      </c>
    </row>
    <row r="25" spans="1:14" x14ac:dyDescent="0.35">
      <c r="C25" s="100"/>
      <c r="D25" s="152"/>
      <c r="E25" s="32"/>
      <c r="F25" s="32"/>
      <c r="G25" s="32"/>
      <c r="H25" s="29"/>
      <c r="I25" s="32"/>
      <c r="J25" s="11"/>
      <c r="K25" s="17"/>
      <c r="L25" s="17"/>
      <c r="M25" s="11"/>
    </row>
    <row r="26" spans="1:14" x14ac:dyDescent="0.35">
      <c r="A26" s="40" t="s">
        <v>47</v>
      </c>
      <c r="B26" s="40"/>
      <c r="C26" s="102"/>
      <c r="D26" s="271"/>
      <c r="E26" s="32"/>
      <c r="F26" s="32"/>
      <c r="G26" s="32"/>
      <c r="H26" s="29"/>
      <c r="I26" s="32"/>
      <c r="J26" s="11"/>
      <c r="K26" s="17"/>
      <c r="L26" s="17"/>
      <c r="M26" s="11"/>
    </row>
    <row r="27" spans="1:14" x14ac:dyDescent="0.35">
      <c r="A27" s="47" t="s">
        <v>24</v>
      </c>
      <c r="C27" s="103">
        <v>-651672245</v>
      </c>
      <c r="D27" s="272"/>
      <c r="E27" s="112">
        <f>+'[10]Nov 2020'!C123</f>
        <v>171706913.76149994</v>
      </c>
      <c r="F27" s="112">
        <f>+'[10]Dec 2020'!C123</f>
        <v>206430008.66069999</v>
      </c>
      <c r="G27" s="112">
        <f>+'[10]Jan 2021'!$C123</f>
        <v>256841523.56810001</v>
      </c>
      <c r="H27" s="189">
        <f>+'[10]Feb 2021'!$C123</f>
        <v>258074452.14089999</v>
      </c>
      <c r="I27" s="192">
        <f>+'[10]Mar 2021'!$C123</f>
        <v>227856987.37839997</v>
      </c>
      <c r="J27" s="184">
        <f>+'[10]Mar 2021'!$C123</f>
        <v>227856987.37839997</v>
      </c>
      <c r="K27" s="180">
        <f>+'[1]Billed kWh Sales'!I24</f>
        <v>151197969</v>
      </c>
      <c r="L27" s="142">
        <f>+'[1]Billed kWh Sales'!J24</f>
        <v>194132921</v>
      </c>
      <c r="M27" s="78">
        <f>+'[1]Billed kWh Sales'!K24</f>
        <v>283066672</v>
      </c>
    </row>
    <row r="28" spans="1:14" x14ac:dyDescent="0.35">
      <c r="A28" s="47" t="s">
        <v>108</v>
      </c>
      <c r="C28" s="103">
        <v>-96188501</v>
      </c>
      <c r="D28" s="272"/>
      <c r="E28" s="112">
        <f>+'[10]Nov 2020'!C124</f>
        <v>37919951.567500003</v>
      </c>
      <c r="F28" s="112">
        <f>+'[10]Dec 2020'!C124</f>
        <v>43432139.264500007</v>
      </c>
      <c r="G28" s="112">
        <f>+'[10]Jan 2021'!$C124</f>
        <v>47075644.781300008</v>
      </c>
      <c r="H28" s="189">
        <f>+'[10]Feb 2021'!$C124</f>
        <v>47743336.265700005</v>
      </c>
      <c r="I28" s="192">
        <f>+'[10]Mar 2021'!$C124</f>
        <v>45650428.892700002</v>
      </c>
      <c r="J28" s="184">
        <f>+'[10]Mar 2021'!$C124</f>
        <v>45650428.892700002</v>
      </c>
      <c r="K28" s="180">
        <f>+'[1]Billed kWh Sales'!I25</f>
        <v>40460535</v>
      </c>
      <c r="L28" s="142">
        <f>+'[1]Billed kWh Sales'!J25</f>
        <v>44790139</v>
      </c>
      <c r="M28" s="78">
        <f>+'[1]Billed kWh Sales'!K25</f>
        <v>49213046</v>
      </c>
    </row>
    <row r="29" spans="1:14" x14ac:dyDescent="0.35">
      <c r="A29" s="47" t="s">
        <v>109</v>
      </c>
      <c r="C29" s="103">
        <v>-273940548</v>
      </c>
      <c r="D29" s="272"/>
      <c r="E29" s="112">
        <f>+'[10]Nov 2020'!C125</f>
        <v>82575083.608999997</v>
      </c>
      <c r="F29" s="112">
        <f>+'[10]Dec 2020'!C125</f>
        <v>88242354.205900013</v>
      </c>
      <c r="G29" s="112">
        <f>+'[10]Jan 2021'!$C125</f>
        <v>97441545.004099995</v>
      </c>
      <c r="H29" s="189">
        <f>+'[10]Feb 2021'!$C125</f>
        <v>94856578.525900021</v>
      </c>
      <c r="I29" s="192">
        <f>+'[10]Mar 2021'!$C125</f>
        <v>93748058.156000003</v>
      </c>
      <c r="J29" s="184">
        <f>+'[10]Mar 2021'!$C125</f>
        <v>93748058.156000003</v>
      </c>
      <c r="K29" s="180">
        <f>+'[1]Billed kWh Sales'!I26</f>
        <v>88196618</v>
      </c>
      <c r="L29" s="142">
        <f>+'[1]Billed kWh Sales'!J26</f>
        <v>97634368</v>
      </c>
      <c r="M29" s="78">
        <f>+'[1]Billed kWh Sales'!K26</f>
        <v>107275502</v>
      </c>
    </row>
    <row r="30" spans="1:14" x14ac:dyDescent="0.35">
      <c r="A30" s="47" t="s">
        <v>110</v>
      </c>
      <c r="C30" s="103">
        <v>-424765780</v>
      </c>
      <c r="D30" s="272"/>
      <c r="E30" s="112">
        <f>+'[10]Nov 2020'!C126</f>
        <v>132576801.11580001</v>
      </c>
      <c r="F30" s="112">
        <f>+'[10]Dec 2020'!C126</f>
        <v>144616153.53920001</v>
      </c>
      <c r="G30" s="112">
        <f>+'[10]Jan 2021'!$C126</f>
        <v>153359017.4966</v>
      </c>
      <c r="H30" s="189">
        <f>+'[10]Feb 2021'!$C126</f>
        <v>150839894.21359998</v>
      </c>
      <c r="I30" s="192">
        <f>+'[10]Mar 2021'!$C126</f>
        <v>152025748.42820001</v>
      </c>
      <c r="J30" s="184">
        <f>+'[10]Mar 2021'!$C126</f>
        <v>152025748.42820001</v>
      </c>
      <c r="K30" s="180">
        <f>+'[1]Billed kWh Sales'!I27</f>
        <v>139766949</v>
      </c>
      <c r="L30" s="142">
        <f>+'[1]Billed kWh Sales'!J27</f>
        <v>154723142</v>
      </c>
      <c r="M30" s="78">
        <f>+'[1]Billed kWh Sales'!K27</f>
        <v>170001640</v>
      </c>
    </row>
    <row r="31" spans="1:14" x14ac:dyDescent="0.35">
      <c r="A31" s="47" t="s">
        <v>111</v>
      </c>
      <c r="C31" s="103">
        <v>-128494680</v>
      </c>
      <c r="D31" s="272"/>
      <c r="E31" s="112">
        <f>+'[10]Nov 2020'!C127</f>
        <v>38850191.596500009</v>
      </c>
      <c r="F31" s="112">
        <f>+'[10]Dec 2020'!C127</f>
        <v>38834530.521600001</v>
      </c>
      <c r="G31" s="112">
        <f>+'[10]Jan 2021'!$C127</f>
        <v>38073037.279299997</v>
      </c>
      <c r="H31" s="189">
        <f>+'[10]Feb 2021'!$C127</f>
        <v>36328911.880999997</v>
      </c>
      <c r="I31" s="192">
        <f>+'[10]Mar 2021'!$C127</f>
        <v>35849326.004699998</v>
      </c>
      <c r="J31" s="184">
        <f>+'[10]Mar 2021'!$C127</f>
        <v>35849326.004699998</v>
      </c>
      <c r="K31" s="180">
        <f>+'[1]Billed kWh Sales'!I28</f>
        <v>40168679</v>
      </c>
      <c r="L31" s="142">
        <f>+'[1]Billed kWh Sales'!J28</f>
        <v>44467052</v>
      </c>
      <c r="M31" s="78">
        <f>+'[1]Billed kWh Sales'!K28</f>
        <v>48858055</v>
      </c>
    </row>
    <row r="32" spans="1:14" x14ac:dyDescent="0.35">
      <c r="C32" s="100"/>
      <c r="D32" s="152"/>
      <c r="E32" s="32"/>
      <c r="F32" s="32"/>
      <c r="G32" s="32"/>
      <c r="H32" s="29"/>
      <c r="I32" s="32"/>
      <c r="J32" s="11"/>
      <c r="K32" s="17"/>
      <c r="L32" s="17"/>
      <c r="M32" s="11"/>
    </row>
    <row r="33" spans="1:15" x14ac:dyDescent="0.35">
      <c r="A33" s="47" t="s">
        <v>34</v>
      </c>
      <c r="C33" s="100"/>
      <c r="D33" s="152"/>
      <c r="E33" s="18"/>
      <c r="F33" s="18"/>
      <c r="G33" s="18"/>
      <c r="H33" s="92"/>
      <c r="I33" s="18"/>
      <c r="J33" s="11"/>
      <c r="K33" s="58"/>
      <c r="L33" s="58"/>
      <c r="M33" s="59"/>
      <c r="N33" s="64" t="s">
        <v>50</v>
      </c>
      <c r="O33" s="40"/>
    </row>
    <row r="34" spans="1:15" x14ac:dyDescent="0.35">
      <c r="A34" s="47" t="s">
        <v>24</v>
      </c>
      <c r="C34" s="98">
        <v>-234602.01</v>
      </c>
      <c r="D34" s="269"/>
      <c r="E34" s="110">
        <f>ROUND('[10]Nov 2020'!F43+'[10]Nov 2020'!F52,2)</f>
        <v>62258.42</v>
      </c>
      <c r="F34" s="110">
        <f>ROUND('[10]Dec 2020'!F43+'[10]Dec 2020'!F52,2)</f>
        <v>74391.34</v>
      </c>
      <c r="G34" s="112">
        <f>ROUND('[10]Jan 2021'!$F43+'[10]Jan 2021'!$F52,2)</f>
        <v>92878.94</v>
      </c>
      <c r="H34" s="190">
        <f>ROUND('[10]Feb 2021'!$F43+'[10]Feb 2021'!$F52,2)</f>
        <v>65089.14</v>
      </c>
      <c r="I34" s="56">
        <f>ROUND('[10]Mar 2021'!$F43+'[10]Mar 2021'!$F52,2)</f>
        <v>23876.95</v>
      </c>
      <c r="J34" s="182">
        <f>ROUND('[10]Apr 2021'!$F43+'[10]Apr 2021'!$F52,2)</f>
        <v>15693.9</v>
      </c>
      <c r="K34" s="124">
        <f>ROUND(K27*$N34,2)</f>
        <v>15119.8</v>
      </c>
      <c r="L34" s="42">
        <f t="shared" ref="L34:M34" si="8">ROUND(L27*$N34,2)</f>
        <v>19413.29</v>
      </c>
      <c r="M34" s="62">
        <f t="shared" si="8"/>
        <v>28306.67</v>
      </c>
      <c r="N34" s="73">
        <v>1E-4</v>
      </c>
    </row>
    <row r="35" spans="1:15" x14ac:dyDescent="0.35">
      <c r="A35" s="47" t="s">
        <v>108</v>
      </c>
      <c r="C35" s="98">
        <v>24047.119999999999</v>
      </c>
      <c r="D35" s="269"/>
      <c r="E35" s="110">
        <f>ROUND('[10]Nov 2020'!F44+'[10]Nov 2020'!F53,2)</f>
        <v>-9269.76</v>
      </c>
      <c r="F35" s="110">
        <f>ROUND('[10]Dec 2020'!F44+'[10]Dec 2020'!F53,2)</f>
        <v>-10189.82</v>
      </c>
      <c r="G35" s="112">
        <f>ROUND('[10]Jan 2021'!$F44+'[10]Jan 2021'!$F53,2)</f>
        <v>-11379.08</v>
      </c>
      <c r="H35" s="190">
        <f>ROUND('[10]Feb 2021'!$F44+'[10]Feb 2021'!$F53,2)</f>
        <v>-10716.22</v>
      </c>
      <c r="I35" s="56">
        <f>ROUND('[10]Mar 2021'!$F44+'[10]Mar 2021'!$F53,2)</f>
        <v>-8653.49</v>
      </c>
      <c r="J35" s="182">
        <f>ROUND('[10]Apr 2021'!$F44+'[10]Apr 2021'!$F53,2)</f>
        <v>-7168.99</v>
      </c>
      <c r="K35" s="124">
        <f t="shared" ref="K35:M35" si="9">ROUND(K28*$N35,2)</f>
        <v>-7687.5</v>
      </c>
      <c r="L35" s="42">
        <f t="shared" si="9"/>
        <v>-8510.1299999999992</v>
      </c>
      <c r="M35" s="62">
        <f t="shared" si="9"/>
        <v>-9350.48</v>
      </c>
      <c r="N35" s="73">
        <v>-1.9000000000000001E-4</v>
      </c>
    </row>
    <row r="36" spans="1:15" x14ac:dyDescent="0.35">
      <c r="A36" s="47" t="s">
        <v>109</v>
      </c>
      <c r="C36" s="98">
        <v>65745.73000000001</v>
      </c>
      <c r="D36" s="269"/>
      <c r="E36" s="110">
        <f>ROUND('[10]Nov 2020'!F45+'[10]Nov 2020'!F54,2)</f>
        <v>-19636.77</v>
      </c>
      <c r="F36" s="110">
        <f>ROUND('[10]Dec 2020'!F45+'[10]Dec 2020'!F54,2)</f>
        <v>-20332.580000000002</v>
      </c>
      <c r="G36" s="112">
        <f>ROUND('[10]Jan 2021'!$F45+'[10]Jan 2021'!$F54,2)</f>
        <v>-22782</v>
      </c>
      <c r="H36" s="190">
        <f>ROUND('[10]Feb 2021'!$F45+'[10]Feb 2021'!$F54,2)</f>
        <v>-18546.11</v>
      </c>
      <c r="I36" s="56">
        <f>ROUND('[10]Mar 2021'!$F45+'[10]Mar 2021'!$F54,2)</f>
        <v>-14985.07</v>
      </c>
      <c r="J36" s="182">
        <f>ROUND('[10]Apr 2021'!$F45+'[10]Apr 2021'!$F54,2)</f>
        <v>-12321.56</v>
      </c>
      <c r="K36" s="124">
        <f t="shared" ref="K36:M36" si="10">ROUND(K29*$N36,2)</f>
        <v>-14111.46</v>
      </c>
      <c r="L36" s="42">
        <f t="shared" si="10"/>
        <v>-15621.5</v>
      </c>
      <c r="M36" s="62">
        <f t="shared" si="10"/>
        <v>-17164.080000000002</v>
      </c>
      <c r="N36" s="73">
        <v>-1.6000000000000001E-4</v>
      </c>
    </row>
    <row r="37" spans="1:15" x14ac:dyDescent="0.35">
      <c r="A37" s="47" t="s">
        <v>110</v>
      </c>
      <c r="C37" s="98">
        <v>72210.179999999993</v>
      </c>
      <c r="D37" s="269"/>
      <c r="E37" s="110">
        <f>ROUND('[10]Nov 2020'!F46+'[10]Nov 2020'!F55,2)</f>
        <v>-22244.13</v>
      </c>
      <c r="F37" s="110">
        <f>ROUND('[10]Dec 2020'!F46+'[10]Dec 2020'!F55,2)</f>
        <v>-23618.51</v>
      </c>
      <c r="G37" s="112">
        <f>ROUND('[10]Jan 2021'!$F46+'[10]Jan 2021'!$F55,2)</f>
        <v>-25254.65</v>
      </c>
      <c r="H37" s="190">
        <f>ROUND('[10]Feb 2021'!$F46+'[10]Feb 2021'!$F55,2)</f>
        <v>-22860.57</v>
      </c>
      <c r="I37" s="56">
        <f>ROUND('[10]Mar 2021'!$F46+'[10]Mar 2021'!$F55,2)</f>
        <v>-19781.48</v>
      </c>
      <c r="J37" s="182">
        <f>ROUND('[10]Apr 2021'!$F46+'[10]Apr 2021'!$F55,2)</f>
        <v>-16964.73</v>
      </c>
      <c r="K37" s="124">
        <f t="shared" ref="K37:M37" si="11">ROUND(K30*$N37,2)</f>
        <v>-18169.7</v>
      </c>
      <c r="L37" s="42">
        <f t="shared" si="11"/>
        <v>-20114.009999999998</v>
      </c>
      <c r="M37" s="62">
        <f t="shared" si="11"/>
        <v>-22100.21</v>
      </c>
      <c r="N37" s="73">
        <v>-1.2999999999999999E-4</v>
      </c>
    </row>
    <row r="38" spans="1:15" x14ac:dyDescent="0.35">
      <c r="A38" s="47" t="s">
        <v>111</v>
      </c>
      <c r="C38" s="98">
        <v>15419.359999999999</v>
      </c>
      <c r="D38" s="269"/>
      <c r="E38" s="110">
        <f>ROUND('[10]Nov 2020'!F47+'[10]Nov 2020'!F56,2)</f>
        <v>-4819.07</v>
      </c>
      <c r="F38" s="110">
        <f>ROUND('[10]Dec 2020'!F47+'[10]Dec 2020'!F56,2)</f>
        <v>-5232.49</v>
      </c>
      <c r="G38" s="112">
        <f>ROUND('[10]Jan 2021'!$F47+'[10]Jan 2021'!$F56,2)</f>
        <v>-4289.6099999999997</v>
      </c>
      <c r="H38" s="190">
        <f>ROUND('[10]Feb 2021'!$F47+'[10]Feb 2021'!$F56,2)</f>
        <v>-625.89</v>
      </c>
      <c r="I38" s="56">
        <f>ROUND('[10]Mar 2021'!$F47+'[10]Mar 2021'!$F56,2)</f>
        <v>-3672.4</v>
      </c>
      <c r="J38" s="182">
        <f>ROUND('[10]Apr 2021'!$F47+'[10]Apr 2021'!$F56,2)</f>
        <v>-688.06</v>
      </c>
      <c r="K38" s="124">
        <f>ROUND(K31*$N38,2)</f>
        <v>-3615.18</v>
      </c>
      <c r="L38" s="42">
        <f t="shared" ref="L38:M38" si="12">ROUND(L31*$N38,2)</f>
        <v>-4002.03</v>
      </c>
      <c r="M38" s="62">
        <f t="shared" si="12"/>
        <v>-4397.22</v>
      </c>
      <c r="N38" s="73">
        <v>-9.0000000000000006E-5</v>
      </c>
    </row>
    <row r="39" spans="1:15" x14ac:dyDescent="0.35">
      <c r="C39" s="68"/>
      <c r="D39" s="69"/>
      <c r="E39" s="18"/>
      <c r="F39" s="18"/>
      <c r="G39" s="18"/>
      <c r="H39" s="92"/>
      <c r="I39" s="18"/>
      <c r="J39" s="11"/>
      <c r="K39" s="57"/>
      <c r="L39" s="57"/>
      <c r="M39" s="13"/>
      <c r="N39" s="4"/>
    </row>
    <row r="40" spans="1:15" ht="15" thickBot="1" x14ac:dyDescent="0.4">
      <c r="A40" s="47" t="s">
        <v>14</v>
      </c>
      <c r="C40" s="104">
        <v>596.46</v>
      </c>
      <c r="D40" s="273">
        <f>+'[14]Metro Program Cycle 2'!$K$100-'[14]Metro Program Cycle 2'!$L$100+'[14]Metro Program Cycle 2'!$X$100-'[14]Metro Program Cycle 2'!$Y$100</f>
        <v>-3268.2400000000089</v>
      </c>
      <c r="E40" s="113">
        <v>-242.83</v>
      </c>
      <c r="F40" s="113">
        <v>-284.19</v>
      </c>
      <c r="G40" s="114">
        <v>-300.26</v>
      </c>
      <c r="H40" s="27">
        <v>-293.86</v>
      </c>
      <c r="I40" s="123">
        <v>-293.74</v>
      </c>
      <c r="J40" s="183">
        <v>-274.41999999999996</v>
      </c>
      <c r="K40" s="181">
        <v>-251.55</v>
      </c>
      <c r="L40" s="143">
        <v>-225.24</v>
      </c>
      <c r="M40" s="82"/>
    </row>
    <row r="41" spans="1:15" x14ac:dyDescent="0.35">
      <c r="C41" s="100"/>
      <c r="D41" s="152"/>
      <c r="E41" s="32"/>
      <c r="F41" s="32"/>
      <c r="G41" s="32"/>
      <c r="H41" s="29"/>
      <c r="I41" s="32"/>
      <c r="J41" s="11"/>
      <c r="K41" s="17"/>
      <c r="L41" s="17"/>
      <c r="M41" s="11"/>
    </row>
    <row r="42" spans="1:15" x14ac:dyDescent="0.35">
      <c r="A42" s="47" t="s">
        <v>52</v>
      </c>
      <c r="C42" s="100"/>
      <c r="D42" s="152"/>
      <c r="E42" s="32"/>
      <c r="F42" s="32"/>
      <c r="G42" s="32"/>
      <c r="H42" s="29"/>
      <c r="I42" s="32"/>
      <c r="J42" s="11"/>
      <c r="K42" s="17"/>
      <c r="L42" s="17"/>
      <c r="M42" s="11"/>
    </row>
    <row r="43" spans="1:15" x14ac:dyDescent="0.35">
      <c r="A43" s="47" t="s">
        <v>24</v>
      </c>
      <c r="C43" s="41">
        <f t="shared" ref="C43:M43" si="13">C23-C34</f>
        <v>234602.01</v>
      </c>
      <c r="D43" s="124"/>
      <c r="E43" s="42">
        <f t="shared" si="13"/>
        <v>-62258.42</v>
      </c>
      <c r="F43" s="42">
        <f t="shared" si="13"/>
        <v>-74391.34</v>
      </c>
      <c r="G43" s="109">
        <f t="shared" si="13"/>
        <v>-92878.94</v>
      </c>
      <c r="H43" s="41">
        <f t="shared" si="13"/>
        <v>-65089.14</v>
      </c>
      <c r="I43" s="42">
        <f t="shared" si="13"/>
        <v>-23876.95</v>
      </c>
      <c r="J43" s="62">
        <f t="shared" si="13"/>
        <v>-15693.9</v>
      </c>
      <c r="K43" s="124">
        <f t="shared" si="13"/>
        <v>-15119.8</v>
      </c>
      <c r="L43" s="42">
        <f t="shared" si="13"/>
        <v>-19413.29</v>
      </c>
      <c r="M43" s="50">
        <f t="shared" si="13"/>
        <v>-28306.67</v>
      </c>
    </row>
    <row r="44" spans="1:15" x14ac:dyDescent="0.35">
      <c r="A44" s="47" t="s">
        <v>25</v>
      </c>
      <c r="C44" s="41">
        <f>C24-SUM(C35:C38)</f>
        <v>-177422.38999999998</v>
      </c>
      <c r="D44" s="124"/>
      <c r="E44" s="42">
        <f>E24-SUM(E35:E38)</f>
        <v>55969.73</v>
      </c>
      <c r="F44" s="42">
        <f t="shared" ref="F44:M44" si="14">F24-SUM(F35:F38)</f>
        <v>-2103.4000000000015</v>
      </c>
      <c r="G44" s="109">
        <f t="shared" si="14"/>
        <v>125182.14000000001</v>
      </c>
      <c r="H44" s="41">
        <f t="shared" si="14"/>
        <v>38786.380000000005</v>
      </c>
      <c r="I44" s="42">
        <f t="shared" si="14"/>
        <v>47092.439999999995</v>
      </c>
      <c r="J44" s="62">
        <f t="shared" si="14"/>
        <v>37143.339999999997</v>
      </c>
      <c r="K44" s="124">
        <f t="shared" si="14"/>
        <v>43583.840000000004</v>
      </c>
      <c r="L44" s="42">
        <f t="shared" si="14"/>
        <v>48247.67</v>
      </c>
      <c r="M44" s="50">
        <f t="shared" si="14"/>
        <v>53011.990000000005</v>
      </c>
    </row>
    <row r="45" spans="1:15" x14ac:dyDescent="0.35">
      <c r="C45" s="100"/>
      <c r="D45" s="152"/>
      <c r="E45" s="32"/>
      <c r="F45" s="32"/>
      <c r="G45" s="32"/>
      <c r="H45" s="29"/>
      <c r="I45" s="32"/>
      <c r="J45" s="11"/>
      <c r="K45" s="17"/>
      <c r="L45" s="17"/>
      <c r="M45" s="11"/>
    </row>
    <row r="46" spans="1:15" ht="15" thickBot="1" x14ac:dyDescent="0.4">
      <c r="A46" s="47" t="s">
        <v>53</v>
      </c>
      <c r="C46" s="105"/>
      <c r="D46" s="274"/>
      <c r="E46" s="32"/>
      <c r="F46" s="32"/>
      <c r="G46" s="32"/>
      <c r="H46" s="29"/>
      <c r="I46" s="32"/>
      <c r="J46" s="11"/>
      <c r="K46" s="17"/>
      <c r="L46" s="17"/>
      <c r="M46" s="11"/>
    </row>
    <row r="47" spans="1:15" x14ac:dyDescent="0.35">
      <c r="A47" s="47" t="s">
        <v>24</v>
      </c>
      <c r="B47" s="117">
        <v>251007.80499999967</v>
      </c>
      <c r="C47" s="42">
        <f>B47+C43+B52</f>
        <v>485609.81499999971</v>
      </c>
      <c r="D47" s="42">
        <f>C47+D43+C52</f>
        <v>484628.65499999974</v>
      </c>
      <c r="E47" s="42">
        <f>C47+E43+C52+D52</f>
        <v>418036.01499999972</v>
      </c>
      <c r="F47" s="42">
        <f t="shared" ref="F47:M47" si="15">E47+F43+E52</f>
        <v>344072.18499999971</v>
      </c>
      <c r="G47" s="109">
        <f t="shared" si="15"/>
        <v>251558.35499999969</v>
      </c>
      <c r="H47" s="41">
        <f t="shared" si="15"/>
        <v>186749.57499999966</v>
      </c>
      <c r="I47" s="42">
        <f t="shared" si="15"/>
        <v>163076.27499999964</v>
      </c>
      <c r="J47" s="62">
        <f t="shared" si="15"/>
        <v>147543.89499999964</v>
      </c>
      <c r="K47" s="124">
        <f t="shared" si="15"/>
        <v>132568.03499999965</v>
      </c>
      <c r="L47" s="42">
        <f t="shared" si="15"/>
        <v>113284.54499999965</v>
      </c>
      <c r="M47" s="50">
        <f t="shared" si="15"/>
        <v>85091.804999999644</v>
      </c>
    </row>
    <row r="48" spans="1:15" ht="15" thickBot="1" x14ac:dyDescent="0.4">
      <c r="A48" s="47" t="s">
        <v>25</v>
      </c>
      <c r="B48" s="118">
        <v>-557504.05500000005</v>
      </c>
      <c r="C48" s="42">
        <f>B48+C44+B53</f>
        <v>-734926.44500000007</v>
      </c>
      <c r="D48" s="42">
        <f>C48+D44+C53</f>
        <v>-733348.82500000007</v>
      </c>
      <c r="E48" s="42">
        <f>C48+E44+C53+D53</f>
        <v>-676313.11500000011</v>
      </c>
      <c r="F48" s="42">
        <f t="shared" ref="F48:M48" si="16">E48+F44+E53</f>
        <v>-679086.8550000001</v>
      </c>
      <c r="G48" s="109">
        <f t="shared" si="16"/>
        <v>-554554.00500000012</v>
      </c>
      <c r="H48" s="41">
        <f t="shared" si="16"/>
        <v>-516348.24500000011</v>
      </c>
      <c r="I48" s="42">
        <f t="shared" si="16"/>
        <v>-469753.31500000012</v>
      </c>
      <c r="J48" s="62">
        <f t="shared" si="16"/>
        <v>-433065.2350000001</v>
      </c>
      <c r="K48" s="124">
        <f t="shared" si="16"/>
        <v>-389899.74500000005</v>
      </c>
      <c r="L48" s="42">
        <f t="shared" si="16"/>
        <v>-342033.42500000005</v>
      </c>
      <c r="M48" s="50">
        <f t="shared" si="16"/>
        <v>-289360.60500000004</v>
      </c>
    </row>
    <row r="49" spans="1:14" x14ac:dyDescent="0.35">
      <c r="C49" s="100"/>
      <c r="D49" s="152"/>
      <c r="E49" s="32"/>
      <c r="F49" s="32"/>
      <c r="G49" s="32"/>
      <c r="H49" s="29"/>
      <c r="I49" s="32"/>
      <c r="J49" s="11"/>
      <c r="K49" s="17"/>
      <c r="L49" s="17"/>
      <c r="M49" s="11"/>
    </row>
    <row r="50" spans="1:14" x14ac:dyDescent="0.35">
      <c r="A50" s="40" t="s">
        <v>49</v>
      </c>
      <c r="B50" s="40"/>
      <c r="C50" s="105"/>
      <c r="D50" s="274"/>
      <c r="E50" s="84">
        <f>+'[15]Nov 2020'!$F$51</f>
        <v>9.5178000000000005E-4</v>
      </c>
      <c r="F50" s="84">
        <f>+'[15]Dec 2020'!$F$51</f>
        <v>9.5761000000000002E-4</v>
      </c>
      <c r="G50" s="84">
        <f>+'[15]Jan 2021'!$F$51</f>
        <v>9.4081999999999998E-4</v>
      </c>
      <c r="H50" s="85">
        <f>+'[15]Feb 2021'!$F$48</f>
        <v>9.2864E-4</v>
      </c>
      <c r="I50" s="84">
        <f>+'[15] Mar 2021'!$F$51</f>
        <v>9.2287999999999995E-4</v>
      </c>
      <c r="J50" s="93">
        <f>+'[15]Apr 2021'!$F$51</f>
        <v>9.2628999999999997E-4</v>
      </c>
      <c r="K50" s="84">
        <f>+J50</f>
        <v>9.2628999999999997E-4</v>
      </c>
      <c r="L50" s="84">
        <f>+K50</f>
        <v>9.2628999999999997E-4</v>
      </c>
      <c r="M50" s="93"/>
    </row>
    <row r="51" spans="1:14" x14ac:dyDescent="0.35">
      <c r="A51" s="40" t="s">
        <v>37</v>
      </c>
      <c r="B51" s="40"/>
      <c r="C51" s="100"/>
      <c r="D51" s="152"/>
      <c r="E51" s="32"/>
      <c r="F51" s="32"/>
      <c r="G51" s="32"/>
      <c r="H51" s="29"/>
      <c r="I51" s="32"/>
      <c r="J51" s="11"/>
      <c r="K51" s="17"/>
      <c r="L51" s="17"/>
      <c r="M51" s="11"/>
      <c r="N51" s="72"/>
    </row>
    <row r="52" spans="1:14" x14ac:dyDescent="0.35">
      <c r="A52" s="47" t="s">
        <v>24</v>
      </c>
      <c r="C52" s="41">
        <v>-981.16</v>
      </c>
      <c r="D52" s="124">
        <f>+'[14]Metro Program Cycle 2'!$K$100-'[14]Metro Program Cycle 2'!$L$100</f>
        <v>-4334.2200000000084</v>
      </c>
      <c r="E52" s="42">
        <f>ROUND((C47+C52+D52+E43/2)*E$50,2)</f>
        <v>427.51</v>
      </c>
      <c r="F52" s="42">
        <f t="shared" ref="F52:F53" si="17">ROUND((E47+E52+F43/2)*F$50,2)</f>
        <v>365.11</v>
      </c>
      <c r="G52" s="109">
        <f t="shared" ref="G52:G53" si="18">ROUND((F47+F52+G43/2)*G$50,2)</f>
        <v>280.36</v>
      </c>
      <c r="H52" s="41">
        <f t="shared" ref="H52:H53" si="19">ROUND((G47+G52+H43/2)*H$50,2)</f>
        <v>203.65</v>
      </c>
      <c r="I52" s="124">
        <f t="shared" ref="I52:J53" si="20">ROUND((H47+H52+I43/2)*I$50,2)</f>
        <v>161.52000000000001</v>
      </c>
      <c r="J52" s="62">
        <f t="shared" si="20"/>
        <v>143.94</v>
      </c>
      <c r="K52" s="124">
        <f t="shared" ref="K52:K53" si="21">ROUND((J47+J52+K43/2)*K$50,2)</f>
        <v>129.80000000000001</v>
      </c>
      <c r="L52" s="124">
        <f t="shared" ref="L52:L53" si="22">ROUND((K47+K52+L43/2)*L$50,2)</f>
        <v>113.93</v>
      </c>
      <c r="M52" s="50"/>
    </row>
    <row r="53" spans="1:14" ht="15" thickBot="1" x14ac:dyDescent="0.4">
      <c r="A53" s="47" t="s">
        <v>25</v>
      </c>
      <c r="C53" s="115">
        <v>1577.62</v>
      </c>
      <c r="D53" s="275">
        <f>+'[14]Metro Program Cycle 2'!$X$100-'[14]Metro Program Cycle 2'!$Y$100</f>
        <v>1065.9799999999996</v>
      </c>
      <c r="E53" s="42">
        <f>ROUND((C48+C53+D53+E44/2)*E$50,2)</f>
        <v>-670.34</v>
      </c>
      <c r="F53" s="42">
        <f t="shared" si="17"/>
        <v>-649.29</v>
      </c>
      <c r="G53" s="109">
        <f t="shared" si="18"/>
        <v>-580.62</v>
      </c>
      <c r="H53" s="41">
        <f t="shared" si="19"/>
        <v>-497.51</v>
      </c>
      <c r="I53" s="124">
        <f t="shared" si="20"/>
        <v>-455.26</v>
      </c>
      <c r="J53" s="62">
        <f t="shared" si="20"/>
        <v>-418.35</v>
      </c>
      <c r="K53" s="124">
        <f t="shared" si="21"/>
        <v>-381.35</v>
      </c>
      <c r="L53" s="124">
        <f t="shared" si="22"/>
        <v>-339.17</v>
      </c>
      <c r="M53" s="50"/>
    </row>
    <row r="54" spans="1:14" ht="15.5" thickTop="1" thickBot="1" x14ac:dyDescent="0.4">
      <c r="A54" s="55" t="s">
        <v>22</v>
      </c>
      <c r="B54" s="55"/>
      <c r="C54" s="116">
        <v>0</v>
      </c>
      <c r="D54" s="276"/>
      <c r="E54" s="33">
        <f t="shared" ref="E54:M54" si="23">SUM(E52:E53)+SUM(E47:E48)-E57</f>
        <v>0</v>
      </c>
      <c r="F54" s="33">
        <f t="shared" si="23"/>
        <v>0</v>
      </c>
      <c r="G54" s="51">
        <f t="shared" si="23"/>
        <v>0</v>
      </c>
      <c r="H54" s="125">
        <f t="shared" si="23"/>
        <v>0</v>
      </c>
      <c r="I54" s="33">
        <f t="shared" si="23"/>
        <v>0</v>
      </c>
      <c r="J54" s="63">
        <f t="shared" si="23"/>
        <v>0</v>
      </c>
      <c r="K54" s="168">
        <f t="shared" si="23"/>
        <v>0</v>
      </c>
      <c r="L54" s="33">
        <f t="shared" si="23"/>
        <v>0</v>
      </c>
      <c r="M54" s="97">
        <f t="shared" si="23"/>
        <v>0</v>
      </c>
    </row>
    <row r="55" spans="1:14" ht="15.5" thickTop="1" thickBot="1" x14ac:dyDescent="0.4">
      <c r="A55" s="55" t="s">
        <v>23</v>
      </c>
      <c r="B55" s="55"/>
      <c r="C55" s="108">
        <v>0</v>
      </c>
      <c r="D55" s="277"/>
      <c r="E55" s="33">
        <f t="shared" ref="E55:M55" si="24">SUM(E52:E53)-E40</f>
        <v>0</v>
      </c>
      <c r="F55" s="33">
        <f t="shared" si="24"/>
        <v>1.0000000000047748E-2</v>
      </c>
      <c r="G55" s="51">
        <f t="shared" si="24"/>
        <v>0</v>
      </c>
      <c r="H55" s="52">
        <f t="shared" si="24"/>
        <v>0</v>
      </c>
      <c r="I55" s="33">
        <f t="shared" si="24"/>
        <v>0</v>
      </c>
      <c r="J55" s="63">
        <f t="shared" si="24"/>
        <v>9.9999999999340616E-3</v>
      </c>
      <c r="K55" s="168">
        <f t="shared" si="24"/>
        <v>0</v>
      </c>
      <c r="L55" s="33">
        <f t="shared" si="24"/>
        <v>0</v>
      </c>
      <c r="M55" s="97">
        <f t="shared" si="24"/>
        <v>0</v>
      </c>
    </row>
    <row r="56" spans="1:14" ht="15.5" thickTop="1" thickBot="1" x14ac:dyDescent="0.4">
      <c r="C56" s="100"/>
      <c r="D56" s="152"/>
      <c r="E56" s="17"/>
      <c r="F56" s="17"/>
      <c r="G56" s="17"/>
      <c r="H56" s="10"/>
      <c r="I56" s="17"/>
      <c r="J56" s="11"/>
      <c r="K56" s="17"/>
      <c r="L56" s="17"/>
      <c r="M56" s="11"/>
    </row>
    <row r="57" spans="1:14" ht="15" thickBot="1" x14ac:dyDescent="0.4">
      <c r="A57" s="47" t="s">
        <v>36</v>
      </c>
      <c r="B57" s="120">
        <f>+B47+B48</f>
        <v>-306496.25000000035</v>
      </c>
      <c r="C57" s="41">
        <f t="shared" ref="C57:M57" si="25">(SUM(C16:C20)-SUM(C34:C38))+SUM(C52:C53)+B57</f>
        <v>-248720.17000000033</v>
      </c>
      <c r="D57" s="41">
        <f t="shared" si="25"/>
        <v>-251988.41000000035</v>
      </c>
      <c r="E57" s="42">
        <f>(SUM(E16:E20)-SUM(E34:E38))+SUM(D52:E53)+C57</f>
        <v>-258519.93000000034</v>
      </c>
      <c r="F57" s="42">
        <f t="shared" si="25"/>
        <v>-335298.85000000033</v>
      </c>
      <c r="G57" s="109">
        <f t="shared" si="25"/>
        <v>-303295.91000000032</v>
      </c>
      <c r="H57" s="41">
        <f t="shared" si="25"/>
        <v>-329892.53000000032</v>
      </c>
      <c r="I57" s="42">
        <f t="shared" si="25"/>
        <v>-306970.78000000032</v>
      </c>
      <c r="J57" s="62">
        <f t="shared" si="25"/>
        <v>-285795.75000000035</v>
      </c>
      <c r="K57" s="124">
        <f t="shared" si="25"/>
        <v>-257583.26000000036</v>
      </c>
      <c r="L57" s="42">
        <f t="shared" si="25"/>
        <v>-228974.12000000037</v>
      </c>
      <c r="M57" s="62">
        <f t="shared" si="25"/>
        <v>-204268.80000000037</v>
      </c>
    </row>
    <row r="58" spans="1:14" x14ac:dyDescent="0.35">
      <c r="A58" s="47" t="s">
        <v>12</v>
      </c>
      <c r="C58" s="121"/>
      <c r="D58" s="17"/>
      <c r="E58" s="57"/>
      <c r="F58" s="57"/>
      <c r="G58" s="57"/>
      <c r="H58" s="12"/>
      <c r="I58" s="57"/>
      <c r="J58" s="11"/>
      <c r="K58" s="17"/>
      <c r="L58" s="17"/>
      <c r="M58" s="11"/>
    </row>
    <row r="59" spans="1:14" ht="15" thickBot="1" x14ac:dyDescent="0.4">
      <c r="B59" s="17"/>
      <c r="C59" s="44"/>
      <c r="D59" s="45"/>
      <c r="E59" s="45"/>
      <c r="F59" s="45"/>
      <c r="G59" s="45"/>
      <c r="H59" s="44"/>
      <c r="I59" s="45"/>
      <c r="J59" s="46"/>
      <c r="K59" s="45"/>
      <c r="L59" s="45"/>
      <c r="M59" s="46"/>
    </row>
    <row r="61" spans="1:14" x14ac:dyDescent="0.35">
      <c r="A61" s="70" t="s">
        <v>11</v>
      </c>
      <c r="B61" s="70"/>
      <c r="C61" s="70"/>
      <c r="D61" s="70"/>
    </row>
    <row r="62" spans="1:14" ht="42.75" customHeight="1" x14ac:dyDescent="0.35">
      <c r="A62" s="298" t="s">
        <v>175</v>
      </c>
      <c r="B62" s="298"/>
      <c r="C62" s="298"/>
      <c r="D62" s="298"/>
      <c r="E62" s="298"/>
      <c r="F62" s="298"/>
      <c r="G62" s="298"/>
      <c r="H62" s="298"/>
      <c r="I62" s="298"/>
      <c r="J62" s="298"/>
      <c r="K62" s="147"/>
      <c r="L62" s="147"/>
      <c r="M62" s="147"/>
    </row>
    <row r="63" spans="1:14" ht="33.75" customHeight="1" x14ac:dyDescent="0.35">
      <c r="A63" s="298" t="s">
        <v>176</v>
      </c>
      <c r="B63" s="298"/>
      <c r="C63" s="298"/>
      <c r="D63" s="298"/>
      <c r="E63" s="298"/>
      <c r="F63" s="298"/>
      <c r="G63" s="298"/>
      <c r="H63" s="298"/>
      <c r="I63" s="298"/>
      <c r="J63" s="298"/>
      <c r="K63" s="147"/>
      <c r="L63" s="147"/>
      <c r="M63" s="147"/>
    </row>
    <row r="64" spans="1:14" ht="33.75" customHeight="1" x14ac:dyDescent="0.35">
      <c r="A64" s="298" t="s">
        <v>177</v>
      </c>
      <c r="B64" s="298"/>
      <c r="C64" s="298"/>
      <c r="D64" s="298"/>
      <c r="E64" s="298"/>
      <c r="F64" s="298"/>
      <c r="G64" s="298"/>
      <c r="H64" s="298"/>
      <c r="I64" s="298"/>
      <c r="J64" s="298"/>
      <c r="K64" s="147"/>
      <c r="L64" s="147"/>
      <c r="M64" s="147"/>
    </row>
    <row r="65" spans="1:14" x14ac:dyDescent="0.35">
      <c r="A65" s="3" t="s">
        <v>31</v>
      </c>
      <c r="B65" s="3"/>
      <c r="C65" s="3"/>
      <c r="D65" s="3"/>
      <c r="J65" s="4"/>
    </row>
    <row r="66" spans="1:14" x14ac:dyDescent="0.35">
      <c r="A66" s="64" t="s">
        <v>178</v>
      </c>
      <c r="B66" s="3"/>
      <c r="C66" s="3"/>
      <c r="D66" s="3"/>
      <c r="J66" s="4"/>
    </row>
    <row r="67" spans="1:14" x14ac:dyDescent="0.35">
      <c r="A67" s="3" t="s">
        <v>51</v>
      </c>
      <c r="B67" s="3"/>
      <c r="C67" s="3"/>
      <c r="D67" s="3"/>
      <c r="J67" s="4"/>
    </row>
    <row r="68" spans="1:14" x14ac:dyDescent="0.35">
      <c r="A68" s="3" t="s">
        <v>179</v>
      </c>
    </row>
    <row r="70" spans="1:14" ht="30" customHeight="1" x14ac:dyDescent="0.35">
      <c r="A70" s="299" t="s">
        <v>196</v>
      </c>
      <c r="B70" s="299"/>
      <c r="C70" s="299"/>
      <c r="D70" s="299"/>
      <c r="E70" s="299"/>
      <c r="F70" s="299"/>
      <c r="G70" s="299"/>
    </row>
    <row r="77" spans="1:14" x14ac:dyDescent="0.35">
      <c r="N77" s="8"/>
    </row>
  </sheetData>
  <mergeCells count="7">
    <mergeCell ref="A70:G70"/>
    <mergeCell ref="K14:M14"/>
    <mergeCell ref="A64:J64"/>
    <mergeCell ref="E14:G14"/>
    <mergeCell ref="A62:J62"/>
    <mergeCell ref="A63:J63"/>
    <mergeCell ref="H14:J14"/>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workbookViewId="0">
      <selection activeCell="G8" sqref="G8"/>
    </sheetView>
  </sheetViews>
  <sheetFormatPr defaultRowHeight="14.5" x14ac:dyDescent="0.35"/>
  <cols>
    <col min="1" max="1" width="24.7265625" customWidth="1"/>
    <col min="2" max="2" width="16.1796875" customWidth="1"/>
    <col min="3" max="3" width="15.1796875" customWidth="1"/>
  </cols>
  <sheetData>
    <row r="1" spans="1:23" s="47" customFormat="1" x14ac:dyDescent="0.35">
      <c r="A1" s="3" t="str">
        <f>+'PPC Cycle 3'!A1</f>
        <v>Evergy Metro, Inc. - DSIM Rider Update Filed 06/01/2021</v>
      </c>
    </row>
    <row r="2" spans="1:23" x14ac:dyDescent="0.35">
      <c r="A2" s="9" t="str">
        <f>+'PPC Cycle 3'!A2</f>
        <v>Projections for Cycle 3 July 2021 - June 2022 DSIM</v>
      </c>
    </row>
    <row r="3" spans="1:23" s="47" customFormat="1" x14ac:dyDescent="0.35">
      <c r="A3" s="9"/>
    </row>
    <row r="4" spans="1:23" ht="40.5" customHeight="1" x14ac:dyDescent="0.35">
      <c r="B4" s="292" t="s">
        <v>64</v>
      </c>
      <c r="C4" s="292"/>
    </row>
    <row r="5" spans="1:23" ht="29" x14ac:dyDescent="0.35">
      <c r="B5" s="153" t="s">
        <v>65</v>
      </c>
      <c r="C5" s="6" t="s">
        <v>29</v>
      </c>
    </row>
    <row r="6" spans="1:23" x14ac:dyDescent="0.35">
      <c r="A6" s="20" t="s">
        <v>24</v>
      </c>
      <c r="B6" s="24">
        <f>SUM('[16]Monthly TD Calc'!BN285:BS285)</f>
        <v>20179096.394506633</v>
      </c>
      <c r="C6" s="87">
        <f>ROUND(SUM('[16]Monthly TD Calc'!BN326:BS326),2)</f>
        <v>1590091.86</v>
      </c>
    </row>
    <row r="7" spans="1:23" x14ac:dyDescent="0.35">
      <c r="A7" s="31" t="s">
        <v>25</v>
      </c>
      <c r="B7" s="24">
        <f>+B14</f>
        <v>36344917.030176289</v>
      </c>
      <c r="C7" s="87">
        <f>+C14</f>
        <v>1528185.99</v>
      </c>
    </row>
    <row r="8" spans="1:23" x14ac:dyDescent="0.35">
      <c r="A8" s="20" t="s">
        <v>5</v>
      </c>
      <c r="B8" s="25">
        <f>SUM(B6:B7)</f>
        <v>56524013.424682923</v>
      </c>
      <c r="C8" s="22">
        <f>SUM(C6:C7)</f>
        <v>3118277.85</v>
      </c>
    </row>
    <row r="9" spans="1:23" s="47" customFormat="1" x14ac:dyDescent="0.35">
      <c r="A9" s="20"/>
    </row>
    <row r="10" spans="1:23" s="47" customFormat="1" x14ac:dyDescent="0.35">
      <c r="A10" s="20" t="s">
        <v>108</v>
      </c>
      <c r="B10" s="24">
        <f>SUM('[16]Monthly TD Calc'!BN286:BS286)</f>
        <v>3248368.3461601879</v>
      </c>
      <c r="C10" s="87">
        <f>ROUND(SUM('[16]Monthly TD Calc'!BN327:BS327),2)</f>
        <v>264742.89</v>
      </c>
    </row>
    <row r="11" spans="1:23" s="47" customFormat="1" x14ac:dyDescent="0.35">
      <c r="A11" s="20" t="s">
        <v>109</v>
      </c>
      <c r="B11" s="24">
        <f>SUM('[16]Monthly TD Calc'!BN287:BS287)</f>
        <v>11988035.924492577</v>
      </c>
      <c r="C11" s="87">
        <f>ROUND(SUM('[16]Monthly TD Calc'!BN328:BS328),2)</f>
        <v>628654.78</v>
      </c>
    </row>
    <row r="12" spans="1:23" s="47" customFormat="1" x14ac:dyDescent="0.35">
      <c r="A12" s="20" t="s">
        <v>110</v>
      </c>
      <c r="B12" s="24">
        <f>SUM('[16]Monthly TD Calc'!BN288:BS288)</f>
        <v>17448658.06727653</v>
      </c>
      <c r="C12" s="87">
        <f>ROUND(SUM('[16]Monthly TD Calc'!BN329:BS329),2)</f>
        <v>576599.14</v>
      </c>
    </row>
    <row r="13" spans="1:23" s="47" customFormat="1" x14ac:dyDescent="0.35">
      <c r="A13" s="20" t="s">
        <v>111</v>
      </c>
      <c r="B13" s="24">
        <f>SUM('[16]Monthly TD Calc'!BN289:BS289)</f>
        <v>3659854.6922469931</v>
      </c>
      <c r="C13" s="87">
        <f>ROUND(SUM('[16]Monthly TD Calc'!BN330:BS330),2)</f>
        <v>58189.18</v>
      </c>
    </row>
    <row r="14" spans="1:23" x14ac:dyDescent="0.35">
      <c r="A14" s="31" t="s">
        <v>113</v>
      </c>
      <c r="B14" s="25">
        <f>SUM(B10:B13)</f>
        <v>36344917.030176289</v>
      </c>
      <c r="C14" s="22">
        <f>SUM(C10:C13)</f>
        <v>1528185.99</v>
      </c>
    </row>
    <row r="15" spans="1:23" x14ac:dyDescent="0.35">
      <c r="A15" s="47"/>
      <c r="B15" s="47"/>
      <c r="C15" s="47"/>
    </row>
    <row r="16" spans="1:23" x14ac:dyDescent="0.35">
      <c r="A16" s="70" t="s">
        <v>30</v>
      </c>
      <c r="B16" s="20"/>
      <c r="C16" s="21"/>
      <c r="N16" s="1"/>
      <c r="O16" s="1"/>
      <c r="P16" s="1"/>
      <c r="Q16" s="1"/>
      <c r="R16" s="1"/>
      <c r="S16" s="1"/>
      <c r="T16" s="1"/>
      <c r="U16" s="1"/>
      <c r="V16" s="1"/>
      <c r="W16" s="1"/>
    </row>
    <row r="17" spans="1:13" s="40" customFormat="1" x14ac:dyDescent="0.35">
      <c r="A17" s="294" t="s">
        <v>180</v>
      </c>
      <c r="B17" s="294"/>
      <c r="C17" s="294"/>
      <c r="D17" s="294"/>
      <c r="E17" s="294"/>
      <c r="F17" s="294"/>
      <c r="G17" s="294"/>
      <c r="H17" s="294"/>
      <c r="I17" s="294"/>
      <c r="J17" s="294"/>
      <c r="K17" s="294"/>
      <c r="L17" s="294"/>
      <c r="M17" s="294"/>
    </row>
    <row r="18" spans="1:13" s="40" customFormat="1" x14ac:dyDescent="0.35">
      <c r="A18" s="294" t="s">
        <v>181</v>
      </c>
      <c r="B18" s="294"/>
      <c r="C18" s="294"/>
      <c r="D18" s="294"/>
      <c r="E18" s="294"/>
      <c r="F18" s="294"/>
      <c r="G18" s="294"/>
      <c r="H18" s="294"/>
      <c r="I18" s="294"/>
      <c r="J18" s="294"/>
      <c r="K18" s="294"/>
      <c r="L18" s="294"/>
      <c r="M18" s="294"/>
    </row>
    <row r="38" spans="2:3" x14ac:dyDescent="0.35">
      <c r="B38" s="8"/>
      <c r="C38" s="8"/>
    </row>
    <row r="42" spans="2:3" x14ac:dyDescent="0.35">
      <c r="B42" s="8"/>
      <c r="C42" s="8"/>
    </row>
  </sheetData>
  <mergeCells count="3">
    <mergeCell ref="B4:C4"/>
    <mergeCell ref="A17:M17"/>
    <mergeCell ref="A18:M18"/>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topLeftCell="A7" workbookViewId="0">
      <selection activeCell="A16" sqref="A16"/>
    </sheetView>
  </sheetViews>
  <sheetFormatPr defaultColWidth="9.1796875" defaultRowHeight="14.5" x14ac:dyDescent="0.35"/>
  <cols>
    <col min="1" max="1" width="24.7265625" style="47" customWidth="1"/>
    <col min="2" max="2" width="16.1796875" style="47" customWidth="1"/>
    <col min="3" max="3" width="15.1796875" style="47" customWidth="1"/>
    <col min="4" max="16384" width="9.1796875" style="47"/>
  </cols>
  <sheetData>
    <row r="1" spans="1:23" x14ac:dyDescent="0.35">
      <c r="A1" s="3" t="str">
        <f>+'PPC Cycle 3'!A1</f>
        <v>Evergy Metro, Inc. - DSIM Rider Update Filed 06/01/2021</v>
      </c>
    </row>
    <row r="2" spans="1:23" x14ac:dyDescent="0.35">
      <c r="A2" s="9" t="str">
        <f>+'PPC Cycle 3'!A2</f>
        <v>Projections for Cycle 3 July 2021 - June 2022 DSIM</v>
      </c>
    </row>
    <row r="3" spans="1:23" x14ac:dyDescent="0.35">
      <c r="A3" s="9"/>
    </row>
    <row r="4" spans="1:23" ht="40.5" customHeight="1" x14ac:dyDescent="0.35">
      <c r="B4" s="292" t="s">
        <v>115</v>
      </c>
      <c r="C4" s="292"/>
    </row>
    <row r="5" spans="1:23" ht="29" x14ac:dyDescent="0.35">
      <c r="B5" s="153" t="s">
        <v>65</v>
      </c>
      <c r="C5" s="49" t="s">
        <v>29</v>
      </c>
    </row>
    <row r="6" spans="1:23" x14ac:dyDescent="0.35">
      <c r="A6" s="20" t="s">
        <v>24</v>
      </c>
      <c r="B6" s="24">
        <f>SUM('[2]Monthly TD Calc'!W461:AH461)</f>
        <v>59374464.254583605</v>
      </c>
      <c r="C6" s="87">
        <f>ROUND(SUM('[2]Monthly TD Calc'!W563:AH563),2)</f>
        <v>4744004.95</v>
      </c>
    </row>
    <row r="7" spans="1:23" x14ac:dyDescent="0.35">
      <c r="A7" s="20" t="s">
        <v>108</v>
      </c>
      <c r="B7" s="24">
        <f>SUM('[2]Monthly TD Calc'!W462:AH462)</f>
        <v>6757429.3222796759</v>
      </c>
      <c r="C7" s="87">
        <f>ROUND(SUM('[2]Monthly TD Calc'!W564:AH564),2)</f>
        <v>552260.86</v>
      </c>
    </row>
    <row r="8" spans="1:23" x14ac:dyDescent="0.35">
      <c r="A8" s="20" t="s">
        <v>109</v>
      </c>
      <c r="B8" s="24">
        <f>SUM('[2]Monthly TD Calc'!W463:AH463)</f>
        <v>22056791.379011195</v>
      </c>
      <c r="C8" s="87">
        <f>ROUND(SUM('[2]Monthly TD Calc'!W565:AH565),2)</f>
        <v>1149297.8</v>
      </c>
    </row>
    <row r="9" spans="1:23" x14ac:dyDescent="0.35">
      <c r="A9" s="20" t="s">
        <v>110</v>
      </c>
      <c r="B9" s="24">
        <f>SUM('[2]Monthly TD Calc'!W464:AH464)</f>
        <v>33911365.009040862</v>
      </c>
      <c r="C9" s="87">
        <f>ROUND(SUM('[2]Monthly TD Calc'!W566:AH566),2)</f>
        <v>1111795</v>
      </c>
    </row>
    <row r="10" spans="1:23" x14ac:dyDescent="0.35">
      <c r="A10" s="20" t="s">
        <v>111</v>
      </c>
      <c r="B10" s="24">
        <f>SUM('[2]Monthly TD Calc'!W465:AH465)</f>
        <v>6220615.3765241448</v>
      </c>
      <c r="C10" s="87">
        <f>ROUND(SUM('[2]Monthly TD Calc'!W567:AH567),2)</f>
        <v>100711.8</v>
      </c>
    </row>
    <row r="11" spans="1:23" x14ac:dyDescent="0.35">
      <c r="A11" s="31" t="s">
        <v>5</v>
      </c>
      <c r="B11" s="25">
        <f>SUM(B6:B10)</f>
        <v>128320665.34143949</v>
      </c>
      <c r="C11" s="25">
        <f>SUM(C6:C10)</f>
        <v>7658070.4100000001</v>
      </c>
    </row>
    <row r="13" spans="1:23" x14ac:dyDescent="0.35">
      <c r="A13" s="70" t="s">
        <v>30</v>
      </c>
      <c r="B13" s="20"/>
      <c r="C13" s="21"/>
      <c r="N13" s="1"/>
      <c r="O13" s="1"/>
      <c r="P13" s="1"/>
      <c r="Q13" s="1"/>
      <c r="R13" s="1"/>
      <c r="S13" s="1"/>
      <c r="T13" s="1"/>
      <c r="U13" s="1"/>
      <c r="V13" s="1"/>
      <c r="W13" s="1"/>
    </row>
    <row r="14" spans="1:23" s="40" customFormat="1" x14ac:dyDescent="0.35">
      <c r="A14" s="294" t="s">
        <v>182</v>
      </c>
      <c r="B14" s="294"/>
      <c r="C14" s="294"/>
      <c r="D14" s="294"/>
      <c r="E14" s="294"/>
      <c r="F14" s="294"/>
      <c r="G14" s="294"/>
      <c r="H14" s="294"/>
      <c r="I14" s="294"/>
      <c r="J14" s="294"/>
      <c r="K14" s="294"/>
      <c r="L14" s="294"/>
      <c r="M14" s="294"/>
    </row>
    <row r="15" spans="1:23" s="40" customFormat="1" x14ac:dyDescent="0.35">
      <c r="A15" s="294" t="s">
        <v>203</v>
      </c>
      <c r="B15" s="294"/>
      <c r="C15" s="294"/>
      <c r="D15" s="294"/>
      <c r="E15" s="294"/>
      <c r="F15" s="294"/>
      <c r="G15" s="294"/>
      <c r="H15" s="294"/>
      <c r="I15" s="294"/>
      <c r="J15" s="294"/>
      <c r="K15" s="294"/>
      <c r="L15" s="294"/>
      <c r="M15" s="294"/>
    </row>
    <row r="35" spans="2:3" x14ac:dyDescent="0.35">
      <c r="B35" s="8"/>
      <c r="C35" s="8"/>
    </row>
    <row r="39" spans="2:3" x14ac:dyDescent="0.35">
      <c r="B39" s="8"/>
      <c r="C39" s="8"/>
    </row>
  </sheetData>
  <mergeCells count="3">
    <mergeCell ref="B4:C4"/>
    <mergeCell ref="A14:M14"/>
    <mergeCell ref="A15:M15"/>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9"/>
  <sheetViews>
    <sheetView zoomScaleNormal="100" workbookViewId="0">
      <pane xSplit="1" ySplit="2" topLeftCell="I18" activePane="bottomRight" state="frozen"/>
      <selection activeCell="G8" sqref="G8"/>
      <selection pane="topRight" activeCell="G8" sqref="G8"/>
      <selection pane="bottomLeft" activeCell="G8" sqref="G8"/>
      <selection pane="bottomRight" activeCell="P1" sqref="P1:P1048576"/>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customWidth="1" outlineLevel="1"/>
    <col min="5" max="5" width="15.453125" style="47" customWidth="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6" style="47"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06/01/2021</v>
      </c>
      <c r="B1" s="3"/>
      <c r="C1" s="3"/>
      <c r="D1" s="3"/>
    </row>
    <row r="2" spans="1:35" x14ac:dyDescent="0.35">
      <c r="E2" s="3" t="s">
        <v>61</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SUM(C19:M19)</f>
        <v>1613222.7806200001</v>
      </c>
      <c r="F4" s="139">
        <f>N26</f>
        <v>20053573.19971209</v>
      </c>
      <c r="G4" s="22">
        <f>SUM(C33:L33)</f>
        <v>1319201.22</v>
      </c>
      <c r="H4" s="22">
        <f>G4-E4</f>
        <v>-294021.56062000012</v>
      </c>
      <c r="I4" s="22">
        <f>+B46</f>
        <v>388088.47249999997</v>
      </c>
      <c r="J4" s="22">
        <f>SUM(C51:L51)</f>
        <v>-1459.6199999999951</v>
      </c>
      <c r="K4" s="26">
        <f>SUM(H4:J4)</f>
        <v>92607.291879999859</v>
      </c>
      <c r="L4" s="48">
        <f>+K4-M46</f>
        <v>0</v>
      </c>
    </row>
    <row r="5" spans="1:35" ht="15" thickBot="1" x14ac:dyDescent="0.4">
      <c r="A5" s="20" t="s">
        <v>25</v>
      </c>
      <c r="B5" s="20"/>
      <c r="C5" s="20"/>
      <c r="D5" s="20"/>
      <c r="E5" s="22">
        <f>SUM(C20:M23)</f>
        <v>1620460.1511299999</v>
      </c>
      <c r="F5" s="139">
        <f>SUM(N27:N30)</f>
        <v>36099980.848023959</v>
      </c>
      <c r="G5" s="22">
        <f>SUM(C34:L37)</f>
        <v>1356480.1899999997</v>
      </c>
      <c r="H5" s="22">
        <f>G5-E5</f>
        <v>-263979.96113000019</v>
      </c>
      <c r="I5" s="22">
        <f>+B47</f>
        <v>214821.28400999989</v>
      </c>
      <c r="J5" s="22">
        <f>SUM(C52:L52)</f>
        <v>1100.0100000000004</v>
      </c>
      <c r="K5" s="26">
        <f>SUM(H5:J5)</f>
        <v>-48058.667120000297</v>
      </c>
      <c r="L5" s="48">
        <f>+K5-M47</f>
        <v>-3.4197000786662102E-10</v>
      </c>
    </row>
    <row r="6" spans="1:35" ht="15.5" thickTop="1" thickBot="1" x14ac:dyDescent="0.4">
      <c r="E6" s="28">
        <f t="shared" ref="E6" si="0">SUM(E4:E5)</f>
        <v>3233682.93175</v>
      </c>
      <c r="F6" s="140">
        <f t="shared" ref="F6:I6" si="1">SUM(F4:F5)</f>
        <v>56153554.047736049</v>
      </c>
      <c r="G6" s="28">
        <f t="shared" si="1"/>
        <v>2675681.4099999997</v>
      </c>
      <c r="H6" s="28">
        <f t="shared" si="1"/>
        <v>-558001.52175000031</v>
      </c>
      <c r="I6" s="28">
        <f t="shared" si="1"/>
        <v>602909.75650999986</v>
      </c>
      <c r="J6" s="28">
        <f>SUM(J4:J5)</f>
        <v>-359.60999999999467</v>
      </c>
      <c r="K6" s="28">
        <f>SUM(K4:K5)</f>
        <v>44548.624759999562</v>
      </c>
      <c r="T6" s="5"/>
    </row>
    <row r="7" spans="1:35" ht="44" thickTop="1" x14ac:dyDescent="0.35">
      <c r="K7" s="236"/>
      <c r="L7" s="235" t="s">
        <v>126</v>
      </c>
    </row>
    <row r="8" spans="1:35" x14ac:dyDescent="0.35">
      <c r="A8" s="20" t="s">
        <v>108</v>
      </c>
      <c r="K8" s="26">
        <f>ROUND($K$5*L8,2)</f>
        <v>-6524.66</v>
      </c>
      <c r="L8" s="233">
        <f>+'PCR Cycle 2'!L8</f>
        <v>0.13576441564001979</v>
      </c>
    </row>
    <row r="9" spans="1:35" x14ac:dyDescent="0.35">
      <c r="A9" s="20" t="s">
        <v>109</v>
      </c>
      <c r="K9" s="26">
        <f t="shared" ref="K9:K11" si="2">ROUND($K$5*L9,2)</f>
        <v>-17114.45</v>
      </c>
      <c r="L9" s="233">
        <f>+'PCR Cycle 2'!L9</f>
        <v>0.35611574316442379</v>
      </c>
    </row>
    <row r="10" spans="1:35" x14ac:dyDescent="0.35">
      <c r="A10" s="20" t="s">
        <v>110</v>
      </c>
      <c r="K10" s="26">
        <f t="shared" si="2"/>
        <v>-20103.830000000002</v>
      </c>
      <c r="L10" s="233">
        <f>+'PCR Cycle 2'!L10</f>
        <v>0.4183185730547726</v>
      </c>
    </row>
    <row r="11" spans="1:35" ht="15" thickBot="1" x14ac:dyDescent="0.4">
      <c r="A11" s="20" t="s">
        <v>111</v>
      </c>
      <c r="J11" s="4"/>
      <c r="K11" s="26">
        <f t="shared" si="2"/>
        <v>-4315.7299999999996</v>
      </c>
      <c r="L11" s="233">
        <f>+'PCR Cycle 2'!L11</f>
        <v>8.9801268140783777E-2</v>
      </c>
      <c r="V11" s="4"/>
    </row>
    <row r="12" spans="1:35" ht="15.5" thickTop="1" thickBot="1" x14ac:dyDescent="0.4">
      <c r="A12" s="20" t="s">
        <v>113</v>
      </c>
      <c r="K12" s="28">
        <f>SUM(K8:K11)</f>
        <v>-48058.67</v>
      </c>
      <c r="L12" s="234">
        <f>SUM(L8:L11)</f>
        <v>1</v>
      </c>
      <c r="V12" s="4"/>
      <c r="W12" s="5"/>
    </row>
    <row r="13" spans="1:35" ht="15.5" thickTop="1" thickBot="1" x14ac:dyDescent="0.4">
      <c r="V13" s="4"/>
      <c r="W13" s="5"/>
    </row>
    <row r="14" spans="1:35" ht="131" thickBot="1" x14ac:dyDescent="0.4">
      <c r="B14" s="119" t="str">
        <f>+'PCR Cycle 2'!B14</f>
        <v>Cumulative Over/Under Carryover From 12/01/2020 Filing</v>
      </c>
      <c r="C14" s="154" t="str">
        <f>+'PCR Cycle 2'!C14</f>
        <v>Reverse November 2020 - January 2021  Forecast From 12/01/2020 Filing</v>
      </c>
      <c r="D14" s="154" t="str">
        <f>+'PCR Cycle 2'!D14</f>
        <v>Cumulative Correction of Short-Term Borrowing Rates September 2018 - October 2020 (Note A)</v>
      </c>
      <c r="E14" s="300" t="s">
        <v>33</v>
      </c>
      <c r="F14" s="300"/>
      <c r="G14" s="301"/>
      <c r="H14" s="305" t="s">
        <v>33</v>
      </c>
      <c r="I14" s="306"/>
      <c r="J14" s="307"/>
      <c r="K14" s="295" t="s">
        <v>8</v>
      </c>
      <c r="L14" s="296"/>
      <c r="M14" s="297"/>
    </row>
    <row r="15" spans="1:35" x14ac:dyDescent="0.35">
      <c r="A15" s="47" t="s">
        <v>63</v>
      </c>
      <c r="C15" s="106"/>
      <c r="D15" s="220"/>
      <c r="E15" s="19">
        <f>+'PCR Cycle 2'!E15</f>
        <v>44165</v>
      </c>
      <c r="F15" s="19">
        <f t="shared" ref="F15:M15" si="3">EOMONTH(E15,1)</f>
        <v>44196</v>
      </c>
      <c r="G15" s="19">
        <f t="shared" si="3"/>
        <v>44227</v>
      </c>
      <c r="H15" s="14">
        <f t="shared" si="3"/>
        <v>44255</v>
      </c>
      <c r="I15" s="19">
        <f t="shared" si="3"/>
        <v>44286</v>
      </c>
      <c r="J15" s="15">
        <f t="shared" si="3"/>
        <v>44316</v>
      </c>
      <c r="K15" s="19">
        <f t="shared" si="3"/>
        <v>44347</v>
      </c>
      <c r="L15" s="19">
        <f t="shared" si="3"/>
        <v>44377</v>
      </c>
      <c r="M15" s="15">
        <f t="shared" si="3"/>
        <v>44408</v>
      </c>
      <c r="Z15" s="1"/>
      <c r="AA15" s="1"/>
      <c r="AB15" s="1"/>
      <c r="AC15" s="1"/>
      <c r="AD15" s="1"/>
      <c r="AE15" s="1"/>
      <c r="AF15" s="1"/>
      <c r="AG15" s="1"/>
      <c r="AH15" s="1"/>
      <c r="AI15" s="1"/>
    </row>
    <row r="16" spans="1:35" x14ac:dyDescent="0.35">
      <c r="A16" s="47" t="s">
        <v>5</v>
      </c>
      <c r="C16" s="200">
        <v>-828135.32000000007</v>
      </c>
      <c r="D16" s="203">
        <f t="shared" ref="D16" si="4">+D33+D37</f>
        <v>0</v>
      </c>
      <c r="E16" s="110">
        <f>SUM(E33:E37)</f>
        <v>412698.88000000006</v>
      </c>
      <c r="F16" s="110">
        <f t="shared" ref="F16:L16" si="5">SUM(F33:F37)</f>
        <v>415436.44</v>
      </c>
      <c r="G16" s="111">
        <f t="shared" si="5"/>
        <v>399725.57999999996</v>
      </c>
      <c r="H16" s="16">
        <f t="shared" si="5"/>
        <v>377966.21</v>
      </c>
      <c r="I16" s="56">
        <f t="shared" si="5"/>
        <v>410955.63000000006</v>
      </c>
      <c r="J16" s="169">
        <f t="shared" si="5"/>
        <v>409450.89</v>
      </c>
      <c r="K16" s="162">
        <f t="shared" si="5"/>
        <v>456538.20000000007</v>
      </c>
      <c r="L16" s="79">
        <f t="shared" si="5"/>
        <v>621044.9</v>
      </c>
      <c r="M16" s="80"/>
    </row>
    <row r="17" spans="1:15" x14ac:dyDescent="0.35">
      <c r="C17" s="100"/>
      <c r="D17" s="204"/>
      <c r="E17" s="17"/>
      <c r="F17" s="17"/>
      <c r="G17" s="17"/>
      <c r="H17" s="10"/>
      <c r="I17" s="17"/>
      <c r="J17" s="11"/>
      <c r="K17" s="32"/>
      <c r="L17" s="32"/>
      <c r="M17" s="30"/>
    </row>
    <row r="18" spans="1:15" x14ac:dyDescent="0.35">
      <c r="A18" s="47" t="s">
        <v>62</v>
      </c>
      <c r="C18" s="100"/>
      <c r="D18" s="204"/>
      <c r="E18" s="18"/>
      <c r="F18" s="18"/>
      <c r="G18" s="18"/>
      <c r="H18" s="92"/>
      <c r="I18" s="18"/>
      <c r="J18" s="170"/>
      <c r="K18" s="32"/>
      <c r="L18" s="32"/>
      <c r="M18" s="30"/>
      <c r="N18" s="3" t="s">
        <v>68</v>
      </c>
      <c r="O18" s="40"/>
    </row>
    <row r="19" spans="1:15" x14ac:dyDescent="0.35">
      <c r="A19" s="47" t="s">
        <v>24</v>
      </c>
      <c r="C19" s="200">
        <v>-977508.36749999993</v>
      </c>
      <c r="D19" s="203">
        <v>0</v>
      </c>
      <c r="E19" s="137">
        <f>ROUND('[10]Nov 2020'!$F61,2)</f>
        <v>257684.56</v>
      </c>
      <c r="F19" s="137">
        <f>ROUND('[10]Dec 2020'!$F61,2)</f>
        <v>309647.33</v>
      </c>
      <c r="G19" s="137">
        <f>ROUND('[10]Jan 2021'!$F61,2)</f>
        <v>385321.99</v>
      </c>
      <c r="H19" s="16">
        <f>ROUND('[10]Feb 2021'!$F61,2)</f>
        <v>361278.98</v>
      </c>
      <c r="I19" s="122">
        <f>ROUND('[10]Mar 2021'!$F61,2)</f>
        <v>287579.33</v>
      </c>
      <c r="J19" s="174">
        <f>ROUND('[10]Apr 2021'!$F61,2)</f>
        <v>197438.03</v>
      </c>
      <c r="K19" s="124">
        <f>'PCR Cycle 2'!K27*'TDR Cycle 2'!$N19</f>
        <v>190509.44094</v>
      </c>
      <c r="L19" s="42">
        <f>'PCR Cycle 2'!L27*'TDR Cycle 2'!$N19</f>
        <v>244607.48046000002</v>
      </c>
      <c r="M19" s="62">
        <f>'PCR Cycle 2'!M27*'TDR Cycle 2'!$N19</f>
        <v>356664.00672</v>
      </c>
      <c r="N19" s="73">
        <v>1.2600000000000001E-3</v>
      </c>
      <c r="O19" s="4"/>
    </row>
    <row r="20" spans="1:15" x14ac:dyDescent="0.35">
      <c r="A20" s="47" t="s">
        <v>108</v>
      </c>
      <c r="C20" s="200">
        <v>-118311.85623</v>
      </c>
      <c r="D20" s="203"/>
      <c r="E20" s="137">
        <f>ROUND('[10]Nov 2020'!$F62,2)</f>
        <v>46656.26</v>
      </c>
      <c r="F20" s="137">
        <f>ROUND('[10]Dec 2020'!$F62,2)</f>
        <v>53482.44</v>
      </c>
      <c r="G20" s="137">
        <f>ROUND('[10]Jan 2021'!$F62,2)</f>
        <v>57915.23</v>
      </c>
      <c r="H20" s="16">
        <f>ROUND('[10]Feb 2021'!$F62,2)</f>
        <v>60094.04</v>
      </c>
      <c r="I20" s="122">
        <f>ROUND('[10]Mar 2021'!$F62,2)</f>
        <v>59374.23</v>
      </c>
      <c r="J20" s="174">
        <f>ROUND('[10]Apr 2021'!$F62,2)</f>
        <v>49120.03</v>
      </c>
      <c r="K20" s="124">
        <f>'PCR Cycle 2'!K28*'TDR Cycle 2'!$N20</f>
        <v>52598.695499999994</v>
      </c>
      <c r="L20" s="42">
        <f>'PCR Cycle 2'!L28*'TDR Cycle 2'!$N20</f>
        <v>58227.180699999997</v>
      </c>
      <c r="M20" s="62">
        <f>'PCR Cycle 2'!M28*'TDR Cycle 2'!$N20</f>
        <v>63976.959799999997</v>
      </c>
      <c r="N20" s="73">
        <v>1.2999999999999999E-3</v>
      </c>
      <c r="O20" s="4"/>
    </row>
    <row r="21" spans="1:15" x14ac:dyDescent="0.35">
      <c r="A21" s="47" t="s">
        <v>109</v>
      </c>
      <c r="C21" s="200">
        <v>-279419.35895999998</v>
      </c>
      <c r="D21" s="203"/>
      <c r="E21" s="137">
        <f>ROUND('[10]Nov 2020'!$F63,2)</f>
        <v>84255.39</v>
      </c>
      <c r="F21" s="137">
        <f>ROUND('[10]Dec 2020'!$F63,2)</f>
        <v>90052.84</v>
      </c>
      <c r="G21" s="137">
        <f>ROUND('[10]Jan 2021'!$F63,2)</f>
        <v>99409.74</v>
      </c>
      <c r="H21" s="16">
        <f>ROUND('[10]Feb 2021'!$F63,2)</f>
        <v>98706.05</v>
      </c>
      <c r="I21" s="122">
        <f>ROUND('[10]Mar 2021'!$F63,2)</f>
        <v>100306.39</v>
      </c>
      <c r="J21" s="174">
        <f>ROUND('[10]Apr 2021'!$F63,2)</f>
        <v>82376.23</v>
      </c>
      <c r="K21" s="124">
        <f>'PCR Cycle 2'!K29*'TDR Cycle 2'!$N21</f>
        <v>94370.381259999995</v>
      </c>
      <c r="L21" s="42">
        <f>'PCR Cycle 2'!L29*'TDR Cycle 2'!$N21</f>
        <v>104468.77376</v>
      </c>
      <c r="M21" s="62">
        <f>'PCR Cycle 2'!M29*'TDR Cycle 2'!$N21</f>
        <v>114784.78714</v>
      </c>
      <c r="N21" s="73">
        <v>1.07E-3</v>
      </c>
      <c r="O21" s="4"/>
    </row>
    <row r="22" spans="1:15" x14ac:dyDescent="0.35">
      <c r="A22" s="47" t="s">
        <v>110</v>
      </c>
      <c r="C22" s="200">
        <v>-254859.46799999999</v>
      </c>
      <c r="D22" s="203"/>
      <c r="E22" s="137">
        <f>ROUND('[10]Nov 2020'!$F64,2)</f>
        <v>79573.27</v>
      </c>
      <c r="F22" s="137">
        <f>ROUND('[10]Dec 2020'!$F64,2)</f>
        <v>86831.55</v>
      </c>
      <c r="G22" s="137">
        <f>ROUND('[10]Jan 2021'!$F64,2)</f>
        <v>92036.88</v>
      </c>
      <c r="H22" s="16">
        <f>ROUND('[10]Feb 2021'!$F64,2)</f>
        <v>94332.58</v>
      </c>
      <c r="I22" s="122">
        <f>ROUND('[10]Mar 2021'!$F64,2)</f>
        <v>100304.03</v>
      </c>
      <c r="J22" s="174">
        <f>ROUND('[10]Apr 2021'!$F64,2)</f>
        <v>86109.93</v>
      </c>
      <c r="K22" s="124">
        <f>'PCR Cycle 2'!K30*'TDR Cycle 2'!$N22</f>
        <v>92246.18634</v>
      </c>
      <c r="L22" s="42">
        <f>'PCR Cycle 2'!L30*'TDR Cycle 2'!$N22</f>
        <v>102117.27372</v>
      </c>
      <c r="M22" s="62">
        <f>'PCR Cycle 2'!M30*'TDR Cycle 2'!$N22</f>
        <v>112201.0824</v>
      </c>
      <c r="N22" s="73">
        <v>6.6E-4</v>
      </c>
      <c r="O22" s="4"/>
    </row>
    <row r="23" spans="1:15" x14ac:dyDescent="0.35">
      <c r="A23" s="47" t="s">
        <v>111</v>
      </c>
      <c r="C23" s="200">
        <v>-26983.882799999999</v>
      </c>
      <c r="D23" s="203">
        <v>0</v>
      </c>
      <c r="E23" s="137">
        <f>ROUND('[10]Nov 2020'!$F65,2)</f>
        <v>8135.11</v>
      </c>
      <c r="F23" s="137">
        <f>ROUND('[10]Dec 2020'!$F65,2)</f>
        <v>8094.67</v>
      </c>
      <c r="G23" s="137">
        <f>ROUND('[10]Jan 2021'!$F65,2)</f>
        <v>8037.35</v>
      </c>
      <c r="H23" s="16">
        <f>ROUND('[10]Feb 2021'!$F65,2)</f>
        <v>8650.51</v>
      </c>
      <c r="I23" s="122">
        <f>ROUND('[10]Mar 2021'!$F65,2)</f>
        <v>8811.98</v>
      </c>
      <c r="J23" s="174">
        <f>ROUND('[10]Apr 2021'!$F65,2)</f>
        <v>9003.2199999999993</v>
      </c>
      <c r="K23" s="124">
        <f>'PCR Cycle 2'!K31*'TDR Cycle 2'!$N23</f>
        <v>10042.169750000001</v>
      </c>
      <c r="L23" s="42">
        <f>'PCR Cycle 2'!L31*'TDR Cycle 2'!$N23</f>
        <v>11116.763000000001</v>
      </c>
      <c r="M23" s="62">
        <f>'PCR Cycle 2'!M31*'TDR Cycle 2'!$N23</f>
        <v>12214.51375</v>
      </c>
      <c r="N23" s="73">
        <v>2.5000000000000001E-4</v>
      </c>
      <c r="O23" s="4"/>
    </row>
    <row r="24" spans="1:15" x14ac:dyDescent="0.35">
      <c r="C24" s="68"/>
      <c r="D24" s="205"/>
      <c r="E24" s="69"/>
      <c r="F24" s="69"/>
      <c r="G24" s="69"/>
      <c r="H24" s="68"/>
      <c r="I24" s="69"/>
      <c r="J24" s="172"/>
      <c r="K24" s="57"/>
      <c r="L24" s="57"/>
      <c r="M24" s="13"/>
      <c r="O24" s="4"/>
    </row>
    <row r="25" spans="1:15" x14ac:dyDescent="0.35">
      <c r="A25" s="40" t="s">
        <v>66</v>
      </c>
      <c r="B25" s="40"/>
      <c r="C25" s="68"/>
      <c r="D25" s="205"/>
      <c r="E25" s="57"/>
      <c r="F25" s="57"/>
      <c r="G25" s="57"/>
      <c r="H25" s="12"/>
      <c r="I25" s="57"/>
      <c r="J25" s="173"/>
      <c r="K25" s="57"/>
      <c r="L25" s="57"/>
      <c r="M25" s="13"/>
      <c r="N25" s="7"/>
    </row>
    <row r="26" spans="1:15" x14ac:dyDescent="0.35">
      <c r="A26" s="47" t="s">
        <v>24</v>
      </c>
      <c r="C26" s="201">
        <v>-6728872.1777037196</v>
      </c>
      <c r="D26" s="206"/>
      <c r="E26" s="112">
        <f>+'[16]Monthly TD Calc'!BF285</f>
        <v>3066562.9817966414</v>
      </c>
      <c r="F26" s="112">
        <f>+'[16]Monthly TD Calc'!BG285</f>
        <v>3662309.1959070778</v>
      </c>
      <c r="G26" s="126">
        <f>+'[16]Monthly TD Calc'!BH285</f>
        <v>3670317.7984049888</v>
      </c>
      <c r="H26" s="75">
        <f>+'[16]Monthly TD Calc'!BI285</f>
        <v>3305717.5520906802</v>
      </c>
      <c r="I26" s="76">
        <f>+'[16]Monthly TD Calc'!BJ285</f>
        <v>3281805.3874220303</v>
      </c>
      <c r="J26" s="174">
        <f>+'[16]Monthly TD Calc'!BK285</f>
        <v>3159237.1988244001</v>
      </c>
      <c r="K26" s="163">
        <f>+'[16]Monthly TD Calc'!BL285</f>
        <v>3370413.5458254805</v>
      </c>
      <c r="L26" s="145">
        <f>+'[16]Monthly TD Calc'!BM285</f>
        <v>3266081.7171445102</v>
      </c>
      <c r="M26" s="81"/>
      <c r="N26" s="60">
        <f>SUM(C26:L26)</f>
        <v>20053573.19971209</v>
      </c>
    </row>
    <row r="27" spans="1:15" x14ac:dyDescent="0.35">
      <c r="A27" s="47" t="s">
        <v>108</v>
      </c>
      <c r="C27" s="201">
        <v>-1037034.1631686632</v>
      </c>
      <c r="D27" s="206"/>
      <c r="E27" s="112">
        <f>+'[16]Monthly TD Calc'!BF286</f>
        <v>519241.44169683417</v>
      </c>
      <c r="F27" s="112">
        <f>+'[16]Monthly TD Calc'!BG286</f>
        <v>517792.72147182899</v>
      </c>
      <c r="G27" s="126">
        <f>+'[16]Monthly TD Calc'!BH286</f>
        <v>546257.46031236276</v>
      </c>
      <c r="H27" s="75">
        <f>+'[16]Monthly TD Calc'!BI286</f>
        <v>496691.12885422038</v>
      </c>
      <c r="I27" s="76">
        <f>+'[16]Monthly TD Calc'!BJ286</f>
        <v>556097.3657622321</v>
      </c>
      <c r="J27" s="174">
        <f>+'[16]Monthly TD Calc'!BK286</f>
        <v>524405.96288920077</v>
      </c>
      <c r="K27" s="163">
        <f>+'[16]Monthly TD Calc'!BL286</f>
        <v>556499.47614329192</v>
      </c>
      <c r="L27" s="145">
        <f>+'[16]Monthly TD Calc'!BM286</f>
        <v>546992.58507852885</v>
      </c>
      <c r="M27" s="81"/>
      <c r="N27" s="60">
        <f t="shared" ref="N27:N30" si="6">SUM(C27:L27)</f>
        <v>3226943.9790398376</v>
      </c>
    </row>
    <row r="28" spans="1:15" x14ac:dyDescent="0.35">
      <c r="A28" s="47" t="s">
        <v>109</v>
      </c>
      <c r="C28" s="201">
        <v>-3798901.6204753239</v>
      </c>
      <c r="D28" s="206"/>
      <c r="E28" s="112">
        <f>+'[16]Monthly TD Calc'!BF287</f>
        <v>1902188.3875856276</v>
      </c>
      <c r="F28" s="112">
        <f>+'[16]Monthly TD Calc'!BG287</f>
        <v>1896713.2328896965</v>
      </c>
      <c r="G28" s="126">
        <f>+'[16]Monthly TD Calc'!BH287</f>
        <v>1998762.7110877649</v>
      </c>
      <c r="H28" s="75">
        <f>+'[16]Monthly TD Calc'!BI287</f>
        <v>1812660.5122951441</v>
      </c>
      <c r="I28" s="76">
        <f>+'[16]Monthly TD Calc'!BJ287</f>
        <v>2044973.9453570289</v>
      </c>
      <c r="J28" s="174">
        <f>+'[16]Monthly TD Calc'!BK287</f>
        <v>1934325.6695846934</v>
      </c>
      <c r="K28" s="163">
        <f>+'[16]Monthly TD Calc'!BL287</f>
        <v>2051435.6097464242</v>
      </c>
      <c r="L28" s="145">
        <f>+'[16]Monthly TD Calc'!BM287</f>
        <v>2034680.2422364058</v>
      </c>
      <c r="M28" s="81"/>
      <c r="N28" s="60">
        <f t="shared" si="6"/>
        <v>11876838.690307461</v>
      </c>
    </row>
    <row r="29" spans="1:15" x14ac:dyDescent="0.35">
      <c r="A29" s="47" t="s">
        <v>110</v>
      </c>
      <c r="C29" s="201">
        <v>-5569593.9682931043</v>
      </c>
      <c r="D29" s="206"/>
      <c r="E29" s="112">
        <f>+'[16]Monthly TD Calc'!BF288</f>
        <v>2788695.0613562055</v>
      </c>
      <c r="F29" s="112">
        <f>+'[16]Monthly TD Calc'!BG288</f>
        <v>2780898.9069368993</v>
      </c>
      <c r="G29" s="126">
        <f>+'[16]Monthly TD Calc'!BH288</f>
        <v>2932655.5697997292</v>
      </c>
      <c r="H29" s="75">
        <f>+'[16]Monthly TD Calc'!BI288</f>
        <v>2664302.9772219518</v>
      </c>
      <c r="I29" s="76">
        <f>+'[16]Monthly TD Calc'!BJ288</f>
        <v>2990023.4024577467</v>
      </c>
      <c r="J29" s="174">
        <f>+'[16]Monthly TD Calc'!BK288</f>
        <v>2822497.4988393728</v>
      </c>
      <c r="K29" s="163">
        <f>+'[16]Monthly TD Calc'!BL288</f>
        <v>2991661.3414560268</v>
      </c>
      <c r="L29" s="145">
        <f>+'[16]Monthly TD Calc'!BM288</f>
        <v>2941625.7665488054</v>
      </c>
      <c r="M29" s="81"/>
      <c r="N29" s="60">
        <f t="shared" si="6"/>
        <v>17342766.556323633</v>
      </c>
    </row>
    <row r="30" spans="1:15" x14ac:dyDescent="0.35">
      <c r="A30" s="47" t="s">
        <v>111</v>
      </c>
      <c r="C30" s="201">
        <v>-1181314.9143166714</v>
      </c>
      <c r="D30" s="206"/>
      <c r="E30" s="112">
        <f>+'[16]Monthly TD Calc'!BF289</f>
        <v>591300.97023510153</v>
      </c>
      <c r="F30" s="112">
        <f>+'[16]Monthly TD Calc'!BG289</f>
        <v>590013.94408156979</v>
      </c>
      <c r="G30" s="126">
        <f>+'[16]Monthly TD Calc'!BH289</f>
        <v>622361.83728781843</v>
      </c>
      <c r="H30" s="75">
        <f>+'[16]Monthly TD Calc'!BI289</f>
        <v>566446.16349277867</v>
      </c>
      <c r="I30" s="76">
        <f>+'[16]Monthly TD Calc'!BJ289</f>
        <v>630750.72616422456</v>
      </c>
      <c r="J30" s="174">
        <f>+'[16]Monthly TD Calc'!BK289</f>
        <v>594515.60397069028</v>
      </c>
      <c r="K30" s="163">
        <f>+'[16]Monthly TD Calc'!BL289</f>
        <v>629016.14873591927</v>
      </c>
      <c r="L30" s="145">
        <f>+'[16]Monthly TD Calc'!BM289</f>
        <v>610341.14270159625</v>
      </c>
      <c r="M30" s="81"/>
      <c r="N30" s="60">
        <f t="shared" si="6"/>
        <v>3653431.6223530266</v>
      </c>
    </row>
    <row r="31" spans="1:15" x14ac:dyDescent="0.35">
      <c r="C31" s="68"/>
      <c r="D31" s="205"/>
      <c r="E31" s="69"/>
      <c r="F31" s="69"/>
      <c r="G31" s="69"/>
      <c r="H31" s="68"/>
      <c r="I31" s="69"/>
      <c r="J31" s="172"/>
      <c r="K31" s="57"/>
      <c r="L31" s="57"/>
      <c r="M31" s="13"/>
    </row>
    <row r="32" spans="1:15" x14ac:dyDescent="0.35">
      <c r="A32" s="47" t="s">
        <v>69</v>
      </c>
      <c r="C32" s="37"/>
      <c r="D32" s="207"/>
      <c r="E32" s="38"/>
      <c r="F32" s="38"/>
      <c r="G32" s="38"/>
      <c r="H32" s="37"/>
      <c r="I32" s="38"/>
      <c r="J32" s="175"/>
      <c r="K32" s="53"/>
      <c r="L32" s="53"/>
      <c r="M32" s="39"/>
    </row>
    <row r="33" spans="1:15" x14ac:dyDescent="0.35">
      <c r="A33" s="47" t="s">
        <v>24</v>
      </c>
      <c r="C33" s="200">
        <v>-414132.97</v>
      </c>
      <c r="D33" s="203"/>
      <c r="E33" s="110">
        <f>ROUND('[16]Monthly TD Calc'!BF326,2)</f>
        <v>195698.16</v>
      </c>
      <c r="F33" s="110">
        <f>ROUND('[16]Monthly TD Calc'!BG326,2)</f>
        <v>218434.81</v>
      </c>
      <c r="G33" s="111">
        <f>ROUND('[16]Monthly TD Calc'!BH326,2)</f>
        <v>202171.15</v>
      </c>
      <c r="H33" s="16">
        <f>ROUND('[16]Monthly TD Calc'!BI326,2)</f>
        <v>192644.15</v>
      </c>
      <c r="I33" s="56">
        <f>ROUND('[16]Monthly TD Calc'!BJ326,2)</f>
        <v>199173.98</v>
      </c>
      <c r="J33" s="174">
        <f>ROUND('[16]Monthly TD Calc'!BK326,2)</f>
        <v>197578.38</v>
      </c>
      <c r="K33" s="164">
        <f>ROUND('[16]Monthly TD Calc'!BL326,2)</f>
        <v>216990.47</v>
      </c>
      <c r="L33" s="144">
        <f>ROUND('[16]Monthly TD Calc'!BM326,2)</f>
        <v>310643.09000000003</v>
      </c>
      <c r="M33" s="80"/>
    </row>
    <row r="34" spans="1:15" x14ac:dyDescent="0.35">
      <c r="A34" s="47" t="s">
        <v>108</v>
      </c>
      <c r="C34" s="200">
        <v>-73582.179999999993</v>
      </c>
      <c r="D34" s="203"/>
      <c r="E34" s="110">
        <f>ROUND('[16]Monthly TD Calc'!BF327,2)</f>
        <v>38159.29</v>
      </c>
      <c r="F34" s="110">
        <f>ROUND('[16]Monthly TD Calc'!BG327,2)</f>
        <v>35422.89</v>
      </c>
      <c r="G34" s="111">
        <f>ROUND('[16]Monthly TD Calc'!BH327,2)</f>
        <v>35524.21</v>
      </c>
      <c r="H34" s="16">
        <f>ROUND('[16]Monthly TD Calc'!BI327,2)</f>
        <v>33100.22</v>
      </c>
      <c r="I34" s="56">
        <f>ROUND('[16]Monthly TD Calc'!BJ327,2)</f>
        <v>37824.6</v>
      </c>
      <c r="J34" s="174">
        <f>ROUND('[16]Monthly TD Calc'!BK327,2)</f>
        <v>37436.51</v>
      </c>
      <c r="K34" s="164">
        <f>ROUND('[16]Monthly TD Calc'!BL327,2)</f>
        <v>41945.8</v>
      </c>
      <c r="L34" s="144">
        <f>ROUND('[16]Monthly TD Calc'!BM327,2)</f>
        <v>52319</v>
      </c>
      <c r="M34" s="80"/>
    </row>
    <row r="35" spans="1:15" x14ac:dyDescent="0.35">
      <c r="A35" s="47" t="s">
        <v>109</v>
      </c>
      <c r="C35" s="200">
        <v>-168543.25</v>
      </c>
      <c r="D35" s="203"/>
      <c r="E35" s="110">
        <f>ROUND('[16]Monthly TD Calc'!BF328,2)</f>
        <v>88423.72</v>
      </c>
      <c r="F35" s="110">
        <f>ROUND('[16]Monthly TD Calc'!BG328,2)</f>
        <v>80119.53</v>
      </c>
      <c r="G35" s="111">
        <f>ROUND('[16]Monthly TD Calc'!BH328,2)</f>
        <v>79538.84</v>
      </c>
      <c r="H35" s="16">
        <f>ROUND('[16]Monthly TD Calc'!BI328,2)</f>
        <v>73707.55</v>
      </c>
      <c r="I35" s="56">
        <f>ROUND('[16]Monthly TD Calc'!BJ328,2)</f>
        <v>84193.01</v>
      </c>
      <c r="J35" s="174">
        <f>ROUND('[16]Monthly TD Calc'!BK328,2)</f>
        <v>85475.64</v>
      </c>
      <c r="K35" s="164">
        <f>ROUND('[16]Monthly TD Calc'!BL328,2)</f>
        <v>98233.21</v>
      </c>
      <c r="L35" s="144">
        <f>ROUND('[16]Monthly TD Calc'!BM328,2)</f>
        <v>127653.97</v>
      </c>
      <c r="M35" s="80"/>
    </row>
    <row r="36" spans="1:15" x14ac:dyDescent="0.35">
      <c r="A36" s="47" t="s">
        <v>110</v>
      </c>
      <c r="C36" s="200">
        <v>-154319.69</v>
      </c>
      <c r="D36" s="203"/>
      <c r="E36" s="110">
        <f>ROUND('[16]Monthly TD Calc'!BF329,2)</f>
        <v>81177.56</v>
      </c>
      <c r="F36" s="110">
        <f>ROUND('[16]Monthly TD Calc'!BG329,2)</f>
        <v>73142.13</v>
      </c>
      <c r="G36" s="111">
        <f>ROUND('[16]Monthly TD Calc'!BH329,2)</f>
        <v>74099.460000000006</v>
      </c>
      <c r="H36" s="16">
        <f>ROUND('[16]Monthly TD Calc'!BI329,2)</f>
        <v>70145.59</v>
      </c>
      <c r="I36" s="56">
        <f>ROUND('[16]Monthly TD Calc'!BJ329,2)</f>
        <v>80833.100000000006</v>
      </c>
      <c r="J36" s="174">
        <f>ROUND('[16]Monthly TD Calc'!BK329,2)</f>
        <v>80990.09</v>
      </c>
      <c r="K36" s="164">
        <f>ROUND('[16]Monthly TD Calc'!BL329,2)</f>
        <v>89527.57</v>
      </c>
      <c r="L36" s="144">
        <f>ROUND('[16]Monthly TD Calc'!BM329,2)</f>
        <v>119153.73</v>
      </c>
      <c r="M36" s="80"/>
    </row>
    <row r="37" spans="1:15" x14ac:dyDescent="0.35">
      <c r="A37" s="47" t="s">
        <v>111</v>
      </c>
      <c r="C37" s="200">
        <v>-17557.23</v>
      </c>
      <c r="D37" s="203"/>
      <c r="E37" s="110">
        <f>ROUND('[16]Monthly TD Calc'!BF330,2)</f>
        <v>9240.15</v>
      </c>
      <c r="F37" s="110">
        <f>ROUND('[16]Monthly TD Calc'!BG330,2)</f>
        <v>8317.08</v>
      </c>
      <c r="G37" s="111">
        <f>ROUND('[16]Monthly TD Calc'!BH330,2)</f>
        <v>8391.92</v>
      </c>
      <c r="H37" s="16">
        <f>ROUND('[16]Monthly TD Calc'!BI330,2)</f>
        <v>8368.7000000000007</v>
      </c>
      <c r="I37" s="56">
        <f>ROUND('[16]Monthly TD Calc'!BJ330,2)</f>
        <v>8930.94</v>
      </c>
      <c r="J37" s="174">
        <f>ROUND('[16]Monthly TD Calc'!BK330,2)</f>
        <v>7970.27</v>
      </c>
      <c r="K37" s="164">
        <f>ROUND('[16]Monthly TD Calc'!BL330,2)</f>
        <v>9841.15</v>
      </c>
      <c r="L37" s="144">
        <f>ROUND('[16]Monthly TD Calc'!BM330,2)</f>
        <v>11275.11</v>
      </c>
      <c r="M37" s="80"/>
      <c r="O37" s="48"/>
    </row>
    <row r="38" spans="1:15" x14ac:dyDescent="0.35">
      <c r="C38" s="100"/>
      <c r="D38" s="204"/>
      <c r="E38" s="18"/>
      <c r="F38" s="18"/>
      <c r="G38" s="18"/>
      <c r="H38" s="92"/>
      <c r="I38" s="18"/>
      <c r="J38" s="170"/>
      <c r="K38" s="57"/>
      <c r="L38" s="57"/>
      <c r="M38" s="13"/>
    </row>
    <row r="39" spans="1:15" ht="15" thickBot="1" x14ac:dyDescent="0.4">
      <c r="A39" s="3" t="s">
        <v>15</v>
      </c>
      <c r="B39" s="3"/>
      <c r="C39" s="202">
        <v>-3176.6</v>
      </c>
      <c r="D39" s="208">
        <f>+'[17]Metro TD Cycle 2'!$K$100-'[17]Metro TD Cycle 2'!$L$100+'[17]Metro TD Cycle 2'!$X$100-'[17]Metro TD Cycle 2'!$Y$100</f>
        <v>-3923.729999999995</v>
      </c>
      <c r="E39" s="137">
        <v>1325.79</v>
      </c>
      <c r="F39" s="137">
        <v>1241.2</v>
      </c>
      <c r="G39" s="138">
        <v>1043.8900000000001</v>
      </c>
      <c r="H39" s="27">
        <v>804.72</v>
      </c>
      <c r="I39" s="123">
        <v>620.26</v>
      </c>
      <c r="J39" s="176">
        <v>549.01</v>
      </c>
      <c r="K39" s="165">
        <v>550.53</v>
      </c>
      <c r="L39" s="146">
        <v>605.34999999999991</v>
      </c>
      <c r="M39" s="83"/>
    </row>
    <row r="40" spans="1:15" x14ac:dyDescent="0.35">
      <c r="C40" s="65"/>
      <c r="D40" s="211"/>
      <c r="E40" s="67"/>
      <c r="F40" s="67"/>
      <c r="G40" s="34"/>
      <c r="H40" s="65"/>
      <c r="I40" s="34"/>
      <c r="J40" s="177"/>
      <c r="K40" s="35"/>
      <c r="L40" s="35"/>
      <c r="M40" s="61"/>
    </row>
    <row r="41" spans="1:15" x14ac:dyDescent="0.35">
      <c r="A41" s="47" t="s">
        <v>52</v>
      </c>
      <c r="C41" s="66"/>
      <c r="D41" s="212"/>
      <c r="E41" s="36"/>
      <c r="F41" s="36"/>
      <c r="G41" s="36"/>
      <c r="H41" s="66"/>
      <c r="I41" s="36"/>
      <c r="J41" s="178"/>
      <c r="K41" s="35"/>
      <c r="L41" s="35"/>
      <c r="M41" s="61"/>
    </row>
    <row r="42" spans="1:15" x14ac:dyDescent="0.35">
      <c r="A42" s="47" t="s">
        <v>24</v>
      </c>
      <c r="C42" s="209">
        <f>C33-C19</f>
        <v>563375.39749999996</v>
      </c>
      <c r="D42" s="213">
        <f t="shared" ref="D42" si="7">D33-D19</f>
        <v>0</v>
      </c>
      <c r="E42" s="42">
        <f t="shared" ref="E42:M42" si="8">E33-E19</f>
        <v>-61986.399999999994</v>
      </c>
      <c r="F42" s="257">
        <f t="shared" si="8"/>
        <v>-91212.520000000019</v>
      </c>
      <c r="G42" s="109">
        <f t="shared" si="8"/>
        <v>-183150.84</v>
      </c>
      <c r="H42" s="41">
        <f t="shared" si="8"/>
        <v>-168634.83</v>
      </c>
      <c r="I42" s="42">
        <f t="shared" si="8"/>
        <v>-88405.35</v>
      </c>
      <c r="J42" s="62">
        <f t="shared" si="8"/>
        <v>140.35000000000582</v>
      </c>
      <c r="K42" s="124">
        <f t="shared" si="8"/>
        <v>26481.029060000001</v>
      </c>
      <c r="L42" s="42">
        <f t="shared" si="8"/>
        <v>66035.609540000005</v>
      </c>
      <c r="M42" s="62">
        <f t="shared" si="8"/>
        <v>-356664.00672</v>
      </c>
    </row>
    <row r="43" spans="1:15" x14ac:dyDescent="0.35">
      <c r="A43" s="47" t="s">
        <v>25</v>
      </c>
      <c r="C43" s="209">
        <f t="shared" ref="C43:D43" si="9">SUM(C34:C37)-SUM(C20:C23)</f>
        <v>265572.21599000006</v>
      </c>
      <c r="D43" s="213">
        <f t="shared" si="9"/>
        <v>0</v>
      </c>
      <c r="E43" s="42">
        <f>SUM(E34:E37)-SUM(E20:E23)</f>
        <v>-1619.3099999999686</v>
      </c>
      <c r="F43" s="257">
        <f t="shared" ref="F43:M43" si="10">SUM(F34:F37)-SUM(F20:F23)</f>
        <v>-41459.870000000054</v>
      </c>
      <c r="G43" s="109">
        <f t="shared" si="10"/>
        <v>-59844.76999999999</v>
      </c>
      <c r="H43" s="41">
        <f t="shared" si="10"/>
        <v>-76461.119999999995</v>
      </c>
      <c r="I43" s="42">
        <f t="shared" si="10"/>
        <v>-57014.98000000001</v>
      </c>
      <c r="J43" s="62">
        <f t="shared" si="10"/>
        <v>-14736.900000000023</v>
      </c>
      <c r="K43" s="124">
        <f t="shared" si="10"/>
        <v>-9709.7028499999724</v>
      </c>
      <c r="L43" s="42">
        <f t="shared" si="10"/>
        <v>34471.818820000044</v>
      </c>
      <c r="M43" s="62">
        <f t="shared" si="10"/>
        <v>-303177.34308999998</v>
      </c>
    </row>
    <row r="44" spans="1:15" x14ac:dyDescent="0.35">
      <c r="C44" s="100"/>
      <c r="D44" s="204"/>
      <c r="E44" s="17"/>
      <c r="F44" s="17"/>
      <c r="G44" s="17"/>
      <c r="H44" s="10"/>
      <c r="I44" s="17"/>
      <c r="J44" s="11"/>
      <c r="K44" s="17"/>
      <c r="L44" s="17"/>
      <c r="M44" s="11"/>
    </row>
    <row r="45" spans="1:15" ht="15" thickBot="1" x14ac:dyDescent="0.4">
      <c r="A45" s="47" t="s">
        <v>53</v>
      </c>
      <c r="C45" s="100"/>
      <c r="D45" s="204"/>
      <c r="E45" s="17"/>
      <c r="F45" s="17"/>
      <c r="G45" s="17"/>
      <c r="H45" s="10"/>
      <c r="I45" s="17"/>
      <c r="J45" s="11"/>
      <c r="K45" s="17"/>
      <c r="L45" s="17"/>
      <c r="M45" s="11"/>
    </row>
    <row r="46" spans="1:15" x14ac:dyDescent="0.35">
      <c r="A46" s="47" t="s">
        <v>24</v>
      </c>
      <c r="B46" s="117">
        <v>388088.47249999997</v>
      </c>
      <c r="C46" s="209">
        <f t="shared" ref="C46:E47" si="11">+B46+C42+B51</f>
        <v>951463.86999999988</v>
      </c>
      <c r="D46" s="213">
        <f t="shared" si="11"/>
        <v>949398.37999999989</v>
      </c>
      <c r="E46" s="42">
        <f t="shared" si="11"/>
        <v>883767.60999999987</v>
      </c>
      <c r="F46" s="42">
        <f t="shared" ref="F46:M46" si="12">+E46+F42+E51</f>
        <v>793425.73999999987</v>
      </c>
      <c r="G46" s="109">
        <f t="shared" si="12"/>
        <v>611078.36999999988</v>
      </c>
      <c r="H46" s="41">
        <f t="shared" si="12"/>
        <v>443104.60999999993</v>
      </c>
      <c r="I46" s="42">
        <f t="shared" si="12"/>
        <v>355189.04999999987</v>
      </c>
      <c r="J46" s="62">
        <f t="shared" si="12"/>
        <v>355697.98999999993</v>
      </c>
      <c r="K46" s="124">
        <f t="shared" si="12"/>
        <v>382508.42905999994</v>
      </c>
      <c r="L46" s="42">
        <f t="shared" si="12"/>
        <v>448886.08859999996</v>
      </c>
      <c r="M46" s="62">
        <f t="shared" si="12"/>
        <v>92607.291879999961</v>
      </c>
    </row>
    <row r="47" spans="1:15" ht="15" thickBot="1" x14ac:dyDescent="0.4">
      <c r="A47" s="47" t="s">
        <v>25</v>
      </c>
      <c r="B47" s="118">
        <v>214821.28400999989</v>
      </c>
      <c r="C47" s="209">
        <f t="shared" si="11"/>
        <v>480393.49999999994</v>
      </c>
      <c r="D47" s="213">
        <f t="shared" si="11"/>
        <v>479282.38999999996</v>
      </c>
      <c r="E47" s="42">
        <f t="shared" si="11"/>
        <v>477383.72</v>
      </c>
      <c r="F47" s="42">
        <f t="shared" ref="F47:M47" si="13">+E47+F43+E52</f>
        <v>436378.97999999992</v>
      </c>
      <c r="G47" s="109">
        <f t="shared" si="13"/>
        <v>376971.93999999994</v>
      </c>
      <c r="H47" s="41">
        <f t="shared" si="13"/>
        <v>300893.62999999995</v>
      </c>
      <c r="I47" s="42">
        <f t="shared" si="13"/>
        <v>244193.56999999995</v>
      </c>
      <c r="J47" s="62">
        <f t="shared" si="13"/>
        <v>229708.33999999994</v>
      </c>
      <c r="K47" s="124">
        <f t="shared" si="13"/>
        <v>220218.23714999997</v>
      </c>
      <c r="L47" s="42">
        <f t="shared" si="13"/>
        <v>254898.53597000003</v>
      </c>
      <c r="M47" s="62">
        <f t="shared" si="13"/>
        <v>-48058.667119999955</v>
      </c>
    </row>
    <row r="48" spans="1:15" x14ac:dyDescent="0.35">
      <c r="C48" s="100"/>
      <c r="D48" s="204"/>
      <c r="E48" s="17"/>
      <c r="F48" s="17"/>
      <c r="G48" s="17"/>
      <c r="H48" s="10"/>
      <c r="I48" s="17"/>
      <c r="J48" s="11"/>
      <c r="K48" s="17"/>
      <c r="L48" s="17"/>
      <c r="M48" s="11"/>
    </row>
    <row r="49" spans="1:13" x14ac:dyDescent="0.35">
      <c r="A49" s="40" t="s">
        <v>125</v>
      </c>
      <c r="B49" s="40"/>
      <c r="C49" s="105"/>
      <c r="D49" s="214"/>
      <c r="E49" s="84">
        <f>+'PCR Cycle 2'!E50</f>
        <v>9.5178000000000005E-4</v>
      </c>
      <c r="F49" s="84">
        <f>+'PCR Cycle 2'!F50</f>
        <v>9.5761000000000002E-4</v>
      </c>
      <c r="G49" s="84">
        <f>+'PCR Cycle 2'!G50</f>
        <v>9.4081999999999998E-4</v>
      </c>
      <c r="H49" s="85">
        <f>+'PCR Cycle 2'!H50</f>
        <v>9.2864E-4</v>
      </c>
      <c r="I49" s="84">
        <f>+'PCR Cycle 2'!I50</f>
        <v>9.2287999999999995E-4</v>
      </c>
      <c r="J49" s="93">
        <f>+'PCR Cycle 2'!J50</f>
        <v>9.2628999999999997E-4</v>
      </c>
      <c r="K49" s="84">
        <f>+'PCR Cycle 2'!K50</f>
        <v>9.2628999999999997E-4</v>
      </c>
      <c r="L49" s="84">
        <f>+'PCR Cycle 2'!L50</f>
        <v>9.2628999999999997E-4</v>
      </c>
      <c r="M49" s="86"/>
    </row>
    <row r="50" spans="1:13" x14ac:dyDescent="0.35">
      <c r="A50" s="40" t="s">
        <v>37</v>
      </c>
      <c r="B50" s="40"/>
      <c r="C50" s="107"/>
      <c r="D50" s="215"/>
      <c r="E50" s="84"/>
      <c r="F50" s="84"/>
      <c r="G50" s="84"/>
      <c r="H50" s="85"/>
      <c r="I50" s="84"/>
      <c r="J50" s="86"/>
      <c r="K50" s="84"/>
      <c r="L50" s="84"/>
      <c r="M50" s="86"/>
    </row>
    <row r="51" spans="1:13" x14ac:dyDescent="0.35">
      <c r="A51" s="47" t="s">
        <v>24</v>
      </c>
      <c r="C51" s="209">
        <v>-2065.4900000000002</v>
      </c>
      <c r="D51" s="213">
        <f>+'[17]Metro TD Cycle 2'!$K$100-'[17]Metro TD Cycle 2'!$L$100</f>
        <v>-3644.3699999999953</v>
      </c>
      <c r="E51" s="257">
        <f>ROUND((D46+D51+E42/2)*E$49,2)</f>
        <v>870.65</v>
      </c>
      <c r="F51" s="257">
        <f t="shared" ref="F51:F52" si="14">ROUND((E46+E51+F42/2)*F$49,2)</f>
        <v>803.47</v>
      </c>
      <c r="G51" s="256">
        <f t="shared" ref="G51:G52" si="15">ROUND((F46+F51+G42/2)*G$49,2)</f>
        <v>661.07</v>
      </c>
      <c r="H51" s="41">
        <f t="shared" ref="H51:H52" si="16">ROUND((G46+G51+H42/2)*H$49,2)</f>
        <v>489.79</v>
      </c>
      <c r="I51" s="124">
        <f t="shared" ref="I51:J52" si="17">ROUND((H46+H51+I42/2)*I$49,2)</f>
        <v>368.59</v>
      </c>
      <c r="J51" s="62">
        <f t="shared" si="17"/>
        <v>329.41</v>
      </c>
      <c r="K51" s="166">
        <f t="shared" ref="K51:K52" si="18">ROUND((J46+J51+K42/2)*K$49,2)</f>
        <v>342.05</v>
      </c>
      <c r="L51" s="109">
        <f t="shared" ref="L51:L52" si="19">ROUND((K46+K51+L42/2)*L$49,2)</f>
        <v>385.21</v>
      </c>
      <c r="M51" s="62">
        <f t="shared" ref="M51:M52" si="20">ROUND((L46+L51+M42/2)*M$49,2)</f>
        <v>0</v>
      </c>
    </row>
    <row r="52" spans="1:13" ht="15" thickBot="1" x14ac:dyDescent="0.4">
      <c r="A52" s="47" t="s">
        <v>25</v>
      </c>
      <c r="C52" s="209">
        <v>-1111.1100000000001</v>
      </c>
      <c r="D52" s="213">
        <f>+'[17]Metro TD Cycle 2'!$X$100-'[17]Metro TD Cycle 2'!$Y$100</f>
        <v>-279.35999999999945</v>
      </c>
      <c r="E52" s="257">
        <f>ROUND((D47+D52+E43/2)*E$49,2)</f>
        <v>455.13</v>
      </c>
      <c r="F52" s="257">
        <f t="shared" si="14"/>
        <v>437.73</v>
      </c>
      <c r="G52" s="256">
        <f t="shared" si="15"/>
        <v>382.81</v>
      </c>
      <c r="H52" s="41">
        <f t="shared" si="16"/>
        <v>314.92</v>
      </c>
      <c r="I52" s="124">
        <f t="shared" si="17"/>
        <v>251.67</v>
      </c>
      <c r="J52" s="62">
        <f t="shared" si="17"/>
        <v>219.6</v>
      </c>
      <c r="K52" s="166">
        <f t="shared" si="18"/>
        <v>208.48</v>
      </c>
      <c r="L52" s="109">
        <f t="shared" si="19"/>
        <v>220.14</v>
      </c>
      <c r="M52" s="62">
        <f t="shared" si="20"/>
        <v>0</v>
      </c>
    </row>
    <row r="53" spans="1:13" ht="15.5" thickTop="1" thickBot="1" x14ac:dyDescent="0.4">
      <c r="A53" s="55" t="s">
        <v>22</v>
      </c>
      <c r="B53" s="55"/>
      <c r="C53" s="210">
        <v>0</v>
      </c>
      <c r="D53" s="216"/>
      <c r="E53" s="43">
        <f>SUM(E51:E52)+SUM(E46:E47)-E56</f>
        <v>0</v>
      </c>
      <c r="F53" s="43">
        <f t="shared" ref="F53:M53" si="21">SUM(F51:F52)+SUM(F46:F47)-F56</f>
        <v>0</v>
      </c>
      <c r="G53" s="51">
        <f t="shared" si="21"/>
        <v>0</v>
      </c>
      <c r="H53" s="52">
        <f t="shared" si="21"/>
        <v>0</v>
      </c>
      <c r="I53" s="43">
        <f t="shared" si="21"/>
        <v>0</v>
      </c>
      <c r="J53" s="63">
        <f t="shared" si="21"/>
        <v>0</v>
      </c>
      <c r="K53" s="167">
        <f t="shared" si="21"/>
        <v>0</v>
      </c>
      <c r="L53" s="51">
        <f t="shared" si="21"/>
        <v>0</v>
      </c>
      <c r="M53" s="63">
        <f t="shared" si="21"/>
        <v>-2.6193447411060333E-10</v>
      </c>
    </row>
    <row r="54" spans="1:13" ht="15.5" thickTop="1" thickBot="1" x14ac:dyDescent="0.4">
      <c r="A54" s="55" t="s">
        <v>23</v>
      </c>
      <c r="B54" s="55"/>
      <c r="C54" s="210">
        <v>0</v>
      </c>
      <c r="D54" s="216"/>
      <c r="E54" s="43">
        <f>SUM(E51:E52)-E39</f>
        <v>-9.9999999999909051E-3</v>
      </c>
      <c r="F54" s="43">
        <f t="shared" ref="F54:J54" si="22">SUM(F51:F52)-F39</f>
        <v>0</v>
      </c>
      <c r="G54" s="51">
        <f t="shared" ref="G54:I54" si="23">SUM(G51:G52)-G39</f>
        <v>-9.9999999999909051E-3</v>
      </c>
      <c r="H54" s="52">
        <f t="shared" si="23"/>
        <v>-9.9999999999909051E-3</v>
      </c>
      <c r="I54" s="43">
        <f t="shared" si="23"/>
        <v>0</v>
      </c>
      <c r="J54" s="63">
        <f t="shared" si="22"/>
        <v>0</v>
      </c>
      <c r="K54" s="168">
        <f t="shared" ref="K54:M54" si="24">SUM(K51:K52)-K39</f>
        <v>0</v>
      </c>
      <c r="L54" s="43">
        <f t="shared" si="24"/>
        <v>0</v>
      </c>
      <c r="M54" s="43">
        <f t="shared" si="24"/>
        <v>0</v>
      </c>
    </row>
    <row r="55" spans="1:13" ht="15.5" thickTop="1" thickBot="1" x14ac:dyDescent="0.4">
      <c r="C55" s="100"/>
      <c r="D55" s="204"/>
      <c r="E55" s="17"/>
      <c r="F55" s="17"/>
      <c r="G55" s="17"/>
      <c r="H55" s="10"/>
      <c r="I55" s="17"/>
      <c r="J55" s="11"/>
      <c r="K55" s="17"/>
      <c r="L55" s="17"/>
      <c r="M55" s="11"/>
    </row>
    <row r="56" spans="1:13" ht="15" thickBot="1" x14ac:dyDescent="0.4">
      <c r="A56" s="47" t="s">
        <v>36</v>
      </c>
      <c r="B56" s="120">
        <f>+B46+B47</f>
        <v>602909.75650999986</v>
      </c>
      <c r="C56" s="209">
        <f>(C16-SUM(C19:C23))+SUM(C51:C52)+B56</f>
        <v>1428680.7699999998</v>
      </c>
      <c r="D56" s="213">
        <f>(D16-SUM(D19:D23))+SUM(D51:D52)+C56</f>
        <v>1424757.0399999998</v>
      </c>
      <c r="E56" s="42">
        <f>(E16-SUM(E19:E23))+SUM(E51:E52)+D56</f>
        <v>1362477.1099999999</v>
      </c>
      <c r="F56" s="257">
        <f t="shared" ref="F56:M56" si="25">(F16-SUM(F19:F23))+SUM(F51:F52)+E56</f>
        <v>1231045.92</v>
      </c>
      <c r="G56" s="109">
        <f t="shared" si="25"/>
        <v>989094.19</v>
      </c>
      <c r="H56" s="41">
        <f t="shared" si="25"/>
        <v>744802.95000000007</v>
      </c>
      <c r="I56" s="42">
        <f t="shared" si="25"/>
        <v>600002.88000000012</v>
      </c>
      <c r="J56" s="62">
        <f t="shared" si="25"/>
        <v>585955.3400000002</v>
      </c>
      <c r="K56" s="166">
        <f t="shared" si="25"/>
        <v>603277.19621000031</v>
      </c>
      <c r="L56" s="109">
        <f t="shared" si="25"/>
        <v>704389.97457000031</v>
      </c>
      <c r="M56" s="62">
        <f t="shared" si="25"/>
        <v>44548.624760000268</v>
      </c>
    </row>
    <row r="57" spans="1:13" x14ac:dyDescent="0.35">
      <c r="A57" s="47" t="s">
        <v>12</v>
      </c>
      <c r="C57" s="121"/>
      <c r="D57" s="217"/>
      <c r="E57" s="17"/>
      <c r="F57" s="17"/>
      <c r="G57" s="17"/>
      <c r="H57" s="10"/>
      <c r="I57" s="17"/>
      <c r="J57" s="11"/>
      <c r="K57" s="17"/>
      <c r="L57" s="17"/>
      <c r="M57" s="11"/>
    </row>
    <row r="58" spans="1:13" ht="15" thickBot="1" x14ac:dyDescent="0.4">
      <c r="A58" s="38"/>
      <c r="B58" s="38"/>
      <c r="C58" s="149"/>
      <c r="D58" s="218"/>
      <c r="E58" s="45"/>
      <c r="F58" s="45"/>
      <c r="G58" s="45"/>
      <c r="H58" s="44"/>
      <c r="I58" s="45"/>
      <c r="J58" s="46"/>
      <c r="K58" s="45"/>
      <c r="L58" s="45"/>
      <c r="M58" s="46"/>
    </row>
    <row r="60" spans="1:13" x14ac:dyDescent="0.35">
      <c r="A60" s="70" t="s">
        <v>11</v>
      </c>
      <c r="B60" s="70"/>
      <c r="C60" s="70"/>
      <c r="D60" s="70"/>
    </row>
    <row r="61" spans="1:13" ht="34.5" customHeight="1" x14ac:dyDescent="0.35">
      <c r="A61" s="298" t="s">
        <v>183</v>
      </c>
      <c r="B61" s="298"/>
      <c r="C61" s="298"/>
      <c r="D61" s="298"/>
      <c r="E61" s="298"/>
      <c r="F61" s="298"/>
      <c r="G61" s="298"/>
      <c r="H61" s="298"/>
      <c r="I61" s="298"/>
      <c r="J61" s="298"/>
      <c r="K61" s="198"/>
      <c r="L61" s="147"/>
      <c r="M61" s="147"/>
    </row>
    <row r="62" spans="1:13" ht="42.75" customHeight="1" x14ac:dyDescent="0.35">
      <c r="A62" s="298" t="s">
        <v>184</v>
      </c>
      <c r="B62" s="298"/>
      <c r="C62" s="298"/>
      <c r="D62" s="298"/>
      <c r="E62" s="298"/>
      <c r="F62" s="298"/>
      <c r="G62" s="298"/>
      <c r="H62" s="298"/>
      <c r="I62" s="298"/>
      <c r="J62" s="298"/>
      <c r="K62" s="298"/>
      <c r="L62" s="147"/>
      <c r="M62" s="147"/>
    </row>
    <row r="63" spans="1:13" ht="33.75" customHeight="1" x14ac:dyDescent="0.35">
      <c r="A63" s="298" t="s">
        <v>185</v>
      </c>
      <c r="B63" s="298"/>
      <c r="C63" s="298"/>
      <c r="D63" s="298"/>
      <c r="E63" s="298"/>
      <c r="F63" s="298"/>
      <c r="G63" s="298"/>
      <c r="H63" s="298"/>
      <c r="I63" s="298"/>
      <c r="J63" s="298"/>
      <c r="K63" s="198"/>
      <c r="L63" s="147"/>
      <c r="M63" s="147"/>
    </row>
    <row r="64" spans="1:13" x14ac:dyDescent="0.35">
      <c r="A64" s="3" t="s">
        <v>67</v>
      </c>
      <c r="B64" s="3"/>
      <c r="C64" s="3"/>
      <c r="D64" s="3"/>
    </row>
    <row r="65" spans="1:7" x14ac:dyDescent="0.35">
      <c r="A65" s="64" t="s">
        <v>178</v>
      </c>
      <c r="B65" s="3"/>
      <c r="C65" s="3"/>
      <c r="D65" s="3"/>
    </row>
    <row r="66" spans="1:7" x14ac:dyDescent="0.35">
      <c r="A66" s="3" t="s">
        <v>70</v>
      </c>
      <c r="B66" s="3"/>
      <c r="C66" s="3"/>
      <c r="D66" s="3"/>
    </row>
    <row r="67" spans="1:7" x14ac:dyDescent="0.35">
      <c r="A67" s="3" t="s">
        <v>186</v>
      </c>
      <c r="B67" s="3"/>
      <c r="C67" s="3"/>
      <c r="D67" s="3"/>
    </row>
    <row r="69" spans="1:7" ht="31.5" customHeight="1" x14ac:dyDescent="0.35">
      <c r="A69" s="299" t="s">
        <v>196</v>
      </c>
      <c r="B69" s="299"/>
      <c r="C69" s="299"/>
      <c r="D69" s="299"/>
      <c r="E69" s="299"/>
      <c r="F69" s="299"/>
      <c r="G69" s="299"/>
    </row>
  </sheetData>
  <mergeCells count="7">
    <mergeCell ref="A69:G69"/>
    <mergeCell ref="A63:J63"/>
    <mergeCell ref="E14:G14"/>
    <mergeCell ref="A61:J61"/>
    <mergeCell ref="A62:K62"/>
    <mergeCell ref="H14:J14"/>
    <mergeCell ref="K14:M14"/>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74"/>
  <sheetViews>
    <sheetView zoomScaleNormal="100" workbookViewId="0">
      <pane xSplit="1" ySplit="2" topLeftCell="I66" activePane="bottomRight" state="frozen"/>
      <selection activeCell="G8" sqref="G8"/>
      <selection pane="topRight" activeCell="G8" sqref="G8"/>
      <selection pane="bottomLeft" activeCell="G8" sqref="G8"/>
      <selection pane="bottomRight" activeCell="A68" sqref="A68:K68"/>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customWidth="1" outlineLevel="1"/>
    <col min="5" max="5" width="15.453125" style="47" customWidth="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0.7265625" style="47" bestFit="1"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06/01/2021</v>
      </c>
      <c r="B1" s="3"/>
      <c r="C1" s="3"/>
      <c r="D1" s="3"/>
    </row>
    <row r="2" spans="1:35" x14ac:dyDescent="0.35">
      <c r="E2" s="3" t="s">
        <v>142</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SUM(C16:M16)</f>
        <v>1741771.1640799998</v>
      </c>
      <c r="F4" s="139">
        <f>N23</f>
        <v>22765447.138682786</v>
      </c>
      <c r="G4" s="22">
        <f>SUM(C30:L30)</f>
        <v>1712451.1600000001</v>
      </c>
      <c r="H4" s="22">
        <f>G4-E4</f>
        <v>-29320.004079999635</v>
      </c>
      <c r="I4" s="22">
        <f>+B46</f>
        <v>120339.89480000007</v>
      </c>
      <c r="J4" s="22">
        <f>SUM(C54:L54)</f>
        <v>1658.6899999999998</v>
      </c>
      <c r="K4" s="26">
        <f>SUM(H4:J4)</f>
        <v>92678.580720000435</v>
      </c>
      <c r="L4" s="48">
        <f>+K4-M46</f>
        <v>4.220055416226387E-10</v>
      </c>
    </row>
    <row r="5" spans="1:35" x14ac:dyDescent="0.35">
      <c r="A5" s="20" t="s">
        <v>108</v>
      </c>
      <c r="B5" s="20"/>
      <c r="C5" s="20"/>
      <c r="D5" s="20"/>
      <c r="E5" s="22">
        <f t="shared" ref="E5:E7" si="0">SUM(C17:M17)</f>
        <v>253322.89837999997</v>
      </c>
      <c r="F5" s="139">
        <f t="shared" ref="F5:F7" si="1">N24</f>
        <v>1773549.0328850481</v>
      </c>
      <c r="G5" s="22">
        <f t="shared" ref="G5:G7" si="2">SUM(C31:L31)</f>
        <v>141064.54999999999</v>
      </c>
      <c r="H5" s="22">
        <f t="shared" ref="H5:H7" si="3">G5-E5</f>
        <v>-112258.34837999998</v>
      </c>
      <c r="I5" s="22">
        <f t="shared" ref="I5:I7" si="4">+B47</f>
        <v>-74624.200820000013</v>
      </c>
      <c r="J5" s="22">
        <f t="shared" ref="J5:J7" si="5">SUM(C55:L55)</f>
        <v>-659.06</v>
      </c>
      <c r="K5" s="26">
        <f t="shared" ref="K5:K7" si="6">SUM(H5:J5)</f>
        <v>-187541.60920000001</v>
      </c>
      <c r="L5" s="48">
        <f>+K5-M47</f>
        <v>0</v>
      </c>
    </row>
    <row r="6" spans="1:35" x14ac:dyDescent="0.35">
      <c r="A6" s="20" t="s">
        <v>109</v>
      </c>
      <c r="B6" s="20"/>
      <c r="C6" s="20"/>
      <c r="D6" s="20"/>
      <c r="E6" s="22">
        <f t="shared" si="0"/>
        <v>359666.82327999995</v>
      </c>
      <c r="F6" s="139">
        <f t="shared" si="1"/>
        <v>6634964.0944689866</v>
      </c>
      <c r="G6" s="22">
        <f t="shared" si="2"/>
        <v>327178.51</v>
      </c>
      <c r="H6" s="22">
        <f t="shared" si="3"/>
        <v>-32488.313279999944</v>
      </c>
      <c r="I6" s="22">
        <f t="shared" si="4"/>
        <v>-23103.953439999983</v>
      </c>
      <c r="J6" s="22">
        <f t="shared" si="5"/>
        <v>56.28</v>
      </c>
      <c r="K6" s="26">
        <f t="shared" si="6"/>
        <v>-55535.986719999928</v>
      </c>
      <c r="L6" s="48">
        <f>+K6-M48</f>
        <v>5.8207660913467407E-11</v>
      </c>
    </row>
    <row r="7" spans="1:35" x14ac:dyDescent="0.35">
      <c r="A7" s="20" t="s">
        <v>110</v>
      </c>
      <c r="B7" s="20"/>
      <c r="C7" s="20"/>
      <c r="D7" s="20"/>
      <c r="E7" s="22">
        <f t="shared" si="0"/>
        <v>310965.19935999997</v>
      </c>
      <c r="F7" s="139">
        <f t="shared" si="1"/>
        <v>8348601.4057138599</v>
      </c>
      <c r="G7" s="22">
        <f t="shared" si="2"/>
        <v>263993.98</v>
      </c>
      <c r="H7" s="22">
        <f t="shared" si="3"/>
        <v>-46971.219359999988</v>
      </c>
      <c r="I7" s="22">
        <f t="shared" si="4"/>
        <v>-89594.333800000008</v>
      </c>
      <c r="J7" s="22">
        <f t="shared" si="5"/>
        <v>-478.03</v>
      </c>
      <c r="K7" s="26">
        <f t="shared" si="6"/>
        <v>-137043.58316000001</v>
      </c>
      <c r="L7" s="48">
        <f>+K7-M49</f>
        <v>0</v>
      </c>
    </row>
    <row r="8" spans="1:35" ht="15" thickBot="1" x14ac:dyDescent="0.4">
      <c r="A8" s="20" t="s">
        <v>111</v>
      </c>
      <c r="B8" s="20"/>
      <c r="C8" s="20"/>
      <c r="D8" s="20"/>
      <c r="E8" s="22">
        <f>SUM(C20:M20)</f>
        <v>23020.300199999998</v>
      </c>
      <c r="F8" s="139">
        <f>N27</f>
        <v>725855.61211617431</v>
      </c>
      <c r="G8" s="22">
        <f>SUM(C34:L34)</f>
        <v>12169.73</v>
      </c>
      <c r="H8" s="22">
        <f>G8-E8</f>
        <v>-10850.570199999998</v>
      </c>
      <c r="I8" s="22">
        <f>+B50</f>
        <v>-26319.418400000002</v>
      </c>
      <c r="J8" s="22">
        <f>SUM(C58:L58)</f>
        <v>-159.51000000000002</v>
      </c>
      <c r="K8" s="26">
        <f>SUM(H8:J8)</f>
        <v>-37329.498599999999</v>
      </c>
      <c r="L8" s="48">
        <f>+K8-M50</f>
        <v>0</v>
      </c>
    </row>
    <row r="9" spans="1:35" ht="15.5" thickTop="1" thickBot="1" x14ac:dyDescent="0.4">
      <c r="E9" s="28">
        <f t="shared" ref="E9:I9" si="7">SUM(E4:E8)</f>
        <v>2688746.3852999997</v>
      </c>
      <c r="F9" s="140">
        <f t="shared" si="7"/>
        <v>40248417.283866853</v>
      </c>
      <c r="G9" s="28">
        <f t="shared" si="7"/>
        <v>2456857.9300000002</v>
      </c>
      <c r="H9" s="28">
        <f t="shared" si="7"/>
        <v>-231888.45529999954</v>
      </c>
      <c r="I9" s="28">
        <f t="shared" si="7"/>
        <v>-93302.011659999931</v>
      </c>
      <c r="J9" s="28">
        <f>SUM(J4:J8)</f>
        <v>418.36999999999989</v>
      </c>
      <c r="K9" s="28">
        <f>SUM(K4:K8)</f>
        <v>-324772.09695999947</v>
      </c>
      <c r="T9" s="5"/>
    </row>
    <row r="10" spans="1:35" ht="15.5" thickTop="1" thickBot="1" x14ac:dyDescent="0.4">
      <c r="K10" s="236"/>
      <c r="L10" s="235"/>
    </row>
    <row r="11" spans="1:35" ht="131" thickBot="1" x14ac:dyDescent="0.4">
      <c r="B11" s="119" t="str">
        <f>+'PCR Cycle 2'!B14</f>
        <v>Cumulative Over/Under Carryover From 12/01/2020 Filing</v>
      </c>
      <c r="C11" s="154" t="str">
        <f>+'PCR Cycle 2'!C14</f>
        <v>Reverse November 2020 - January 2021  Forecast From 12/01/2020 Filing</v>
      </c>
      <c r="D11" s="219" t="str">
        <f>+'PCR Cycle 2'!D14</f>
        <v>Cumulative Correction of Short-Term Borrowing Rates September 2018 - October 2020 (Note A)</v>
      </c>
      <c r="E11" s="300" t="s">
        <v>33</v>
      </c>
      <c r="F11" s="300"/>
      <c r="G11" s="301"/>
      <c r="H11" s="305" t="s">
        <v>33</v>
      </c>
      <c r="I11" s="306"/>
      <c r="J11" s="307"/>
      <c r="K11" s="295" t="s">
        <v>8</v>
      </c>
      <c r="L11" s="296"/>
      <c r="M11" s="297"/>
    </row>
    <row r="12" spans="1:35" x14ac:dyDescent="0.35">
      <c r="A12" s="47" t="s">
        <v>63</v>
      </c>
      <c r="C12" s="106"/>
      <c r="D12" s="220"/>
      <c r="E12" s="19">
        <f>+'PCR Cycle 2'!E15</f>
        <v>44165</v>
      </c>
      <c r="F12" s="19">
        <f t="shared" ref="F12:M12" si="8">EOMONTH(E12,1)</f>
        <v>44196</v>
      </c>
      <c r="G12" s="19">
        <f t="shared" si="8"/>
        <v>44227</v>
      </c>
      <c r="H12" s="14">
        <f t="shared" si="8"/>
        <v>44255</v>
      </c>
      <c r="I12" s="19">
        <f t="shared" si="8"/>
        <v>44286</v>
      </c>
      <c r="J12" s="15">
        <f t="shared" si="8"/>
        <v>44316</v>
      </c>
      <c r="K12" s="19">
        <f t="shared" si="8"/>
        <v>44347</v>
      </c>
      <c r="L12" s="19">
        <f t="shared" si="8"/>
        <v>44377</v>
      </c>
      <c r="M12" s="15">
        <f t="shared" si="8"/>
        <v>44408</v>
      </c>
      <c r="Z12" s="1"/>
      <c r="AA12" s="1"/>
      <c r="AB12" s="1"/>
      <c r="AC12" s="1"/>
      <c r="AD12" s="1"/>
      <c r="AE12" s="1"/>
      <c r="AF12" s="1"/>
      <c r="AG12" s="1"/>
      <c r="AH12" s="1"/>
      <c r="AI12" s="1"/>
    </row>
    <row r="13" spans="1:35" x14ac:dyDescent="0.35">
      <c r="A13" s="47" t="s">
        <v>5</v>
      </c>
      <c r="C13" s="200">
        <v>-551857.04</v>
      </c>
      <c r="D13" s="203"/>
      <c r="E13" s="110">
        <f t="shared" ref="E13:L13" si="9">SUM(E30:E34)</f>
        <v>278954.76999999996</v>
      </c>
      <c r="F13" s="110">
        <f t="shared" si="9"/>
        <v>302210.78999999992</v>
      </c>
      <c r="G13" s="111">
        <f t="shared" si="9"/>
        <v>330310.69</v>
      </c>
      <c r="H13" s="16">
        <f t="shared" si="9"/>
        <v>333051.46999999997</v>
      </c>
      <c r="I13" s="56">
        <f t="shared" si="9"/>
        <v>354718.8</v>
      </c>
      <c r="J13" s="169">
        <f t="shared" si="9"/>
        <v>401473.22</v>
      </c>
      <c r="K13" s="162">
        <f t="shared" si="9"/>
        <v>422936.39</v>
      </c>
      <c r="L13" s="79">
        <f t="shared" si="9"/>
        <v>585058.84000000008</v>
      </c>
      <c r="M13" s="80"/>
    </row>
    <row r="14" spans="1:35" x14ac:dyDescent="0.35">
      <c r="C14" s="100"/>
      <c r="D14" s="204"/>
      <c r="E14" s="17"/>
      <c r="F14" s="17"/>
      <c r="G14" s="17"/>
      <c r="H14" s="10"/>
      <c r="I14" s="17"/>
      <c r="J14" s="11"/>
      <c r="K14" s="32"/>
      <c r="L14" s="32"/>
      <c r="M14" s="30"/>
    </row>
    <row r="15" spans="1:35" x14ac:dyDescent="0.35">
      <c r="A15" s="47" t="s">
        <v>62</v>
      </c>
      <c r="C15" s="100"/>
      <c r="D15" s="204"/>
      <c r="E15" s="18"/>
      <c r="F15" s="18"/>
      <c r="G15" s="18"/>
      <c r="H15" s="92"/>
      <c r="I15" s="18"/>
      <c r="J15" s="170"/>
      <c r="K15" s="32"/>
      <c r="L15" s="32"/>
      <c r="M15" s="30"/>
      <c r="N15" s="3" t="s">
        <v>68</v>
      </c>
      <c r="O15" s="40"/>
    </row>
    <row r="16" spans="1:35" x14ac:dyDescent="0.35">
      <c r="A16" s="47" t="s">
        <v>24</v>
      </c>
      <c r="C16" s="200">
        <v>-625605.35519999999</v>
      </c>
      <c r="D16" s="203"/>
      <c r="E16" s="137">
        <f>ROUND('[10]Nov 2020'!$F95,2)</f>
        <v>164831.5</v>
      </c>
      <c r="F16" s="137">
        <f>ROUND('[10]Dec 2020'!$F95,2)</f>
        <v>198160.75</v>
      </c>
      <c r="G16" s="137">
        <f>ROUND('[10]Jan 2021'!$F95,2)</f>
        <v>246545.19</v>
      </c>
      <c r="H16" s="16">
        <f>ROUND('[10]Feb 2021'!$F95,2)</f>
        <v>299545.17</v>
      </c>
      <c r="I16" s="122">
        <f>ROUND('[10]Mar 2021'!$F95,2)</f>
        <v>327787.40999999997</v>
      </c>
      <c r="J16" s="174">
        <f>ROUND('[10]Apr 2021'!$F95,2)</f>
        <v>225614.01</v>
      </c>
      <c r="K16" s="124">
        <f>'PCR Cycle 2'!K27*'TDR Cycle 3'!$N16</f>
        <v>217725.07536000002</v>
      </c>
      <c r="L16" s="42">
        <f>'PCR Cycle 2'!L27*'TDR Cycle 3'!$N16</f>
        <v>279551.40624000004</v>
      </c>
      <c r="M16" s="62">
        <f>'PCR Cycle 2'!M27*'TDR Cycle 3'!$N16</f>
        <v>407616.00768000004</v>
      </c>
      <c r="N16" s="73">
        <v>1.4400000000000001E-3</v>
      </c>
      <c r="O16" s="4"/>
    </row>
    <row r="17" spans="1:15" x14ac:dyDescent="0.35">
      <c r="A17" s="47" t="s">
        <v>108</v>
      </c>
      <c r="C17" s="200">
        <v>-78874.570820000008</v>
      </c>
      <c r="D17" s="203"/>
      <c r="E17" s="137">
        <f>ROUND('[10]Nov 2020'!$F96,2)</f>
        <v>31018.48</v>
      </c>
      <c r="F17" s="137">
        <f>ROUND('[10]Dec 2020'!$F96,2)</f>
        <v>35451.199999999997</v>
      </c>
      <c r="G17" s="137">
        <f>ROUND('[10]Jan 2021'!$F96,2)</f>
        <v>38461.79</v>
      </c>
      <c r="H17" s="16">
        <f>ROUND('[10]Feb 2021'!$F96,2)</f>
        <v>39896.959999999999</v>
      </c>
      <c r="I17" s="122">
        <f>ROUND('[10]Mar 2021'!$F96,2)</f>
        <v>39273.43</v>
      </c>
      <c r="J17" s="174">
        <f>ROUND('[10]Apr 2021'!$F96,2)</f>
        <v>32456.81</v>
      </c>
      <c r="K17" s="124">
        <f>'PCR Cycle 2'!K28*'TDR Cycle 3'!$N17</f>
        <v>34796.060099999995</v>
      </c>
      <c r="L17" s="42">
        <f>'PCR Cycle 2'!L28*'TDR Cycle 3'!$N17</f>
        <v>38519.519539999994</v>
      </c>
      <c r="M17" s="62">
        <f>'PCR Cycle 2'!M28*'TDR Cycle 3'!$N17</f>
        <v>42323.21955999999</v>
      </c>
      <c r="N17" s="73">
        <v>8.5999999999999987E-4</v>
      </c>
      <c r="O17" s="4"/>
    </row>
    <row r="18" spans="1:15" x14ac:dyDescent="0.35">
      <c r="A18" s="47" t="s">
        <v>109</v>
      </c>
      <c r="C18" s="200">
        <v>-76703.353440000006</v>
      </c>
      <c r="D18" s="203"/>
      <c r="E18" s="137">
        <f>ROUND('[10]Nov 2020'!$F97,2)</f>
        <v>23121.02</v>
      </c>
      <c r="F18" s="137">
        <f>ROUND('[10]Dec 2020'!$F97,2)</f>
        <v>24642.5</v>
      </c>
      <c r="G18" s="137">
        <f>ROUND('[10]Jan 2021'!$F97,2)</f>
        <v>27236.03</v>
      </c>
      <c r="H18" s="16">
        <f>ROUND('[10]Feb 2021'!$F97,2)</f>
        <v>41420.769999999997</v>
      </c>
      <c r="I18" s="122">
        <f>ROUND('[10]Mar 2021'!$F97,2)</f>
        <v>64642.33</v>
      </c>
      <c r="J18" s="174">
        <f>ROUND('[10]Apr 2021'!$F97,2)</f>
        <v>53064.05</v>
      </c>
      <c r="K18" s="124">
        <f>'PCR Cycle 2'!K29*'TDR Cycle 3'!$N18</f>
        <v>60855.666419999994</v>
      </c>
      <c r="L18" s="42">
        <f>'PCR Cycle 2'!L29*'TDR Cycle 3'!$N18</f>
        <v>67367.713919999995</v>
      </c>
      <c r="M18" s="62">
        <f>'PCR Cycle 2'!M29*'TDR Cycle 3'!$N18</f>
        <v>74020.096380000003</v>
      </c>
      <c r="N18" s="73">
        <v>6.8999999999999997E-4</v>
      </c>
      <c r="O18" s="4"/>
    </row>
    <row r="19" spans="1:15" x14ac:dyDescent="0.35">
      <c r="A19" s="47" t="s">
        <v>110</v>
      </c>
      <c r="C19" s="200">
        <v>-89200.813800000004</v>
      </c>
      <c r="D19" s="203"/>
      <c r="E19" s="137">
        <f>ROUND('[10]Nov 2020'!$F98,2)</f>
        <v>27841.119999999999</v>
      </c>
      <c r="F19" s="137">
        <f>ROUND('[10]Dec 2020'!$F98,2)</f>
        <v>30339.759999999998</v>
      </c>
      <c r="G19" s="137">
        <f>ROUND('[10]Jan 2021'!$F98,2)</f>
        <v>32136.42</v>
      </c>
      <c r="H19" s="16">
        <f>ROUND('[10]Feb 2021'!$F98,2)</f>
        <v>41065.980000000003</v>
      </c>
      <c r="I19" s="122">
        <f>ROUND('[10]Mar 2021'!$F98,2)</f>
        <v>54642.1</v>
      </c>
      <c r="J19" s="174">
        <f>ROUND('[10]Apr 2021'!$F98,2)</f>
        <v>46923.61</v>
      </c>
      <c r="K19" s="124">
        <f>'PCR Cycle 2'!K30*'TDR Cycle 3'!$N19</f>
        <v>50316.101639999993</v>
      </c>
      <c r="L19" s="42">
        <f>'PCR Cycle 2'!L30*'TDR Cycle 3'!$N19</f>
        <v>55700.331119999995</v>
      </c>
      <c r="M19" s="62">
        <f>'PCR Cycle 2'!M30*'TDR Cycle 3'!$N19</f>
        <v>61200.590399999994</v>
      </c>
      <c r="N19" s="73">
        <v>3.5999999999999997E-4</v>
      </c>
      <c r="O19" s="4"/>
    </row>
    <row r="20" spans="1:15" x14ac:dyDescent="0.35">
      <c r="A20" s="47" t="s">
        <v>111</v>
      </c>
      <c r="C20" s="200">
        <v>-16704.308399999998</v>
      </c>
      <c r="D20" s="203"/>
      <c r="E20" s="137">
        <f>ROUND('[10]Nov 2020'!$F99,2)</f>
        <v>5050.5200000000004</v>
      </c>
      <c r="F20" s="137">
        <f>ROUND('[10]Dec 2020'!$F99,2)</f>
        <v>5048.49</v>
      </c>
      <c r="G20" s="137">
        <f>ROUND('[10]Jan 2021'!$F99,2)</f>
        <v>4949.49</v>
      </c>
      <c r="H20" s="16">
        <f>ROUND('[10]Feb 2021'!$F99,2)</f>
        <v>4180.17</v>
      </c>
      <c r="I20" s="122">
        <f>ROUND('[10]Mar 2021'!$F99,2)</f>
        <v>3584.93</v>
      </c>
      <c r="J20" s="174">
        <f>ROUND('[10]Apr 2021'!$F99,2)</f>
        <v>3561.63</v>
      </c>
      <c r="K20" s="124">
        <f>'PCR Cycle 2'!K31*'TDR Cycle 3'!$N20</f>
        <v>4016.8678999999997</v>
      </c>
      <c r="L20" s="42">
        <f>'PCR Cycle 2'!L31*'TDR Cycle 3'!$N20</f>
        <v>4446.7051999999994</v>
      </c>
      <c r="M20" s="62">
        <f>'PCR Cycle 2'!M31*'TDR Cycle 3'!$N20</f>
        <v>4885.8054999999995</v>
      </c>
      <c r="N20" s="73">
        <v>9.9999999999999991E-5</v>
      </c>
      <c r="O20" s="4"/>
    </row>
    <row r="21" spans="1:15" x14ac:dyDescent="0.35">
      <c r="C21" s="68"/>
      <c r="D21" s="205"/>
      <c r="E21" s="69"/>
      <c r="F21" s="69"/>
      <c r="G21" s="69"/>
      <c r="H21" s="68"/>
      <c r="I21" s="69"/>
      <c r="J21" s="172"/>
      <c r="K21" s="57"/>
      <c r="L21" s="57"/>
      <c r="M21" s="13"/>
      <c r="O21" s="4"/>
    </row>
    <row r="22" spans="1:15" x14ac:dyDescent="0.35">
      <c r="A22" s="40" t="s">
        <v>66</v>
      </c>
      <c r="B22" s="40"/>
      <c r="C22" s="68"/>
      <c r="D22" s="205"/>
      <c r="E22" s="57"/>
      <c r="F22" s="57"/>
      <c r="G22" s="57"/>
      <c r="H22" s="12"/>
      <c r="I22" s="57"/>
      <c r="J22" s="173"/>
      <c r="K22" s="57"/>
      <c r="L22" s="57"/>
      <c r="M22" s="13"/>
      <c r="N22" s="7"/>
    </row>
    <row r="23" spans="1:15" x14ac:dyDescent="0.35">
      <c r="A23" s="47" t="s">
        <v>24</v>
      </c>
      <c r="C23" s="201">
        <v>-5428095.3613309897</v>
      </c>
      <c r="D23" s="206"/>
      <c r="E23" s="112">
        <f>+'[18]Monthly TD Calc'!O460</f>
        <v>2808883.6190009555</v>
      </c>
      <c r="F23" s="112">
        <f>+'[18]Monthly TD Calc'!P460</f>
        <v>3287417.3904996868</v>
      </c>
      <c r="G23" s="126">
        <f>+'[18]Monthly TD Calc'!Q460</f>
        <v>3785025.8972595911</v>
      </c>
      <c r="H23" s="75">
        <f>+'[18]Monthly TD Calc'!R460</f>
        <v>3672261.9875382427</v>
      </c>
      <c r="I23" s="76">
        <f>+'[18]Monthly TD Calc'!S460</f>
        <v>3558807.1180025423</v>
      </c>
      <c r="J23" s="174">
        <f>+'[18]Monthly TD Calc'!T460</f>
        <v>3917300.3644314967</v>
      </c>
      <c r="K23" s="163">
        <f>+'[2]Monthly TD Calc'!U461</f>
        <v>3685615.6350460085</v>
      </c>
      <c r="L23" s="145">
        <f>+'[2]Monthly TD Calc'!V461</f>
        <v>3478230.4882352534</v>
      </c>
      <c r="M23" s="81"/>
      <c r="N23" s="60">
        <f>SUM(C23:L23)</f>
        <v>22765447.138682786</v>
      </c>
    </row>
    <row r="24" spans="1:15" x14ac:dyDescent="0.35">
      <c r="A24" s="47" t="s">
        <v>108</v>
      </c>
      <c r="C24" s="201">
        <v>-461123.63356332784</v>
      </c>
      <c r="D24" s="206"/>
      <c r="E24" s="112">
        <f>+'[18]Monthly TD Calc'!O461</f>
        <v>190441.72487304689</v>
      </c>
      <c r="F24" s="112">
        <f>+'[18]Monthly TD Calc'!P461</f>
        <v>223445.90454492462</v>
      </c>
      <c r="G24" s="126">
        <f>+'[18]Monthly TD Calc'!Q461</f>
        <v>263331.47671896749</v>
      </c>
      <c r="H24" s="75">
        <f>+'[18]Monthly TD Calc'!R461</f>
        <v>246477.44784324605</v>
      </c>
      <c r="I24" s="76">
        <f>+'[18]Monthly TD Calc'!S461</f>
        <v>295197.19957677968</v>
      </c>
      <c r="J24" s="174">
        <f>+'[18]Monthly TD Calc'!T461</f>
        <v>300383.40112753975</v>
      </c>
      <c r="K24" s="163">
        <f>+'[2]Monthly TD Calc'!U462</f>
        <v>350089.63241613586</v>
      </c>
      <c r="L24" s="145">
        <f>+'[2]Monthly TD Calc'!V462</f>
        <v>365305.87934773549</v>
      </c>
      <c r="M24" s="81"/>
      <c r="N24" s="60">
        <f t="shared" ref="N24:N27" si="10">SUM(C24:L24)</f>
        <v>1773549.0328850481</v>
      </c>
    </row>
    <row r="25" spans="1:15" x14ac:dyDescent="0.35">
      <c r="A25" s="47" t="s">
        <v>109</v>
      </c>
      <c r="C25" s="201">
        <v>-1481043.5646521258</v>
      </c>
      <c r="D25" s="206"/>
      <c r="E25" s="112">
        <f>+'[18]Monthly TD Calc'!O462</f>
        <v>635722.57133773377</v>
      </c>
      <c r="F25" s="112">
        <f>+'[18]Monthly TD Calc'!P462</f>
        <v>809263.89355448517</v>
      </c>
      <c r="G25" s="126">
        <f>+'[18]Monthly TD Calc'!Q462</f>
        <v>995022.29135029716</v>
      </c>
      <c r="H25" s="75">
        <f>+'[18]Monthly TD Calc'!R462</f>
        <v>932405.27392084443</v>
      </c>
      <c r="I25" s="76">
        <f>+'[18]Monthly TD Calc'!S462</f>
        <v>1112456.199405686</v>
      </c>
      <c r="J25" s="174">
        <f>+'[18]Monthly TD Calc'!T462</f>
        <v>1102759.6201128487</v>
      </c>
      <c r="K25" s="163">
        <f>+'[2]Monthly TD Calc'!U463</f>
        <v>1249013.5610947297</v>
      </c>
      <c r="L25" s="145">
        <f>+'[2]Monthly TD Calc'!V463</f>
        <v>1279364.2483444889</v>
      </c>
      <c r="M25" s="81"/>
      <c r="N25" s="60">
        <f t="shared" si="10"/>
        <v>6634964.0944689866</v>
      </c>
    </row>
    <row r="26" spans="1:15" x14ac:dyDescent="0.35">
      <c r="A26" s="47" t="s">
        <v>110</v>
      </c>
      <c r="C26" s="201">
        <v>-1883771.0226734551</v>
      </c>
      <c r="D26" s="206"/>
      <c r="E26" s="112">
        <f>+'[18]Monthly TD Calc'!O463</f>
        <v>729755.19075231371</v>
      </c>
      <c r="F26" s="112">
        <f>+'[18]Monthly TD Calc'!P463</f>
        <v>887535.40876637644</v>
      </c>
      <c r="G26" s="126">
        <f>+'[18]Monthly TD Calc'!Q463</f>
        <v>1081816.0718639269</v>
      </c>
      <c r="H26" s="75">
        <f>+'[18]Monthly TD Calc'!R463</f>
        <v>979492.32342934294</v>
      </c>
      <c r="I26" s="76">
        <f>+'[18]Monthly TD Calc'!S463</f>
        <v>1245548.6295586964</v>
      </c>
      <c r="J26" s="174">
        <f>+'[18]Monthly TD Calc'!T463</f>
        <v>1494495.4949819306</v>
      </c>
      <c r="K26" s="163">
        <f>+'[2]Monthly TD Calc'!U464</f>
        <v>1879920.8375924763</v>
      </c>
      <c r="L26" s="145">
        <f>+'[2]Monthly TD Calc'!V464</f>
        <v>1933808.4714422512</v>
      </c>
      <c r="M26" s="81"/>
      <c r="N26" s="60">
        <f t="shared" si="10"/>
        <v>8348601.4057138599</v>
      </c>
    </row>
    <row r="27" spans="1:15" x14ac:dyDescent="0.35">
      <c r="A27" s="47" t="s">
        <v>111</v>
      </c>
      <c r="C27" s="201">
        <v>-212189.59526450885</v>
      </c>
      <c r="D27" s="206"/>
      <c r="E27" s="112">
        <f>+'[18]Monthly TD Calc'!O464</f>
        <v>27976.825600278906</v>
      </c>
      <c r="F27" s="112">
        <f>+'[18]Monthly TD Calc'!P464</f>
        <v>71181.806226543573</v>
      </c>
      <c r="G27" s="126">
        <f>+'[18]Monthly TD Calc'!Q464</f>
        <v>118548.42747411507</v>
      </c>
      <c r="H27" s="75">
        <f>+'[18]Monthly TD Calc'!R464</f>
        <v>107463.79707132446</v>
      </c>
      <c r="I27" s="76">
        <f>+'[18]Monthly TD Calc'!S464</f>
        <v>123724.1371137481</v>
      </c>
      <c r="J27" s="174">
        <f>+'[18]Monthly TD Calc'!T464</f>
        <v>115121.70669083088</v>
      </c>
      <c r="K27" s="163">
        <f>+'[2]Monthly TD Calc'!U465</f>
        <v>166841.01051439901</v>
      </c>
      <c r="L27" s="145">
        <f>+'[2]Monthly TD Calc'!V465</f>
        <v>207187.4966894431</v>
      </c>
      <c r="M27" s="81"/>
      <c r="N27" s="60">
        <f t="shared" si="10"/>
        <v>725855.61211617431</v>
      </c>
    </row>
    <row r="28" spans="1:15" x14ac:dyDescent="0.35">
      <c r="C28" s="68"/>
      <c r="D28" s="205"/>
      <c r="E28" s="69"/>
      <c r="F28" s="69"/>
      <c r="G28" s="69"/>
      <c r="H28" s="68"/>
      <c r="I28" s="69"/>
      <c r="J28" s="172"/>
      <c r="K28" s="57"/>
      <c r="L28" s="57"/>
      <c r="M28" s="13"/>
    </row>
    <row r="29" spans="1:15" x14ac:dyDescent="0.35">
      <c r="A29" s="47" t="s">
        <v>69</v>
      </c>
      <c r="C29" s="37"/>
      <c r="D29" s="207"/>
      <c r="E29" s="38"/>
      <c r="F29" s="38"/>
      <c r="G29" s="38"/>
      <c r="H29" s="37"/>
      <c r="I29" s="38"/>
      <c r="J29" s="175"/>
      <c r="K29" s="53"/>
      <c r="L29" s="53"/>
      <c r="M29" s="39"/>
    </row>
    <row r="30" spans="1:15" x14ac:dyDescent="0.35">
      <c r="A30" s="47" t="s">
        <v>24</v>
      </c>
      <c r="C30" s="200">
        <v>-383097.17000000004</v>
      </c>
      <c r="D30" s="203"/>
      <c r="E30" s="110">
        <f>ROUND('[18]Monthly TD Calc'!O562,2)</f>
        <v>210456.12</v>
      </c>
      <c r="F30" s="110">
        <f>ROUND('[18]Monthly TD Calc'!P562,2)</f>
        <v>225869.08</v>
      </c>
      <c r="G30" s="111">
        <f>ROUND('[18]Monthly TD Calc'!Q562,2)</f>
        <v>241711.35</v>
      </c>
      <c r="H30" s="16">
        <f>ROUND('[18]Monthly TD Calc'!R562,2)</f>
        <v>248500.41</v>
      </c>
      <c r="I30" s="56">
        <f>ROUND('[18]Monthly TD Calc'!S562,2)</f>
        <v>248103.59</v>
      </c>
      <c r="J30" s="174">
        <f>ROUND('[18]Monthly TD Calc'!T562,2)</f>
        <v>282363.57</v>
      </c>
      <c r="K30" s="164">
        <f>ROUND('[2]Monthly TD Calc'!U563,2)</f>
        <v>267204.06</v>
      </c>
      <c r="L30" s="144">
        <f>ROUND('[2]Monthly TD Calc'!V563,2)</f>
        <v>371340.15</v>
      </c>
      <c r="M30" s="80"/>
    </row>
    <row r="31" spans="1:15" x14ac:dyDescent="0.35">
      <c r="A31" s="47" t="s">
        <v>108</v>
      </c>
      <c r="C31" s="200">
        <v>-34243.899999999994</v>
      </c>
      <c r="D31" s="203"/>
      <c r="E31" s="110">
        <f>ROUND('[18]Monthly TD Calc'!O563,2)</f>
        <v>14695.15</v>
      </c>
      <c r="F31" s="110">
        <f>ROUND('[18]Monthly TD Calc'!P563,2)</f>
        <v>15981.89</v>
      </c>
      <c r="G31" s="111">
        <f>ROUND('[18]Monthly TD Calc'!Q563,2)</f>
        <v>18010.39</v>
      </c>
      <c r="H31" s="16">
        <f>ROUND('[18]Monthly TD Calc'!R563,2)</f>
        <v>17276.189999999999</v>
      </c>
      <c r="I31" s="56">
        <f>ROUND('[18]Monthly TD Calc'!S563,2)</f>
        <v>21259.58</v>
      </c>
      <c r="J31" s="174">
        <f>ROUND('[18]Monthly TD Calc'!T563,2)</f>
        <v>22718.04</v>
      </c>
      <c r="K31" s="164">
        <f>ROUND('[2]Monthly TD Calc'!U564,2)</f>
        <v>28059.08</v>
      </c>
      <c r="L31" s="144">
        <f>ROUND('[2]Monthly TD Calc'!V564,2)</f>
        <v>37308.129999999997</v>
      </c>
      <c r="M31" s="80"/>
    </row>
    <row r="32" spans="1:15" x14ac:dyDescent="0.35">
      <c r="A32" s="47" t="s">
        <v>109</v>
      </c>
      <c r="C32" s="200">
        <v>-70772.920000000013</v>
      </c>
      <c r="D32" s="203"/>
      <c r="E32" s="110">
        <f>ROUND('[18]Monthly TD Calc'!O564,2)</f>
        <v>31155.99</v>
      </c>
      <c r="F32" s="110">
        <f>ROUND('[18]Monthly TD Calc'!P564,2)</f>
        <v>35639.839999999997</v>
      </c>
      <c r="G32" s="111">
        <f>ROUND('[18]Monthly TD Calc'!Q564,2)</f>
        <v>41380.400000000001</v>
      </c>
      <c r="H32" s="16">
        <f>ROUND('[18]Monthly TD Calc'!R564,2)</f>
        <v>39572.910000000003</v>
      </c>
      <c r="I32" s="56">
        <f>ROUND('[18]Monthly TD Calc'!S564,2)</f>
        <v>48301.59</v>
      </c>
      <c r="J32" s="174">
        <f>ROUND('[18]Monthly TD Calc'!T564,2)</f>
        <v>51193.84</v>
      </c>
      <c r="K32" s="164">
        <f>ROUND('[2]Monthly TD Calc'!U565,2)</f>
        <v>64101.74</v>
      </c>
      <c r="L32" s="144">
        <f>ROUND('[2]Monthly TD Calc'!V565,2)</f>
        <v>86605.119999999995</v>
      </c>
      <c r="M32" s="80"/>
    </row>
    <row r="33" spans="1:15" x14ac:dyDescent="0.35">
      <c r="A33" s="47" t="s">
        <v>110</v>
      </c>
      <c r="C33" s="200">
        <v>-58220.09</v>
      </c>
      <c r="D33" s="203"/>
      <c r="E33" s="110">
        <f>ROUND('[18]Monthly TD Calc'!O565,2)</f>
        <v>21948.97</v>
      </c>
      <c r="F33" s="110">
        <f>ROUND('[18]Monthly TD Calc'!P565,2)</f>
        <v>23638.63</v>
      </c>
      <c r="G33" s="111">
        <f>ROUND('[18]Monthly TD Calc'!Q565,2)</f>
        <v>27725.32</v>
      </c>
      <c r="H33" s="16">
        <f>ROUND('[18]Monthly TD Calc'!R565,2)</f>
        <v>26197.98</v>
      </c>
      <c r="I33" s="56">
        <f>ROUND('[18]Monthly TD Calc'!S565,2)</f>
        <v>35053.79</v>
      </c>
      <c r="J33" s="174">
        <f>ROUND('[18]Monthly TD Calc'!T565,2)</f>
        <v>43625.07</v>
      </c>
      <c r="K33" s="164">
        <f>ROUND('[2]Monthly TD Calc'!U566,2)</f>
        <v>59816.43</v>
      </c>
      <c r="L33" s="144">
        <f>ROUND('[2]Monthly TD Calc'!V566,2)</f>
        <v>84207.88</v>
      </c>
      <c r="M33" s="80"/>
    </row>
    <row r="34" spans="1:15" x14ac:dyDescent="0.35">
      <c r="A34" s="47" t="s">
        <v>111</v>
      </c>
      <c r="C34" s="200">
        <v>-5522.96</v>
      </c>
      <c r="D34" s="203"/>
      <c r="E34" s="110">
        <f>ROUND('[18]Monthly TD Calc'!O566,2)</f>
        <v>698.54</v>
      </c>
      <c r="F34" s="110">
        <f>ROUND('[18]Monthly TD Calc'!P566,2)</f>
        <v>1081.3499999999999</v>
      </c>
      <c r="G34" s="111">
        <f>ROUND('[18]Monthly TD Calc'!Q566,2)</f>
        <v>1483.23</v>
      </c>
      <c r="H34" s="16">
        <f>ROUND('[18]Monthly TD Calc'!R566,2)</f>
        <v>1503.98</v>
      </c>
      <c r="I34" s="56">
        <f>ROUND('[18]Monthly TD Calc'!S566,2)</f>
        <v>2000.25</v>
      </c>
      <c r="J34" s="174">
        <f>ROUND('[18]Monthly TD Calc'!T566,2)</f>
        <v>1572.7</v>
      </c>
      <c r="K34" s="164">
        <f>ROUND('[2]Monthly TD Calc'!U567,2)</f>
        <v>3755.08</v>
      </c>
      <c r="L34" s="144">
        <f>ROUND('[2]Monthly TD Calc'!V567,2)</f>
        <v>5597.56</v>
      </c>
      <c r="M34" s="80"/>
      <c r="O34" s="48"/>
    </row>
    <row r="35" spans="1:15" x14ac:dyDescent="0.35">
      <c r="C35" s="100"/>
      <c r="D35" s="204"/>
      <c r="E35" s="18"/>
      <c r="F35" s="18"/>
      <c r="G35" s="18"/>
      <c r="H35" s="92"/>
      <c r="I35" s="18"/>
      <c r="J35" s="170"/>
      <c r="K35" s="57"/>
      <c r="L35" s="57"/>
      <c r="M35" s="13"/>
    </row>
    <row r="36" spans="1:15" ht="15" thickBot="1" x14ac:dyDescent="0.4">
      <c r="A36" s="3" t="s">
        <v>15</v>
      </c>
      <c r="B36" s="3"/>
      <c r="C36" s="202">
        <v>-603.54999999999995</v>
      </c>
      <c r="D36" s="208">
        <f>SUM('[11]Carrying Costs'!$C$106:$L$110)</f>
        <v>-338.55999999999983</v>
      </c>
      <c r="E36" s="281">
        <v>242.26999999999992</v>
      </c>
      <c r="F36" s="137">
        <v>261.05000000000007</v>
      </c>
      <c r="G36" s="138">
        <v>251.80000000000007</v>
      </c>
      <c r="H36" s="27">
        <v>196.73000000000002</v>
      </c>
      <c r="I36" s="123">
        <v>90.359999999999971</v>
      </c>
      <c r="J36" s="176">
        <v>46.629999999999967</v>
      </c>
      <c r="K36" s="165">
        <v>90.689999999999984</v>
      </c>
      <c r="L36" s="146">
        <v>180.94999999999993</v>
      </c>
      <c r="M36" s="83"/>
    </row>
    <row r="37" spans="1:15" x14ac:dyDescent="0.35">
      <c r="C37" s="65"/>
      <c r="D37" s="211"/>
      <c r="E37" s="67"/>
      <c r="F37" s="67"/>
      <c r="G37" s="34"/>
      <c r="H37" s="65"/>
      <c r="I37" s="34"/>
      <c r="J37" s="177"/>
      <c r="K37" s="35"/>
      <c r="L37" s="35"/>
      <c r="M37" s="61"/>
    </row>
    <row r="38" spans="1:15" x14ac:dyDescent="0.35">
      <c r="A38" s="47" t="s">
        <v>52</v>
      </c>
      <c r="C38" s="66"/>
      <c r="D38" s="212"/>
      <c r="E38" s="36"/>
      <c r="F38" s="36"/>
      <c r="G38" s="36"/>
      <c r="H38" s="66"/>
      <c r="I38" s="36"/>
      <c r="J38" s="178"/>
      <c r="K38" s="35"/>
      <c r="L38" s="35"/>
      <c r="M38" s="61"/>
    </row>
    <row r="39" spans="1:15" x14ac:dyDescent="0.35">
      <c r="A39" s="47" t="s">
        <v>24</v>
      </c>
      <c r="C39" s="209">
        <f t="shared" ref="C39" si="11">C30-C16</f>
        <v>242508.18519999995</v>
      </c>
      <c r="D39" s="213">
        <f t="shared" ref="D39" si="12">D30-D16</f>
        <v>0</v>
      </c>
      <c r="E39" s="42">
        <f t="shared" ref="E39:M39" si="13">E30-E16</f>
        <v>45624.619999999995</v>
      </c>
      <c r="F39" s="42">
        <f t="shared" si="13"/>
        <v>27708.329999999987</v>
      </c>
      <c r="G39" s="109">
        <f t="shared" si="13"/>
        <v>-4833.8399999999965</v>
      </c>
      <c r="H39" s="41">
        <f t="shared" si="13"/>
        <v>-51044.75999999998</v>
      </c>
      <c r="I39" s="42">
        <f t="shared" si="13"/>
        <v>-79683.819999999978</v>
      </c>
      <c r="J39" s="62">
        <f t="shared" si="13"/>
        <v>56749.56</v>
      </c>
      <c r="K39" s="124">
        <f t="shared" si="13"/>
        <v>49478.984639999981</v>
      </c>
      <c r="L39" s="42">
        <f t="shared" si="13"/>
        <v>91788.743759999983</v>
      </c>
      <c r="M39" s="62">
        <f t="shared" si="13"/>
        <v>-407616.00768000004</v>
      </c>
    </row>
    <row r="40" spans="1:15" x14ac:dyDescent="0.35">
      <c r="A40" s="47" t="s">
        <v>108</v>
      </c>
      <c r="C40" s="209">
        <f t="shared" ref="C40" si="14">C31-C17</f>
        <v>44630.670820000014</v>
      </c>
      <c r="D40" s="213">
        <f t="shared" ref="D40:M40" si="15">D31-D17</f>
        <v>0</v>
      </c>
      <c r="E40" s="42">
        <f t="shared" si="15"/>
        <v>-16323.33</v>
      </c>
      <c r="F40" s="42">
        <f t="shared" si="15"/>
        <v>-19469.309999999998</v>
      </c>
      <c r="G40" s="109">
        <f t="shared" si="15"/>
        <v>-20451.400000000001</v>
      </c>
      <c r="H40" s="41">
        <f t="shared" si="15"/>
        <v>-22620.77</v>
      </c>
      <c r="I40" s="42">
        <f t="shared" si="15"/>
        <v>-18013.849999999999</v>
      </c>
      <c r="J40" s="62">
        <f t="shared" si="15"/>
        <v>-9738.77</v>
      </c>
      <c r="K40" s="124">
        <f t="shared" si="15"/>
        <v>-6736.9800999999934</v>
      </c>
      <c r="L40" s="42">
        <f t="shared" si="15"/>
        <v>-1211.3895399999965</v>
      </c>
      <c r="M40" s="62">
        <f t="shared" si="15"/>
        <v>-42323.21955999999</v>
      </c>
    </row>
    <row r="41" spans="1:15" x14ac:dyDescent="0.35">
      <c r="A41" s="47" t="s">
        <v>109</v>
      </c>
      <c r="C41" s="209">
        <f t="shared" ref="C41" si="16">C32-C18</f>
        <v>5930.4334399999934</v>
      </c>
      <c r="D41" s="213">
        <f t="shared" ref="D41:M41" si="17">D32-D18</f>
        <v>0</v>
      </c>
      <c r="E41" s="42">
        <f t="shared" si="17"/>
        <v>8034.9700000000012</v>
      </c>
      <c r="F41" s="42">
        <f t="shared" si="17"/>
        <v>10997.339999999997</v>
      </c>
      <c r="G41" s="109">
        <f t="shared" si="17"/>
        <v>14144.370000000003</v>
      </c>
      <c r="H41" s="41">
        <f t="shared" si="17"/>
        <v>-1847.8599999999933</v>
      </c>
      <c r="I41" s="42">
        <f t="shared" si="17"/>
        <v>-16340.740000000005</v>
      </c>
      <c r="J41" s="62">
        <f t="shared" si="17"/>
        <v>-1870.2100000000064</v>
      </c>
      <c r="K41" s="124">
        <f t="shared" si="17"/>
        <v>3246.0735800000039</v>
      </c>
      <c r="L41" s="42">
        <f t="shared" si="17"/>
        <v>19237.406080000001</v>
      </c>
      <c r="M41" s="62">
        <f t="shared" si="17"/>
        <v>-74020.096380000003</v>
      </c>
    </row>
    <row r="42" spans="1:15" x14ac:dyDescent="0.35">
      <c r="A42" s="47" t="s">
        <v>110</v>
      </c>
      <c r="C42" s="209">
        <f t="shared" ref="C42" si="18">C33-C19</f>
        <v>30980.723800000007</v>
      </c>
      <c r="D42" s="213">
        <f t="shared" ref="D42:M42" si="19">D33-D19</f>
        <v>0</v>
      </c>
      <c r="E42" s="42">
        <f t="shared" si="19"/>
        <v>-5892.1499999999978</v>
      </c>
      <c r="F42" s="42">
        <f t="shared" si="19"/>
        <v>-6701.1299999999974</v>
      </c>
      <c r="G42" s="109">
        <f t="shared" si="19"/>
        <v>-4411.0999999999985</v>
      </c>
      <c r="H42" s="41">
        <f t="shared" si="19"/>
        <v>-14868.000000000004</v>
      </c>
      <c r="I42" s="42">
        <f t="shared" si="19"/>
        <v>-19588.309999999998</v>
      </c>
      <c r="J42" s="62">
        <f t="shared" si="19"/>
        <v>-3298.5400000000009</v>
      </c>
      <c r="K42" s="124">
        <f t="shared" si="19"/>
        <v>9500.3283600000068</v>
      </c>
      <c r="L42" s="42">
        <f t="shared" si="19"/>
        <v>28507.548880000009</v>
      </c>
      <c r="M42" s="62">
        <f t="shared" si="19"/>
        <v>-61200.590399999994</v>
      </c>
    </row>
    <row r="43" spans="1:15" x14ac:dyDescent="0.35">
      <c r="A43" s="47" t="s">
        <v>111</v>
      </c>
      <c r="C43" s="209">
        <f t="shared" ref="C43" si="20">C34-C20</f>
        <v>11181.348399999999</v>
      </c>
      <c r="D43" s="213">
        <f t="shared" ref="D43:M43" si="21">D34-D20</f>
        <v>0</v>
      </c>
      <c r="E43" s="42">
        <f t="shared" si="21"/>
        <v>-4351.9800000000005</v>
      </c>
      <c r="F43" s="42">
        <f t="shared" si="21"/>
        <v>-3967.14</v>
      </c>
      <c r="G43" s="109">
        <f t="shared" si="21"/>
        <v>-3466.2599999999998</v>
      </c>
      <c r="H43" s="41">
        <f t="shared" si="21"/>
        <v>-2676.19</v>
      </c>
      <c r="I43" s="42">
        <f t="shared" si="21"/>
        <v>-1584.6799999999998</v>
      </c>
      <c r="J43" s="62">
        <f t="shared" si="21"/>
        <v>-1988.93</v>
      </c>
      <c r="K43" s="124">
        <f t="shared" si="21"/>
        <v>-261.78789999999981</v>
      </c>
      <c r="L43" s="42">
        <f t="shared" si="21"/>
        <v>1150.854800000001</v>
      </c>
      <c r="M43" s="62">
        <f t="shared" si="21"/>
        <v>-4885.8054999999995</v>
      </c>
    </row>
    <row r="44" spans="1:15" x14ac:dyDescent="0.35">
      <c r="C44" s="100"/>
      <c r="D44" s="204"/>
      <c r="E44" s="32"/>
      <c r="F44" s="17"/>
      <c r="G44" s="17"/>
      <c r="H44" s="10"/>
      <c r="I44" s="17"/>
      <c r="J44" s="11"/>
      <c r="K44" s="17"/>
      <c r="L44" s="17"/>
      <c r="M44" s="11"/>
    </row>
    <row r="45" spans="1:15" ht="15" thickBot="1" x14ac:dyDescent="0.4">
      <c r="A45" s="47" t="s">
        <v>53</v>
      </c>
      <c r="C45" s="100"/>
      <c r="D45" s="204"/>
      <c r="E45" s="17"/>
      <c r="F45" s="17"/>
      <c r="G45" s="17"/>
      <c r="H45" s="10"/>
      <c r="I45" s="17"/>
      <c r="J45" s="11"/>
      <c r="K45" s="17"/>
      <c r="L45" s="17"/>
      <c r="M45" s="11"/>
    </row>
    <row r="46" spans="1:15" x14ac:dyDescent="0.35">
      <c r="A46" s="47" t="s">
        <v>24</v>
      </c>
      <c r="B46" s="117">
        <v>120339.89480000007</v>
      </c>
      <c r="C46" s="209">
        <f t="shared" ref="C46:C50" si="22">+B46+C39+B54</f>
        <v>362848.08</v>
      </c>
      <c r="D46" s="213">
        <f t="shared" ref="D46:D50" si="23">+C46+D39+C54</f>
        <v>361965.56</v>
      </c>
      <c r="E46" s="42">
        <f t="shared" ref="E46:E50" si="24">+D46+E39+D54</f>
        <v>407182.64</v>
      </c>
      <c r="F46" s="42">
        <f t="shared" ref="F46:F50" si="25">+E46+F39+E54</f>
        <v>435256.81</v>
      </c>
      <c r="G46" s="109">
        <f t="shared" ref="G46:G50" si="26">+F46+G39+F54</f>
        <v>430826.50999999995</v>
      </c>
      <c r="H46" s="41">
        <f t="shared" ref="H46:H50" si="27">+G46+H39+G54</f>
        <v>380189.35</v>
      </c>
      <c r="I46" s="42">
        <f t="shared" ref="I46:I50" si="28">+H46+I39+H54</f>
        <v>300882.29000000004</v>
      </c>
      <c r="J46" s="62">
        <f t="shared" ref="J46:J50" si="29">+I46+J39+I54</f>
        <v>357946.30000000005</v>
      </c>
      <c r="K46" s="124">
        <f t="shared" ref="K46:K50" si="30">+J46+K39+J54</f>
        <v>407730.56464000006</v>
      </c>
      <c r="L46" s="42">
        <f t="shared" ref="L46:L50" si="31">+K46+L39+K54</f>
        <v>499874.06840000005</v>
      </c>
      <c r="M46" s="62">
        <f t="shared" ref="M46:M50" si="32">+L46+M39+L54</f>
        <v>92678.580720000013</v>
      </c>
    </row>
    <row r="47" spans="1:15" x14ac:dyDescent="0.35">
      <c r="A47" s="47" t="s">
        <v>108</v>
      </c>
      <c r="B47" s="254">
        <v>-74624.200820000013</v>
      </c>
      <c r="C47" s="209">
        <f t="shared" si="22"/>
        <v>-29993.53</v>
      </c>
      <c r="D47" s="213">
        <f t="shared" si="23"/>
        <v>-29905.039999999997</v>
      </c>
      <c r="E47" s="42">
        <f t="shared" si="24"/>
        <v>-46228.81</v>
      </c>
      <c r="F47" s="42">
        <f t="shared" si="25"/>
        <v>-65734.349999999991</v>
      </c>
      <c r="G47" s="109">
        <f t="shared" si="26"/>
        <v>-86239.38</v>
      </c>
      <c r="H47" s="41">
        <f t="shared" si="27"/>
        <v>-108931.67000000001</v>
      </c>
      <c r="I47" s="42">
        <f t="shared" si="28"/>
        <v>-127036.18000000002</v>
      </c>
      <c r="J47" s="62">
        <f t="shared" si="29"/>
        <v>-136883.88</v>
      </c>
      <c r="K47" s="124">
        <f t="shared" si="30"/>
        <v>-143743.14009999999</v>
      </c>
      <c r="L47" s="42">
        <f t="shared" si="31"/>
        <v>-145084.55963999999</v>
      </c>
      <c r="M47" s="62">
        <f t="shared" si="32"/>
        <v>-187541.60919999998</v>
      </c>
    </row>
    <row r="48" spans="1:15" x14ac:dyDescent="0.35">
      <c r="A48" s="47" t="s">
        <v>109</v>
      </c>
      <c r="B48" s="254">
        <v>-23103.953439999983</v>
      </c>
      <c r="C48" s="209">
        <f t="shared" si="22"/>
        <v>-17173.51999999999</v>
      </c>
      <c r="D48" s="213">
        <f t="shared" si="23"/>
        <v>-17158.909999999989</v>
      </c>
      <c r="E48" s="42">
        <f t="shared" si="24"/>
        <v>-9097.5099999999875</v>
      </c>
      <c r="F48" s="42">
        <f t="shared" si="25"/>
        <v>1887.350000000009</v>
      </c>
      <c r="G48" s="109">
        <f t="shared" si="26"/>
        <v>16028.260000000013</v>
      </c>
      <c r="H48" s="41">
        <f t="shared" si="27"/>
        <v>14188.83000000002</v>
      </c>
      <c r="I48" s="42">
        <f t="shared" si="28"/>
        <v>-2137.8799999999851</v>
      </c>
      <c r="J48" s="62">
        <f t="shared" si="29"/>
        <v>-4002.5199999999913</v>
      </c>
      <c r="K48" s="124">
        <f t="shared" si="30"/>
        <v>-759.28641999998752</v>
      </c>
      <c r="L48" s="42">
        <f t="shared" si="31"/>
        <v>18475.909660000016</v>
      </c>
      <c r="M48" s="62">
        <f t="shared" si="32"/>
        <v>-55535.986719999986</v>
      </c>
    </row>
    <row r="49" spans="1:13" x14ac:dyDescent="0.35">
      <c r="A49" s="47" t="s">
        <v>110</v>
      </c>
      <c r="B49" s="254">
        <v>-89594.333800000008</v>
      </c>
      <c r="C49" s="209">
        <f t="shared" si="22"/>
        <v>-58613.61</v>
      </c>
      <c r="D49" s="213">
        <f t="shared" si="23"/>
        <v>-58478.93</v>
      </c>
      <c r="E49" s="42">
        <f t="shared" si="24"/>
        <v>-64333.760000000002</v>
      </c>
      <c r="F49" s="42">
        <f t="shared" si="25"/>
        <v>-71093.319999999992</v>
      </c>
      <c r="G49" s="109">
        <f t="shared" si="26"/>
        <v>-75569.289999999979</v>
      </c>
      <c r="H49" s="41">
        <f t="shared" si="27"/>
        <v>-90506.309999999983</v>
      </c>
      <c r="I49" s="42">
        <f t="shared" si="28"/>
        <v>-110171.75999999998</v>
      </c>
      <c r="J49" s="62">
        <f t="shared" si="29"/>
        <v>-113562.93999999999</v>
      </c>
      <c r="K49" s="124">
        <f t="shared" si="30"/>
        <v>-104166.27163999999</v>
      </c>
      <c r="L49" s="42">
        <f t="shared" si="31"/>
        <v>-75759.612759999975</v>
      </c>
      <c r="M49" s="62">
        <f t="shared" si="32"/>
        <v>-137043.58315999998</v>
      </c>
    </row>
    <row r="50" spans="1:13" ht="15" thickBot="1" x14ac:dyDescent="0.4">
      <c r="A50" s="47" t="s">
        <v>111</v>
      </c>
      <c r="B50" s="118">
        <v>-26319.418400000002</v>
      </c>
      <c r="C50" s="209">
        <f t="shared" si="22"/>
        <v>-15138.070000000003</v>
      </c>
      <c r="D50" s="213">
        <f t="shared" si="23"/>
        <v>-15096.880000000003</v>
      </c>
      <c r="E50" s="42">
        <f t="shared" si="24"/>
        <v>-19443.190000000006</v>
      </c>
      <c r="F50" s="42">
        <f t="shared" si="25"/>
        <v>-23426.760000000006</v>
      </c>
      <c r="G50" s="109">
        <f t="shared" si="26"/>
        <v>-26913.550000000003</v>
      </c>
      <c r="H50" s="41">
        <f t="shared" si="27"/>
        <v>-29613.43</v>
      </c>
      <c r="I50" s="42">
        <f t="shared" si="28"/>
        <v>-31224.37</v>
      </c>
      <c r="J50" s="62">
        <f t="shared" si="29"/>
        <v>-33241.389999999992</v>
      </c>
      <c r="K50" s="124">
        <f t="shared" si="30"/>
        <v>-33533.047899999998</v>
      </c>
      <c r="L50" s="42">
        <f t="shared" si="31"/>
        <v>-32413.133099999995</v>
      </c>
      <c r="M50" s="62">
        <f t="shared" si="32"/>
        <v>-37329.498599999992</v>
      </c>
    </row>
    <row r="51" spans="1:13" x14ac:dyDescent="0.35">
      <c r="C51" s="100"/>
      <c r="D51" s="204"/>
      <c r="E51" s="17"/>
      <c r="F51" s="17"/>
      <c r="G51" s="17"/>
      <c r="H51" s="10"/>
      <c r="I51" s="17"/>
      <c r="J51" s="11"/>
      <c r="K51" s="17"/>
      <c r="L51" s="17"/>
      <c r="M51" s="11"/>
    </row>
    <row r="52" spans="1:13" x14ac:dyDescent="0.35">
      <c r="A52" s="40" t="s">
        <v>125</v>
      </c>
      <c r="B52" s="40"/>
      <c r="C52" s="105"/>
      <c r="D52" s="214"/>
      <c r="E52" s="84">
        <f>+'PCR Cycle 2'!E50</f>
        <v>9.5178000000000005E-4</v>
      </c>
      <c r="F52" s="84">
        <f>+'PCR Cycle 2'!F50</f>
        <v>9.5761000000000002E-4</v>
      </c>
      <c r="G52" s="84">
        <f>+'PCR Cycle 2'!G50</f>
        <v>9.4081999999999998E-4</v>
      </c>
      <c r="H52" s="85">
        <f>+'PCR Cycle 2'!H50</f>
        <v>9.2864E-4</v>
      </c>
      <c r="I52" s="84">
        <f>+'PCR Cycle 2'!I50</f>
        <v>9.2287999999999995E-4</v>
      </c>
      <c r="J52" s="93">
        <f>+'PCR Cycle 2'!J50</f>
        <v>9.2628999999999997E-4</v>
      </c>
      <c r="K52" s="84">
        <f>+'PCR Cycle 2'!K50</f>
        <v>9.2628999999999997E-4</v>
      </c>
      <c r="L52" s="84">
        <f>+'PCR Cycle 2'!L50</f>
        <v>9.2628999999999997E-4</v>
      </c>
      <c r="M52" s="86"/>
    </row>
    <row r="53" spans="1:13" x14ac:dyDescent="0.35">
      <c r="A53" s="40" t="s">
        <v>37</v>
      </c>
      <c r="B53" s="40"/>
      <c r="C53" s="107"/>
      <c r="D53" s="215"/>
      <c r="E53" s="84"/>
      <c r="F53" s="84"/>
      <c r="G53" s="84"/>
      <c r="H53" s="85"/>
      <c r="I53" s="84"/>
      <c r="J53" s="86"/>
      <c r="K53" s="84"/>
      <c r="L53" s="84"/>
      <c r="M53" s="86"/>
    </row>
    <row r="54" spans="1:13" x14ac:dyDescent="0.35">
      <c r="A54" s="47" t="s">
        <v>24</v>
      </c>
      <c r="C54" s="209">
        <v>-882.52</v>
      </c>
      <c r="D54" s="213">
        <f>SUM('[11]Carrying Costs'!C106:L106)</f>
        <v>-407.53999999999991</v>
      </c>
      <c r="E54" s="257">
        <f t="shared" ref="E54:M58" si="33">ROUND((D46+D54+E39/2)*E$52,2)</f>
        <v>365.84</v>
      </c>
      <c r="F54" s="42">
        <f t="shared" ref="F54:F58" si="34">ROUND((E46+E54+F39/2)*F$52,2)</f>
        <v>403.54</v>
      </c>
      <c r="G54" s="109">
        <f t="shared" ref="G54:G58" si="35">ROUND((F46+F54+G39/2)*G$52,2)</f>
        <v>407.6</v>
      </c>
      <c r="H54" s="41">
        <f t="shared" ref="H54:H58" si="36">ROUND((G46+G54+H39/2)*H$52,2)</f>
        <v>376.76</v>
      </c>
      <c r="I54" s="124">
        <f t="shared" ref="I54:I58" si="37">ROUND((H46+H54+I39/2)*I$52,2)</f>
        <v>314.45</v>
      </c>
      <c r="J54" s="62">
        <f t="shared" ref="J54:J58" si="38">ROUND((I46+I54+J39/2)*J$52,2)</f>
        <v>305.27999999999997</v>
      </c>
      <c r="K54" s="166">
        <f t="shared" ref="K54:K58" si="39">ROUND((J46+J54+K39/2)*K$52,2)</f>
        <v>354.76</v>
      </c>
      <c r="L54" s="109">
        <f t="shared" ref="L54:L58" si="40">ROUND((K46+K54+L39/2)*L$52,2)</f>
        <v>420.52</v>
      </c>
      <c r="M54" s="62">
        <f t="shared" si="33"/>
        <v>0</v>
      </c>
    </row>
    <row r="55" spans="1:13" x14ac:dyDescent="0.35">
      <c r="A55" s="47" t="s">
        <v>108</v>
      </c>
      <c r="C55" s="209">
        <v>88.490000000000009</v>
      </c>
      <c r="D55" s="213">
        <f>SUM('[11]Carrying Costs'!C107:L107)</f>
        <v>-0.44000000000000039</v>
      </c>
      <c r="E55" s="257">
        <f t="shared" si="33"/>
        <v>-36.229999999999997</v>
      </c>
      <c r="F55" s="42">
        <f t="shared" si="34"/>
        <v>-53.63</v>
      </c>
      <c r="G55" s="109">
        <f t="shared" si="35"/>
        <v>-71.52</v>
      </c>
      <c r="H55" s="41">
        <f t="shared" si="36"/>
        <v>-90.66</v>
      </c>
      <c r="I55" s="124">
        <f t="shared" si="37"/>
        <v>-108.93</v>
      </c>
      <c r="J55" s="62">
        <f t="shared" si="38"/>
        <v>-122.28</v>
      </c>
      <c r="K55" s="166">
        <f t="shared" si="39"/>
        <v>-130.03</v>
      </c>
      <c r="L55" s="109">
        <f t="shared" si="40"/>
        <v>-133.83000000000001</v>
      </c>
      <c r="M55" s="62"/>
    </row>
    <row r="56" spans="1:13" x14ac:dyDescent="0.35">
      <c r="A56" s="47" t="s">
        <v>109</v>
      </c>
      <c r="C56" s="209">
        <v>14.61</v>
      </c>
      <c r="D56" s="213">
        <f>SUM('[11]Carrying Costs'!C108:L108)</f>
        <v>26.430000000000003</v>
      </c>
      <c r="E56" s="257">
        <f t="shared" si="33"/>
        <v>-12.48</v>
      </c>
      <c r="F56" s="42">
        <f t="shared" si="34"/>
        <v>-3.46</v>
      </c>
      <c r="G56" s="109">
        <f t="shared" si="35"/>
        <v>8.43</v>
      </c>
      <c r="H56" s="41">
        <f t="shared" si="36"/>
        <v>14.03</v>
      </c>
      <c r="I56" s="124">
        <f t="shared" si="37"/>
        <v>5.57</v>
      </c>
      <c r="J56" s="62">
        <f t="shared" si="38"/>
        <v>-2.84</v>
      </c>
      <c r="K56" s="166">
        <f t="shared" si="39"/>
        <v>-2.21</v>
      </c>
      <c r="L56" s="109">
        <f t="shared" si="40"/>
        <v>8.1999999999999993</v>
      </c>
      <c r="M56" s="62"/>
    </row>
    <row r="57" spans="1:13" x14ac:dyDescent="0.35">
      <c r="A57" s="47" t="s">
        <v>110</v>
      </c>
      <c r="C57" s="209">
        <v>134.68</v>
      </c>
      <c r="D57" s="213">
        <f>SUM('[11]Carrying Costs'!C109:L109)</f>
        <v>37.320000000000007</v>
      </c>
      <c r="E57" s="257">
        <f t="shared" si="33"/>
        <v>-58.43</v>
      </c>
      <c r="F57" s="42">
        <f t="shared" si="34"/>
        <v>-64.87</v>
      </c>
      <c r="G57" s="109">
        <f t="shared" si="35"/>
        <v>-69.02</v>
      </c>
      <c r="H57" s="41">
        <f t="shared" si="36"/>
        <v>-77.14</v>
      </c>
      <c r="I57" s="124">
        <f t="shared" si="37"/>
        <v>-92.64</v>
      </c>
      <c r="J57" s="62">
        <f t="shared" si="38"/>
        <v>-103.66</v>
      </c>
      <c r="K57" s="166">
        <f t="shared" si="39"/>
        <v>-100.89</v>
      </c>
      <c r="L57" s="109">
        <f t="shared" si="40"/>
        <v>-83.38</v>
      </c>
      <c r="M57" s="62"/>
    </row>
    <row r="58" spans="1:13" ht="15" thickBot="1" x14ac:dyDescent="0.4">
      <c r="A58" s="47" t="s">
        <v>111</v>
      </c>
      <c r="C58" s="209">
        <v>41.19</v>
      </c>
      <c r="D58" s="213">
        <f>SUM('[11]Carrying Costs'!C110:L110)</f>
        <v>5.6699999999999982</v>
      </c>
      <c r="E58" s="257">
        <f t="shared" si="33"/>
        <v>-16.43</v>
      </c>
      <c r="F58" s="42">
        <f t="shared" si="34"/>
        <v>-20.53</v>
      </c>
      <c r="G58" s="109">
        <f t="shared" si="35"/>
        <v>-23.69</v>
      </c>
      <c r="H58" s="41">
        <f t="shared" si="36"/>
        <v>-26.26</v>
      </c>
      <c r="I58" s="124">
        <f t="shared" si="37"/>
        <v>-28.09</v>
      </c>
      <c r="J58" s="62">
        <f t="shared" si="38"/>
        <v>-29.87</v>
      </c>
      <c r="K58" s="166">
        <f t="shared" si="39"/>
        <v>-30.94</v>
      </c>
      <c r="L58" s="109">
        <f t="shared" si="40"/>
        <v>-30.56</v>
      </c>
      <c r="M58" s="62">
        <f t="shared" ref="M58" si="41">ROUND((L50+L58+M43/2)*M$52,2)</f>
        <v>0</v>
      </c>
    </row>
    <row r="59" spans="1:13" ht="15.5" thickTop="1" thickBot="1" x14ac:dyDescent="0.4">
      <c r="A59" s="55" t="s">
        <v>22</v>
      </c>
      <c r="B59" s="55"/>
      <c r="C59" s="210">
        <v>0</v>
      </c>
      <c r="D59" s="216"/>
      <c r="E59" s="43">
        <f>SUM(E54:E58)+SUM(E46:E50)-E62</f>
        <v>0</v>
      </c>
      <c r="F59" s="43">
        <f t="shared" ref="F59:M59" si="42">SUM(F54:F58)+SUM(F46:F50)-F62</f>
        <v>0</v>
      </c>
      <c r="G59" s="51">
        <f t="shared" si="42"/>
        <v>0</v>
      </c>
      <c r="H59" s="52">
        <f t="shared" si="42"/>
        <v>0</v>
      </c>
      <c r="I59" s="43">
        <f t="shared" si="42"/>
        <v>1.5643308870494366E-10</v>
      </c>
      <c r="J59" s="63">
        <f t="shared" si="42"/>
        <v>1.7462298274040222E-10</v>
      </c>
      <c r="K59" s="167">
        <f t="shared" si="42"/>
        <v>2.3283064365386963E-10</v>
      </c>
      <c r="L59" s="51">
        <f t="shared" si="42"/>
        <v>0</v>
      </c>
      <c r="M59" s="63">
        <f t="shared" si="42"/>
        <v>0</v>
      </c>
    </row>
    <row r="60" spans="1:13" ht="15.5" thickTop="1" thickBot="1" x14ac:dyDescent="0.4">
      <c r="A60" s="55" t="s">
        <v>23</v>
      </c>
      <c r="B60" s="55"/>
      <c r="C60" s="210">
        <v>0</v>
      </c>
      <c r="D60" s="216"/>
      <c r="E60" s="43">
        <f>SUM(E54:E58)-E36</f>
        <v>0</v>
      </c>
      <c r="F60" s="43">
        <f t="shared" ref="F60:J60" si="43">SUM(F54:F58)-F36</f>
        <v>0</v>
      </c>
      <c r="G60" s="51">
        <f t="shared" ref="G60:I60" si="44">SUM(G54:G58)-G36</f>
        <v>0</v>
      </c>
      <c r="H60" s="52">
        <f t="shared" si="44"/>
        <v>0</v>
      </c>
      <c r="I60" s="43">
        <f t="shared" si="44"/>
        <v>0</v>
      </c>
      <c r="J60" s="63">
        <f t="shared" si="43"/>
        <v>0</v>
      </c>
      <c r="K60" s="168">
        <f t="shared" ref="K60:M60" si="45">SUM(K54:K58)-K36</f>
        <v>0</v>
      </c>
      <c r="L60" s="43">
        <f t="shared" si="45"/>
        <v>0</v>
      </c>
      <c r="M60" s="43">
        <f t="shared" si="45"/>
        <v>0</v>
      </c>
    </row>
    <row r="61" spans="1:13" ht="15.5" thickTop="1" thickBot="1" x14ac:dyDescent="0.4">
      <c r="C61" s="100"/>
      <c r="D61" s="204"/>
      <c r="E61" s="17"/>
      <c r="F61" s="17"/>
      <c r="G61" s="17"/>
      <c r="H61" s="10"/>
      <c r="I61" s="17"/>
      <c r="J61" s="11"/>
      <c r="K61" s="17"/>
      <c r="L61" s="17"/>
      <c r="M61" s="11"/>
    </row>
    <row r="62" spans="1:13" ht="15" thickBot="1" x14ac:dyDescent="0.4">
      <c r="A62" s="47" t="s">
        <v>36</v>
      </c>
      <c r="B62" s="120">
        <f>SUM(B46:B50)</f>
        <v>-93302.011659999931</v>
      </c>
      <c r="C62" s="209">
        <f>(C13-SUM(C16:C20))+SUM(C54:C58)+B62</f>
        <v>241325.80000000002</v>
      </c>
      <c r="D62" s="213">
        <f>(D13-SUM(D16:D20))+SUM(D54:D58)+C62</f>
        <v>240987.24000000002</v>
      </c>
      <c r="E62" s="42">
        <f>(E13-SUM(E16:E20))+SUM(E54:E58)+D62</f>
        <v>268321.64</v>
      </c>
      <c r="F62" s="42">
        <f t="shared" ref="F62:M62" si="46">(F13-SUM(F16:F20))+SUM(F54:F58)+E62</f>
        <v>277150.77999999991</v>
      </c>
      <c r="G62" s="109">
        <f t="shared" si="46"/>
        <v>258384.34999999992</v>
      </c>
      <c r="H62" s="41">
        <f t="shared" si="46"/>
        <v>165523.49999999988</v>
      </c>
      <c r="I62" s="42">
        <f t="shared" si="46"/>
        <v>30402.459999999905</v>
      </c>
      <c r="J62" s="62">
        <f t="shared" si="46"/>
        <v>70302.199999999895</v>
      </c>
      <c r="K62" s="166">
        <f t="shared" si="46"/>
        <v>125619.50857999985</v>
      </c>
      <c r="L62" s="109">
        <f t="shared" si="46"/>
        <v>265273.62255999987</v>
      </c>
      <c r="M62" s="62">
        <f t="shared" si="46"/>
        <v>-324772.09696000017</v>
      </c>
    </row>
    <row r="63" spans="1:13" x14ac:dyDescent="0.35">
      <c r="A63" s="47" t="s">
        <v>12</v>
      </c>
      <c r="C63" s="121"/>
      <c r="D63" s="217"/>
      <c r="E63" s="17"/>
      <c r="F63" s="17"/>
      <c r="G63" s="17"/>
      <c r="H63" s="10"/>
      <c r="I63" s="17"/>
      <c r="J63" s="11"/>
      <c r="K63" s="17"/>
      <c r="L63" s="17"/>
      <c r="M63" s="11"/>
    </row>
    <row r="64" spans="1:13" ht="15" thickBot="1" x14ac:dyDescent="0.4">
      <c r="A64" s="38"/>
      <c r="B64" s="38"/>
      <c r="C64" s="149"/>
      <c r="D64" s="218"/>
      <c r="E64" s="45"/>
      <c r="F64" s="45"/>
      <c r="G64" s="45"/>
      <c r="H64" s="44"/>
      <c r="I64" s="45"/>
      <c r="J64" s="46"/>
      <c r="K64" s="45"/>
      <c r="L64" s="45"/>
      <c r="M64" s="46"/>
    </row>
    <row r="66" spans="1:13" x14ac:dyDescent="0.35">
      <c r="A66" s="70" t="s">
        <v>11</v>
      </c>
      <c r="B66" s="70"/>
      <c r="C66" s="70"/>
      <c r="D66" s="70"/>
    </row>
    <row r="67" spans="1:13" ht="34.5" customHeight="1" x14ac:dyDescent="0.35">
      <c r="A67" s="298" t="s">
        <v>204</v>
      </c>
      <c r="B67" s="298"/>
      <c r="C67" s="298"/>
      <c r="D67" s="298"/>
      <c r="E67" s="298"/>
      <c r="F67" s="298"/>
      <c r="G67" s="298"/>
      <c r="H67" s="298"/>
      <c r="I67" s="298"/>
      <c r="J67" s="298"/>
      <c r="K67" s="242"/>
      <c r="L67" s="243"/>
      <c r="M67" s="243"/>
    </row>
    <row r="68" spans="1:13" ht="42.75" customHeight="1" x14ac:dyDescent="0.35">
      <c r="A68" s="298" t="s">
        <v>184</v>
      </c>
      <c r="B68" s="298"/>
      <c r="C68" s="298"/>
      <c r="D68" s="298"/>
      <c r="E68" s="298"/>
      <c r="F68" s="298"/>
      <c r="G68" s="298"/>
      <c r="H68" s="298"/>
      <c r="I68" s="298"/>
      <c r="J68" s="298"/>
      <c r="K68" s="298"/>
      <c r="L68" s="243"/>
      <c r="M68" s="243"/>
    </row>
    <row r="69" spans="1:13" ht="33.75" customHeight="1" x14ac:dyDescent="0.35">
      <c r="A69" s="298" t="s">
        <v>205</v>
      </c>
      <c r="B69" s="298"/>
      <c r="C69" s="298"/>
      <c r="D69" s="298"/>
      <c r="E69" s="298"/>
      <c r="F69" s="298"/>
      <c r="G69" s="298"/>
      <c r="H69" s="298"/>
      <c r="I69" s="298"/>
      <c r="J69" s="298"/>
      <c r="K69" s="242"/>
      <c r="L69" s="243"/>
      <c r="M69" s="243"/>
    </row>
    <row r="70" spans="1:13" x14ac:dyDescent="0.35">
      <c r="A70" s="3" t="s">
        <v>67</v>
      </c>
      <c r="B70" s="3"/>
      <c r="C70" s="3"/>
      <c r="D70" s="3"/>
    </row>
    <row r="71" spans="1:13" x14ac:dyDescent="0.35">
      <c r="A71" s="64" t="s">
        <v>178</v>
      </c>
      <c r="B71" s="3"/>
      <c r="C71" s="3"/>
      <c r="D71" s="3"/>
    </row>
    <row r="72" spans="1:13" x14ac:dyDescent="0.35">
      <c r="A72" s="3" t="s">
        <v>70</v>
      </c>
      <c r="B72" s="3"/>
      <c r="C72" s="3"/>
      <c r="D72" s="3"/>
    </row>
    <row r="73" spans="1:13" x14ac:dyDescent="0.35">
      <c r="A73" s="3"/>
      <c r="B73" s="3"/>
      <c r="C73" s="3"/>
      <c r="D73" s="3"/>
    </row>
    <row r="74" spans="1:13" ht="33" customHeight="1" x14ac:dyDescent="0.35">
      <c r="A74" s="299" t="s">
        <v>195</v>
      </c>
      <c r="B74" s="299"/>
      <c r="C74" s="299"/>
      <c r="D74" s="299"/>
      <c r="E74" s="299"/>
      <c r="F74" s="299"/>
      <c r="G74" s="299"/>
    </row>
  </sheetData>
  <mergeCells count="7">
    <mergeCell ref="A74:G74"/>
    <mergeCell ref="A69:J69"/>
    <mergeCell ref="E11:G11"/>
    <mergeCell ref="H11:J11"/>
    <mergeCell ref="K11:M11"/>
    <mergeCell ref="A67:J67"/>
    <mergeCell ref="A68:K68"/>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Document_x0020_Type xmlns="c85253b9-0a55-49a1-98ad-b5b6252d7079">Question</Document_x0020_Type>
    <Sequence_x0020_Number xmlns="f450f658-75db-4c0c-ab7c-769d36713c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CF1C83FCB0BA42B7DA1950495FBECB" ma:contentTypeVersion="" ma:contentTypeDescription="Create a new document." ma:contentTypeScope="" ma:versionID="75d4f0a820f4001080bf88af81ac7904">
  <xsd:schema xmlns:xsd="http://www.w3.org/2001/XMLSchema" xmlns:xs="http://www.w3.org/2001/XMLSchema" xmlns:p="http://schemas.microsoft.com/office/2006/metadata/properties" xmlns:ns2="c85253b9-0a55-49a1-98ad-b5b6252d7079" xmlns:ns3="f450f658-75db-4c0c-ab7c-769d36713cbc" xmlns:ns4="b95115da-3ec3-4f45-8f03-fcf4d770a292" targetNamespace="http://schemas.microsoft.com/office/2006/metadata/properties" ma:root="true" ma:fieldsID="eeb9bdca1b7f9fa9ccfc1b8fbb2936e7" ns2:_="" ns3:_="" ns4:_="">
    <xsd:import namespace="c85253b9-0a55-49a1-98ad-b5b6252d7079"/>
    <xsd:import namespace="f450f658-75db-4c0c-ab7c-769d36713cbc"/>
    <xsd:import namespace="b95115da-3ec3-4f45-8f03-fcf4d770a292"/>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f450f658-75db-4c0c-ab7c-769d36713cbc"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5115da-3ec3-4f45-8f03-fcf4d770a2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680F6-EEBC-41A4-AEB5-0B773B5EACA2}">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37C40F9E-044B-4F26-A90E-5C1316E52537"/>
    <ds:schemaRef ds:uri="http://purl.org/dc/elements/1.1/"/>
    <ds:schemaRef ds:uri="c85253b9-0a55-49a1-98ad-b5b6252d7079"/>
    <ds:schemaRef ds:uri="f450f658-75db-4c0c-ab7c-769d36713cbc"/>
  </ds:schemaRefs>
</ds:datastoreItem>
</file>

<file path=customXml/itemProps2.xml><?xml version="1.0" encoding="utf-8"?>
<ds:datastoreItem xmlns:ds="http://schemas.openxmlformats.org/officeDocument/2006/customXml" ds:itemID="{9433EB0D-18E1-461B-8C89-E54E6B4BE8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f450f658-75db-4c0c-ab7c-769d36713cbc"/>
    <ds:schemaRef ds:uri="b95115da-3ec3-4f45-8f03-fcf4d770a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tariff tables</vt:lpstr>
      <vt:lpstr>DSIM Cycle Tables</vt:lpstr>
      <vt:lpstr>PPC Cycle 3</vt:lpstr>
      <vt:lpstr>PCR Cycle 3</vt:lpstr>
      <vt:lpstr>PCR Cycle 2</vt:lpstr>
      <vt:lpstr>PTD Cycle 2</vt:lpstr>
      <vt:lpstr>PTD Cycle 3</vt:lpstr>
      <vt:lpstr>TDR Cycle 2</vt:lpstr>
      <vt:lpstr>TDR Cycle 3</vt:lpstr>
      <vt:lpstr>EO Cycle 2</vt:lpstr>
      <vt:lpstr>EOR Cycle 2</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2021-06-28T15:23:19Z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0x010100CBCF1C83FCB0BA42B7DA1950495FBECB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2021-06-28T15:23:02Z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
  </property>
  <property fmtid="{D5CDD505-2E9C-101B-9397-08002B2CF9AE}" pid="11" name="MSIP_Label_d275ac46-98b9-4d64-949f-e82ee8dc823c_ContentBits">
    <vt:lpwstr>3</vt:lpwstr>
  </property>
</Properties>
</file>