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N:\CorpAcctg\MEEIA\Metro MEEIA DSIM RIDER\20220601 Filing\"/>
    </mc:Choice>
  </mc:AlternateContent>
  <xr:revisionPtr revIDLastSave="0" documentId="13_ncr:1_{2B63EEF4-EDA9-4F9C-9B60-BA546E793170}" xr6:coauthVersionLast="47" xr6:coauthVersionMax="47" xr10:uidLastSave="{00000000-0000-0000-0000-000000000000}"/>
  <bookViews>
    <workbookView xWindow="-120" yWindow="-120" windowWidth="24240" windowHeight="13140" firstSheet="8" activeTab="15" xr2:uid="{00000000-000D-0000-FFFF-FFFF00000000}"/>
  </bookViews>
  <sheets>
    <sheet name="tariff tables" sheetId="5" r:id="rId1"/>
    <sheet name="tariff tables v. current tariff" sheetId="27"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 Cycle 3" sheetId="28" r:id="rId12"/>
    <sheet name="EOR Cycle 2" sheetId="23" r:id="rId13"/>
    <sheet name="EOR Cycle 3" sheetId="29" r:id="rId14"/>
    <sheet name="OA Cycle 2" sheetId="10" r:id="rId15"/>
    <sheet name="OAR Cycle 2" sheetId="1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Print_Area" localSheetId="4">'PCR Cycle 2'!$A$1:$O$67</definedName>
    <definedName name="_xlnm.Print_Area" localSheetId="5">'PCR Cycle 3'!$A$1:$O$71</definedName>
    <definedName name="solver_adj" localSheetId="4" hidden="1">'PCR Cycle 2'!$F$50</definedName>
    <definedName name="solver_adj" localSheetId="5" hidden="1">'PCR Cycle 3'!$F$51</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2'!$F$55</definedName>
    <definedName name="solver_opt" localSheetId="5" hidden="1">'PCR Cycle 3'!$F$59</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5" l="1"/>
  <c r="L19" i="22" l="1"/>
  <c r="K19" i="22"/>
  <c r="L18" i="22"/>
  <c r="K18" i="22"/>
  <c r="L17" i="22"/>
  <c r="K17" i="22"/>
  <c r="L16" i="22"/>
  <c r="K16" i="22"/>
  <c r="L15" i="22"/>
  <c r="K15" i="22"/>
  <c r="D9" i="18"/>
  <c r="D8" i="18"/>
  <c r="D7" i="18"/>
  <c r="D6" i="18"/>
  <c r="D5" i="18"/>
  <c r="C8" i="10"/>
  <c r="B6" i="10" s="1"/>
  <c r="B8" i="10"/>
  <c r="B5" i="10" s="1"/>
  <c r="D10" i="18" l="1"/>
  <c r="D36" i="28"/>
  <c r="D31" i="28"/>
  <c r="D35" i="28" l="1"/>
  <c r="D37" i="28" l="1"/>
  <c r="D38" i="28" l="1"/>
  <c r="C36" i="28" l="1"/>
  <c r="C31" i="28"/>
  <c r="C37" i="28" l="1"/>
  <c r="E38" i="28" l="1"/>
  <c r="C38" i="28"/>
  <c r="E36" i="28"/>
  <c r="E37" i="28"/>
  <c r="E31" i="28"/>
  <c r="C35" i="28"/>
  <c r="E35" i="28" l="1"/>
  <c r="E54" i="8" l="1"/>
  <c r="E65" i="8" l="1"/>
  <c r="E59" i="8" l="1"/>
  <c r="E61" i="8" l="1"/>
  <c r="E70" i="8" l="1"/>
  <c r="E60" i="8" l="1"/>
  <c r="E72" i="8" l="1"/>
  <c r="E71" i="8" l="1"/>
  <c r="E58" i="8" l="1"/>
  <c r="E69" i="8" l="1"/>
  <c r="D73" i="8" l="1"/>
  <c r="C73" i="8"/>
  <c r="B73" i="8"/>
  <c r="F72" i="8"/>
  <c r="G72" i="8" s="1"/>
  <c r="F71" i="8"/>
  <c r="G71" i="8" s="1"/>
  <c r="F70" i="8"/>
  <c r="G70" i="8" s="1"/>
  <c r="F69" i="8"/>
  <c r="C67" i="8"/>
  <c r="B67" i="8"/>
  <c r="D66" i="8"/>
  <c r="D67" i="8" s="1"/>
  <c r="C66" i="8"/>
  <c r="F73" i="8" l="1"/>
  <c r="G69" i="8"/>
  <c r="E73" i="8"/>
  <c r="E66" i="8"/>
  <c r="F66" i="8" s="1"/>
  <c r="G73" i="8" l="1"/>
  <c r="G66" i="8"/>
  <c r="E67" i="8" l="1"/>
  <c r="F65" i="8"/>
  <c r="G65" i="8" s="1"/>
  <c r="F67" i="8" l="1"/>
  <c r="G67" i="8"/>
  <c r="G23" i="16" l="1"/>
  <c r="G22" i="16"/>
  <c r="G21" i="16"/>
  <c r="G20" i="16"/>
  <c r="G19" i="16"/>
  <c r="J33" i="22" l="1"/>
  <c r="J32" i="22"/>
  <c r="J31" i="22"/>
  <c r="J30" i="22"/>
  <c r="J29" i="22"/>
  <c r="I33" i="22"/>
  <c r="I32" i="22"/>
  <c r="I31" i="22"/>
  <c r="I30" i="22"/>
  <c r="I29" i="22"/>
  <c r="H33" i="22"/>
  <c r="H32" i="22"/>
  <c r="H31" i="22"/>
  <c r="H30" i="22"/>
  <c r="H29" i="22"/>
  <c r="G33" i="22"/>
  <c r="G32" i="22"/>
  <c r="G31" i="22"/>
  <c r="G30" i="22"/>
  <c r="G29" i="22"/>
  <c r="F33" i="22"/>
  <c r="F32" i="22"/>
  <c r="F31" i="22"/>
  <c r="F30" i="22"/>
  <c r="F29" i="22"/>
  <c r="E23" i="24" l="1"/>
  <c r="E26" i="24"/>
  <c r="E27" i="24"/>
  <c r="E25" i="24"/>
  <c r="F26" i="24" l="1"/>
  <c r="E32" i="24"/>
  <c r="F25" i="24"/>
  <c r="F27" i="24"/>
  <c r="F23" i="24"/>
  <c r="E30" i="24"/>
  <c r="E24" i="24" l="1"/>
  <c r="E34" i="24"/>
  <c r="E33" i="24"/>
  <c r="G26" i="24"/>
  <c r="G27" i="24"/>
  <c r="G25" i="24"/>
  <c r="G23" i="24"/>
  <c r="F32" i="24"/>
  <c r="F30" i="24"/>
  <c r="F24" i="24" l="1"/>
  <c r="F34" i="24"/>
  <c r="F33" i="24"/>
  <c r="H26" i="24"/>
  <c r="H25" i="24"/>
  <c r="H27" i="24"/>
  <c r="H23" i="24"/>
  <c r="G34" i="24"/>
  <c r="G24" i="24" l="1"/>
  <c r="G33" i="24"/>
  <c r="G30" i="24"/>
  <c r="G32" i="24"/>
  <c r="E31" i="24"/>
  <c r="H33" i="24"/>
  <c r="I27" i="24"/>
  <c r="I26" i="24"/>
  <c r="I23" i="24"/>
  <c r="H32" i="24"/>
  <c r="H34" i="24"/>
  <c r="I25" i="24"/>
  <c r="H30" i="24"/>
  <c r="H24" i="24" l="1"/>
  <c r="F31" i="24"/>
  <c r="J23" i="24"/>
  <c r="J25" i="24"/>
  <c r="J26" i="24"/>
  <c r="J27" i="24"/>
  <c r="I32" i="24"/>
  <c r="I34" i="24"/>
  <c r="I33" i="24"/>
  <c r="I30" i="24"/>
  <c r="I24" i="24" l="1"/>
  <c r="G31" i="24"/>
  <c r="J33" i="24"/>
  <c r="J30" i="24"/>
  <c r="J24" i="24" l="1"/>
  <c r="J32" i="24"/>
  <c r="H31" i="24"/>
  <c r="I31" i="24" l="1"/>
  <c r="J34" i="24"/>
  <c r="J31" i="24" l="1"/>
  <c r="I20" i="13" l="1"/>
  <c r="I19" i="13"/>
  <c r="H20" i="13"/>
  <c r="H19" i="13"/>
  <c r="E20" i="13"/>
  <c r="E19" i="13"/>
  <c r="D20" i="13"/>
  <c r="D19" i="13"/>
  <c r="G20" i="13"/>
  <c r="G19" i="13"/>
  <c r="F20" i="13"/>
  <c r="F19" i="13"/>
  <c r="J20" i="29"/>
  <c r="J19" i="29"/>
  <c r="J18" i="29"/>
  <c r="J17" i="29"/>
  <c r="J16" i="29"/>
  <c r="I20" i="29"/>
  <c r="I19" i="29"/>
  <c r="I18" i="29"/>
  <c r="I17" i="29"/>
  <c r="I16" i="29"/>
  <c r="G20" i="29"/>
  <c r="G19" i="29"/>
  <c r="G18" i="29"/>
  <c r="G17" i="29"/>
  <c r="G16" i="29"/>
  <c r="F20" i="29"/>
  <c r="F19" i="29"/>
  <c r="F18" i="29"/>
  <c r="F17" i="29"/>
  <c r="F16" i="29"/>
  <c r="E20" i="29"/>
  <c r="E19" i="29"/>
  <c r="E18" i="29"/>
  <c r="E17" i="29"/>
  <c r="E16" i="29"/>
  <c r="H20" i="29"/>
  <c r="H19" i="29"/>
  <c r="H18" i="29"/>
  <c r="H17" i="29"/>
  <c r="H16" i="29"/>
  <c r="J23" i="23"/>
  <c r="J22" i="23"/>
  <c r="J21" i="23"/>
  <c r="J20" i="23"/>
  <c r="J19" i="23"/>
  <c r="I23" i="23"/>
  <c r="I22" i="23"/>
  <c r="I21" i="23"/>
  <c r="I20" i="23"/>
  <c r="I19" i="23"/>
  <c r="H23" i="23"/>
  <c r="H22" i="23"/>
  <c r="H21" i="23"/>
  <c r="H20" i="23"/>
  <c r="H19" i="23"/>
  <c r="G23" i="23"/>
  <c r="G22" i="23"/>
  <c r="G21" i="23"/>
  <c r="G20" i="23"/>
  <c r="G19" i="23"/>
  <c r="F23" i="23"/>
  <c r="F22" i="23"/>
  <c r="F21" i="23"/>
  <c r="F20" i="23"/>
  <c r="F19" i="23"/>
  <c r="E23" i="23"/>
  <c r="E22" i="23"/>
  <c r="E21" i="23"/>
  <c r="E20" i="23"/>
  <c r="E19" i="23"/>
  <c r="J20" i="24"/>
  <c r="J19" i="24"/>
  <c r="J18" i="24"/>
  <c r="J17" i="24"/>
  <c r="J16" i="24"/>
  <c r="I20" i="24"/>
  <c r="I19" i="24"/>
  <c r="I18" i="24"/>
  <c r="I17" i="24"/>
  <c r="I16" i="24"/>
  <c r="H20" i="24"/>
  <c r="H19" i="24"/>
  <c r="H18" i="24"/>
  <c r="H17" i="24"/>
  <c r="H16" i="24"/>
  <c r="G20" i="24"/>
  <c r="G19" i="24"/>
  <c r="G18" i="24"/>
  <c r="G17" i="24"/>
  <c r="G16" i="24"/>
  <c r="F20" i="24"/>
  <c r="F19" i="24"/>
  <c r="F18" i="24"/>
  <c r="F17" i="24"/>
  <c r="F16" i="24"/>
  <c r="E20" i="24"/>
  <c r="E19" i="24"/>
  <c r="E18" i="24"/>
  <c r="E17" i="24"/>
  <c r="E16" i="24"/>
  <c r="J23" i="16" l="1"/>
  <c r="J22" i="16"/>
  <c r="J21" i="16"/>
  <c r="J20" i="16"/>
  <c r="J19" i="16"/>
  <c r="I23" i="16"/>
  <c r="I22" i="16"/>
  <c r="I21" i="16"/>
  <c r="I20" i="16"/>
  <c r="I19" i="16"/>
  <c r="F23" i="16"/>
  <c r="F22" i="16"/>
  <c r="F21" i="16"/>
  <c r="F20" i="16"/>
  <c r="F19" i="16"/>
  <c r="H23" i="16"/>
  <c r="H22" i="16"/>
  <c r="H21" i="16"/>
  <c r="H20" i="16"/>
  <c r="H19" i="16"/>
  <c r="E23" i="16"/>
  <c r="E22" i="16"/>
  <c r="E21" i="16"/>
  <c r="E20" i="16"/>
  <c r="E19" i="16"/>
  <c r="J38" i="15" l="1"/>
  <c r="J37" i="15"/>
  <c r="J36" i="15"/>
  <c r="J35" i="15"/>
  <c r="J34" i="15"/>
  <c r="J31" i="15"/>
  <c r="J30" i="15"/>
  <c r="J29" i="15"/>
  <c r="J28" i="15"/>
  <c r="J27" i="15"/>
  <c r="I28" i="15"/>
  <c r="I31" i="15"/>
  <c r="I30" i="15"/>
  <c r="I29" i="15"/>
  <c r="I27" i="15"/>
  <c r="H31" i="15" l="1"/>
  <c r="H30" i="15"/>
  <c r="H29" i="15"/>
  <c r="H28" i="15"/>
  <c r="H27" i="15"/>
  <c r="G31" i="15" l="1"/>
  <c r="G29" i="15"/>
  <c r="G28" i="15"/>
  <c r="G27" i="15"/>
  <c r="F28" i="15"/>
  <c r="F27" i="15"/>
  <c r="F30" i="15" l="1"/>
  <c r="F31" i="15"/>
  <c r="F29" i="15"/>
  <c r="E31" i="15"/>
  <c r="E30" i="15"/>
  <c r="E29" i="15"/>
  <c r="E28" i="15"/>
  <c r="E27" i="15"/>
  <c r="G30" i="15"/>
  <c r="E30" i="22" l="1"/>
  <c r="E31" i="22"/>
  <c r="E32" i="22"/>
  <c r="E33" i="22"/>
  <c r="G35" i="15"/>
  <c r="I34" i="15"/>
  <c r="I37" i="15"/>
  <c r="I38" i="15"/>
  <c r="I36" i="15"/>
  <c r="G37" i="15"/>
  <c r="G36" i="15"/>
  <c r="F37" i="15"/>
  <c r="F38" i="15"/>
  <c r="F36" i="15"/>
  <c r="E29" i="22" l="1"/>
  <c r="G38" i="15"/>
  <c r="F35" i="15" l="1"/>
  <c r="F34" i="15"/>
  <c r="G34" i="15"/>
  <c r="I35" i="15"/>
  <c r="H34" i="15"/>
  <c r="H37" i="15"/>
  <c r="H38" i="15"/>
  <c r="H36" i="15"/>
  <c r="E37" i="15"/>
  <c r="E38" i="15"/>
  <c r="E36" i="15"/>
  <c r="E34" i="15"/>
  <c r="H35" i="15" l="1"/>
  <c r="E35" i="15" l="1"/>
  <c r="J19" i="22" l="1"/>
  <c r="J18" i="22"/>
  <c r="J17" i="22"/>
  <c r="J16" i="22"/>
  <c r="J15" i="22"/>
  <c r="I19" i="22"/>
  <c r="I18" i="22"/>
  <c r="I17" i="22"/>
  <c r="I16" i="22"/>
  <c r="I15" i="22"/>
  <c r="H19" i="22"/>
  <c r="H18" i="22"/>
  <c r="H17" i="22"/>
  <c r="H16" i="22"/>
  <c r="H15" i="22"/>
  <c r="G19" i="22"/>
  <c r="G18" i="22"/>
  <c r="G17" i="22"/>
  <c r="G16" i="22"/>
  <c r="G15" i="22"/>
  <c r="F19" i="22"/>
  <c r="F18" i="22"/>
  <c r="F17" i="22"/>
  <c r="F16" i="22"/>
  <c r="F15" i="22"/>
  <c r="E15" i="22" l="1"/>
  <c r="E18" i="22" l="1"/>
  <c r="E17" i="22"/>
  <c r="E16" i="22" l="1"/>
  <c r="E19" i="22" l="1"/>
  <c r="J50" i="15" l="1"/>
  <c r="I50" i="15"/>
  <c r="B9" i="18"/>
  <c r="B8" i="18"/>
  <c r="B7" i="18"/>
  <c r="B6" i="18"/>
  <c r="B5" i="18"/>
  <c r="H8" i="29" l="1"/>
  <c r="H7" i="29"/>
  <c r="H6" i="29"/>
  <c r="H5" i="29"/>
  <c r="B55" i="29"/>
  <c r="C55" i="29" s="1"/>
  <c r="C36" i="29"/>
  <c r="C43" i="29" s="1"/>
  <c r="C35" i="29"/>
  <c r="C42" i="29" s="1"/>
  <c r="F34" i="29"/>
  <c r="C34" i="29"/>
  <c r="C41" i="29" s="1"/>
  <c r="C33" i="29"/>
  <c r="C40" i="29" s="1"/>
  <c r="C32" i="29"/>
  <c r="C39" i="29" s="1"/>
  <c r="G13" i="29"/>
  <c r="E12" i="29"/>
  <c r="F12" i="29" s="1"/>
  <c r="G12" i="29" s="1"/>
  <c r="H12" i="29" s="1"/>
  <c r="I12" i="29" s="1"/>
  <c r="J12" i="29" s="1"/>
  <c r="K12" i="29" s="1"/>
  <c r="L12" i="29" s="1"/>
  <c r="M12" i="29" s="1"/>
  <c r="C11" i="29"/>
  <c r="B11" i="29"/>
  <c r="H4" i="29"/>
  <c r="A1" i="29"/>
  <c r="H50" i="15"/>
  <c r="H45" i="29" s="1"/>
  <c r="G50" i="15"/>
  <c r="G45" i="29" s="1"/>
  <c r="F50" i="15"/>
  <c r="F45" i="29" s="1"/>
  <c r="E50" i="15"/>
  <c r="E45" i="29" s="1"/>
  <c r="E32" i="29" l="1"/>
  <c r="E47" i="29" s="1"/>
  <c r="E33" i="29"/>
  <c r="E40" i="29" s="1"/>
  <c r="E34" i="29"/>
  <c r="E49" i="29" s="1"/>
  <c r="E35" i="29"/>
  <c r="E50" i="29" s="1"/>
  <c r="E36" i="29"/>
  <c r="E43" i="29" s="1"/>
  <c r="F32" i="29"/>
  <c r="F33" i="29"/>
  <c r="F35" i="29"/>
  <c r="G33" i="29"/>
  <c r="G36" i="29"/>
  <c r="H9" i="29"/>
  <c r="G32" i="29"/>
  <c r="G35" i="29"/>
  <c r="F36" i="29"/>
  <c r="G34" i="29"/>
  <c r="E48" i="29"/>
  <c r="E13" i="29"/>
  <c r="F13" i="29"/>
  <c r="E30" i="16"/>
  <c r="E29" i="16"/>
  <c r="E27" i="16"/>
  <c r="E28" i="16"/>
  <c r="E51" i="29" l="1"/>
  <c r="E39" i="29"/>
  <c r="F47" i="29" s="1"/>
  <c r="E41" i="29"/>
  <c r="F49" i="29" s="1"/>
  <c r="E42" i="29"/>
  <c r="F50" i="29" s="1"/>
  <c r="E55" i="29"/>
  <c r="F51" i="29"/>
  <c r="F43" i="29"/>
  <c r="E53" i="29"/>
  <c r="F48" i="29"/>
  <c r="F40" i="29"/>
  <c r="E33" i="16"/>
  <c r="E37" i="16"/>
  <c r="E35" i="16"/>
  <c r="E34" i="16"/>
  <c r="E36" i="16"/>
  <c r="F30" i="16"/>
  <c r="F27" i="16"/>
  <c r="F28" i="16"/>
  <c r="F29" i="16"/>
  <c r="F26" i="16"/>
  <c r="E26" i="16"/>
  <c r="F41" i="29" l="1"/>
  <c r="F39" i="29"/>
  <c r="G47" i="29" s="1"/>
  <c r="F42" i="29"/>
  <c r="E52" i="29"/>
  <c r="F53" i="29"/>
  <c r="G50" i="29"/>
  <c r="G42" i="29"/>
  <c r="G48" i="29"/>
  <c r="G40" i="29"/>
  <c r="G51" i="29"/>
  <c r="G43" i="29"/>
  <c r="F55" i="29"/>
  <c r="G49" i="29"/>
  <c r="G41" i="29"/>
  <c r="F35" i="16"/>
  <c r="F34" i="16"/>
  <c r="F36" i="16"/>
  <c r="F33" i="16"/>
  <c r="F37" i="16"/>
  <c r="G28" i="16"/>
  <c r="G29" i="16"/>
  <c r="G30" i="16"/>
  <c r="G26" i="16"/>
  <c r="G39" i="29" l="1"/>
  <c r="F52" i="29"/>
  <c r="G55" i="29"/>
  <c r="G53" i="29"/>
  <c r="G35" i="16"/>
  <c r="G33" i="16"/>
  <c r="G36" i="16"/>
  <c r="G37" i="16"/>
  <c r="G27" i="16"/>
  <c r="H28" i="16"/>
  <c r="H30" i="16"/>
  <c r="H29" i="16"/>
  <c r="H26" i="16"/>
  <c r="G52" i="29" l="1"/>
  <c r="G34" i="16"/>
  <c r="H36" i="16"/>
  <c r="H33" i="16"/>
  <c r="H37" i="16"/>
  <c r="H35" i="16"/>
  <c r="I28" i="16"/>
  <c r="I29" i="16"/>
  <c r="I30" i="16"/>
  <c r="I26" i="16"/>
  <c r="H27" i="16" l="1"/>
  <c r="I36" i="16"/>
  <c r="I37" i="16"/>
  <c r="I35" i="16"/>
  <c r="I33" i="16"/>
  <c r="J29" i="16"/>
  <c r="J28" i="16"/>
  <c r="J30" i="16"/>
  <c r="J26" i="16"/>
  <c r="H34" i="16" l="1"/>
  <c r="I27" i="16"/>
  <c r="J37" i="16"/>
  <c r="J33" i="16"/>
  <c r="J35" i="16"/>
  <c r="J36" i="16"/>
  <c r="K28" i="16"/>
  <c r="K30" i="16"/>
  <c r="K29" i="16"/>
  <c r="K26" i="16"/>
  <c r="I34" i="16" l="1"/>
  <c r="J27" i="16"/>
  <c r="K37" i="16"/>
  <c r="K35" i="16"/>
  <c r="K33" i="16"/>
  <c r="K36" i="16"/>
  <c r="L29" i="16"/>
  <c r="L30" i="16"/>
  <c r="L28" i="16"/>
  <c r="L26" i="16"/>
  <c r="K27" i="16" l="1"/>
  <c r="J34" i="16"/>
  <c r="L37" i="16"/>
  <c r="L35" i="16"/>
  <c r="L36" i="16"/>
  <c r="L27" i="16"/>
  <c r="L33" i="16" l="1"/>
  <c r="K34" i="16" l="1"/>
  <c r="L34" i="16"/>
  <c r="B11" i="12" l="1"/>
  <c r="C12" i="12"/>
  <c r="B12" i="12"/>
  <c r="B13" i="12"/>
  <c r="B6" i="12"/>
  <c r="C11" i="12" l="1"/>
  <c r="C13" i="12"/>
  <c r="B10" i="12"/>
  <c r="C6" i="12"/>
  <c r="C10" i="12" l="1"/>
  <c r="M27" i="15" l="1"/>
  <c r="M16" i="29" s="1"/>
  <c r="L27" i="15"/>
  <c r="L16" i="29" s="1"/>
  <c r="K27" i="15"/>
  <c r="K16" i="29" s="1"/>
  <c r="K28" i="15"/>
  <c r="K17" i="29" s="1"/>
  <c r="K29" i="15"/>
  <c r="K18" i="29" s="1"/>
  <c r="K30" i="15"/>
  <c r="K19" i="29" s="1"/>
  <c r="M31" i="15"/>
  <c r="M20" i="29" s="1"/>
  <c r="M36" i="29" s="1"/>
  <c r="M30" i="15"/>
  <c r="M19" i="29" s="1"/>
  <c r="M35" i="29" s="1"/>
  <c r="M29" i="15"/>
  <c r="M18" i="29" s="1"/>
  <c r="M34" i="29" s="1"/>
  <c r="M28" i="15"/>
  <c r="M17" i="29" s="1"/>
  <c r="M33" i="29" s="1"/>
  <c r="E4" i="29" l="1"/>
  <c r="M32" i="29"/>
  <c r="K31" i="15"/>
  <c r="K20" i="29" s="1"/>
  <c r="L31" i="15" l="1"/>
  <c r="L20" i="29" s="1"/>
  <c r="L30" i="15"/>
  <c r="L19" i="29" s="1"/>
  <c r="L29" i="15"/>
  <c r="L18" i="29" s="1"/>
  <c r="L28" i="15"/>
  <c r="L17" i="29" s="1"/>
  <c r="E7" i="29" l="1"/>
  <c r="E8" i="29"/>
  <c r="E6" i="29"/>
  <c r="E5" i="29"/>
  <c r="E9" i="29" l="1"/>
  <c r="B62" i="8" l="1"/>
  <c r="B56" i="8"/>
  <c r="F54" i="8" l="1"/>
  <c r="G54" i="8" l="1"/>
  <c r="G7" i="8" s="1"/>
  <c r="F59" i="8"/>
  <c r="G59" i="8" l="1"/>
  <c r="G12" i="8" s="1"/>
  <c r="F61" i="8"/>
  <c r="G61" i="8" l="1"/>
  <c r="G14" i="8" s="1"/>
  <c r="F60" i="8"/>
  <c r="E62" i="8"/>
  <c r="E55" i="8"/>
  <c r="E56" i="8" s="1"/>
  <c r="G60" i="8" l="1"/>
  <c r="G13" i="8" s="1"/>
  <c r="D62" i="8"/>
  <c r="D55" i="8"/>
  <c r="D56" i="8" s="1"/>
  <c r="C62" i="8"/>
  <c r="C55" i="8"/>
  <c r="F58" i="8"/>
  <c r="G58" i="8" l="1"/>
  <c r="G11" i="8" s="1"/>
  <c r="F62" i="8"/>
  <c r="F55" i="8"/>
  <c r="C56" i="8"/>
  <c r="G62" i="8" l="1"/>
  <c r="G55" i="8"/>
  <c r="F56" i="8"/>
  <c r="G56" i="8" l="1"/>
  <c r="G8" i="8"/>
  <c r="L11" i="15"/>
  <c r="L10" i="15"/>
  <c r="L9" i="15"/>
  <c r="L8" i="15"/>
  <c r="D26" i="28" l="1"/>
  <c r="D25" i="28"/>
  <c r="D19" i="28"/>
  <c r="D24" i="28" l="1"/>
  <c r="D23" i="28"/>
  <c r="C25" i="28" l="1"/>
  <c r="C26" i="28"/>
  <c r="C19" i="28" l="1"/>
  <c r="C24" i="28"/>
  <c r="E26" i="28" l="1"/>
  <c r="C23" i="28"/>
  <c r="E25" i="28" l="1"/>
  <c r="E24" i="28"/>
  <c r="E19" i="28" l="1"/>
  <c r="E23" i="28"/>
  <c r="B26" i="28" l="1"/>
  <c r="B25" i="28"/>
  <c r="B24" i="28"/>
  <c r="B23" i="28"/>
  <c r="B19" i="28"/>
  <c r="B20" i="28" l="1"/>
  <c r="E50" i="28" l="1"/>
  <c r="D50" i="28"/>
  <c r="C50" i="28"/>
  <c r="E49" i="28"/>
  <c r="D49" i="28"/>
  <c r="C49" i="28"/>
  <c r="E48" i="28"/>
  <c r="D48" i="28"/>
  <c r="D12" i="28" s="1"/>
  <c r="C48" i="28"/>
  <c r="E47" i="28"/>
  <c r="D47" i="28"/>
  <c r="C47" i="28"/>
  <c r="E43" i="28"/>
  <c r="D43" i="28"/>
  <c r="B44" i="28"/>
  <c r="B45" i="28" s="1"/>
  <c r="C43" i="28"/>
  <c r="C14" i="28"/>
  <c r="C12" i="28"/>
  <c r="B38" i="28"/>
  <c r="B14" i="28" s="1"/>
  <c r="B37" i="28"/>
  <c r="B13" i="28" s="1"/>
  <c r="B36" i="28"/>
  <c r="B35" i="28"/>
  <c r="B31" i="28"/>
  <c r="B51" i="28"/>
  <c r="D14" i="28"/>
  <c r="C13" i="28"/>
  <c r="F48" i="28"/>
  <c r="G48" i="28" s="1"/>
  <c r="F26" i="28"/>
  <c r="G26" i="28" s="1"/>
  <c r="D20" i="28"/>
  <c r="D21" i="28" s="1"/>
  <c r="C20" i="28"/>
  <c r="C21" i="28" s="1"/>
  <c r="F24" i="28"/>
  <c r="G24" i="28" s="1"/>
  <c r="E27" i="28"/>
  <c r="D27" i="28"/>
  <c r="C27" i="28"/>
  <c r="F23" i="28"/>
  <c r="G23" i="28" s="1"/>
  <c r="E20" i="28"/>
  <c r="E21" i="28" s="1"/>
  <c r="F19" i="28"/>
  <c r="G19" i="28" s="1"/>
  <c r="E13" i="28"/>
  <c r="A2" i="28"/>
  <c r="A1" i="28"/>
  <c r="K24" i="29" l="1"/>
  <c r="J24" i="29"/>
  <c r="J33" i="29" s="1"/>
  <c r="I24" i="29"/>
  <c r="I33" i="29" s="1"/>
  <c r="H24" i="29"/>
  <c r="L24" i="29"/>
  <c r="L33" i="29" s="1"/>
  <c r="L23" i="29"/>
  <c r="K23" i="29"/>
  <c r="J23" i="29"/>
  <c r="I23" i="29"/>
  <c r="H23" i="29"/>
  <c r="L25" i="29"/>
  <c r="L34" i="29" s="1"/>
  <c r="K25" i="29"/>
  <c r="J25" i="29"/>
  <c r="J34" i="29" s="1"/>
  <c r="H25" i="29"/>
  <c r="I25" i="29"/>
  <c r="I34" i="29" s="1"/>
  <c r="I27" i="29"/>
  <c r="I36" i="29" s="1"/>
  <c r="L27" i="29"/>
  <c r="L36" i="29" s="1"/>
  <c r="H27" i="29"/>
  <c r="K27" i="29"/>
  <c r="J27" i="29"/>
  <c r="J36" i="29" s="1"/>
  <c r="E12" i="28"/>
  <c r="D39" i="28"/>
  <c r="C51" i="28"/>
  <c r="D51" i="28"/>
  <c r="E51" i="28"/>
  <c r="E11" i="28"/>
  <c r="C7" i="28"/>
  <c r="E14" i="28"/>
  <c r="C39" i="28"/>
  <c r="F36" i="28"/>
  <c r="G36" i="28" s="1"/>
  <c r="E39" i="28"/>
  <c r="E32" i="28"/>
  <c r="E33" i="28" s="1"/>
  <c r="D32" i="28"/>
  <c r="D33" i="28" s="1"/>
  <c r="F35" i="28"/>
  <c r="G35" i="28" s="1"/>
  <c r="C32" i="28"/>
  <c r="C33" i="28" s="1"/>
  <c r="F31" i="28"/>
  <c r="G31" i="28" s="1"/>
  <c r="F38" i="28"/>
  <c r="G38" i="28" s="1"/>
  <c r="F37" i="28"/>
  <c r="G37" i="28" s="1"/>
  <c r="B12" i="28"/>
  <c r="B32" i="28"/>
  <c r="B8" i="28" s="1"/>
  <c r="B11" i="28"/>
  <c r="B7" i="28"/>
  <c r="F20" i="28"/>
  <c r="F25" i="28"/>
  <c r="G25" i="28" s="1"/>
  <c r="B27" i="28"/>
  <c r="B39" i="28"/>
  <c r="F50" i="28"/>
  <c r="G50" i="28" s="1"/>
  <c r="E7" i="28"/>
  <c r="C11" i="28"/>
  <c r="C15" i="28" s="1"/>
  <c r="F43" i="28"/>
  <c r="F47" i="28"/>
  <c r="C44" i="28"/>
  <c r="C45" i="28" s="1"/>
  <c r="F49" i="28"/>
  <c r="G49" i="28" s="1"/>
  <c r="D7" i="28"/>
  <c r="D11" i="28"/>
  <c r="B21" i="28"/>
  <c r="D44" i="28"/>
  <c r="E44" i="28"/>
  <c r="D13" i="28"/>
  <c r="F13" i="28" s="1"/>
  <c r="B15" i="28" l="1"/>
  <c r="F12" i="28"/>
  <c r="F5" i="29"/>
  <c r="G5" i="29" s="1"/>
  <c r="H33" i="29"/>
  <c r="H32" i="29"/>
  <c r="F4" i="29"/>
  <c r="L32" i="29"/>
  <c r="K36" i="29"/>
  <c r="F8" i="29"/>
  <c r="G8" i="29" s="1"/>
  <c r="H36" i="29"/>
  <c r="I32" i="29"/>
  <c r="J32" i="29"/>
  <c r="K33" i="29"/>
  <c r="G20" i="28"/>
  <c r="G21" i="28" s="1"/>
  <c r="L26" i="29"/>
  <c r="L35" i="29" s="1"/>
  <c r="K26" i="29"/>
  <c r="K13" i="29" s="1"/>
  <c r="J26" i="29"/>
  <c r="J35" i="29" s="1"/>
  <c r="I26" i="29"/>
  <c r="I35" i="29" s="1"/>
  <c r="H26" i="29"/>
  <c r="K34" i="29"/>
  <c r="G12" i="28"/>
  <c r="H34" i="29"/>
  <c r="F6" i="29"/>
  <c r="G6" i="29" s="1"/>
  <c r="K32" i="29"/>
  <c r="G14" i="28"/>
  <c r="G39" i="28"/>
  <c r="F27" i="28"/>
  <c r="F21" i="28"/>
  <c r="E15" i="28"/>
  <c r="F44" i="28"/>
  <c r="G44" i="28" s="1"/>
  <c r="F11" i="28"/>
  <c r="F14" i="28"/>
  <c r="E8" i="28"/>
  <c r="E9" i="28" s="1"/>
  <c r="F32" i="28"/>
  <c r="D8" i="28"/>
  <c r="D9" i="28" s="1"/>
  <c r="F39" i="28"/>
  <c r="B9" i="28"/>
  <c r="B33" i="28"/>
  <c r="F51" i="28"/>
  <c r="G47" i="28"/>
  <c r="G51" i="28" s="1"/>
  <c r="G43" i="28"/>
  <c r="G7" i="28" s="1"/>
  <c r="D45" i="28"/>
  <c r="D15" i="28"/>
  <c r="C8" i="28"/>
  <c r="F7" i="28"/>
  <c r="E45" i="28"/>
  <c r="G32" i="28" l="1"/>
  <c r="G33" i="28" s="1"/>
  <c r="L13" i="29"/>
  <c r="J13" i="29"/>
  <c r="G27" i="28"/>
  <c r="G13" i="28"/>
  <c r="I13" i="29"/>
  <c r="G4" i="29"/>
  <c r="H41" i="29"/>
  <c r="H49" i="29"/>
  <c r="H51" i="29"/>
  <c r="H43" i="29"/>
  <c r="H47" i="29"/>
  <c r="H39" i="29"/>
  <c r="F7" i="29"/>
  <c r="G7" i="29" s="1"/>
  <c r="H35" i="29"/>
  <c r="H40" i="29"/>
  <c r="H48" i="29"/>
  <c r="H13" i="29"/>
  <c r="K35" i="29"/>
  <c r="F45" i="28"/>
  <c r="F15" i="28"/>
  <c r="G45" i="28"/>
  <c r="F33" i="28"/>
  <c r="F8" i="28"/>
  <c r="F9" i="28" s="1"/>
  <c r="C9" i="28"/>
  <c r="G11" i="28"/>
  <c r="G8" i="28" l="1"/>
  <c r="G9" i="28" s="1"/>
  <c r="G9" i="29"/>
  <c r="I43" i="29"/>
  <c r="I41" i="29"/>
  <c r="H42" i="29"/>
  <c r="H50" i="29"/>
  <c r="H53" i="29" s="1"/>
  <c r="F9" i="29"/>
  <c r="I40" i="29"/>
  <c r="I39" i="29"/>
  <c r="G15" i="28"/>
  <c r="I42" i="29" l="1"/>
  <c r="H55" i="29"/>
  <c r="H52" i="29" s="1"/>
  <c r="D42" i="22" l="1"/>
  <c r="D41" i="22"/>
  <c r="D40" i="22"/>
  <c r="D39" i="22"/>
  <c r="D38" i="22"/>
  <c r="D9" i="10" l="1"/>
  <c r="B10" i="10" l="1"/>
  <c r="B11" i="10" s="1"/>
  <c r="D8" i="10"/>
  <c r="C10" i="10"/>
  <c r="C11" i="10" s="1"/>
  <c r="C38" i="8" l="1"/>
  <c r="C36" i="8"/>
  <c r="C37" i="8"/>
  <c r="D38" i="8" l="1"/>
  <c r="D37" i="8"/>
  <c r="D36" i="8"/>
  <c r="E36" i="8" l="1"/>
  <c r="E38" i="8" l="1"/>
  <c r="E37" i="8" l="1"/>
  <c r="E35" i="8" l="1"/>
  <c r="C35" i="8" l="1"/>
  <c r="D35" i="8" l="1"/>
  <c r="E31" i="8" l="1"/>
  <c r="D31" i="8"/>
  <c r="C31" i="8"/>
  <c r="E26" i="8"/>
  <c r="D26" i="8"/>
  <c r="C26" i="8"/>
  <c r="E25" i="8"/>
  <c r="D25" i="8"/>
  <c r="C25" i="8"/>
  <c r="E24" i="8"/>
  <c r="D24" i="8"/>
  <c r="C24" i="8"/>
  <c r="E23" i="8"/>
  <c r="D23" i="8"/>
  <c r="C23" i="8"/>
  <c r="E19" i="8"/>
  <c r="D19" i="8"/>
  <c r="C19" i="8"/>
  <c r="E20" i="8" l="1"/>
  <c r="C20" i="8"/>
  <c r="D20" i="8"/>
  <c r="E43" i="8" l="1"/>
  <c r="E7" i="8" s="1"/>
  <c r="C43" i="8" l="1"/>
  <c r="C7" i="8" s="1"/>
  <c r="D43" i="8" l="1"/>
  <c r="D7" i="8" s="1"/>
  <c r="C49" i="8" l="1"/>
  <c r="C13" i="8" s="1"/>
  <c r="C48" i="8"/>
  <c r="C12" i="8" s="1"/>
  <c r="C50" i="8"/>
  <c r="C14" i="8" s="1"/>
  <c r="D49" i="8" l="1"/>
  <c r="D13" i="8" s="1"/>
  <c r="D50" i="8"/>
  <c r="D14" i="8" s="1"/>
  <c r="D48" i="8"/>
  <c r="D12" i="8" s="1"/>
  <c r="E48" i="8" l="1"/>
  <c r="E12" i="8" s="1"/>
  <c r="E50" i="8" l="1"/>
  <c r="E14" i="8" s="1"/>
  <c r="E47" i="8" l="1"/>
  <c r="E11" i="8" s="1"/>
  <c r="E49" i="8" l="1"/>
  <c r="E13" i="8" s="1"/>
  <c r="E44" i="8" l="1"/>
  <c r="D47" i="8"/>
  <c r="D11" i="8" s="1"/>
  <c r="D44" i="8" l="1"/>
  <c r="C47" i="8"/>
  <c r="C11" i="8" s="1"/>
  <c r="C44" i="8" l="1"/>
  <c r="F50" i="8"/>
  <c r="G50" i="8" s="1"/>
  <c r="F49" i="8"/>
  <c r="G49" i="8" s="1"/>
  <c r="F48" i="8"/>
  <c r="G48" i="8" s="1"/>
  <c r="E51" i="8"/>
  <c r="D51" i="8"/>
  <c r="C51" i="8"/>
  <c r="B51" i="8"/>
  <c r="B45" i="8"/>
  <c r="F47" i="8" l="1"/>
  <c r="G47" i="8" l="1"/>
  <c r="F51" i="8"/>
  <c r="G51" i="8" l="1"/>
  <c r="A1" i="27" l="1"/>
  <c r="D11" i="24"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C15" i="10" l="1"/>
  <c r="L8" i="16"/>
  <c r="C13" i="10"/>
  <c r="L9" i="16"/>
  <c r="C14" i="10"/>
  <c r="L10" i="16"/>
  <c r="L11" i="16"/>
  <c r="C16" i="10"/>
  <c r="K8" i="23"/>
  <c r="K9" i="23"/>
  <c r="K10" i="23"/>
  <c r="K11" i="23"/>
  <c r="A1" i="13"/>
  <c r="A2" i="10"/>
  <c r="A1" i="10"/>
  <c r="A1" i="23"/>
  <c r="A2" i="8"/>
  <c r="A1" i="8"/>
  <c r="A1" i="24"/>
  <c r="A1" i="16"/>
  <c r="A1" i="19"/>
  <c r="A1" i="12"/>
  <c r="A1" i="22"/>
  <c r="A1" i="15"/>
  <c r="A2" i="12"/>
  <c r="A1" i="5"/>
  <c r="C42" i="16"/>
  <c r="B38" i="8" l="1"/>
  <c r="B37" i="8"/>
  <c r="B36" i="8"/>
  <c r="B35" i="8"/>
  <c r="B32" i="8"/>
  <c r="B31" i="8"/>
  <c r="B26" i="8"/>
  <c r="B14" i="8" s="1"/>
  <c r="B25" i="8"/>
  <c r="B13" i="8" s="1"/>
  <c r="B24" i="8"/>
  <c r="B23" i="8"/>
  <c r="B20" i="8"/>
  <c r="B19" i="8"/>
  <c r="B7" i="8" l="1"/>
  <c r="B8" i="8"/>
  <c r="B11" i="8"/>
  <c r="B12" i="8"/>
  <c r="B61" i="22" l="1"/>
  <c r="H5" i="23" l="1"/>
  <c r="B58" i="23"/>
  <c r="B62" i="24" l="1"/>
  <c r="D43" i="16" l="1"/>
  <c r="C43" i="16"/>
  <c r="I7" i="24" l="1"/>
  <c r="I6" i="24"/>
  <c r="I5" i="24"/>
  <c r="C43" i="24" l="1"/>
  <c r="C50" i="24" s="1"/>
  <c r="C42" i="24"/>
  <c r="C49" i="24" s="1"/>
  <c r="C41" i="24"/>
  <c r="C48" i="24" s="1"/>
  <c r="C40" i="24"/>
  <c r="C47" i="24" s="1"/>
  <c r="C39" i="24"/>
  <c r="D43" i="24"/>
  <c r="D42" i="24"/>
  <c r="D41" i="24"/>
  <c r="D40" i="24"/>
  <c r="D48" i="24" l="1"/>
  <c r="D49" i="24"/>
  <c r="D50" i="24"/>
  <c r="D47" i="24"/>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C62" i="24" l="1"/>
  <c r="D39" i="24"/>
  <c r="C46" i="24"/>
  <c r="E12" i="24"/>
  <c r="F12" i="24" s="1"/>
  <c r="G12" i="24" s="1"/>
  <c r="H12" i="24" s="1"/>
  <c r="I12" i="24" s="1"/>
  <c r="J12" i="24" s="1"/>
  <c r="K12" i="24" s="1"/>
  <c r="L12" i="24" s="1"/>
  <c r="M12" i="24" s="1"/>
  <c r="I8" i="24"/>
  <c r="I4" i="24"/>
  <c r="D46" i="24" l="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H38" i="22" l="1"/>
  <c r="I38" i="22"/>
  <c r="F42" i="22"/>
  <c r="I42" i="22"/>
  <c r="K12" i="23"/>
  <c r="F12" i="22"/>
  <c r="H12" i="22"/>
  <c r="G12" i="22"/>
  <c r="I12" i="22"/>
  <c r="J12" i="22"/>
  <c r="K12" i="22"/>
  <c r="L12" i="22"/>
  <c r="E42" i="22"/>
  <c r="E49" i="22" s="1"/>
  <c r="C38" i="22"/>
  <c r="C45" i="22" s="1"/>
  <c r="D45" i="22" s="1"/>
  <c r="E38" i="22"/>
  <c r="E45" i="22" l="1"/>
  <c r="A2" i="19"/>
  <c r="J12" i="13" l="1"/>
  <c r="C17" i="10" l="1"/>
  <c r="L12" i="15"/>
  <c r="B27" i="8"/>
  <c r="L12" i="16"/>
  <c r="B21" i="8" l="1"/>
  <c r="D42" i="16" l="1"/>
  <c r="D16" i="16"/>
  <c r="B56" i="16" l="1"/>
  <c r="B57" i="15"/>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24" i="15"/>
  <c r="C44" i="15" s="1"/>
  <c r="C23" i="15"/>
  <c r="H24" i="15"/>
  <c r="H44" i="15" s="1"/>
  <c r="H23" i="15" l="1"/>
  <c r="G24" i="15"/>
  <c r="G44" i="15" s="1"/>
  <c r="F24" i="15"/>
  <c r="F44" i="15" s="1"/>
  <c r="I24" i="15"/>
  <c r="I44" i="15" s="1"/>
  <c r="I23" i="15"/>
  <c r="E23" i="15"/>
  <c r="F23" i="15"/>
  <c r="E24" i="15"/>
  <c r="E44" i="15" s="1"/>
  <c r="G23" i="15"/>
  <c r="E52" i="24" l="1"/>
  <c r="D36" i="13"/>
  <c r="E49" i="16"/>
  <c r="E48" i="23"/>
  <c r="E51" i="22"/>
  <c r="E55" i="22" l="1"/>
  <c r="E54" i="22"/>
  <c r="E56" i="22"/>
  <c r="E57" i="22"/>
  <c r="E53" i="22"/>
  <c r="D39" i="13"/>
  <c r="D38" i="13"/>
  <c r="C56" i="16"/>
  <c r="D56" i="16" s="1"/>
  <c r="E61" i="22" l="1"/>
  <c r="E58" i="22" s="1"/>
  <c r="F48" i="22"/>
  <c r="F46" i="22"/>
  <c r="F47" i="22"/>
  <c r="E59" i="22"/>
  <c r="F45" i="22"/>
  <c r="E33" i="13"/>
  <c r="D41" i="13"/>
  <c r="D43" i="13"/>
  <c r="D40" i="13" s="1"/>
  <c r="F49" i="22"/>
  <c r="E34" i="13"/>
  <c r="C47" i="16" l="1"/>
  <c r="D47" i="16" s="1"/>
  <c r="C46" i="16"/>
  <c r="D46" i="16" s="1"/>
  <c r="F15" i="16"/>
  <c r="G15" i="16" s="1"/>
  <c r="H15" i="16" s="1"/>
  <c r="I15" i="16" s="1"/>
  <c r="J15" i="16" s="1"/>
  <c r="K15" i="16" s="1"/>
  <c r="L15" i="16" s="1"/>
  <c r="M15" i="16" s="1"/>
  <c r="I5" i="16"/>
  <c r="I4" i="16"/>
  <c r="C57" i="15"/>
  <c r="D57" i="15" s="1"/>
  <c r="M55" i="15"/>
  <c r="C48" i="15"/>
  <c r="C43" i="15"/>
  <c r="C47" i="15" s="1"/>
  <c r="D47" i="15" s="1"/>
  <c r="M24" i="15"/>
  <c r="M23" i="15"/>
  <c r="J43" i="15"/>
  <c r="I43" i="15"/>
  <c r="H43" i="15"/>
  <c r="G43" i="15"/>
  <c r="F43" i="15"/>
  <c r="E43" i="15"/>
  <c r="I5" i="15"/>
  <c r="I4" i="15"/>
  <c r="D48" i="15" l="1"/>
  <c r="E48" i="15"/>
  <c r="E53" i="15"/>
  <c r="E47" i="15"/>
  <c r="E52" i="15"/>
  <c r="I6" i="15"/>
  <c r="I6" i="16"/>
  <c r="E57" i="15" l="1"/>
  <c r="E54" i="15" s="1"/>
  <c r="F48" i="15"/>
  <c r="F47" i="15"/>
  <c r="E55" i="15"/>
  <c r="F13" i="5" l="1"/>
  <c r="E25" i="27" s="1"/>
  <c r="D10" i="10"/>
  <c r="D11" i="10" s="1"/>
  <c r="F14" i="5" l="1"/>
  <c r="E26" i="27" s="1"/>
  <c r="B17" i="10"/>
  <c r="F17" i="5"/>
  <c r="E29" i="27" s="1"/>
  <c r="F16" i="5"/>
  <c r="E28" i="27" s="1"/>
  <c r="F15" i="5"/>
  <c r="E27" i="27" s="1"/>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G4" i="16"/>
  <c r="G6" i="16" l="1"/>
  <c r="B14" i="12" l="1"/>
  <c r="B7" i="12" s="1"/>
  <c r="B8" i="12" s="1"/>
  <c r="C14" i="12" l="1"/>
  <c r="C7" i="12" s="1"/>
  <c r="C8" i="12" l="1"/>
  <c r="J42" i="22" l="1"/>
  <c r="J41" i="22" l="1"/>
  <c r="G4" i="22"/>
  <c r="J38" i="22"/>
  <c r="G8" i="22"/>
  <c r="G7" i="22" l="1"/>
  <c r="J40" i="22"/>
  <c r="J39" i="22" l="1"/>
  <c r="G5" i="22"/>
  <c r="G6" i="22"/>
  <c r="G9" i="22" l="1"/>
  <c r="B39" i="8" l="1"/>
  <c r="B15" i="8"/>
  <c r="B33" i="8"/>
  <c r="B9" i="8"/>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K20" i="16"/>
  <c r="J20" i="13"/>
  <c r="F5" i="15"/>
  <c r="K36" i="15"/>
  <c r="K24" i="22"/>
  <c r="K21" i="23"/>
  <c r="K18" i="24"/>
  <c r="K21" i="16"/>
  <c r="K25" i="22"/>
  <c r="K22" i="23"/>
  <c r="K19" i="24"/>
  <c r="K37" i="15"/>
  <c r="K22" i="16"/>
  <c r="K26" i="22"/>
  <c r="K23" i="23"/>
  <c r="K20" i="24"/>
  <c r="K23" i="16"/>
  <c r="K38" i="15"/>
  <c r="M44" i="15" l="1"/>
  <c r="E5" i="15"/>
  <c r="H5" i="15" s="1"/>
  <c r="K44" i="15"/>
  <c r="K32" i="22"/>
  <c r="F7" i="22"/>
  <c r="E5" i="24"/>
  <c r="K33" i="22"/>
  <c r="F8" i="22"/>
  <c r="K30" i="22"/>
  <c r="F5" i="22"/>
  <c r="M43" i="16"/>
  <c r="J30" i="13"/>
  <c r="D5" i="13"/>
  <c r="F5" i="13" s="1"/>
  <c r="L43" i="16"/>
  <c r="E5" i="16"/>
  <c r="H5" i="16" s="1"/>
  <c r="K43" i="16"/>
  <c r="E7" i="24"/>
  <c r="K31" i="22"/>
  <c r="F6" i="22"/>
  <c r="E5" i="23"/>
  <c r="E6" i="24"/>
  <c r="E8" i="24"/>
  <c r="L44" i="15"/>
  <c r="E5" i="22" l="1"/>
  <c r="H5" i="22" s="1"/>
  <c r="K39" i="22"/>
  <c r="E7" i="22"/>
  <c r="H7" i="22" s="1"/>
  <c r="K41" i="22"/>
  <c r="E8" i="22"/>
  <c r="H8" i="22" s="1"/>
  <c r="K42" i="22"/>
  <c r="E6" i="22"/>
  <c r="H6" i="22" s="1"/>
  <c r="K40" i="22"/>
  <c r="G7" i="5" l="1"/>
  <c r="G5" i="5"/>
  <c r="F17" i="27" s="1"/>
  <c r="G8" i="5"/>
  <c r="F20" i="27" l="1"/>
  <c r="Z17" i="5"/>
  <c r="Z16" i="5"/>
  <c r="F19" i="27"/>
  <c r="Z14" i="5"/>
  <c r="G4" i="5"/>
  <c r="AA26" i="5"/>
  <c r="AA17" i="5"/>
  <c r="V17" i="5"/>
  <c r="T17" i="5"/>
  <c r="K22" i="22"/>
  <c r="K19" i="23"/>
  <c r="K19" i="16"/>
  <c r="K16" i="24"/>
  <c r="J19" i="13"/>
  <c r="K34" i="15"/>
  <c r="F4" i="15"/>
  <c r="F6" i="15" s="1"/>
  <c r="AA14" i="5"/>
  <c r="AA23" i="5"/>
  <c r="V14" i="5"/>
  <c r="T14" i="5"/>
  <c r="AA16" i="5"/>
  <c r="AA25" i="5"/>
  <c r="V16" i="5"/>
  <c r="T16" i="5"/>
  <c r="G6" i="5"/>
  <c r="Z15" i="5" s="1"/>
  <c r="M22" i="22"/>
  <c r="M29" i="22" s="1"/>
  <c r="M38" i="22" s="1"/>
  <c r="M16" i="24"/>
  <c r="M19" i="23"/>
  <c r="M19" i="16"/>
  <c r="L19" i="13"/>
  <c r="M34" i="15"/>
  <c r="M43" i="15" s="1"/>
  <c r="L22" i="22"/>
  <c r="L29" i="22" s="1"/>
  <c r="K19" i="13"/>
  <c r="L16" i="24"/>
  <c r="L19" i="23"/>
  <c r="L19" i="16"/>
  <c r="L34" i="15"/>
  <c r="F16" i="27" l="1"/>
  <c r="Z13" i="5"/>
  <c r="F18" i="27"/>
  <c r="E18" i="20"/>
  <c r="E4" i="24"/>
  <c r="E4" i="16"/>
  <c r="K42" i="16"/>
  <c r="M42" i="16"/>
  <c r="B10" i="18"/>
  <c r="E4" i="23"/>
  <c r="AA15" i="5"/>
  <c r="AA24" i="5"/>
  <c r="V15" i="5"/>
  <c r="T15" i="5"/>
  <c r="L38" i="22"/>
  <c r="M35" i="23"/>
  <c r="M39" i="24"/>
  <c r="AA22" i="5"/>
  <c r="AA13" i="5"/>
  <c r="V13" i="5"/>
  <c r="T13" i="5"/>
  <c r="E15" i="20"/>
  <c r="K29" i="22"/>
  <c r="F4" i="22"/>
  <c r="F9" i="22" s="1"/>
  <c r="K29" i="13"/>
  <c r="E4" i="15"/>
  <c r="K43" i="15"/>
  <c r="L43" i="15"/>
  <c r="L42" i="16"/>
  <c r="L29" i="13"/>
  <c r="E17" i="20"/>
  <c r="J29" i="13"/>
  <c r="D4" i="13"/>
  <c r="E14" i="20" l="1"/>
  <c r="E16" i="20"/>
  <c r="E6" i="16"/>
  <c r="H4" i="16"/>
  <c r="E9" i="24"/>
  <c r="E6" i="15"/>
  <c r="H4" i="15"/>
  <c r="H6" i="15" s="1"/>
  <c r="D6" i="13"/>
  <c r="F4" i="13"/>
  <c r="E6" i="23"/>
  <c r="E4" i="22"/>
  <c r="K38" i="22"/>
  <c r="H6" i="16" l="1"/>
  <c r="E9" i="22"/>
  <c r="H4" i="22"/>
  <c r="F6" i="13"/>
  <c r="H9" i="22" l="1"/>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J26" i="23" s="1"/>
  <c r="K26" i="23" l="1"/>
  <c r="L26" i="23"/>
  <c r="L35" i="23" s="1"/>
  <c r="H26" i="23"/>
  <c r="I26" i="23"/>
  <c r="G26" i="23"/>
  <c r="G35" i="23" s="1"/>
  <c r="E26" i="23"/>
  <c r="E35" i="23" s="1"/>
  <c r="F26" i="23"/>
  <c r="F35" i="23" s="1"/>
  <c r="G43" i="8"/>
  <c r="E13" i="5" l="1"/>
  <c r="D25" i="27" s="1"/>
  <c r="E50" i="23"/>
  <c r="E42" i="23"/>
  <c r="I35" i="23"/>
  <c r="H35" i="23"/>
  <c r="F4" i="23"/>
  <c r="G4" i="23" s="1"/>
  <c r="K35" i="23"/>
  <c r="J35" i="23"/>
  <c r="U13" i="5" l="1"/>
  <c r="F42" i="23"/>
  <c r="F12" i="8" l="1"/>
  <c r="F36" i="8"/>
  <c r="K28" i="23" l="1"/>
  <c r="L28" i="23"/>
  <c r="G36" i="8"/>
  <c r="U15" i="5" s="1"/>
  <c r="J28" i="23"/>
  <c r="I28" i="23"/>
  <c r="E28" i="23"/>
  <c r="E37" i="23" s="1"/>
  <c r="H28" i="23"/>
  <c r="H37" i="23" s="1"/>
  <c r="G28" i="23"/>
  <c r="G37" i="23" s="1"/>
  <c r="F28" i="23"/>
  <c r="F37" i="23" s="1"/>
  <c r="F14" i="8"/>
  <c r="F38" i="8"/>
  <c r="L30" i="23" l="1"/>
  <c r="K30" i="23"/>
  <c r="G38" i="8"/>
  <c r="U17" i="5" s="1"/>
  <c r="I30" i="23"/>
  <c r="J30" i="23"/>
  <c r="E30" i="23"/>
  <c r="E39" i="23" s="1"/>
  <c r="G30" i="23"/>
  <c r="G39" i="23" s="1"/>
  <c r="F30" i="23"/>
  <c r="F39" i="23" s="1"/>
  <c r="H30" i="23"/>
  <c r="H39" i="23" s="1"/>
  <c r="E15" i="5"/>
  <c r="D27" i="27" s="1"/>
  <c r="I37" i="23"/>
  <c r="L37" i="23"/>
  <c r="J37" i="23"/>
  <c r="E52" i="23"/>
  <c r="E44" i="23"/>
  <c r="E17" i="5" l="1"/>
  <c r="D29" i="27" s="1"/>
  <c r="I39" i="23"/>
  <c r="K37" i="23"/>
  <c r="E46" i="23"/>
  <c r="E54" i="23"/>
  <c r="L39" i="23"/>
  <c r="F44" i="23"/>
  <c r="J39" i="23"/>
  <c r="K39" i="23" l="1"/>
  <c r="F46" i="23"/>
  <c r="F13" i="8"/>
  <c r="F37" i="8"/>
  <c r="L29" i="23" l="1"/>
  <c r="K29" i="23"/>
  <c r="G37" i="8"/>
  <c r="I29" i="23"/>
  <c r="J29" i="23"/>
  <c r="G29" i="23"/>
  <c r="G38" i="23" s="1"/>
  <c r="F29" i="23"/>
  <c r="F38" i="23" s="1"/>
  <c r="H29" i="23"/>
  <c r="H38" i="23" s="1"/>
  <c r="E29" i="23"/>
  <c r="E38" i="23" s="1"/>
  <c r="E32" i="8"/>
  <c r="E8" i="8" s="1"/>
  <c r="E15" i="8"/>
  <c r="E39" i="8"/>
  <c r="E16" i="5" l="1"/>
  <c r="D28" i="27" s="1"/>
  <c r="L38" i="23"/>
  <c r="I38" i="23"/>
  <c r="J38" i="23"/>
  <c r="E53" i="23"/>
  <c r="E45" i="23"/>
  <c r="E45" i="8"/>
  <c r="K38" i="23"/>
  <c r="E9" i="8"/>
  <c r="E33" i="8"/>
  <c r="U16" i="5" l="1"/>
  <c r="F45" i="23"/>
  <c r="D45" i="8" l="1"/>
  <c r="C45" i="8" l="1"/>
  <c r="F44" i="8"/>
  <c r="D32" i="8" l="1"/>
  <c r="D15" i="8"/>
  <c r="C32" i="8"/>
  <c r="C8" i="8" s="1"/>
  <c r="G44" i="8"/>
  <c r="F45" i="8"/>
  <c r="D39" i="8"/>
  <c r="C39" i="8"/>
  <c r="F35" i="8"/>
  <c r="K27" i="23" l="1"/>
  <c r="L27" i="23"/>
  <c r="G35" i="8"/>
  <c r="U14" i="5" s="1"/>
  <c r="I27" i="23"/>
  <c r="J27" i="23"/>
  <c r="F27" i="23"/>
  <c r="G27" i="23"/>
  <c r="H27" i="23"/>
  <c r="E27" i="23"/>
  <c r="D8" i="8"/>
  <c r="D9" i="8" s="1"/>
  <c r="C33" i="8"/>
  <c r="F32" i="8"/>
  <c r="D33" i="8"/>
  <c r="G45" i="8"/>
  <c r="C9" i="8"/>
  <c r="C15" i="8"/>
  <c r="F11" i="8"/>
  <c r="F15" i="8" s="1"/>
  <c r="F39" i="8"/>
  <c r="G32" i="8" l="1"/>
  <c r="G9" i="8" s="1"/>
  <c r="F8" i="8"/>
  <c r="F9" i="8" s="1"/>
  <c r="E14" i="5"/>
  <c r="D26" i="27" s="1"/>
  <c r="F33" i="8"/>
  <c r="G36" i="23"/>
  <c r="G16" i="23"/>
  <c r="E36" i="23"/>
  <c r="E16" i="23"/>
  <c r="F36" i="23"/>
  <c r="F16" i="23"/>
  <c r="G39" i="8"/>
  <c r="G33" i="8" l="1"/>
  <c r="E43" i="23"/>
  <c r="E51" i="23"/>
  <c r="L16" i="23"/>
  <c r="L36" i="23"/>
  <c r="G15" i="8"/>
  <c r="H36" i="23"/>
  <c r="F5" i="23"/>
  <c r="H16" i="23"/>
  <c r="K36" i="23"/>
  <c r="K16" i="23"/>
  <c r="J36" i="23"/>
  <c r="J16" i="23"/>
  <c r="I36" i="23"/>
  <c r="I16" i="23"/>
  <c r="F43" i="23" l="1"/>
  <c r="E58" i="23"/>
  <c r="E55" i="23" s="1"/>
  <c r="E56" i="23"/>
  <c r="F6" i="23"/>
  <c r="G5" i="23"/>
  <c r="G6" i="23" s="1"/>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I45" i="29" l="1"/>
  <c r="I51" i="29" l="1"/>
  <c r="I49" i="29"/>
  <c r="I48" i="29"/>
  <c r="I50" i="29"/>
  <c r="I47" i="29"/>
  <c r="I51" i="22"/>
  <c r="I52" i="24"/>
  <c r="H36" i="13"/>
  <c r="I49" i="16"/>
  <c r="I48" i="23"/>
  <c r="J45" i="29"/>
  <c r="I55" i="29" l="1"/>
  <c r="I53" i="29"/>
  <c r="J47" i="29"/>
  <c r="J39" i="29"/>
  <c r="J50" i="29"/>
  <c r="J42" i="29"/>
  <c r="J40" i="29"/>
  <c r="J48" i="29"/>
  <c r="J49" i="29"/>
  <c r="J41" i="29"/>
  <c r="J51" i="29"/>
  <c r="J43" i="29"/>
  <c r="K50" i="15"/>
  <c r="K45" i="29" s="1"/>
  <c r="J48" i="23"/>
  <c r="I36" i="13"/>
  <c r="J51" i="22"/>
  <c r="J49" i="16"/>
  <c r="J52" i="24"/>
  <c r="F52" i="24"/>
  <c r="E36" i="13"/>
  <c r="F49" i="16"/>
  <c r="F48" i="23"/>
  <c r="F52" i="23" s="1"/>
  <c r="F51" i="22"/>
  <c r="F53" i="15"/>
  <c r="F52" i="15"/>
  <c r="H52" i="24"/>
  <c r="H48" i="23"/>
  <c r="H49" i="16"/>
  <c r="H51" i="22"/>
  <c r="G36" i="13"/>
  <c r="F36" i="13"/>
  <c r="G48" i="23"/>
  <c r="G49" i="16"/>
  <c r="G51" i="22"/>
  <c r="G52" i="24"/>
  <c r="J53" i="29" l="1"/>
  <c r="K42" i="29"/>
  <c r="K50" i="29"/>
  <c r="K39" i="29"/>
  <c r="K47" i="29"/>
  <c r="K49" i="29"/>
  <c r="K41" i="29"/>
  <c r="K43" i="29"/>
  <c r="K51" i="29"/>
  <c r="K40" i="29"/>
  <c r="K48" i="29"/>
  <c r="I52" i="29"/>
  <c r="J55" i="29"/>
  <c r="F58" i="24"/>
  <c r="F54" i="24"/>
  <c r="F57" i="24"/>
  <c r="F56" i="24"/>
  <c r="F55" i="24"/>
  <c r="E39" i="13"/>
  <c r="E38" i="13"/>
  <c r="G48" i="15"/>
  <c r="G53" i="15"/>
  <c r="G52" i="15"/>
  <c r="G47" i="15"/>
  <c r="H47" i="15" s="1"/>
  <c r="F55" i="15"/>
  <c r="F57" i="15"/>
  <c r="F54" i="15" s="1"/>
  <c r="F57" i="22"/>
  <c r="F56" i="22"/>
  <c r="F53" i="22"/>
  <c r="F54" i="22"/>
  <c r="F55" i="22"/>
  <c r="F50" i="23"/>
  <c r="F54" i="23"/>
  <c r="F53" i="23"/>
  <c r="F51" i="23"/>
  <c r="F51" i="16"/>
  <c r="F52" i="16"/>
  <c r="L50" i="15"/>
  <c r="L45" i="29" s="1"/>
  <c r="K48" i="23"/>
  <c r="J36" i="13"/>
  <c r="K52" i="24"/>
  <c r="K49" i="16"/>
  <c r="K51" i="22"/>
  <c r="L49" i="29" l="1"/>
  <c r="I6" i="29" s="1"/>
  <c r="J6" i="29" s="1"/>
  <c r="Z24" i="5" s="1"/>
  <c r="L41" i="29"/>
  <c r="K53" i="29"/>
  <c r="J52" i="29"/>
  <c r="K55" i="29"/>
  <c r="L47" i="29"/>
  <c r="L39" i="29"/>
  <c r="L48" i="29"/>
  <c r="I5" i="29" s="1"/>
  <c r="J5" i="29" s="1"/>
  <c r="Z23" i="5" s="1"/>
  <c r="L40" i="29"/>
  <c r="L43" i="29"/>
  <c r="L51" i="29"/>
  <c r="I8" i="29" s="1"/>
  <c r="J8" i="29" s="1"/>
  <c r="Z26" i="5" s="1"/>
  <c r="L42" i="29"/>
  <c r="L50" i="29"/>
  <c r="I7" i="29" s="1"/>
  <c r="J7" i="29" s="1"/>
  <c r="Z25" i="5" s="1"/>
  <c r="E41" i="13"/>
  <c r="E43" i="13"/>
  <c r="E40" i="13" s="1"/>
  <c r="F33" i="13"/>
  <c r="G38" i="13" s="1"/>
  <c r="F38" i="13"/>
  <c r="G57" i="22"/>
  <c r="G49" i="22"/>
  <c r="F34" i="13"/>
  <c r="F39" i="13"/>
  <c r="H48" i="15"/>
  <c r="H53" i="15"/>
  <c r="F60" i="24"/>
  <c r="G47" i="24"/>
  <c r="G55" i="24"/>
  <c r="G53" i="23"/>
  <c r="G45" i="23"/>
  <c r="G52" i="23"/>
  <c r="G44" i="23"/>
  <c r="G55" i="22"/>
  <c r="G47" i="22"/>
  <c r="H52" i="15"/>
  <c r="G56" i="24"/>
  <c r="G48" i="24"/>
  <c r="G46" i="23"/>
  <c r="G54" i="23"/>
  <c r="G46" i="22"/>
  <c r="G54" i="22"/>
  <c r="G57" i="15"/>
  <c r="G54" i="15" s="1"/>
  <c r="G55" i="15"/>
  <c r="G57" i="24"/>
  <c r="G49" i="24"/>
  <c r="G42" i="23"/>
  <c r="G50" i="23"/>
  <c r="F56" i="23"/>
  <c r="F58" i="23"/>
  <c r="F55" i="23" s="1"/>
  <c r="G52" i="16"/>
  <c r="G47" i="16"/>
  <c r="G46" i="16"/>
  <c r="G51" i="16"/>
  <c r="F54" i="16"/>
  <c r="F56" i="16"/>
  <c r="F53" i="16" s="1"/>
  <c r="G45" i="22"/>
  <c r="F59" i="22"/>
  <c r="F61" i="22"/>
  <c r="F58" i="22" s="1"/>
  <c r="G53" i="22"/>
  <c r="G54" i="24"/>
  <c r="G46" i="24"/>
  <c r="F62" i="24"/>
  <c r="F59" i="24" s="1"/>
  <c r="L48" i="23"/>
  <c r="K36" i="13"/>
  <c r="L49" i="16"/>
  <c r="L51" i="22"/>
  <c r="L52" i="24"/>
  <c r="G43" i="23"/>
  <c r="G51" i="23"/>
  <c r="G48" i="22"/>
  <c r="G56" i="22"/>
  <c r="G58" i="24"/>
  <c r="G50" i="24"/>
  <c r="G39" i="13" l="1"/>
  <c r="G41" i="13"/>
  <c r="D15" i="20"/>
  <c r="D17" i="20"/>
  <c r="D18" i="20"/>
  <c r="D16" i="20"/>
  <c r="L53" i="29"/>
  <c r="I4" i="29"/>
  <c r="M39" i="29"/>
  <c r="M47" i="29"/>
  <c r="M50" i="29"/>
  <c r="M42" i="29"/>
  <c r="K7" i="29" s="1"/>
  <c r="K52" i="29"/>
  <c r="L55" i="29"/>
  <c r="M51" i="29"/>
  <c r="M43" i="29"/>
  <c r="K8" i="29" s="1"/>
  <c r="M48" i="29"/>
  <c r="M40" i="29"/>
  <c r="M41" i="29"/>
  <c r="K6" i="29" s="1"/>
  <c r="M49" i="29"/>
  <c r="K5" i="29"/>
  <c r="G34" i="13"/>
  <c r="G60" i="24"/>
  <c r="G56" i="23"/>
  <c r="G58" i="23"/>
  <c r="G55" i="23" s="1"/>
  <c r="H46" i="22"/>
  <c r="H54" i="22"/>
  <c r="H55" i="24"/>
  <c r="H47" i="24"/>
  <c r="H49" i="22"/>
  <c r="H57" i="22"/>
  <c r="H46" i="24"/>
  <c r="H54" i="24"/>
  <c r="H42" i="23"/>
  <c r="H50" i="23"/>
  <c r="H55" i="22"/>
  <c r="H47" i="22"/>
  <c r="H45" i="22"/>
  <c r="H53" i="22"/>
  <c r="G54" i="16"/>
  <c r="G56" i="16"/>
  <c r="G53" i="16" s="1"/>
  <c r="F43" i="13"/>
  <c r="F41" i="13"/>
  <c r="H58" i="24"/>
  <c r="H50" i="24"/>
  <c r="H51" i="16"/>
  <c r="H46" i="16"/>
  <c r="H49" i="24"/>
  <c r="H57" i="24"/>
  <c r="H52" i="23"/>
  <c r="H44" i="23"/>
  <c r="I48" i="15"/>
  <c r="I53" i="15"/>
  <c r="G33" i="13"/>
  <c r="H38" i="13" s="1"/>
  <c r="H57" i="15"/>
  <c r="H54" i="15" s="1"/>
  <c r="H55" i="15"/>
  <c r="I47" i="15"/>
  <c r="I52" i="15"/>
  <c r="H43" i="23"/>
  <c r="H51" i="23"/>
  <c r="H46" i="23"/>
  <c r="H54" i="23"/>
  <c r="G61" i="22"/>
  <c r="G58" i="22" s="1"/>
  <c r="G59" i="22"/>
  <c r="H47" i="16"/>
  <c r="H52" i="16"/>
  <c r="H48" i="24"/>
  <c r="H56" i="24"/>
  <c r="H56" i="22"/>
  <c r="H48" i="22"/>
  <c r="G62" i="24"/>
  <c r="G59" i="24" s="1"/>
  <c r="H45" i="23"/>
  <c r="H53" i="23"/>
  <c r="H39" i="13" l="1"/>
  <c r="J4" i="29"/>
  <c r="I9" i="29"/>
  <c r="M53" i="29"/>
  <c r="M55" i="29"/>
  <c r="M52" i="29" s="1"/>
  <c r="L52" i="29"/>
  <c r="H34" i="13"/>
  <c r="I54" i="22"/>
  <c r="I46" i="22"/>
  <c r="H58" i="23"/>
  <c r="H55" i="23" s="1"/>
  <c r="H56" i="23"/>
  <c r="F40" i="13"/>
  <c r="G43" i="13"/>
  <c r="G40" i="13" s="1"/>
  <c r="I49" i="24"/>
  <c r="I57" i="24"/>
  <c r="I56" i="22"/>
  <c r="I48" i="22"/>
  <c r="I51" i="16"/>
  <c r="I46" i="16"/>
  <c r="I46" i="24"/>
  <c r="I54" i="24"/>
  <c r="I53" i="23"/>
  <c r="I45" i="23"/>
  <c r="I47" i="16"/>
  <c r="I52" i="16"/>
  <c r="H56" i="16"/>
  <c r="H53" i="16" s="1"/>
  <c r="I45" i="22"/>
  <c r="I53" i="22"/>
  <c r="I57" i="22"/>
  <c r="I49" i="22"/>
  <c r="I42" i="23"/>
  <c r="I50" i="23"/>
  <c r="H62" i="24"/>
  <c r="H59" i="24" s="1"/>
  <c r="H33" i="13"/>
  <c r="I38" i="13" s="1"/>
  <c r="I58" i="24"/>
  <c r="I50" i="24"/>
  <c r="I51" i="23"/>
  <c r="I43" i="23"/>
  <c r="I47" i="22"/>
  <c r="I55" i="22"/>
  <c r="I47" i="24"/>
  <c r="I55" i="24"/>
  <c r="J47" i="15"/>
  <c r="J52" i="15"/>
  <c r="I46" i="23"/>
  <c r="I54" i="23"/>
  <c r="H61" i="22"/>
  <c r="H58" i="22" s="1"/>
  <c r="H59" i="22"/>
  <c r="I56" i="24"/>
  <c r="I48" i="24"/>
  <c r="J53" i="15"/>
  <c r="J48" i="15"/>
  <c r="H54" i="16"/>
  <c r="I57" i="15"/>
  <c r="I54" i="15" s="1"/>
  <c r="I55" i="15"/>
  <c r="I52" i="23"/>
  <c r="I44" i="23"/>
  <c r="H60" i="24"/>
  <c r="I34" i="13" l="1"/>
  <c r="I39" i="13"/>
  <c r="J9" i="29"/>
  <c r="Z22" i="5"/>
  <c r="K4" i="29"/>
  <c r="I56" i="23"/>
  <c r="I58" i="23"/>
  <c r="I55" i="23" s="1"/>
  <c r="J57" i="24"/>
  <c r="J49" i="24"/>
  <c r="J53" i="22"/>
  <c r="J45" i="22"/>
  <c r="J54" i="23"/>
  <c r="J46" i="23"/>
  <c r="I62" i="24"/>
  <c r="I59" i="24" s="1"/>
  <c r="I60" i="24"/>
  <c r="J53" i="23"/>
  <c r="J45" i="23"/>
  <c r="J58" i="24"/>
  <c r="J50" i="24"/>
  <c r="J57" i="15"/>
  <c r="J54" i="15" s="1"/>
  <c r="J55" i="15"/>
  <c r="J56" i="24"/>
  <c r="J48" i="24"/>
  <c r="J52" i="16"/>
  <c r="J47" i="16"/>
  <c r="J46" i="16"/>
  <c r="J51" i="16"/>
  <c r="K48" i="15"/>
  <c r="K53" i="15"/>
  <c r="J44" i="23"/>
  <c r="J52" i="23"/>
  <c r="J47" i="24"/>
  <c r="J55" i="24"/>
  <c r="J57" i="22"/>
  <c r="J49" i="22"/>
  <c r="I54" i="16"/>
  <c r="I56" i="16"/>
  <c r="I53" i="16" s="1"/>
  <c r="I33" i="13"/>
  <c r="J38" i="13" s="1"/>
  <c r="J34" i="13"/>
  <c r="J56" i="22"/>
  <c r="J48" i="22"/>
  <c r="J46" i="22"/>
  <c r="J54" i="22"/>
  <c r="J43" i="23"/>
  <c r="J51" i="23"/>
  <c r="J50" i="23"/>
  <c r="J42" i="23"/>
  <c r="K47" i="15"/>
  <c r="K52" i="15"/>
  <c r="J46" i="24"/>
  <c r="J54" i="24"/>
  <c r="H41" i="13"/>
  <c r="H43" i="13"/>
  <c r="H40" i="13" s="1"/>
  <c r="J47" i="22"/>
  <c r="J55" i="22"/>
  <c r="I59" i="22"/>
  <c r="I61" i="22"/>
  <c r="I58" i="22" s="1"/>
  <c r="J39" i="13" l="1"/>
  <c r="K39" i="13" s="1"/>
  <c r="H5" i="13" s="1"/>
  <c r="I5" i="13" s="1"/>
  <c r="D14" i="20"/>
  <c r="J62" i="24"/>
  <c r="J59" i="24" s="1"/>
  <c r="K53" i="23"/>
  <c r="K45" i="23"/>
  <c r="K55" i="15"/>
  <c r="K57" i="15"/>
  <c r="K54" i="15" s="1"/>
  <c r="K44" i="23"/>
  <c r="K52" i="23"/>
  <c r="K46" i="22"/>
  <c r="K54" i="22"/>
  <c r="L52" i="15"/>
  <c r="J4" i="15" s="1"/>
  <c r="L47" i="15"/>
  <c r="K48" i="22"/>
  <c r="K56" i="22"/>
  <c r="L53" i="15"/>
  <c r="L48" i="15"/>
  <c r="K49" i="22"/>
  <c r="K57" i="22"/>
  <c r="J56" i="16"/>
  <c r="J53" i="16" s="1"/>
  <c r="J54" i="16"/>
  <c r="K54" i="23"/>
  <c r="K46" i="23"/>
  <c r="K55" i="22"/>
  <c r="K47" i="22"/>
  <c r="K42" i="23"/>
  <c r="K50" i="23"/>
  <c r="J56" i="23"/>
  <c r="J58" i="23"/>
  <c r="J55" i="23" s="1"/>
  <c r="K34" i="13"/>
  <c r="K46" i="16"/>
  <c r="K51" i="16"/>
  <c r="I43" i="13"/>
  <c r="I40" i="13" s="1"/>
  <c r="I41" i="13"/>
  <c r="J60" i="24"/>
  <c r="K47" i="16"/>
  <c r="K52" i="16"/>
  <c r="K45" i="22"/>
  <c r="K53" i="22"/>
  <c r="K43" i="23"/>
  <c r="K51" i="23"/>
  <c r="J33" i="13"/>
  <c r="K38" i="13" s="1"/>
  <c r="J61" i="22"/>
  <c r="J58" i="22" s="1"/>
  <c r="J59" i="22"/>
  <c r="M48" i="15" l="1"/>
  <c r="I10" i="13"/>
  <c r="I11" i="13"/>
  <c r="I8" i="13"/>
  <c r="I9" i="13"/>
  <c r="L47" i="16"/>
  <c r="L52" i="16"/>
  <c r="J5" i="16" s="1"/>
  <c r="K5" i="16" s="1"/>
  <c r="K58" i="23"/>
  <c r="K55" i="23" s="1"/>
  <c r="K56" i="23"/>
  <c r="L56" i="22"/>
  <c r="J7" i="22" s="1"/>
  <c r="K7" i="22" s="1"/>
  <c r="X25" i="5" s="1"/>
  <c r="L48" i="22"/>
  <c r="L42" i="23"/>
  <c r="L50" i="23"/>
  <c r="M47" i="15"/>
  <c r="L52" i="23"/>
  <c r="L44" i="23"/>
  <c r="K4" i="15"/>
  <c r="L55" i="15"/>
  <c r="L57" i="15"/>
  <c r="M57" i="15" s="1"/>
  <c r="K33" i="13"/>
  <c r="J41" i="13"/>
  <c r="J43" i="13"/>
  <c r="J40" i="13" s="1"/>
  <c r="K54" i="16"/>
  <c r="K56" i="16"/>
  <c r="K53" i="16" s="1"/>
  <c r="L57" i="22"/>
  <c r="L49" i="22"/>
  <c r="L46" i="23"/>
  <c r="L54" i="23"/>
  <c r="L45" i="23"/>
  <c r="L53" i="23"/>
  <c r="K59" i="22"/>
  <c r="K61" i="22"/>
  <c r="K58" i="22" s="1"/>
  <c r="L53" i="22"/>
  <c r="L45" i="22"/>
  <c r="L47" i="22"/>
  <c r="L55" i="22"/>
  <c r="L43" i="23"/>
  <c r="L51" i="23"/>
  <c r="L46" i="16"/>
  <c r="L51" i="16"/>
  <c r="L34" i="13"/>
  <c r="J5" i="13" s="1"/>
  <c r="L39" i="13"/>
  <c r="J5" i="15"/>
  <c r="K5" i="15" s="1"/>
  <c r="L46" i="22"/>
  <c r="L54" i="22"/>
  <c r="J5" i="22" s="1"/>
  <c r="K5" i="22" s="1"/>
  <c r="L54" i="15" l="1"/>
  <c r="M48" i="22"/>
  <c r="L7" i="22" s="1"/>
  <c r="J6" i="15"/>
  <c r="I5" i="23"/>
  <c r="J5" i="23" s="1"/>
  <c r="J10" i="23" s="1"/>
  <c r="E25" i="5" s="1"/>
  <c r="M54" i="15"/>
  <c r="F24" i="5"/>
  <c r="E36" i="27" s="1"/>
  <c r="E18" i="27" s="1"/>
  <c r="V24" i="5"/>
  <c r="E7" i="20" s="1"/>
  <c r="E25" i="20" s="1"/>
  <c r="L59" i="22"/>
  <c r="L61" i="22"/>
  <c r="M61" i="22" s="1"/>
  <c r="J4" i="22"/>
  <c r="J4" i="16"/>
  <c r="L56" i="16"/>
  <c r="L53" i="16" s="1"/>
  <c r="L54" i="16"/>
  <c r="M46" i="22"/>
  <c r="L5" i="22" s="1"/>
  <c r="M54" i="23"/>
  <c r="M46" i="23"/>
  <c r="M51" i="23"/>
  <c r="M43" i="23"/>
  <c r="I4" i="23"/>
  <c r="L56" i="23"/>
  <c r="L58" i="23"/>
  <c r="L55" i="23" s="1"/>
  <c r="F23" i="5"/>
  <c r="E35" i="27" s="1"/>
  <c r="E17" i="27" s="1"/>
  <c r="V23" i="5"/>
  <c r="E6" i="20" s="1"/>
  <c r="E24" i="20" s="1"/>
  <c r="I12" i="13"/>
  <c r="J6" i="22"/>
  <c r="K6" i="22" s="1"/>
  <c r="H4" i="13"/>
  <c r="K41" i="13"/>
  <c r="K43" i="13"/>
  <c r="K40" i="13" s="1"/>
  <c r="M50" i="23"/>
  <c r="M42" i="23"/>
  <c r="K10" i="16"/>
  <c r="T25" i="5" s="1"/>
  <c r="K8" i="16"/>
  <c r="K11" i="16"/>
  <c r="T26" i="5" s="1"/>
  <c r="K9" i="16"/>
  <c r="T24" i="5" s="1"/>
  <c r="F26" i="5"/>
  <c r="E38" i="27" s="1"/>
  <c r="E20" i="27" s="1"/>
  <c r="V26" i="5"/>
  <c r="E9" i="20" s="1"/>
  <c r="E27" i="20" s="1"/>
  <c r="X23" i="5"/>
  <c r="M44" i="23"/>
  <c r="M52" i="23"/>
  <c r="M47" i="22"/>
  <c r="M49" i="22"/>
  <c r="L38" i="13"/>
  <c r="L33" i="13"/>
  <c r="M52" i="16"/>
  <c r="M47" i="16"/>
  <c r="L5" i="16" s="1"/>
  <c r="M53" i="23"/>
  <c r="M45" i="23"/>
  <c r="M51" i="16"/>
  <c r="M46" i="16"/>
  <c r="K8" i="15"/>
  <c r="S23" i="5" s="1"/>
  <c r="K10" i="15"/>
  <c r="K11" i="15"/>
  <c r="S26" i="5" s="1"/>
  <c r="K9" i="15"/>
  <c r="S24" i="5" s="1"/>
  <c r="L5" i="15"/>
  <c r="M45" i="22"/>
  <c r="J8" i="22"/>
  <c r="K8" i="22" s="1"/>
  <c r="S22" i="5"/>
  <c r="K6" i="15"/>
  <c r="L4" i="15"/>
  <c r="F25" i="5"/>
  <c r="E37" i="27" s="1"/>
  <c r="E19" i="27" s="1"/>
  <c r="V25" i="5"/>
  <c r="E8" i="20" s="1"/>
  <c r="E26" i="20" s="1"/>
  <c r="T23" i="5" l="1"/>
  <c r="L7" i="5"/>
  <c r="D37" i="27"/>
  <c r="J9" i="23"/>
  <c r="E24" i="5" s="1"/>
  <c r="J8" i="23"/>
  <c r="J11" i="23"/>
  <c r="E26" i="5" s="1"/>
  <c r="D38" i="27" s="1"/>
  <c r="K5" i="23"/>
  <c r="J4" i="23"/>
  <c r="I6" i="23"/>
  <c r="U25" i="5"/>
  <c r="B9" i="20"/>
  <c r="C25" i="5"/>
  <c r="B37" i="27" s="1"/>
  <c r="S25" i="5"/>
  <c r="C7" i="20"/>
  <c r="M58" i="22"/>
  <c r="C9" i="20"/>
  <c r="H6" i="13"/>
  <c r="I4" i="13"/>
  <c r="K12" i="16"/>
  <c r="M6" i="5"/>
  <c r="E31" i="20" s="1"/>
  <c r="F6" i="5"/>
  <c r="B7" i="20"/>
  <c r="B5" i="20"/>
  <c r="M54" i="16"/>
  <c r="M56" i="16"/>
  <c r="M53" i="16" s="1"/>
  <c r="C8" i="20"/>
  <c r="F5" i="5"/>
  <c r="M5" i="5"/>
  <c r="E30" i="20" s="1"/>
  <c r="J6" i="16"/>
  <c r="K4" i="16"/>
  <c r="F8" i="5"/>
  <c r="M8" i="5"/>
  <c r="E33" i="20" s="1"/>
  <c r="K12" i="15"/>
  <c r="C24" i="5"/>
  <c r="B36" i="27" s="1"/>
  <c r="L6" i="22"/>
  <c r="X24" i="5"/>
  <c r="K4" i="22"/>
  <c r="J9" i="22"/>
  <c r="L41" i="13"/>
  <c r="L43" i="13"/>
  <c r="L40" i="13" s="1"/>
  <c r="M7" i="5"/>
  <c r="E32" i="20" s="1"/>
  <c r="F7" i="5"/>
  <c r="C26" i="5"/>
  <c r="B38" i="27" s="1"/>
  <c r="L8" i="22"/>
  <c r="X26" i="5"/>
  <c r="C23" i="5"/>
  <c r="B35" i="27" s="1"/>
  <c r="M56" i="23"/>
  <c r="M58" i="23"/>
  <c r="M55" i="23" s="1"/>
  <c r="L58" i="22"/>
  <c r="L6" i="5" l="1"/>
  <c r="D36" i="27"/>
  <c r="D18" i="27" s="1"/>
  <c r="K4" i="23"/>
  <c r="E22" i="5"/>
  <c r="U26" i="5"/>
  <c r="D9" i="20" s="1"/>
  <c r="D27" i="20" s="1"/>
  <c r="U23" i="5"/>
  <c r="E23" i="5"/>
  <c r="U24" i="5"/>
  <c r="D7" i="20" s="1"/>
  <c r="D25" i="20" s="1"/>
  <c r="J12" i="23"/>
  <c r="E7" i="5"/>
  <c r="U31" i="5"/>
  <c r="D19" i="27"/>
  <c r="E6" i="5"/>
  <c r="T22" i="5"/>
  <c r="L4" i="16"/>
  <c r="K6" i="16"/>
  <c r="C6" i="20"/>
  <c r="X22" i="5"/>
  <c r="L4" i="22"/>
  <c r="K9" i="22"/>
  <c r="C22" i="5"/>
  <c r="B34" i="27" s="1"/>
  <c r="B6" i="20"/>
  <c r="E8" i="5"/>
  <c r="D20" i="27"/>
  <c r="L8" i="5"/>
  <c r="U22" i="5"/>
  <c r="J6" i="23"/>
  <c r="B8" i="20"/>
  <c r="I6" i="13"/>
  <c r="V22" i="5"/>
  <c r="E5" i="20" s="1"/>
  <c r="E23" i="20" s="1"/>
  <c r="F22" i="5"/>
  <c r="E34" i="27" s="1"/>
  <c r="J4" i="13"/>
  <c r="D8" i="20"/>
  <c r="D26" i="20" s="1"/>
  <c r="U32" i="5" l="1"/>
  <c r="L4" i="5"/>
  <c r="U28" i="5" s="1"/>
  <c r="D34" i="27"/>
  <c r="D16" i="27" s="1"/>
  <c r="E5" i="5"/>
  <c r="D35" i="27"/>
  <c r="D17" i="27" s="1"/>
  <c r="D6" i="20"/>
  <c r="D24" i="20" s="1"/>
  <c r="L5" i="5"/>
  <c r="U29" i="5" s="1"/>
  <c r="U30" i="5"/>
  <c r="D32" i="20"/>
  <c r="F7" i="20"/>
  <c r="F9" i="20"/>
  <c r="D31" i="20"/>
  <c r="F8" i="20"/>
  <c r="E4" i="5"/>
  <c r="C5" i="20"/>
  <c r="D5" i="20"/>
  <c r="D23" i="20" s="1"/>
  <c r="M4" i="5"/>
  <c r="E29" i="20" s="1"/>
  <c r="E16" i="27"/>
  <c r="F4" i="5"/>
  <c r="D33" i="20"/>
  <c r="F6" i="20" l="1"/>
  <c r="D30" i="20"/>
  <c r="D29" i="20"/>
  <c r="F5" i="20"/>
  <c r="E5" i="18" l="1"/>
  <c r="C5" i="18" l="1"/>
  <c r="E9" i="18"/>
  <c r="C9" i="18" s="1"/>
  <c r="C17" i="5" l="1"/>
  <c r="X17" i="5"/>
  <c r="C13" i="5"/>
  <c r="X13" i="5"/>
  <c r="E7" i="18"/>
  <c r="C7" i="18" s="1"/>
  <c r="E8" i="18"/>
  <c r="C8" i="18" s="1"/>
  <c r="C16" i="5" l="1"/>
  <c r="X16" i="5"/>
  <c r="B14" i="20"/>
  <c r="B25" i="27"/>
  <c r="B16" i="27" s="1"/>
  <c r="C4" i="5"/>
  <c r="J4" i="5"/>
  <c r="S28" i="5" s="1"/>
  <c r="C15" i="5"/>
  <c r="X15" i="5"/>
  <c r="B18" i="20"/>
  <c r="J8" i="5"/>
  <c r="S32" i="5" s="1"/>
  <c r="B29" i="27"/>
  <c r="B20" i="27" s="1"/>
  <c r="C8" i="5"/>
  <c r="B23" i="20" l="1"/>
  <c r="B27" i="20"/>
  <c r="B16" i="20"/>
  <c r="B17" i="20"/>
  <c r="B27" i="27"/>
  <c r="B18" i="27" s="1"/>
  <c r="C6" i="5"/>
  <c r="J6" i="5"/>
  <c r="S30" i="5" s="1"/>
  <c r="B28" i="27"/>
  <c r="B19" i="27" s="1"/>
  <c r="C7" i="5"/>
  <c r="J7" i="5"/>
  <c r="S31" i="5" s="1"/>
  <c r="E6" i="18"/>
  <c r="B25" i="20" l="1"/>
  <c r="C6" i="18"/>
  <c r="E10" i="18"/>
  <c r="B26" i="20"/>
  <c r="B33" i="20"/>
  <c r="B29" i="20"/>
  <c r="B31" i="20" l="1"/>
  <c r="B32" i="20"/>
  <c r="C14" i="5"/>
  <c r="C10" i="18"/>
  <c r="B15" i="20" l="1"/>
  <c r="J5" i="5"/>
  <c r="S29" i="5" s="1"/>
  <c r="C5" i="5"/>
  <c r="B26" i="27"/>
  <c r="B17" i="27" s="1"/>
  <c r="B24" i="20" l="1"/>
  <c r="B30" i="20" l="1"/>
  <c r="E9" i="19" l="1"/>
  <c r="E10" i="19" l="1"/>
  <c r="E6" i="19"/>
  <c r="E8" i="19"/>
  <c r="E7" i="19"/>
  <c r="E11" i="19" l="1"/>
  <c r="K27" i="24" l="1"/>
  <c r="L27" i="24" l="1"/>
  <c r="N27" i="24" l="1"/>
  <c r="F8" i="24" s="1"/>
  <c r="K24" i="24"/>
  <c r="K34" i="24"/>
  <c r="K43" i="24" l="1"/>
  <c r="K31" i="24"/>
  <c r="L34" i="24"/>
  <c r="L43" i="24" s="1"/>
  <c r="L24" i="24"/>
  <c r="K40" i="24" l="1"/>
  <c r="G8" i="24"/>
  <c r="H8" i="24" s="1"/>
  <c r="K50" i="24"/>
  <c r="K58" i="24"/>
  <c r="N24" i="24"/>
  <c r="F5" i="24" s="1"/>
  <c r="K25" i="24"/>
  <c r="K26" i="24"/>
  <c r="L58" i="24" l="1"/>
  <c r="J8" i="24" s="1"/>
  <c r="K8" i="24" s="1"/>
  <c r="L50" i="24"/>
  <c r="K55" i="24"/>
  <c r="K47" i="24"/>
  <c r="K32" i="24"/>
  <c r="K23" i="24"/>
  <c r="L25" i="24"/>
  <c r="L26" i="24"/>
  <c r="L31" i="24"/>
  <c r="N25" i="24" l="1"/>
  <c r="F6" i="24" s="1"/>
  <c r="K41" i="24"/>
  <c r="L40" i="24"/>
  <c r="L55" i="24" s="1"/>
  <c r="G5" i="24"/>
  <c r="H5" i="24" s="1"/>
  <c r="N26" i="24"/>
  <c r="F7" i="24" s="1"/>
  <c r="L47" i="24"/>
  <c r="M47" i="24" s="1"/>
  <c r="M58" i="24"/>
  <c r="M50" i="24"/>
  <c r="L8" i="24" s="1"/>
  <c r="D26" i="5"/>
  <c r="C38" i="27" s="1"/>
  <c r="Y26" i="5"/>
  <c r="L32" i="24"/>
  <c r="L41" i="24" s="1"/>
  <c r="L23" i="24"/>
  <c r="K33" i="24"/>
  <c r="B10" i="19" l="1"/>
  <c r="J5" i="24"/>
  <c r="K5" i="24" s="1"/>
  <c r="D23" i="5" s="1"/>
  <c r="C35" i="27" s="1"/>
  <c r="L5" i="24"/>
  <c r="Y23" i="5"/>
  <c r="G6" i="24"/>
  <c r="H6" i="24" s="1"/>
  <c r="K48" i="24"/>
  <c r="K56" i="24"/>
  <c r="N23" i="24"/>
  <c r="F4" i="24" s="1"/>
  <c r="F9" i="24" s="1"/>
  <c r="K42" i="24"/>
  <c r="K30" i="24"/>
  <c r="L33" i="24"/>
  <c r="L42" i="24" s="1"/>
  <c r="D10" i="19" l="1"/>
  <c r="C10" i="19" s="1"/>
  <c r="D17" i="5" s="1"/>
  <c r="K39" i="24"/>
  <c r="K13" i="24"/>
  <c r="G7" i="24"/>
  <c r="H7" i="24" s="1"/>
  <c r="K49" i="24"/>
  <c r="K57" i="24"/>
  <c r="L56" i="24"/>
  <c r="J6" i="24" s="1"/>
  <c r="K6" i="24" s="1"/>
  <c r="L48" i="24"/>
  <c r="L30" i="24"/>
  <c r="Y17" i="5" l="1"/>
  <c r="B7" i="19"/>
  <c r="M48" i="24"/>
  <c r="L6" i="24" s="1"/>
  <c r="G4" i="24"/>
  <c r="L13" i="24"/>
  <c r="L39" i="24"/>
  <c r="D24" i="5"/>
  <c r="C36" i="27" s="1"/>
  <c r="Y24" i="5"/>
  <c r="K54" i="24"/>
  <c r="K46" i="24"/>
  <c r="L49" i="24"/>
  <c r="L57" i="24"/>
  <c r="J7" i="24" s="1"/>
  <c r="K7" i="24" s="1"/>
  <c r="C18" i="20"/>
  <c r="AB17" i="5"/>
  <c r="C29" i="27"/>
  <c r="C20" i="27" s="1"/>
  <c r="D8" i="5"/>
  <c r="K8" i="5"/>
  <c r="T32" i="5" s="1"/>
  <c r="D7" i="19"/>
  <c r="C7" i="19" s="1"/>
  <c r="Y14" i="5" s="1"/>
  <c r="D14" i="5" l="1"/>
  <c r="H8" i="5"/>
  <c r="L46" i="24"/>
  <c r="L54" i="24"/>
  <c r="L60" i="24" s="1"/>
  <c r="H4" i="24"/>
  <c r="G9" i="24"/>
  <c r="K62" i="24"/>
  <c r="K59" i="24" s="1"/>
  <c r="K60" i="24"/>
  <c r="C27" i="20"/>
  <c r="F18" i="20"/>
  <c r="Y25" i="5"/>
  <c r="D25" i="5"/>
  <c r="C37" i="27" s="1"/>
  <c r="M49" i="24"/>
  <c r="L7" i="24" s="1"/>
  <c r="B9" i="19"/>
  <c r="J4" i="24" l="1"/>
  <c r="J9" i="24" s="1"/>
  <c r="L62" i="24"/>
  <c r="M54" i="24"/>
  <c r="M46" i="24"/>
  <c r="L59" i="24"/>
  <c r="M62" i="24"/>
  <c r="M59" i="24" s="1"/>
  <c r="N8" i="5"/>
  <c r="B10" i="27"/>
  <c r="D10" i="27" s="1"/>
  <c r="C33" i="20"/>
  <c r="F27" i="20"/>
  <c r="G27" i="20" s="1"/>
  <c r="B8" i="19"/>
  <c r="H9" i="24"/>
  <c r="K4" i="24"/>
  <c r="D5" i="5"/>
  <c r="K5" i="5"/>
  <c r="T29" i="5" s="1"/>
  <c r="C26" i="27"/>
  <c r="C17" i="27" s="1"/>
  <c r="C15" i="20"/>
  <c r="AB14" i="5"/>
  <c r="B6" i="19" l="1"/>
  <c r="B11" i="19" s="1"/>
  <c r="L4" i="24"/>
  <c r="Y22" i="5"/>
  <c r="D22" i="5"/>
  <c r="C34" i="27" s="1"/>
  <c r="K9" i="24"/>
  <c r="H5" i="5"/>
  <c r="D8" i="19"/>
  <c r="C8" i="19" s="1"/>
  <c r="C24" i="20"/>
  <c r="F15" i="20"/>
  <c r="M60" i="24"/>
  <c r="E10" i="27"/>
  <c r="N5" i="5" l="1"/>
  <c r="B7" i="27"/>
  <c r="D7" i="27" s="1"/>
  <c r="D9" i="19"/>
  <c r="C9" i="19" s="1"/>
  <c r="C30" i="20"/>
  <c r="F24" i="20"/>
  <c r="G24" i="20" s="1"/>
  <c r="Y15" i="5"/>
  <c r="D15" i="5"/>
  <c r="D6" i="19" l="1"/>
  <c r="K6" i="5"/>
  <c r="T30" i="5" s="1"/>
  <c r="C27" i="27"/>
  <c r="C18" i="27" s="1"/>
  <c r="D6" i="5"/>
  <c r="C16" i="20"/>
  <c r="AB15" i="5"/>
  <c r="D11" i="19"/>
  <c r="C6" i="19"/>
  <c r="D16" i="5"/>
  <c r="Y16" i="5"/>
  <c r="E7" i="27"/>
  <c r="D13" i="5" l="1"/>
  <c r="C11" i="19"/>
  <c r="Y13" i="5"/>
  <c r="C25" i="20"/>
  <c r="F16" i="20"/>
  <c r="H6" i="5"/>
  <c r="C17" i="20"/>
  <c r="AB16" i="5"/>
  <c r="K7" i="5"/>
  <c r="T31" i="5" s="1"/>
  <c r="C28" i="27"/>
  <c r="C19" i="27" s="1"/>
  <c r="D7" i="5"/>
  <c r="H7" i="5" l="1"/>
  <c r="N6" i="5"/>
  <c r="B8" i="27"/>
  <c r="D8" i="27" s="1"/>
  <c r="C31" i="20"/>
  <c r="F25" i="20"/>
  <c r="G25" i="20" s="1"/>
  <c r="C14" i="20"/>
  <c r="AB13" i="5"/>
  <c r="C26" i="20"/>
  <c r="F17" i="20"/>
  <c r="C25" i="27"/>
  <c r="C16" i="27" s="1"/>
  <c r="D4" i="5"/>
  <c r="H4" i="5" s="1"/>
  <c r="K4" i="5"/>
  <c r="T28" i="5" s="1"/>
  <c r="N4" i="5" l="1"/>
  <c r="B6" i="27"/>
  <c r="D6" i="27" s="1"/>
  <c r="E8" i="27"/>
  <c r="C32" i="20"/>
  <c r="F26" i="20"/>
  <c r="G26" i="20" s="1"/>
  <c r="N7" i="5"/>
  <c r="B9" i="27"/>
  <c r="D9" i="27" s="1"/>
  <c r="C23" i="20"/>
  <c r="F14" i="20"/>
  <c r="C29" i="20" l="1"/>
  <c r="F23" i="20"/>
  <c r="G23" i="20" s="1"/>
  <c r="E6" i="27"/>
  <c r="E9" i="27"/>
</calcChain>
</file>

<file path=xl/sharedStrings.xml><?xml version="1.0" encoding="utf-8"?>
<sst xmlns="http://schemas.openxmlformats.org/spreadsheetml/2006/main" count="783" uniqueCount="226">
  <si>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</si>
  <si>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</si>
  <si>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</si>
  <si>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</si>
  <si>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</si>
  <si>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</si>
  <si>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</si>
  <si>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</si>
  <si>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</si>
  <si>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</si>
  <si>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</si>
  <si>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</si>
  <si>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</si>
  <si>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</si>
  <si>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</si>
  <si>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</si>
  <si>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</si>
  <si>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</si>
  <si>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</si>
  <si>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</si>
  <si>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</si>
  <si>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</si>
  <si>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</si>
  <si>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</si>
  <si>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</si>
  <si>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</si>
  <si>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</si>
  <si>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</si>
  <si>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</si>
  <si>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</si>
  <si>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</si>
  <si>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</si>
  <si>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</si>
  <si>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</si>
  <si>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</si>
  <si>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</si>
  <si>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</si>
  <si>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</si>
  <si>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</si>
  <si>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</si>
  <si>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</si>
  <si>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</si>
  <si>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</si>
  <si>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</si>
  <si>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</si>
  <si>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</si>
  <si>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</si>
  <si>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</si>
  <si>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</si>
  <si>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</si>
  <si>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</si>
  <si>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</si>
  <si>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</si>
  <si>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</si>
  <si>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</si>
  <si>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</si>
  <si>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</si>
  <si>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</si>
  <si>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</si>
  <si>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</si>
  <si>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</si>
  <si>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</si>
  <si>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</si>
  <si>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</si>
  <si>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</si>
  <si>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</si>
  <si>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</si>
  <si>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</si>
  <si>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</si>
  <si>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</si>
  <si>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</si>
  <si>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</si>
  <si>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</si>
  <si>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</si>
  <si>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</si>
  <si>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</si>
  <si>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</si>
  <si>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</si>
  <si>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</si>
  <si>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</si>
  <si>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</si>
  <si>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</si>
  <si>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</si>
  <si>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</si>
  <si>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</si>
  <si>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</si>
  <si>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</si>
  <si>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</si>
  <si>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</si>
  <si>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</si>
  <si>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</si>
  <si>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</si>
  <si>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</si>
  <si>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</si>
  <si>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</si>
  <si>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</si>
  <si>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</si>
  <si>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</si>
  <si>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</si>
  <si>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</si>
  <si>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</si>
  <si>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</si>
  <si>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</si>
  <si>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</si>
  <si>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</si>
  <si>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</si>
  <si>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</si>
  <si>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</si>
  <si>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</si>
  <si>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</si>
  <si>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</si>
  <si>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</si>
  <si>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</si>
  <si>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</si>
  <si>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</si>
  <si>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</si>
  <si>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</si>
  <si>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</si>
  <si>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</si>
  <si>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</si>
  <si>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</si>
  <si>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</si>
  <si>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</si>
  <si>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</si>
  <si>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</si>
  <si>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</si>
  <si>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</si>
  <si>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</si>
  <si>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</si>
  <si>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</si>
  <si>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</si>
  <si>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</si>
  <si>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</si>
  <si>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</si>
  <si>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</si>
  <si>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</si>
  <si>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</si>
  <si>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</si>
  <si>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</si>
  <si>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</si>
  <si>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</si>
  <si>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</si>
  <si>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</si>
  <si>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</si>
  <si>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</si>
  <si>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</si>
  <si>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</si>
  <si>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</si>
  <si>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</si>
  <si>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</si>
  <si>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</si>
  <si>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</si>
  <si>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</si>
  <si>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</si>
  <si>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</si>
  <si>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MGS</t>
  </si>
  <si>
    <t>LGS</t>
  </si>
  <si>
    <t>LPS</t>
  </si>
  <si>
    <t>5. Monthly Short-Term Borrowing Rate - Source: None</t>
  </si>
  <si>
    <t>7. Cycle 2 kWh Participation - Source: None</t>
  </si>
  <si>
    <t>DSIM ($/kWh)</t>
  </si>
  <si>
    <t>Cycle 2 - Total</t>
  </si>
  <si>
    <t>1. Total Earnings Opportunity - Source: Metro EO Calculation PY1-PY3 v2.xlsx, Metro EO Calculation PY4.xlsx</t>
  </si>
  <si>
    <t>5. Total Earnings Opportunity plus Carrying Costs - Source: Sum of Columns 1. through 4.</t>
  </si>
  <si>
    <t>Proposed</t>
  </si>
  <si>
    <t>Current</t>
  </si>
  <si>
    <t>Change</t>
  </si>
  <si>
    <t>Monthly Bill Impact / 1,000 kWhs</t>
  </si>
  <si>
    <t>1.  Actual monthly EO - Source: Sum of Line 3.
    Forecasted monthly EO - Source: Sum of Line 3.</t>
  </si>
  <si>
    <t>3. Actual/Forecasted EO Amortization - Source:  EO Cycle 2 tab column G divided by remaining months on EO Cycle 2 tab line 6.</t>
  </si>
  <si>
    <t>Cumulative Correction of Short-Term Borrowing Rates September 2018 - October 2020 (Note A)
Cumulative Correction of allocation of Business Demand Response costs with interest (Note B)</t>
  </si>
  <si>
    <t>Cycle 3 - Total</t>
  </si>
  <si>
    <t>Cycle 3 - Program Year 3 (including EO TD Adjustments TBD)</t>
  </si>
  <si>
    <t>Cycle 3 Earnings Opportunity (EO) Calculation</t>
  </si>
  <si>
    <t>6. Amortization Over 12 Month Recovery Period</t>
  </si>
  <si>
    <t>1. Total Earnings Opportunity - Source: Metro EO Calculated Cycle 3 PY1.xlsx</t>
  </si>
  <si>
    <t>2. EO TD Ex Post Gross Adjustment -  Source: Metro Cycle 3 PY1 EO TD Adj Calc.xlsx</t>
  </si>
  <si>
    <t>3. EO TD NTG Adjustment -  Source: Metro Cycle 3 PY1 EO TD Adj Calc.xlsx</t>
  </si>
  <si>
    <t>4. Carrying Costs @ AFUDC Rate -  Source: Metro Cycle 3 PY1 EO TD Adj Calc.xlsx</t>
  </si>
  <si>
    <t>1. Actual monthly program costs by allocation bucket Residential, Non-Residential, Income-Eligible, Common/General) - Source: None
    Forecasted monthly program costs by allocation bucket - Source: None</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</si>
  <si>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</si>
  <si>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</si>
  <si>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</si>
  <si>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</si>
  <si>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</si>
  <si>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Evergy Metro, Inc. - DSIM Rider Update Filed 06/01/2022</t>
  </si>
  <si>
    <t>Projections for Cycle 3 July 2022 - June 2023 DSIM</t>
  </si>
  <si>
    <t>1. Forecasted kWh by Residential/Non-Residential (Reduced for Opt-Out) - Source: Billed kWh Budget Metro 2022-2023.xlsx</t>
  </si>
  <si>
    <t>Cumulative Over/Under Carryover From 12/01/2021 Filing</t>
  </si>
  <si>
    <t>Reverse November 2021 - April 2022 Forecast From 12/01/2021 Filing</t>
  </si>
  <si>
    <t>1. Forecasted Residential/Non-Residential kWh savings  - Source: Metro Cycle 2 Monthly TD Calc 042022 05052022.xlsx</t>
  </si>
  <si>
    <t>2. Forecasted Throughput Disincentive - Source: Metro Cycle 2 Monthly TD Calc 042022 05052022.xlsx</t>
  </si>
  <si>
    <t>7. Cycle 2 kWh Participation - Source: Metro Cycle 2 Monthly TD Calc 042022 05052022.xlsx</t>
  </si>
  <si>
    <t>8. Cycle 2 kWh Participation - Source: Metro Cycle 2 Monthly TD Calc 042022 05052022.xlsx</t>
  </si>
  <si>
    <t>1. &amp; 4. Actual monthly TD - Source: Metro Cycle 2 Monthly TD Calc 042022 05052022.xlsx
    Forecasted monthly TD - Source:Metro Cycle 2 Monthly TD Calc 042022 05052022.xlsx</t>
  </si>
  <si>
    <t>3. Actual kWh Sales Impact - Source:  Metro Cycle 2 Monthly TD Calc 042022 05052022.xlsx
    Forecasted kWh Sales Impact - Source: Metro Cycle 2 Monthly TD Calc 042022 05052022.xlsx</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</si>
  <si>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</si>
  <si>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</si>
  <si>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</si>
  <si>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3. Cycle 3 Forecast - July 2022 - June 2023</t>
  </si>
  <si>
    <t>4. Cycle 3 Extension - January 2023 - June 2023</t>
  </si>
  <si>
    <t>2. Actual monthly billed revenues by Residential/Non-Residential (program cost revenues only) - None
Forecasted monthly billed revenues by Residential/Non-Residential (program cost revenues only) - Source: calculated = Forecasted billed kWh sales X tariff rate</t>
  </si>
  <si>
    <t>4. Total monthly interest - Source: None</t>
  </si>
  <si>
    <t>5. Monthly Short-Term Borrowing Rate - Source: Metro Short-Term Borrowing Rate November 2021 - April 2022.xlsx</t>
  </si>
  <si>
    <t>2. Actual monthly kWh billed sales by Residential/Non-Residential (reduced for opt-out) - Source: Metro MEEIA 2022 Revenue Analysis.xlsx
    Forecasted monthly kWh billed sales by Residential/Non-Residential (reduced for opt-out) - Source: Billed kWh Budget Metro 2022-2023.xlsx</t>
  </si>
  <si>
    <t>3. Actual monthly billed revenues by Residential/Non-Residential (program cost revenues only) - Metro MEEIA 2022 Revenue Analysis.xlsx
    Forecasted monthly billed revenues by Residential/Non-Residential (program cost revenues only) - Source: calculated = Forecasted billed kWh sales X tariff rate</t>
  </si>
  <si>
    <t>1. Actual monthly program costs by allocation bucket Residential, Non-Residential, Income-Eligible, Common/General) - Source: 11 2021 Metro Spend Allocations Worksheet.xlsx, 12 2021 Metro Spend Allocations Worksheet.xlsx, 01 2022 Metro Spend Allocations Worksheet.xlsx, 02 2022 Metro Spend Allocations Worksheet.xlsx, 03 2022 Metro Spend Allocations Worksheet.xlsx, 04 2022 Metro Spend Allocations Worksheet.xlsx
    Forecasted monthly program costs by allocation bucket - Source: MEEIA Cycle 3 Forecast Metro 042022 05132022.xlsx</t>
  </si>
  <si>
    <t>1. Forecasted Residential/Non-Residential kWh savings  - Source: MEEIA Cycle 3 Forecast Metro 042022 05132022.xlsx, Metro Cycle 3 Monthly TD Calc Extension 835 NTG.xlsx</t>
  </si>
  <si>
    <t>3. Forecasted Throughput Disincentive - Source: MEEIA Cycle 3 Forecast Metro 042022 05132022.xlsx</t>
  </si>
  <si>
    <t>4. Forecasted Throughput Disincentive - Source: Metro Cycle 3 Monthly TD Calc Extension 835 NTG.xlsx</t>
  </si>
  <si>
    <t>2. Forecasted program costs by customer class - Source: Sum of 2. and 3.</t>
  </si>
  <si>
    <t>2. Forecasted Throughput Disincentive -Sum of 3. and 4.</t>
  </si>
  <si>
    <t>3. Forecasted program costs by customer class - Source: MEEIA Cycle 3 Forecast Metro 042022 05132022.xlsx</t>
  </si>
  <si>
    <t>4. Forecasted program costs by customer class - Source: Evergy MC3 Extension Appendix A settlement.xlsx</t>
  </si>
  <si>
    <t>2. Actual monthly billed revenues by Residential/Non-Residential (TD revenues only) - Metro MEEIA 2022 Revenue Analysis.xlsx
Forecasted monthly billed revenues by Residential/Non-Residential (TD revenues only) - Source: calculated = Forecasted billed kWh sales X tariff rate</t>
  </si>
  <si>
    <t>1. &amp; 4. Actual monthly TD - Source: Metro Cycle 3 Monthly TD Calc 042022 05062022.xlsx
    Forecasted monthly TD - Source: MEEIA Cycle 3 Forecast Metro 042022 05132022.xlsx</t>
  </si>
  <si>
    <t>3. Actual kWh Sales Impact - Source:  Metro Cycle 3 Monthly TD Calc 112021 11052021.xlsx
    Forecasted kWh Sales Impact - Source: MEEIA Cycle 3 Forecast Metro 042022 05132022.xlsx</t>
  </si>
  <si>
    <t>2. EO TD Ex Post Gross Adjustment -  Source: TD Model Metro PY1-3 042022.xlsx, TD Model PY4 042022.xlsx</t>
  </si>
  <si>
    <t>2. Actual monthly billed revenues by Residential/Non-Residential (EO revenues only) - Metro MEEIA 2022 Revenue Analysis.xlsx
Forecasted monthly billed revenues by Residential/Non-Residential (EO revenues only) - Source: calculated = Forecasted billed kWh sales X tariff rate</t>
  </si>
  <si>
    <t>1. &amp; 3. Actual monthly Ordered Adjustments - Source: None</t>
  </si>
  <si>
    <t>1. Ordered Adjustment - Source: Metro Cycle 2 OA Carrying Costs Calculations.xlsx</t>
  </si>
  <si>
    <t>2. Carrying Costs on OA - Source: Metro Cyce 2 OA Carrying Costs Calculations.xlsx</t>
  </si>
  <si>
    <t>3. EO TD NTG Adjustment -  Source: TD Model Metro PY1-3 042022.xlsx, TD Model PY4 042022.xlsx</t>
  </si>
  <si>
    <t>4. Carrying Costs @ AFUDC Rate -  Source: TD Model Metro PY1-3 042022.xlsx, TD Model PY4 042022.xlsx</t>
  </si>
  <si>
    <t>6. Amortization Over 24 Month Recovery Period - Source: Column 5  PY 1 - 3 divided by 24 times 2 months remaining recovery, PY 4 Column 5 divided by 24 times 7, EO TD Adjustments January - November 2022 Column 5 divided by 24 times 12, EO TD Adjustments Carrying Costs May - October 2022 Column 5 divided by 24 times 12, EO TD Adjustments Carrying Costs November 2021 - April 2022 Column 5 divided by 24 times 11</t>
  </si>
  <si>
    <t>6. Amortization Over 12 Month Recovery Period - Source: Column 5  PY 1 - 3 divided by 12 times 7 months in forecast period, Program Year 1 EO TD Adjustments November 2021 - April 2022 divided by 12 times 11 months in forecast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</si>
</sst>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6" formatCode="#,##0.00000_);\(#,##0.00000\)"/>
    <numFmt numFmtId="177" formatCode="_(&quot;$&quot;* #,##0.00_);_(&quot;$&quot;* \(#,##0.00\);_(&quot;$&quot;* &quot;-&quot;?????_);_(@_)"/>
    <numFmt numFmtId="178" formatCode="0.0%"/>
    <numFmt numFmtId="179" formatCode="_(&quot;$&quot;* #,##0.00_);_(&quot;$&quot;* \(#,##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18">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6" fontId="10" fillId="0" borderId="6" xfId="1" applyNumberFormat="1" applyFont="1" applyFill="1" applyBorder="1" applyAlignment="1">
      <alignment vertical="center"/>
    </xf>
    <xf numFmtId="176" fontId="10" fillId="0" borderId="6" xfId="1" applyNumberFormat="1" applyFont="1" applyBorder="1" applyAlignment="1">
      <alignment horizontal="right" vertical="center"/>
    </xf>
    <xf numFmtId="176" fontId="11" fillId="0" borderId="6" xfId="1" applyNumberFormat="1" applyFont="1" applyBorder="1" applyAlignment="1">
      <alignment horizontal="right" vertical="center"/>
    </xf>
    <xf numFmtId="176"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0" fontId="30" fillId="0" borderId="3" xfId="0" applyFont="1" applyBorder="1" applyAlignment="1">
      <alignment horizontal="center" vertical="center" wrapText="1"/>
    </xf>
    <xf numFmtId="170" fontId="10" fillId="0" borderId="6" xfId="0" applyNumberFormat="1" applyFont="1" applyBorder="1" applyAlignment="1">
      <alignment vertical="center"/>
    </xf>
    <xf numFmtId="177" fontId="10" fillId="0" borderId="6" xfId="0" applyNumberFormat="1" applyFont="1" applyBorder="1" applyAlignment="1">
      <alignment vertical="center"/>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8"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179" fontId="5" fillId="37" borderId="1" xfId="6" applyNumberFormat="1" applyFill="1" applyBorder="1"/>
    <xf numFmtId="14" fontId="0" fillId="0" borderId="0" xfId="0" applyNumberFormat="1"/>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170" fontId="36" fillId="0" borderId="3"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Fill="1" applyAlignment="1"/>
    <xf numFmtId="170" fontId="40" fillId="0" borderId="3" xfId="0" applyNumberFormat="1" applyFont="1" applyFill="1" applyBorder="1" applyAlignment="1">
      <alignment vertical="center"/>
    </xf>
    <xf numFmtId="172" fontId="40" fillId="0" borderId="6" xfId="0" applyNumberFormat="1" applyFont="1" applyBorder="1" applyAlignment="1">
      <alignment horizontal="right"/>
    </xf>
    <xf numFmtId="42" fontId="14" fillId="7" borderId="1" xfId="13" applyNumberFormat="1"/>
    <xf numFmtId="170" fontId="40" fillId="0" borderId="4" xfId="0" applyNumberFormat="1" applyFont="1" applyFill="1" applyBorder="1" applyAlignment="1">
      <alignment vertical="center"/>
    </xf>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customXml" Target="../customXml/item2.xml"/><Relationship Id="rId20" Type="http://schemas.openxmlformats.org/officeDocument/2006/relationships/externalLink" Target="externalLinks/externalLink4.xml"/><Relationship Id="rId4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Acctg/MEEIA/Metro%20MEEIA%20DSIM%20RIDER/20211201%20Filing/Schedule%20LAS-2_Metro%20MEEIA%20Rider%20Calcs_February%202022%20rate%20update%20linked%20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1%202022%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2%202022%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3%202022%20Metro%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4%202022%20Metro%20Spend%20Allocations%20Workshee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tro%20Cycle%203%20Monthly%20TD%20Calc%20Extension%20835%20NT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tro%20Cycle%203%20Monthly%20TD%20Calc%20042022%200506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etro%20EO%20Calculation%20PY1-PY3%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D%20Model%20Metro%20PY1-3%2004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etro%20EO%20Calculation%20PY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D%20Model%20Metro%20PY4%20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illed%20kWh%20Budget%20Metro%20Missouri%202022-202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D%20Model%20Metro%20PY1-3%20042022%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D%20Model%20Metro%20PY4%20042022%20v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etro%20EO%20Calculated%20Cycle%203%20PY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etro%20Cycle%203%20PY1%20EO%20TD%20Adj%20Cal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etro%20%20MEEIA%20Cycle%202%20OA%20Carrying%20Cos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EIA%20Cycle%203%20Forecast%20Metro%20042022%200513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vergy%20MC3%20Extension%20Appendix%20A%20settlemen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tro%20Cycle%202%20Monthly%20TD%20Calc%20%20042022%200505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tro%20MEEIA%202022%20Revenue%20Analysi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tro%20Short-Term%20Borrowing%20Rate%20November%202021%20-%20April%2020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1%202021%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202021%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f tables"/>
      <sheetName val="DSIM Cycle Tables"/>
      <sheetName val="PPC Cycle 3"/>
      <sheetName val="PCR Cycle 2"/>
      <sheetName val="PCR Cycle 3"/>
      <sheetName val="PTD Cycle 2"/>
      <sheetName val="PTD Cycle 3"/>
      <sheetName val="TDR Cycle 2"/>
      <sheetName val="TDR Cycle 3"/>
      <sheetName val="EO Cycle 2"/>
      <sheetName val="EO Cycle 3"/>
      <sheetName val="EOR Cycle 2"/>
      <sheetName val="OA Cycle 2"/>
      <sheetName val="OAR Cycle 2"/>
    </sheetNames>
    <sheetDataSet>
      <sheetData sheetId="0">
        <row r="4">
          <cell r="G4">
            <v>2610127995</v>
          </cell>
        </row>
        <row r="5">
          <cell r="G5">
            <v>526314553</v>
          </cell>
        </row>
        <row r="6">
          <cell r="G6">
            <v>1147270124</v>
          </cell>
        </row>
        <row r="7">
          <cell r="G7">
            <v>1818101982</v>
          </cell>
        </row>
        <row r="8">
          <cell r="G8">
            <v>522518060</v>
          </cell>
        </row>
        <row r="13">
          <cell r="C13">
            <v>7799480.1699999999</v>
          </cell>
          <cell r="D13">
            <v>9013253.8599999994</v>
          </cell>
          <cell r="E13">
            <v>170670.67000000004</v>
          </cell>
          <cell r="F13">
            <v>0</v>
          </cell>
        </row>
        <row r="14">
          <cell r="C14">
            <v>1032901.83</v>
          </cell>
          <cell r="D14">
            <v>986730.08000000007</v>
          </cell>
          <cell r="E14">
            <v>-121472.79</v>
          </cell>
          <cell r="F14">
            <v>0</v>
          </cell>
        </row>
        <row r="15">
          <cell r="C15">
            <v>2716182.5</v>
          </cell>
          <cell r="D15">
            <v>2228075.15</v>
          </cell>
          <cell r="E15">
            <v>751475.62000000011</v>
          </cell>
          <cell r="F15">
            <v>0</v>
          </cell>
        </row>
        <row r="16">
          <cell r="C16">
            <v>4404512.22</v>
          </cell>
          <cell r="D16">
            <v>2170486.5</v>
          </cell>
          <cell r="E16">
            <v>802217.37999999989</v>
          </cell>
          <cell r="F16">
            <v>0</v>
          </cell>
        </row>
        <row r="17">
          <cell r="C17">
            <v>1562108.45</v>
          </cell>
          <cell r="D17">
            <v>179964.7</v>
          </cell>
          <cell r="E17">
            <v>279249.64</v>
          </cell>
          <cell r="F17">
            <v>0</v>
          </cell>
        </row>
        <row r="22">
          <cell r="C22">
            <v>-642945.35500000103</v>
          </cell>
          <cell r="D22">
            <v>1176010.3400000003</v>
          </cell>
          <cell r="E22">
            <v>206744.31643999991</v>
          </cell>
          <cell r="F22">
            <v>0</v>
          </cell>
        </row>
        <row r="23">
          <cell r="C23">
            <v>-398145.59000000008</v>
          </cell>
          <cell r="D23">
            <v>-115945.01666999997</v>
          </cell>
          <cell r="E23">
            <v>68729.02</v>
          </cell>
          <cell r="F23">
            <v>0</v>
          </cell>
        </row>
        <row r="24">
          <cell r="C24">
            <v>319816.50999999972</v>
          </cell>
          <cell r="D24">
            <v>84050.932749999978</v>
          </cell>
          <cell r="E24">
            <v>180279.1</v>
          </cell>
          <cell r="F24">
            <v>0</v>
          </cell>
        </row>
        <row r="25">
          <cell r="C25">
            <v>-333489.8</v>
          </cell>
          <cell r="D25">
            <v>135895.37991000008</v>
          </cell>
          <cell r="E25">
            <v>211768.5</v>
          </cell>
          <cell r="F25">
            <v>0</v>
          </cell>
        </row>
        <row r="26">
          <cell r="C26">
            <v>-642485.82999999984</v>
          </cell>
          <cell r="D26">
            <v>6209.8842400000067</v>
          </cell>
          <cell r="E26">
            <v>45460.76</v>
          </cell>
          <cell r="F2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2 02072022"/>
      <sheetName val="Input"/>
      <sheetName val="Program Descriptions"/>
    </sheetNames>
    <sheetDataSet>
      <sheetData sheetId="0">
        <row r="30">
          <cell r="N30">
            <v>442945.30000000005</v>
          </cell>
          <cell r="O30">
            <v>106056.70999999999</v>
          </cell>
          <cell r="P30">
            <v>35607.859999999993</v>
          </cell>
          <cell r="Q30">
            <v>56767.590000000004</v>
          </cell>
          <cell r="R30">
            <v>20178.420000000013</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2 03072022"/>
      <sheetName val="Input"/>
      <sheetName val="Program Descriptions"/>
    </sheetNames>
    <sheetDataSet>
      <sheetData sheetId="0">
        <row r="30">
          <cell r="N30">
            <v>366646.63</v>
          </cell>
          <cell r="O30">
            <v>129118.16</v>
          </cell>
          <cell r="P30">
            <v>108200.08</v>
          </cell>
          <cell r="Q30">
            <v>41854.97</v>
          </cell>
          <cell r="R30">
            <v>14877.650000000009</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2 04062022"/>
      <sheetName val="Input"/>
      <sheetName val="Program Descriptions"/>
    </sheetNames>
    <sheetDataSet>
      <sheetData sheetId="0">
        <row r="30">
          <cell r="N30">
            <v>407681.67999999993</v>
          </cell>
          <cell r="O30">
            <v>121745.29000000001</v>
          </cell>
          <cell r="P30">
            <v>193772.67</v>
          </cell>
          <cell r="Q30">
            <v>147821.99</v>
          </cell>
          <cell r="R30">
            <v>34898.280000000086</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42022 05052022"/>
      <sheetName val="Input"/>
      <sheetName val="Program Descriptions"/>
    </sheetNames>
    <sheetDataSet>
      <sheetData sheetId="0">
        <row r="30">
          <cell r="N30">
            <v>786804.99999999988</v>
          </cell>
          <cell r="O30">
            <v>130043.34999999999</v>
          </cell>
          <cell r="P30">
            <v>35006.049999999996</v>
          </cell>
          <cell r="Q30">
            <v>157808.49</v>
          </cell>
          <cell r="R30">
            <v>16627.639999999981</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AO460">
            <v>297792.58209641138</v>
          </cell>
          <cell r="AP460">
            <v>363374.75078189303</v>
          </cell>
          <cell r="AQ460">
            <v>461181.7660446089</v>
          </cell>
          <cell r="AR460">
            <v>527323.43751685345</v>
          </cell>
          <cell r="AS460">
            <v>648171.46674452396</v>
          </cell>
          <cell r="AT460">
            <v>906262.27069103252</v>
          </cell>
        </row>
        <row r="461">
          <cell r="AO461">
            <v>7943.4082872498257</v>
          </cell>
          <cell r="AP461">
            <v>21544.308629655363</v>
          </cell>
          <cell r="AQ461">
            <v>39887.850716700632</v>
          </cell>
          <cell r="AR461">
            <v>53258.903520870961</v>
          </cell>
          <cell r="AS461">
            <v>71881.590960158923</v>
          </cell>
          <cell r="AT461">
            <v>84848.379631345219</v>
          </cell>
        </row>
        <row r="462">
          <cell r="AO462">
            <v>29791.46898808852</v>
          </cell>
          <cell r="AP462">
            <v>80811.184732651644</v>
          </cell>
          <cell r="AQ462">
            <v>149389.61410529632</v>
          </cell>
          <cell r="AR462">
            <v>199455.43484138555</v>
          </cell>
          <cell r="AS462">
            <v>269179.42151263409</v>
          </cell>
          <cell r="AT462">
            <v>316436.31681072206</v>
          </cell>
        </row>
        <row r="463">
          <cell r="AO463">
            <v>49338.056083928139</v>
          </cell>
          <cell r="AP463">
            <v>133815.55209732859</v>
          </cell>
          <cell r="AQ463">
            <v>247324.13230509279</v>
          </cell>
          <cell r="AR463">
            <v>330561.3525414319</v>
          </cell>
          <cell r="AS463">
            <v>445684.04010640341</v>
          </cell>
          <cell r="AT463">
            <v>524194.21117556241</v>
          </cell>
        </row>
        <row r="464">
          <cell r="AO464">
            <v>4359.0817809373339</v>
          </cell>
          <cell r="AP464">
            <v>11832.657200060501</v>
          </cell>
          <cell r="AQ464">
            <v>21916.37375991002</v>
          </cell>
          <cell r="AR464">
            <v>29327.467466335194</v>
          </cell>
          <cell r="AS464">
            <v>39506.620907406577</v>
          </cell>
          <cell r="AT464">
            <v>46931.272922563934</v>
          </cell>
        </row>
        <row r="562">
          <cell r="AO562">
            <v>17540.260000000002</v>
          </cell>
          <cell r="AP562">
            <v>22638.010000000002</v>
          </cell>
          <cell r="AQ562">
            <v>30005.96</v>
          </cell>
          <cell r="AR562">
            <v>35379.31</v>
          </cell>
          <cell r="AS562">
            <v>44613.01</v>
          </cell>
          <cell r="AT562">
            <v>91670.16</v>
          </cell>
        </row>
        <row r="563">
          <cell r="AO563">
            <v>481.17</v>
          </cell>
          <cell r="AP563">
            <v>1337.51</v>
          </cell>
          <cell r="AQ563">
            <v>2538.2199999999998</v>
          </cell>
          <cell r="AR563">
            <v>3552.7300000000005</v>
          </cell>
          <cell r="AS563">
            <v>5072.17</v>
          </cell>
          <cell r="AT563">
            <v>7625.54</v>
          </cell>
        </row>
        <row r="564">
          <cell r="AO564">
            <v>1102.7</v>
          </cell>
          <cell r="AP564">
            <v>3053.97</v>
          </cell>
          <cell r="AQ564">
            <v>5753.8200000000006</v>
          </cell>
          <cell r="AR564">
            <v>8243.4</v>
          </cell>
          <cell r="AS564">
            <v>12095.69</v>
          </cell>
          <cell r="AT564">
            <v>18734.48</v>
          </cell>
        </row>
        <row r="565">
          <cell r="AO565">
            <v>1123.68</v>
          </cell>
          <cell r="AP565">
            <v>3174.96</v>
          </cell>
          <cell r="AQ565">
            <v>6099.17</v>
          </cell>
          <cell r="AR565">
            <v>8645.0800000000017</v>
          </cell>
          <cell r="AS565">
            <v>12205.429999999998</v>
          </cell>
          <cell r="AT565">
            <v>19658.310000000001</v>
          </cell>
        </row>
        <row r="566">
          <cell r="AO566">
            <v>49.990000000000009</v>
          </cell>
          <cell r="AP566">
            <v>149.25</v>
          </cell>
          <cell r="AQ566">
            <v>277.43</v>
          </cell>
          <cell r="AR566">
            <v>347.98</v>
          </cell>
          <cell r="AS566">
            <v>554.73</v>
          </cell>
          <cell r="AT566">
            <v>846.66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refreshError="1"/>
      <sheetData sheetId="1" refreshError="1"/>
      <sheetData sheetId="2">
        <row r="7">
          <cell r="DV7">
            <v>0.12496529128974715</v>
          </cell>
        </row>
        <row r="460">
          <cell r="AA460">
            <v>4854328.2549652671</v>
          </cell>
          <cell r="AB460">
            <v>5963395.7324858001</v>
          </cell>
          <cell r="AC460">
            <v>6335185.5930740833</v>
          </cell>
          <cell r="AD460">
            <v>5589147.8888868252</v>
          </cell>
          <cell r="AE460">
            <v>5602809.9106298424</v>
          </cell>
          <cell r="AF460">
            <v>5873400.8391582016</v>
          </cell>
        </row>
        <row r="461">
          <cell r="AA461">
            <v>361864.15920374473</v>
          </cell>
          <cell r="AB461">
            <v>385055.66699496558</v>
          </cell>
          <cell r="AC461">
            <v>414725.44802283926</v>
          </cell>
          <cell r="AD461">
            <v>380827.09780178795</v>
          </cell>
          <cell r="AE461">
            <v>429024.33393295924</v>
          </cell>
          <cell r="AF461">
            <v>437039.85024010536</v>
          </cell>
        </row>
        <row r="462">
          <cell r="AA462">
            <v>1315882.3779273084</v>
          </cell>
          <cell r="AB462">
            <v>1383884.5492268186</v>
          </cell>
          <cell r="AC462">
            <v>1508873.8807748589</v>
          </cell>
          <cell r="AD462">
            <v>1374720.0026345386</v>
          </cell>
          <cell r="AE462">
            <v>1549823.2725096878</v>
          </cell>
          <cell r="AF462">
            <v>1492324.7312269981</v>
          </cell>
        </row>
        <row r="463">
          <cell r="AA463">
            <v>2200100.3049067105</v>
          </cell>
          <cell r="AB463">
            <v>2313548.7569724293</v>
          </cell>
          <cell r="AC463">
            <v>2519875.6828550878</v>
          </cell>
          <cell r="AD463">
            <v>2283714.2831982784</v>
          </cell>
          <cell r="AE463">
            <v>2539889.8542861836</v>
          </cell>
          <cell r="AF463">
            <v>2429556.6411878662</v>
          </cell>
        </row>
        <row r="464">
          <cell r="AA464">
            <v>141755.18895071512</v>
          </cell>
          <cell r="AB464">
            <v>180046.18809845645</v>
          </cell>
          <cell r="AC464">
            <v>226225.73653489994</v>
          </cell>
          <cell r="AD464">
            <v>206418.76560112031</v>
          </cell>
          <cell r="AE464">
            <v>229789.65719795</v>
          </cell>
          <cell r="AF464">
            <v>217209.16939282801</v>
          </cell>
        </row>
        <row r="562">
          <cell r="AA562">
            <v>348040.82</v>
          </cell>
          <cell r="AB562">
            <v>395751.45000000007</v>
          </cell>
          <cell r="AC562">
            <v>307030.25</v>
          </cell>
          <cell r="AD562">
            <v>278547.71999999997</v>
          </cell>
          <cell r="AE562">
            <v>292811.86000000004</v>
          </cell>
          <cell r="AF562">
            <v>324591.99999999994</v>
          </cell>
        </row>
        <row r="563">
          <cell r="AA563">
            <v>28285.890000000003</v>
          </cell>
          <cell r="AB563">
            <v>27834.570000000003</v>
          </cell>
          <cell r="AC563">
            <v>27498.879999999997</v>
          </cell>
          <cell r="AD563">
            <v>25899.84</v>
          </cell>
          <cell r="AE563">
            <v>29853.75</v>
          </cell>
          <cell r="AF563">
            <v>31909.13</v>
          </cell>
        </row>
        <row r="564">
          <cell r="AA564">
            <v>64561.590000000004</v>
          </cell>
          <cell r="AB564">
            <v>61395.4</v>
          </cell>
          <cell r="AC564">
            <v>60570.23</v>
          </cell>
          <cell r="AD564">
            <v>56506.69</v>
          </cell>
          <cell r="AE564">
            <v>64983.95</v>
          </cell>
          <cell r="AF564">
            <v>66968.95</v>
          </cell>
        </row>
        <row r="565">
          <cell r="AA565">
            <v>64909.77</v>
          </cell>
          <cell r="AB565">
            <v>61279.579999999994</v>
          </cell>
          <cell r="AC565">
            <v>60743.130000000005</v>
          </cell>
          <cell r="AD565">
            <v>57657.570000000007</v>
          </cell>
          <cell r="AE565">
            <v>66661.66</v>
          </cell>
          <cell r="AF565">
            <v>67233.39</v>
          </cell>
        </row>
        <row r="566">
          <cell r="AA566">
            <v>2372.4900000000002</v>
          </cell>
          <cell r="AB566">
            <v>2790.9900000000002</v>
          </cell>
          <cell r="AC566">
            <v>3279.38</v>
          </cell>
          <cell r="AD566">
            <v>3385.98</v>
          </cell>
          <cell r="AE566">
            <v>3829.46</v>
          </cell>
          <cell r="AF566">
            <v>3330.3100000000004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3528190.0700000003</v>
          </cell>
          <cell r="T18">
            <v>4826270.37</v>
          </cell>
          <cell r="W18">
            <v>674006.21</v>
          </cell>
          <cell r="X18">
            <v>1713084.19</v>
          </cell>
          <cell r="Y18">
            <v>2024596.5400000003</v>
          </cell>
          <cell r="Z18">
            <v>414583.44999999995</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sheetData sheetId="1"/>
      <sheetData sheetId="2">
        <row r="370">
          <cell r="AL370">
            <v>-1041427.6034010574</v>
          </cell>
          <cell r="BE370">
            <v>-694726.81018685759</v>
          </cell>
          <cell r="BS370">
            <v>-377882.06622358249</v>
          </cell>
          <cell r="CE370">
            <v>-357896.53339656233</v>
          </cell>
        </row>
        <row r="371">
          <cell r="AL371">
            <v>-37272.289999999964</v>
          </cell>
          <cell r="BE371">
            <v>-10997.939999999999</v>
          </cell>
          <cell r="BS371">
            <v>-6495.5699999999924</v>
          </cell>
          <cell r="CE371">
            <v>-5754.630000000001</v>
          </cell>
        </row>
        <row r="372">
          <cell r="AL372">
            <v>122147.32999999999</v>
          </cell>
          <cell r="BE372">
            <v>157547.77000000002</v>
          </cell>
          <cell r="BS372">
            <v>106911.15</v>
          </cell>
          <cell r="CE372">
            <v>88328.729999999981</v>
          </cell>
        </row>
        <row r="373">
          <cell r="AL373">
            <v>169641.43999999994</v>
          </cell>
          <cell r="BE373">
            <v>94756.98</v>
          </cell>
          <cell r="BS373">
            <v>63360.95</v>
          </cell>
          <cell r="CE373">
            <v>53167.28</v>
          </cell>
        </row>
        <row r="374">
          <cell r="AL374">
            <v>34067.5</v>
          </cell>
          <cell r="BE374">
            <v>173391.59999999998</v>
          </cell>
          <cell r="BS374">
            <v>124450.89</v>
          </cell>
          <cell r="CE374">
            <v>99547.11</v>
          </cell>
        </row>
      </sheetData>
      <sheetData sheetId="3">
        <row r="384">
          <cell r="AL384">
            <v>537465.77340105746</v>
          </cell>
          <cell r="BE384">
            <v>-925832.85981314245</v>
          </cell>
          <cell r="BS384">
            <v>-646599.65377641749</v>
          </cell>
          <cell r="CE384">
            <v>-519862.80660343764</v>
          </cell>
        </row>
        <row r="385">
          <cell r="AL385">
            <v>101225.01999999997</v>
          </cell>
          <cell r="BE385">
            <v>-272534.92</v>
          </cell>
          <cell r="BS385">
            <v>-190733.81000000006</v>
          </cell>
          <cell r="CE385">
            <v>-154557.82</v>
          </cell>
        </row>
        <row r="386">
          <cell r="AL386">
            <v>340699.47000000009</v>
          </cell>
          <cell r="BE386">
            <v>-149567.88</v>
          </cell>
          <cell r="BS386">
            <v>-103379.37</v>
          </cell>
          <cell r="CE386">
            <v>-84410.84</v>
          </cell>
        </row>
        <row r="387">
          <cell r="AL387">
            <v>191871.41999999998</v>
          </cell>
          <cell r="BE387">
            <v>-169959.09999999995</v>
          </cell>
          <cell r="BS387">
            <v>-117395.95999999999</v>
          </cell>
          <cell r="CE387">
            <v>-96301.62</v>
          </cell>
        </row>
        <row r="388">
          <cell r="AL388">
            <v>28892.499999999996</v>
          </cell>
          <cell r="BE388">
            <v>-64266.69</v>
          </cell>
          <cell r="BS388">
            <v>-45473.929999999993</v>
          </cell>
          <cell r="CE388">
            <v>-36477.08</v>
          </cell>
        </row>
      </sheetData>
      <sheetData sheetId="4"/>
      <sheetData sheetId="5"/>
      <sheetData sheetId="6">
        <row r="55">
          <cell r="BM55">
            <v>-153531.00000000003</v>
          </cell>
        </row>
        <row r="63">
          <cell r="AL63">
            <v>11386.110000000004</v>
          </cell>
          <cell r="BE63">
            <v>-101739.62000000001</v>
          </cell>
          <cell r="BK63">
            <v>-63177.49</v>
          </cell>
        </row>
        <row r="64">
          <cell r="AL64">
            <v>4637.5600000000004</v>
          </cell>
          <cell r="BE64">
            <v>-6666.29</v>
          </cell>
          <cell r="BK64">
            <v>-8449.2099999999991</v>
          </cell>
        </row>
        <row r="65">
          <cell r="AL65">
            <v>19663.030000000002</v>
          </cell>
          <cell r="BE65">
            <v>34896.990000000005</v>
          </cell>
          <cell r="BK65">
            <v>9382.2099999999991</v>
          </cell>
        </row>
        <row r="66">
          <cell r="AL66">
            <v>15454.890000000001</v>
          </cell>
          <cell r="BE66">
            <v>23935.109999999997</v>
          </cell>
          <cell r="BK66">
            <v>4526.82</v>
          </cell>
        </row>
        <row r="67">
          <cell r="AL67">
            <v>1656.6799999999998</v>
          </cell>
          <cell r="BE67">
            <v>9086.5399999999991</v>
          </cell>
          <cell r="BK67">
            <v>5032.9799999999996</v>
          </cell>
        </row>
      </sheetData>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1266045.8400000001</v>
          </cell>
          <cell r="W18">
            <v>124816.68000000001</v>
          </cell>
          <cell r="X18">
            <v>390572.25</v>
          </cell>
          <cell r="Y18">
            <v>546171.26</v>
          </cell>
          <cell r="Z18">
            <v>84699.91</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sheetData sheetId="1"/>
      <sheetData sheetId="2">
        <row r="370">
          <cell r="BE370">
            <v>348248.03596538526</v>
          </cell>
          <cell r="BS370">
            <v>462675.89503260842</v>
          </cell>
          <cell r="CE370">
            <v>366790.76557343709</v>
          </cell>
        </row>
        <row r="371">
          <cell r="BE371">
            <v>-7814.8500000000076</v>
          </cell>
          <cell r="BS371">
            <v>-6382.320000000007</v>
          </cell>
          <cell r="CE371">
            <v>-5007.6300000000083</v>
          </cell>
        </row>
        <row r="372">
          <cell r="BE372">
            <v>-12243.369999999977</v>
          </cell>
          <cell r="BS372">
            <v>-8577.5399999999718</v>
          </cell>
          <cell r="CE372">
            <v>-6658.029999999977</v>
          </cell>
        </row>
        <row r="373">
          <cell r="BE373">
            <v>-30357.180000000015</v>
          </cell>
          <cell r="BS373">
            <v>-23144.730000000025</v>
          </cell>
          <cell r="CE373">
            <v>-18624.540000000015</v>
          </cell>
        </row>
        <row r="374">
          <cell r="BE374">
            <v>20419.699999999997</v>
          </cell>
          <cell r="BS374">
            <v>17504.579999999998</v>
          </cell>
          <cell r="CE374">
            <v>14064.82</v>
          </cell>
        </row>
      </sheetData>
      <sheetData sheetId="3">
        <row r="384">
          <cell r="BE384">
            <v>-11312.68596538523</v>
          </cell>
          <cell r="BS384">
            <v>-190551.9250326085</v>
          </cell>
          <cell r="CE384">
            <v>-148807.53557343711</v>
          </cell>
        </row>
        <row r="385">
          <cell r="BE385">
            <v>6418.280000000007</v>
          </cell>
          <cell r="BS385">
            <v>5749.5500000000102</v>
          </cell>
          <cell r="CE385">
            <v>4762.9900000000089</v>
          </cell>
        </row>
        <row r="386">
          <cell r="BE386">
            <v>27424.559999999965</v>
          </cell>
          <cell r="BS386">
            <v>24226.459999999955</v>
          </cell>
          <cell r="CE386">
            <v>19834.069999999963</v>
          </cell>
        </row>
        <row r="387">
          <cell r="BE387">
            <v>9142.860000000017</v>
          </cell>
          <cell r="BS387">
            <v>8020.1500000000269</v>
          </cell>
          <cell r="CE387">
            <v>6547.9200000000164</v>
          </cell>
        </row>
        <row r="388">
          <cell r="BE388">
            <v>-20846.180000000008</v>
          </cell>
          <cell r="BS388">
            <v>-17043.3</v>
          </cell>
          <cell r="CE388">
            <v>-13677.470000000001</v>
          </cell>
        </row>
      </sheetData>
      <sheetData sheetId="4"/>
      <sheetData sheetId="5"/>
      <sheetData sheetId="6">
        <row r="55">
          <cell r="BM55">
            <v>23989.86</v>
          </cell>
        </row>
        <row r="62">
          <cell r="BE62">
            <v>12227.150000000001</v>
          </cell>
          <cell r="BK62">
            <v>11762.71</v>
          </cell>
        </row>
        <row r="63">
          <cell r="BE63">
            <v>-81.699999999999989</v>
          </cell>
          <cell r="BK63">
            <v>-54.609999999999992</v>
          </cell>
        </row>
        <row r="64">
          <cell r="BE64">
            <v>435.66999999999996</v>
          </cell>
          <cell r="BK64">
            <v>529.9</v>
          </cell>
        </row>
        <row r="65">
          <cell r="BE65">
            <v>-858.83999999999992</v>
          </cell>
          <cell r="BK65">
            <v>-739.5200000000001</v>
          </cell>
        </row>
        <row r="66">
          <cell r="BE66">
            <v>-40.730000000000004</v>
          </cell>
          <cell r="BK66">
            <v>-12.379999999999999</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C24">
            <v>160481876</v>
          </cell>
          <cell r="D24">
            <v>230930879</v>
          </cell>
          <cell r="E24">
            <v>269200504</v>
          </cell>
        </row>
        <row r="25">
          <cell r="C25">
            <v>43898676</v>
          </cell>
          <cell r="D25">
            <v>47502172</v>
          </cell>
          <cell r="E25">
            <v>47643719</v>
          </cell>
        </row>
        <row r="26">
          <cell r="C26">
            <v>88072772</v>
          </cell>
          <cell r="D26">
            <v>95302371</v>
          </cell>
          <cell r="E26">
            <v>95586354</v>
          </cell>
        </row>
        <row r="27">
          <cell r="C27">
            <v>140124721</v>
          </cell>
          <cell r="D27">
            <v>151627090</v>
          </cell>
          <cell r="E27">
            <v>152078909</v>
          </cell>
        </row>
        <row r="28">
          <cell r="C28">
            <v>37448075</v>
          </cell>
          <cell r="D28">
            <v>40522062</v>
          </cell>
          <cell r="E28">
            <v>40642810</v>
          </cell>
        </row>
        <row r="36">
          <cell r="E36">
            <v>1387672891</v>
          </cell>
          <cell r="F36">
            <v>1246556215</v>
          </cell>
        </row>
        <row r="37">
          <cell r="E37">
            <v>293157635</v>
          </cell>
          <cell r="F37">
            <v>279308023</v>
          </cell>
        </row>
        <row r="38">
          <cell r="E38">
            <v>588154538</v>
          </cell>
          <cell r="F38">
            <v>560368417</v>
          </cell>
        </row>
        <row r="39">
          <cell r="E39">
            <v>935760147</v>
          </cell>
          <cell r="F39">
            <v>891552130</v>
          </cell>
        </row>
        <row r="40">
          <cell r="E40">
            <v>250080183</v>
          </cell>
          <cell r="F40">
            <v>238265672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efreshError="1"/>
      <sheetData sheetId="3" refreshError="1"/>
      <sheetData sheetId="4" refreshError="1"/>
      <sheetData sheetId="5" refreshError="1"/>
      <sheetData sheetId="6">
        <row r="55">
          <cell r="BL55">
            <v>-9662.27</v>
          </cell>
          <cell r="BM55">
            <v>-9772.3700000000008</v>
          </cell>
          <cell r="BN55">
            <v>-9930.64</v>
          </cell>
          <cell r="BO55">
            <v>-10346.64</v>
          </cell>
          <cell r="BP55">
            <v>-10074.42</v>
          </cell>
          <cell r="BQ55">
            <v>-9547.16</v>
          </cell>
          <cell r="BR55">
            <v>-8824.52</v>
          </cell>
          <cell r="BS55">
            <v>-8115.12</v>
          </cell>
          <cell r="BT55">
            <v>-7393.38</v>
          </cell>
          <cell r="BU55">
            <v>-6676.84</v>
          </cell>
          <cell r="BV55">
            <v>-5962.09</v>
          </cell>
          <cell r="BW55">
            <v>-5237.97</v>
          </cell>
        </row>
        <row r="56">
          <cell r="BL56">
            <v>-1444.08</v>
          </cell>
          <cell r="BM56">
            <v>-1488.09</v>
          </cell>
          <cell r="BN56">
            <v>-1507.19</v>
          </cell>
          <cell r="BO56">
            <v>-1554.65</v>
          </cell>
          <cell r="BP56">
            <v>-1515.06</v>
          </cell>
          <cell r="BQ56">
            <v>-1468.28</v>
          </cell>
          <cell r="BR56">
            <v>-1404.69</v>
          </cell>
          <cell r="BS56">
            <v>-1336.99</v>
          </cell>
          <cell r="BT56">
            <v>-1264.82</v>
          </cell>
          <cell r="BU56">
            <v>-1194.3399999999999</v>
          </cell>
          <cell r="BV56">
            <v>-1125.6600000000001</v>
          </cell>
          <cell r="BW56">
            <v>-1057.6099999999999</v>
          </cell>
        </row>
        <row r="57">
          <cell r="BL57">
            <v>1192.05</v>
          </cell>
          <cell r="BM57">
            <v>1118.3800000000001</v>
          </cell>
          <cell r="BN57">
            <v>1016.3</v>
          </cell>
          <cell r="BO57">
            <v>928.33</v>
          </cell>
          <cell r="BP57">
            <v>806.28</v>
          </cell>
          <cell r="BQ57">
            <v>683.97</v>
          </cell>
          <cell r="BR57">
            <v>555.80999999999995</v>
          </cell>
          <cell r="BS57">
            <v>427.64</v>
          </cell>
          <cell r="BT57">
            <v>299.01</v>
          </cell>
          <cell r="BU57">
            <v>171.23</v>
          </cell>
          <cell r="BV57">
            <v>43.73</v>
          </cell>
          <cell r="BW57">
            <v>-83.15</v>
          </cell>
        </row>
        <row r="58">
          <cell r="BL58">
            <v>467.73</v>
          </cell>
          <cell r="BM58">
            <v>400.46</v>
          </cell>
          <cell r="BN58">
            <v>319.94</v>
          </cell>
          <cell r="BO58">
            <v>241.89</v>
          </cell>
          <cell r="BP58">
            <v>163.28</v>
          </cell>
          <cell r="BQ58">
            <v>86.33</v>
          </cell>
          <cell r="BR58">
            <v>9.25</v>
          </cell>
          <cell r="BS58">
            <v>-66.44</v>
          </cell>
          <cell r="BT58">
            <v>-140.94</v>
          </cell>
          <cell r="BU58">
            <v>-215.65</v>
          </cell>
          <cell r="BV58">
            <v>-290.82</v>
          </cell>
          <cell r="BW58">
            <v>-365.77</v>
          </cell>
        </row>
        <row r="59">
          <cell r="BL59">
            <v>792.04</v>
          </cell>
          <cell r="BM59">
            <v>795.84</v>
          </cell>
          <cell r="BN59">
            <v>778.41</v>
          </cell>
          <cell r="BO59">
            <v>773.68</v>
          </cell>
          <cell r="BP59">
            <v>731.03</v>
          </cell>
          <cell r="BQ59">
            <v>688.57</v>
          </cell>
          <cell r="BR59">
            <v>643.17999999999995</v>
          </cell>
          <cell r="BS59">
            <v>596.54</v>
          </cell>
          <cell r="BT59">
            <v>546.85</v>
          </cell>
          <cell r="BU59">
            <v>499.62</v>
          </cell>
          <cell r="BV59">
            <v>453.34</v>
          </cell>
          <cell r="BW59">
            <v>404.34</v>
          </cell>
        </row>
        <row r="81">
          <cell r="BJ81">
            <v>457.79999999999927</v>
          </cell>
          <cell r="BK81">
            <v>747.74000000000069</v>
          </cell>
        </row>
        <row r="82">
          <cell r="BJ82">
            <v>81.229999999999791</v>
          </cell>
          <cell r="BK82">
            <v>132.69000000000005</v>
          </cell>
        </row>
        <row r="83">
          <cell r="BJ83">
            <v>-7.7300000000000182</v>
          </cell>
          <cell r="BK83">
            <v>-12.629999999999995</v>
          </cell>
        </row>
        <row r="84">
          <cell r="BJ84">
            <v>17.550000000000011</v>
          </cell>
          <cell r="BK84">
            <v>28.660000000000025</v>
          </cell>
        </row>
        <row r="85">
          <cell r="BJ85">
            <v>-32.849999999999909</v>
          </cell>
          <cell r="BK85">
            <v>-53.669999999999959</v>
          </cell>
        </row>
      </sheetData>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efreshError="1"/>
      <sheetData sheetId="3" refreshError="1"/>
      <sheetData sheetId="4" refreshError="1"/>
      <sheetData sheetId="5" refreshError="1"/>
      <sheetData sheetId="6">
        <row r="55">
          <cell r="BL55">
            <v>1961.84</v>
          </cell>
          <cell r="BM55">
            <v>2003.83</v>
          </cell>
          <cell r="BN55">
            <v>2021.55</v>
          </cell>
          <cell r="BO55">
            <v>2083.92</v>
          </cell>
          <cell r="BP55">
            <v>2027.29</v>
          </cell>
          <cell r="BQ55">
            <v>1947.78</v>
          </cell>
          <cell r="BR55">
            <v>1836.59</v>
          </cell>
          <cell r="BS55">
            <v>1735.92</v>
          </cell>
          <cell r="BT55">
            <v>1636.25</v>
          </cell>
          <cell r="BU55">
            <v>1535.13</v>
          </cell>
          <cell r="BV55">
            <v>1431.12</v>
          </cell>
          <cell r="BW55">
            <v>1322.42</v>
          </cell>
        </row>
        <row r="56">
          <cell r="BL56">
            <v>-10.220000000000001</v>
          </cell>
          <cell r="BM56">
            <v>-9.9499999999999993</v>
          </cell>
          <cell r="BN56">
            <v>-8.59</v>
          </cell>
          <cell r="BO56">
            <v>-7.22</v>
          </cell>
          <cell r="BP56">
            <v>-5.96</v>
          </cell>
          <cell r="BQ56">
            <v>-5.64</v>
          </cell>
          <cell r="BR56">
            <v>-5.95</v>
          </cell>
          <cell r="BS56">
            <v>-6.13</v>
          </cell>
          <cell r="BT56">
            <v>-6.29</v>
          </cell>
          <cell r="BU56">
            <v>-6.52</v>
          </cell>
          <cell r="BV56">
            <v>-6.68</v>
          </cell>
          <cell r="BW56">
            <v>-6.66</v>
          </cell>
        </row>
        <row r="57">
          <cell r="BL57">
            <v>88.49</v>
          </cell>
          <cell r="BM57">
            <v>92.37</v>
          </cell>
          <cell r="BN57">
            <v>96.28</v>
          </cell>
          <cell r="BO57">
            <v>102.11</v>
          </cell>
          <cell r="BP57">
            <v>101.11</v>
          </cell>
          <cell r="BQ57">
            <v>97.78</v>
          </cell>
          <cell r="BR57">
            <v>91.94</v>
          </cell>
          <cell r="BS57">
            <v>86.08</v>
          </cell>
          <cell r="BT57">
            <v>79.849999999999994</v>
          </cell>
          <cell r="BU57">
            <v>73.53</v>
          </cell>
          <cell r="BV57">
            <v>67.56</v>
          </cell>
          <cell r="BW57">
            <v>62.16</v>
          </cell>
        </row>
        <row r="58">
          <cell r="BL58">
            <v>-123.99</v>
          </cell>
          <cell r="BM58">
            <v>-126.33</v>
          </cell>
          <cell r="BN58">
            <v>-125.27</v>
          </cell>
          <cell r="BO58">
            <v>-126.37</v>
          </cell>
          <cell r="BP58">
            <v>-120.94</v>
          </cell>
          <cell r="BQ58">
            <v>-116.08</v>
          </cell>
          <cell r="BR58">
            <v>-110.99</v>
          </cell>
          <cell r="BS58">
            <v>-105.16</v>
          </cell>
          <cell r="BT58">
            <v>-98.82</v>
          </cell>
          <cell r="BU58">
            <v>-92.93</v>
          </cell>
          <cell r="BV58">
            <v>-87.14</v>
          </cell>
          <cell r="BW58">
            <v>-81.180000000000007</v>
          </cell>
        </row>
        <row r="59">
          <cell r="BL59">
            <v>-1.76</v>
          </cell>
          <cell r="BM59">
            <v>-1.64</v>
          </cell>
          <cell r="BN59">
            <v>-1.24</v>
          </cell>
          <cell r="BO59">
            <v>-0.82</v>
          </cell>
          <cell r="BP59">
            <v>-0.5</v>
          </cell>
          <cell r="BQ59">
            <v>-0.36</v>
          </cell>
          <cell r="BR59">
            <v>-0.42</v>
          </cell>
          <cell r="BS59">
            <v>-0.4</v>
          </cell>
          <cell r="BT59">
            <v>-0.34</v>
          </cell>
          <cell r="BU59">
            <v>-0.35</v>
          </cell>
          <cell r="BV59">
            <v>-0.38</v>
          </cell>
          <cell r="BW59">
            <v>-0.33</v>
          </cell>
        </row>
        <row r="82">
          <cell r="BJ82">
            <v>-103.54999999999995</v>
          </cell>
          <cell r="BK82">
            <v>-169.12999999999988</v>
          </cell>
        </row>
        <row r="83">
          <cell r="BJ83">
            <v>0.34999999999999964</v>
          </cell>
          <cell r="BK83">
            <v>0.57000000000000028</v>
          </cell>
        </row>
        <row r="84">
          <cell r="BJ84">
            <v>-5.210000000000008</v>
          </cell>
          <cell r="BK84">
            <v>-8.509999999999998</v>
          </cell>
        </row>
        <row r="85">
          <cell r="BJ85">
            <v>6.2000000000000028</v>
          </cell>
          <cell r="BK85">
            <v>10.11999999999999</v>
          </cell>
        </row>
        <row r="86">
          <cell r="BJ86">
            <v>0</v>
          </cell>
          <cell r="BK86">
            <v>0</v>
          </cell>
        </row>
      </sheetData>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refreshError="1"/>
      <sheetData sheetId="1" refreshError="1"/>
      <sheetData sheetId="2" refreshError="1"/>
      <sheetData sheetId="3" refreshError="1"/>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row>
      </sheetData>
      <sheetData sheetId="6" refreshError="1"/>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row>
      </sheetData>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 Cycle 2"/>
    </sheetNames>
    <sheetDataSet>
      <sheetData sheetId="0">
        <row r="107">
          <cell r="E107">
            <v>108079.99999999999</v>
          </cell>
          <cell r="K107">
            <v>10141.41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etro Monthly Prog Costs Upload"/>
      <sheetName val="Metro Monthly - kWh-kW Upload"/>
      <sheetName val="Monthly Program Costs"/>
      <sheetName val="Monthly TD Calc"/>
      <sheetName val="Summary"/>
      <sheetName val="EO Ex Post TD Calc"/>
      <sheetName val="EO NTG TD Calc"/>
      <sheetName val="EMV Results"/>
      <sheetName val="Monthly kWh-kW"/>
      <sheetName val="ICF SOW Amdt 2"/>
      <sheetName val="TRC SOW Amdt 1"/>
      <sheetName val="Metro EO Matrix @Meter"/>
      <sheetName val="Metro EO Table"/>
      <sheetName val="Mktg Forecast"/>
      <sheetName val="PAYS"/>
      <sheetName val="PAYS Reg Asset"/>
      <sheetName val="MEEIA Labor Alloc"/>
      <sheetName val="Other Admin"/>
      <sheetName val="EMV Costs"/>
      <sheetName val="Implementer Contract Rates"/>
      <sheetName val="Billed kWh Sales"/>
      <sheetName val="DSIM Revenues"/>
    </sheetNames>
    <sheetDataSet>
      <sheetData sheetId="0"/>
      <sheetData sheetId="1"/>
      <sheetData sheetId="2"/>
      <sheetData sheetId="3"/>
      <sheetData sheetId="4">
        <row r="290">
          <cell r="AJ290">
            <v>842936.34</v>
          </cell>
          <cell r="AK290">
            <v>805480.79999999993</v>
          </cell>
          <cell r="AL290">
            <v>780514.88</v>
          </cell>
          <cell r="AM290">
            <v>757014.52999999991</v>
          </cell>
          <cell r="AN290">
            <v>729361.57999999984</v>
          </cell>
          <cell r="AO290">
            <v>896983.03</v>
          </cell>
          <cell r="AP290">
            <v>918401.85999999987</v>
          </cell>
          <cell r="AQ290">
            <v>733930.34000000008</v>
          </cell>
          <cell r="AR290">
            <v>10520.84</v>
          </cell>
          <cell r="AS290">
            <v>10520.85</v>
          </cell>
          <cell r="AT290">
            <v>10520.840000000002</v>
          </cell>
          <cell r="AU290">
            <v>10520.82</v>
          </cell>
          <cell r="AV290">
            <v>10520.850000000002</v>
          </cell>
          <cell r="AW290">
            <v>10520.810000000001</v>
          </cell>
        </row>
        <row r="291">
          <cell r="AJ291">
            <v>118392.99999999999</v>
          </cell>
          <cell r="AK291">
            <v>121580.48999999999</v>
          </cell>
          <cell r="AL291">
            <v>113607.07999999999</v>
          </cell>
          <cell r="AM291">
            <v>112545.64000000001</v>
          </cell>
          <cell r="AN291">
            <v>119752.49</v>
          </cell>
          <cell r="AO291">
            <v>100079.87</v>
          </cell>
          <cell r="AP291">
            <v>127604.74000000002</v>
          </cell>
          <cell r="AQ291">
            <v>303669.14999999997</v>
          </cell>
          <cell r="AR291">
            <v>25137.86</v>
          </cell>
          <cell r="AS291">
            <v>4607.5600000000013</v>
          </cell>
          <cell r="AT291">
            <v>4607.5700000000015</v>
          </cell>
          <cell r="AU291">
            <v>4607.5600000000013</v>
          </cell>
          <cell r="AV291">
            <v>4607.5700000000015</v>
          </cell>
          <cell r="AW291">
            <v>4607.5600000000013</v>
          </cell>
        </row>
        <row r="292">
          <cell r="AJ292">
            <v>228083.16999999998</v>
          </cell>
          <cell r="AK292">
            <v>234478.17</v>
          </cell>
          <cell r="AL292">
            <v>218792.02</v>
          </cell>
          <cell r="AM292">
            <v>217022.46000000002</v>
          </cell>
          <cell r="AN292">
            <v>231577.17</v>
          </cell>
          <cell r="AO292">
            <v>182651.97</v>
          </cell>
          <cell r="AP292">
            <v>233008.46</v>
          </cell>
          <cell r="AQ292">
            <v>603144.59999999986</v>
          </cell>
          <cell r="AR292">
            <v>49486.609999999993</v>
          </cell>
          <cell r="AS292">
            <v>6773.4000000000005</v>
          </cell>
          <cell r="AT292">
            <v>6773.4000000000005</v>
          </cell>
          <cell r="AU292">
            <v>6773.39</v>
          </cell>
          <cell r="AV292">
            <v>6773.4000000000005</v>
          </cell>
          <cell r="AW292">
            <v>6773.4000000000005</v>
          </cell>
        </row>
        <row r="293">
          <cell r="AJ293">
            <v>368127.09</v>
          </cell>
          <cell r="AK293">
            <v>378301.61000000004</v>
          </cell>
          <cell r="AL293">
            <v>354674.67999999993</v>
          </cell>
          <cell r="AM293">
            <v>351474.35</v>
          </cell>
          <cell r="AN293">
            <v>374766.03</v>
          </cell>
          <cell r="AO293">
            <v>297735.51</v>
          </cell>
          <cell r="AP293">
            <v>377498.86000000004</v>
          </cell>
          <cell r="AQ293">
            <v>970461.36999999988</v>
          </cell>
          <cell r="AR293">
            <v>81989.450000000012</v>
          </cell>
          <cell r="AS293">
            <v>11885.159999999998</v>
          </cell>
          <cell r="AT293">
            <v>11885.169999999998</v>
          </cell>
          <cell r="AU293">
            <v>11885.149999999998</v>
          </cell>
          <cell r="AV293">
            <v>11885.169999999998</v>
          </cell>
          <cell r="AW293">
            <v>11885.159999999998</v>
          </cell>
        </row>
        <row r="294">
          <cell r="AJ294">
            <v>99119.2</v>
          </cell>
          <cell r="AK294">
            <v>101838.32999999999</v>
          </cell>
          <cell r="AL294">
            <v>95711.200000000012</v>
          </cell>
          <cell r="AM294">
            <v>94801.75999999998</v>
          </cell>
          <cell r="AN294">
            <v>101045.40999999997</v>
          </cell>
          <cell r="AO294">
            <v>80573.12999999999</v>
          </cell>
          <cell r="AP294">
            <v>101839.86999999998</v>
          </cell>
          <cell r="AQ294">
            <v>260880.96999999997</v>
          </cell>
          <cell r="AR294">
            <v>22369.62</v>
          </cell>
          <cell r="AS294">
            <v>3332.27</v>
          </cell>
          <cell r="AT294">
            <v>3332.27</v>
          </cell>
          <cell r="AU294">
            <v>3332.27</v>
          </cell>
          <cell r="AV294">
            <v>3332.2599999999998</v>
          </cell>
          <cell r="AW294">
            <v>3332.28</v>
          </cell>
        </row>
      </sheetData>
      <sheetData sheetId="5">
        <row r="461">
          <cell r="AG461">
            <v>6074738.9361627065</v>
          </cell>
          <cell r="AH461">
            <v>6030635.9461498857</v>
          </cell>
          <cell r="AI461">
            <v>7944818.4365059258</v>
          </cell>
          <cell r="AJ461">
            <v>8002084.4892112464</v>
          </cell>
          <cell r="AK461">
            <v>7020008.544821389</v>
          </cell>
          <cell r="AL461">
            <v>7390854.6548586003</v>
          </cell>
          <cell r="AM461">
            <v>7064437.4188417802</v>
          </cell>
          <cell r="AN461">
            <v>2651624.1665619267</v>
          </cell>
          <cell r="AO461">
            <v>1780522.336431331</v>
          </cell>
          <cell r="AP461">
            <v>1606717.4833409071</v>
          </cell>
          <cell r="AQ461">
            <v>1578624.0923940218</v>
          </cell>
          <cell r="AR461">
            <v>1522026.8344416143</v>
          </cell>
          <cell r="AS461">
            <v>1600061.6654931707</v>
          </cell>
          <cell r="AT461">
            <v>1455681.7174691854</v>
          </cell>
        </row>
        <row r="462">
          <cell r="AG462">
            <v>479676.36739443074</v>
          </cell>
          <cell r="AH462">
            <v>489856.29779460473</v>
          </cell>
          <cell r="AI462">
            <v>552603.5100315992</v>
          </cell>
          <cell r="AJ462">
            <v>589766.08799338876</v>
          </cell>
          <cell r="AK462">
            <v>564364.18573207024</v>
          </cell>
          <cell r="AL462">
            <v>629938.79396157444</v>
          </cell>
          <cell r="AM462">
            <v>632260.56922222872</v>
          </cell>
          <cell r="AN462">
            <v>281447.91456560983</v>
          </cell>
          <cell r="AO462">
            <v>379676.8029600599</v>
          </cell>
          <cell r="AP462">
            <v>343299.08807742194</v>
          </cell>
          <cell r="AQ462">
            <v>380492.33774395502</v>
          </cell>
          <cell r="AR462">
            <v>362782.90954735113</v>
          </cell>
          <cell r="AS462">
            <v>380853.38318277179</v>
          </cell>
          <cell r="AT462">
            <v>365408.84490359534</v>
          </cell>
        </row>
        <row r="463">
          <cell r="AG463">
            <v>1586678.2841929882</v>
          </cell>
          <cell r="AH463">
            <v>1580492.6433288152</v>
          </cell>
          <cell r="AI463">
            <v>1684255.4926908675</v>
          </cell>
          <cell r="AJ463">
            <v>1774997.9432787523</v>
          </cell>
          <cell r="AK463">
            <v>1716789.4371244865</v>
          </cell>
          <cell r="AL463">
            <v>1890581.789497562</v>
          </cell>
          <cell r="AM463">
            <v>1862326.083646347</v>
          </cell>
          <cell r="AN463">
            <v>569244.39498178381</v>
          </cell>
          <cell r="AO463">
            <v>767915.39292101108</v>
          </cell>
          <cell r="AP463">
            <v>694337.61415226571</v>
          </cell>
          <cell r="AQ463">
            <v>769554.00633475813</v>
          </cell>
          <cell r="AR463">
            <v>733758.04787660763</v>
          </cell>
          <cell r="AS463">
            <v>770285.83534012327</v>
          </cell>
          <cell r="AT463">
            <v>739049.00049678981</v>
          </cell>
        </row>
        <row r="464">
          <cell r="AG464">
            <v>2587459.9246119964</v>
          </cell>
          <cell r="AH464">
            <v>2576667.6637742557</v>
          </cell>
          <cell r="AI464">
            <v>2744141.2574653584</v>
          </cell>
          <cell r="AJ464">
            <v>2889963.0212422041</v>
          </cell>
          <cell r="AK464">
            <v>2795582.1498434101</v>
          </cell>
          <cell r="AL464">
            <v>3076966.6563328109</v>
          </cell>
          <cell r="AM464">
            <v>3030615.853233757</v>
          </cell>
          <cell r="AN464">
            <v>912130.97633946501</v>
          </cell>
          <cell r="AO464">
            <v>1230468.7183218463</v>
          </cell>
          <cell r="AP464">
            <v>1112568.5842062598</v>
          </cell>
          <cell r="AQ464">
            <v>1233079.1896415832</v>
          </cell>
          <cell r="AR464">
            <v>1175752.6558411547</v>
          </cell>
          <cell r="AS464">
            <v>1234254.0666845222</v>
          </cell>
          <cell r="AT464">
            <v>1184202.4707123484</v>
          </cell>
        </row>
        <row r="465">
          <cell r="AG465">
            <v>232008.18854543753</v>
          </cell>
          <cell r="AH465">
            <v>248529.23650717147</v>
          </cell>
          <cell r="AI465">
            <v>281330.80939898029</v>
          </cell>
          <cell r="AJ465">
            <v>311899.03970020334</v>
          </cell>
          <cell r="AK465">
            <v>317666.6304457747</v>
          </cell>
          <cell r="AL465">
            <v>362669.44554377568</v>
          </cell>
          <cell r="AM465">
            <v>375129.49369404797</v>
          </cell>
          <cell r="AN465">
            <v>244673.88902968192</v>
          </cell>
          <cell r="AO465">
            <v>330065.66777658823</v>
          </cell>
          <cell r="AP465">
            <v>298439.28645579482</v>
          </cell>
          <cell r="AQ465">
            <v>330763.79265326849</v>
          </cell>
          <cell r="AR465">
            <v>315390.64698719565</v>
          </cell>
          <cell r="AS465">
            <v>331079.25793844275</v>
          </cell>
          <cell r="AT465">
            <v>317653.32644184685</v>
          </cell>
        </row>
        <row r="563">
          <cell r="AG563">
            <v>337659.04</v>
          </cell>
          <cell r="AH563">
            <v>522764.08</v>
          </cell>
          <cell r="AI563">
            <v>748201.66</v>
          </cell>
          <cell r="AJ563">
            <v>748032</v>
          </cell>
          <cell r="AK563">
            <v>613299.25999999989</v>
          </cell>
          <cell r="AL563">
            <v>376322.88</v>
          </cell>
          <cell r="AM563">
            <v>392644.97999999992</v>
          </cell>
          <cell r="AN563">
            <v>156226.00000000003</v>
          </cell>
          <cell r="AO563">
            <v>79031.469999999987</v>
          </cell>
          <cell r="AP563">
            <v>75424.260000000009</v>
          </cell>
          <cell r="AQ563">
            <v>78515.039999999994</v>
          </cell>
          <cell r="AR563">
            <v>77974.289999999979</v>
          </cell>
          <cell r="AS563">
            <v>84556.099999999991</v>
          </cell>
          <cell r="AT563">
            <v>118256.20999999999</v>
          </cell>
        </row>
        <row r="564">
          <cell r="AG564">
            <v>37044.46</v>
          </cell>
          <cell r="AH564">
            <v>48224.149999999994</v>
          </cell>
          <cell r="AI564">
            <v>52021.029999999992</v>
          </cell>
          <cell r="AJ564">
            <v>55468.05</v>
          </cell>
          <cell r="AK564">
            <v>53657.189999999995</v>
          </cell>
          <cell r="AL564">
            <v>45866.99</v>
          </cell>
          <cell r="AM564">
            <v>47518.140000000007</v>
          </cell>
          <cell r="AN564">
            <v>19411.170000000002</v>
          </cell>
          <cell r="AO564">
            <v>24863.59</v>
          </cell>
          <cell r="AP564">
            <v>23022.12</v>
          </cell>
          <cell r="AQ564">
            <v>26143.670000000002</v>
          </cell>
          <cell r="AR564">
            <v>26136.720000000001</v>
          </cell>
          <cell r="AS564">
            <v>29055.780000000002</v>
          </cell>
          <cell r="AT564">
            <v>35331.26</v>
          </cell>
        </row>
        <row r="565">
          <cell r="AG565">
            <v>77175.44</v>
          </cell>
          <cell r="AH565">
            <v>101627.35</v>
          </cell>
          <cell r="AI565">
            <v>104014.76999999999</v>
          </cell>
          <cell r="AJ565">
            <v>110203.4</v>
          </cell>
          <cell r="AK565">
            <v>106626.15999999997</v>
          </cell>
          <cell r="AL565">
            <v>83621.83</v>
          </cell>
          <cell r="AM565">
            <v>88066.37999999999</v>
          </cell>
          <cell r="AN565">
            <v>24278.43</v>
          </cell>
          <cell r="AO565">
            <v>30549.73</v>
          </cell>
          <cell r="AP565">
            <v>28191.9</v>
          </cell>
          <cell r="AQ565">
            <v>31819.289999999997</v>
          </cell>
          <cell r="AR565">
            <v>32565.65</v>
          </cell>
          <cell r="AS565">
            <v>37210.89</v>
          </cell>
          <cell r="AT565">
            <v>46892.97</v>
          </cell>
        </row>
        <row r="566">
          <cell r="AG566">
            <v>74428.789999999994</v>
          </cell>
          <cell r="AH566">
            <v>102335.99</v>
          </cell>
          <cell r="AI566">
            <v>103149.25</v>
          </cell>
          <cell r="AJ566">
            <v>110743.5</v>
          </cell>
          <cell r="AK566">
            <v>103531.35</v>
          </cell>
          <cell r="AL566">
            <v>82511.740000000005</v>
          </cell>
          <cell r="AM566">
            <v>85651.72</v>
          </cell>
          <cell r="AN566">
            <v>23535.03</v>
          </cell>
          <cell r="AO566">
            <v>29894.7</v>
          </cell>
          <cell r="AP566">
            <v>28157.199999999997</v>
          </cell>
          <cell r="AQ566">
            <v>32395.389999999996</v>
          </cell>
          <cell r="AR566">
            <v>32766.03</v>
          </cell>
          <cell r="AS566">
            <v>36044.039999999994</v>
          </cell>
          <cell r="AT566">
            <v>47124.44</v>
          </cell>
        </row>
        <row r="567">
          <cell r="AG567">
            <v>3488.2599999999998</v>
          </cell>
          <cell r="AH567">
            <v>4929.6399999999994</v>
          </cell>
          <cell r="AI567">
            <v>5150.3599999999997</v>
          </cell>
          <cell r="AJ567">
            <v>5942.35</v>
          </cell>
          <cell r="AK567">
            <v>5893.6699999999992</v>
          </cell>
          <cell r="AL567">
            <v>4673.1799999999994</v>
          </cell>
          <cell r="AM567">
            <v>5445.2699999999995</v>
          </cell>
          <cell r="AN567">
            <v>2664.87</v>
          </cell>
          <cell r="AO567">
            <v>3287.34</v>
          </cell>
          <cell r="AP567">
            <v>3321.7000000000003</v>
          </cell>
          <cell r="AQ567">
            <v>3564.7999999999997</v>
          </cell>
          <cell r="AR567">
            <v>3066.54</v>
          </cell>
          <cell r="AS567">
            <v>4010.65</v>
          </cell>
          <cell r="AT567">
            <v>4377.7800000000007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Proposal Budget"/>
    </sheetNames>
    <sheetDataSet>
      <sheetData sheetId="0">
        <row r="44">
          <cell r="P44">
            <v>6923960.1299999999</v>
          </cell>
          <cell r="Q44">
            <v>605006.63</v>
          </cell>
          <cell r="R44">
            <v>1749153.4700000002</v>
          </cell>
          <cell r="S44">
            <v>2773263.34</v>
          </cell>
          <cell r="T44">
            <v>353706.73000000004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0.13576441564001979</v>
          </cell>
          <cell r="CZ44">
            <v>0.35611574316442379</v>
          </cell>
          <cell r="DA44">
            <v>0.4183185730547726</v>
          </cell>
          <cell r="DB44">
            <v>8.9801268140783777E-2</v>
          </cell>
        </row>
        <row r="285">
          <cell r="BR285">
            <v>3066562.9817966414</v>
          </cell>
          <cell r="BS285">
            <v>3662309.1959070778</v>
          </cell>
          <cell r="BT285">
            <v>3670317.7984049888</v>
          </cell>
          <cell r="BU285">
            <v>3305717.5520906802</v>
          </cell>
          <cell r="BV285">
            <v>3281805.3874220303</v>
          </cell>
          <cell r="BW285">
            <v>3159237.1988244001</v>
          </cell>
          <cell r="BX285">
            <v>3370413.5458254805</v>
          </cell>
          <cell r="BY285">
            <v>3266081.7171445102</v>
          </cell>
          <cell r="BZ285">
            <v>3680422.2557181921</v>
          </cell>
          <cell r="CA285">
            <v>3515394.0907785045</v>
          </cell>
          <cell r="CB285">
            <v>3065941.0702093444</v>
          </cell>
          <cell r="CC285">
            <v>3188466.8000968723</v>
          </cell>
          <cell r="CD285">
            <v>3066562.9817966414</v>
          </cell>
          <cell r="CE285">
            <v>0</v>
          </cell>
        </row>
        <row r="286">
          <cell r="BR286">
            <v>519241.44169683417</v>
          </cell>
          <cell r="BS286">
            <v>517792.72147182899</v>
          </cell>
          <cell r="BT286">
            <v>546257.46031236276</v>
          </cell>
          <cell r="BU286">
            <v>496691.12885422038</v>
          </cell>
          <cell r="BV286">
            <v>556097.3657622321</v>
          </cell>
          <cell r="BW286">
            <v>524405.96288920077</v>
          </cell>
          <cell r="BX286">
            <v>556499.47614329192</v>
          </cell>
          <cell r="BY286">
            <v>546992.58507852885</v>
          </cell>
          <cell r="BZ286">
            <v>563211.1824736062</v>
          </cell>
          <cell r="CA286">
            <v>575288.93952046824</v>
          </cell>
          <cell r="CB286">
            <v>521940.09533534345</v>
          </cell>
          <cell r="CC286">
            <v>550893.96566210699</v>
          </cell>
          <cell r="CD286">
            <v>519241.44169683417</v>
          </cell>
          <cell r="CE286">
            <v>0</v>
          </cell>
        </row>
        <row r="287">
          <cell r="BR287">
            <v>1902188.3875856276</v>
          </cell>
          <cell r="BS287">
            <v>1896713.2328896965</v>
          </cell>
          <cell r="BT287">
            <v>1998762.7110877649</v>
          </cell>
          <cell r="BU287">
            <v>1812660.5122951441</v>
          </cell>
          <cell r="BV287">
            <v>2044973.9453570289</v>
          </cell>
          <cell r="BW287">
            <v>1934325.6695846934</v>
          </cell>
          <cell r="BX287">
            <v>2051435.6097464242</v>
          </cell>
          <cell r="BY287">
            <v>2034680.2422364058</v>
          </cell>
          <cell r="BZ287">
            <v>2100193.7252263715</v>
          </cell>
          <cell r="CA287">
            <v>2134682.8023906159</v>
          </cell>
          <cell r="CB287">
            <v>1939903.2451075946</v>
          </cell>
          <cell r="CC287">
            <v>2014354.5312926706</v>
          </cell>
          <cell r="CD287">
            <v>1902188.3875856276</v>
          </cell>
          <cell r="CE287">
            <v>0</v>
          </cell>
        </row>
        <row r="288">
          <cell r="BR288">
            <v>2788695.0613562055</v>
          </cell>
          <cell r="BS288">
            <v>2780898.9069368993</v>
          </cell>
          <cell r="BT288">
            <v>2932655.5697997292</v>
          </cell>
          <cell r="BU288">
            <v>2664302.9772219518</v>
          </cell>
          <cell r="BV288">
            <v>2990023.4024577467</v>
          </cell>
          <cell r="BW288">
            <v>2822497.4988393728</v>
          </cell>
          <cell r="BX288">
            <v>2991661.3414560268</v>
          </cell>
          <cell r="BY288">
            <v>2941625.7665488054</v>
          </cell>
          <cell r="BZ288">
            <v>3026421.3147310298</v>
          </cell>
          <cell r="CA288">
            <v>3087695.406693608</v>
          </cell>
          <cell r="CB288">
            <v>2808644.072664205</v>
          </cell>
          <cell r="CC288">
            <v>2956303.3048945833</v>
          </cell>
          <cell r="CD288">
            <v>2788695.0613562055</v>
          </cell>
          <cell r="CE288">
            <v>0</v>
          </cell>
        </row>
        <row r="289">
          <cell r="BR289">
            <v>591300.97023510153</v>
          </cell>
          <cell r="BS289">
            <v>590013.94408156979</v>
          </cell>
          <cell r="BT289">
            <v>622361.83728781843</v>
          </cell>
          <cell r="BU289">
            <v>566446.16349277867</v>
          </cell>
          <cell r="BV289">
            <v>630750.72616422456</v>
          </cell>
          <cell r="BW289">
            <v>594515.60397069028</v>
          </cell>
          <cell r="BX289">
            <v>629016.14873591927</v>
          </cell>
          <cell r="BY289">
            <v>610341.14270159625</v>
          </cell>
          <cell r="BZ289">
            <v>625162.41647787194</v>
          </cell>
          <cell r="CA289">
            <v>640902.78208922653</v>
          </cell>
          <cell r="CB289">
            <v>585000.13350031408</v>
          </cell>
          <cell r="CC289">
            <v>627474.44586290943</v>
          </cell>
          <cell r="CD289">
            <v>591300.97023510153</v>
          </cell>
          <cell r="CE289">
            <v>0</v>
          </cell>
        </row>
        <row r="326">
          <cell r="BR326">
            <v>195698.16</v>
          </cell>
          <cell r="BS326">
            <v>218434.81</v>
          </cell>
          <cell r="BT326">
            <v>202171.15</v>
          </cell>
          <cell r="BU326">
            <v>192644.15</v>
          </cell>
          <cell r="BV326">
            <v>199173.98</v>
          </cell>
          <cell r="BW326">
            <v>197578.38</v>
          </cell>
          <cell r="BX326">
            <v>216990.47</v>
          </cell>
          <cell r="BY326">
            <v>310643.09000000003</v>
          </cell>
          <cell r="BZ326">
            <v>359810.86</v>
          </cell>
          <cell r="CA326">
            <v>342311.19</v>
          </cell>
          <cell r="CB326">
            <v>291163.2</v>
          </cell>
          <cell r="CC326">
            <v>182673.64</v>
          </cell>
          <cell r="CD326">
            <v>195698.16</v>
          </cell>
          <cell r="CE326">
            <v>0</v>
          </cell>
        </row>
        <row r="327">
          <cell r="BR327">
            <v>38159.29</v>
          </cell>
          <cell r="BS327">
            <v>35422.89</v>
          </cell>
          <cell r="BT327">
            <v>35524.21</v>
          </cell>
          <cell r="BU327">
            <v>33100.22</v>
          </cell>
          <cell r="BV327">
            <v>37824.6</v>
          </cell>
          <cell r="BW327">
            <v>37436.51</v>
          </cell>
          <cell r="BX327">
            <v>41945.8</v>
          </cell>
          <cell r="BY327">
            <v>52319</v>
          </cell>
          <cell r="BZ327">
            <v>51334.75</v>
          </cell>
          <cell r="CA327">
            <v>52372.19</v>
          </cell>
          <cell r="CB327">
            <v>48332.98</v>
          </cell>
          <cell r="CC327">
            <v>39120.79</v>
          </cell>
          <cell r="CD327">
            <v>38159.29</v>
          </cell>
          <cell r="CE327">
            <v>0</v>
          </cell>
        </row>
        <row r="328">
          <cell r="BR328">
            <v>88423.72</v>
          </cell>
          <cell r="BS328">
            <v>80119.53</v>
          </cell>
          <cell r="BT328">
            <v>79538.84</v>
          </cell>
          <cell r="BU328">
            <v>73707.55</v>
          </cell>
          <cell r="BV328">
            <v>84193.01</v>
          </cell>
          <cell r="BW328">
            <v>85475.64</v>
          </cell>
          <cell r="BX328">
            <v>98233.21</v>
          </cell>
          <cell r="BY328">
            <v>127653.97</v>
          </cell>
          <cell r="BZ328">
            <v>126334.1</v>
          </cell>
          <cell r="CA328">
            <v>128917.53</v>
          </cell>
          <cell r="CB328">
            <v>117550.52</v>
          </cell>
          <cell r="CC328">
            <v>87309.38</v>
          </cell>
          <cell r="CD328">
            <v>88423.72</v>
          </cell>
          <cell r="CE328">
            <v>0</v>
          </cell>
        </row>
        <row r="329">
          <cell r="BR329">
            <v>81177.56</v>
          </cell>
          <cell r="BS329">
            <v>73142.13</v>
          </cell>
          <cell r="BT329">
            <v>74099.460000000006</v>
          </cell>
          <cell r="BU329">
            <v>70145.59</v>
          </cell>
          <cell r="BV329">
            <v>80833.100000000006</v>
          </cell>
          <cell r="BW329">
            <v>80990.09</v>
          </cell>
          <cell r="BX329">
            <v>89527.57</v>
          </cell>
          <cell r="BY329">
            <v>119153.73</v>
          </cell>
          <cell r="BZ329">
            <v>115601.38</v>
          </cell>
          <cell r="CA329">
            <v>119766.95</v>
          </cell>
          <cell r="CB329">
            <v>105741.59</v>
          </cell>
          <cell r="CC329">
            <v>81169.53</v>
          </cell>
          <cell r="CD329">
            <v>81177.56</v>
          </cell>
          <cell r="CE329">
            <v>0</v>
          </cell>
        </row>
        <row r="330">
          <cell r="BR330">
            <v>9240.15</v>
          </cell>
          <cell r="BS330">
            <v>8317.08</v>
          </cell>
          <cell r="BT330">
            <v>8391.92</v>
          </cell>
          <cell r="BU330">
            <v>8368.7000000000007</v>
          </cell>
          <cell r="BV330">
            <v>8930.94</v>
          </cell>
          <cell r="BW330">
            <v>7970.27</v>
          </cell>
          <cell r="BX330">
            <v>9841.15</v>
          </cell>
          <cell r="BY330">
            <v>11275.11</v>
          </cell>
          <cell r="BZ330">
            <v>10469.42</v>
          </cell>
          <cell r="CA330">
            <v>11336.85</v>
          </cell>
          <cell r="CB330">
            <v>10391.39</v>
          </cell>
          <cell r="CC330">
            <v>8434.2900000000009</v>
          </cell>
          <cell r="CD330">
            <v>9240.15</v>
          </cell>
          <cell r="CE330">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Jul 2021"/>
      <sheetName val="Feb 2021"/>
      <sheetName val="Mar 2021"/>
      <sheetName val="Apr 2021"/>
      <sheetName val="May 2021"/>
      <sheetName val="Jun 2021"/>
      <sheetName val="Aug 2021"/>
      <sheetName val="Sep 2021"/>
      <sheetName val="Oct 2021"/>
      <sheetName val="Nov 2021"/>
      <sheetName val="Dec 2021"/>
      <sheetName val="Jan 2022"/>
      <sheetName val="Feb 2022"/>
      <sheetName val="Mar 2022"/>
      <sheetName val="Apr 2022"/>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8">
          <cell r="F38">
            <v>0</v>
          </cell>
        </row>
        <row r="39">
          <cell r="F39">
            <v>0</v>
          </cell>
        </row>
        <row r="43">
          <cell r="F43">
            <v>42.900000000000006</v>
          </cell>
        </row>
        <row r="44">
          <cell r="F44">
            <v>4.21</v>
          </cell>
        </row>
        <row r="45">
          <cell r="F45">
            <v>0</v>
          </cell>
        </row>
        <row r="46">
          <cell r="F46">
            <v>0</v>
          </cell>
        </row>
        <row r="47">
          <cell r="F47">
            <v>199.43</v>
          </cell>
        </row>
        <row r="52">
          <cell r="F52">
            <v>4702.9399999999996</v>
          </cell>
        </row>
        <row r="53">
          <cell r="F53">
            <v>-3257.7599999999998</v>
          </cell>
        </row>
        <row r="54">
          <cell r="F54">
            <v>-8085.21</v>
          </cell>
        </row>
        <row r="55">
          <cell r="F55">
            <v>-9367.7900000000009</v>
          </cell>
        </row>
        <row r="56">
          <cell r="F56">
            <v>-1788.43</v>
          </cell>
        </row>
        <row r="61">
          <cell r="F61">
            <v>99522.26999999999</v>
          </cell>
        </row>
        <row r="62">
          <cell r="F62">
            <v>19478.109999999997</v>
          </cell>
        </row>
        <row r="63">
          <cell r="F63">
            <v>42853.03</v>
          </cell>
        </row>
        <row r="64">
          <cell r="F64">
            <v>41485.949999999997</v>
          </cell>
        </row>
        <row r="65">
          <cell r="F65">
            <v>3552.38</v>
          </cell>
        </row>
        <row r="70">
          <cell r="F70">
            <v>10942.619999999999</v>
          </cell>
        </row>
        <row r="71">
          <cell r="F71">
            <v>-993.69</v>
          </cell>
        </row>
        <row r="72">
          <cell r="F72">
            <v>70337.25</v>
          </cell>
        </row>
        <row r="73">
          <cell r="F73">
            <v>73603.56</v>
          </cell>
        </row>
        <row r="74">
          <cell r="F74">
            <v>23032.73</v>
          </cell>
        </row>
        <row r="79">
          <cell r="F79">
            <v>544922.5</v>
          </cell>
        </row>
        <row r="80">
          <cell r="F80">
            <v>72115.399999999994</v>
          </cell>
        </row>
        <row r="81">
          <cell r="F81">
            <v>173018.43</v>
          </cell>
        </row>
        <row r="82">
          <cell r="F82">
            <v>291766.5</v>
          </cell>
        </row>
        <row r="83">
          <cell r="F83">
            <v>95677.16</v>
          </cell>
        </row>
        <row r="87">
          <cell r="F87">
            <v>-34094.86</v>
          </cell>
        </row>
        <row r="88">
          <cell r="F88">
            <v>-24227.24</v>
          </cell>
        </row>
        <row r="89">
          <cell r="F89">
            <v>47701.34</v>
          </cell>
        </row>
        <row r="90">
          <cell r="F90">
            <v>18736.38</v>
          </cell>
        </row>
        <row r="91">
          <cell r="F91">
            <v>-32601.11</v>
          </cell>
        </row>
        <row r="95">
          <cell r="F95">
            <v>288726.46000000002</v>
          </cell>
        </row>
        <row r="96">
          <cell r="F96">
            <v>27671.53</v>
          </cell>
        </row>
        <row r="97">
          <cell r="F97">
            <v>76807.25</v>
          </cell>
        </row>
        <row r="98">
          <cell r="F98">
            <v>70935.960000000006</v>
          </cell>
        </row>
        <row r="99">
          <cell r="F99">
            <v>4252.32</v>
          </cell>
        </row>
        <row r="103">
          <cell r="F103">
            <v>0</v>
          </cell>
        </row>
        <row r="104">
          <cell r="F104">
            <v>0</v>
          </cell>
        </row>
        <row r="105">
          <cell r="F105">
            <v>0</v>
          </cell>
        </row>
        <row r="106">
          <cell r="F106">
            <v>0</v>
          </cell>
        </row>
        <row r="107">
          <cell r="F107">
            <v>0</v>
          </cell>
        </row>
        <row r="123">
          <cell r="C123">
            <v>155290587.39690003</v>
          </cell>
        </row>
        <row r="124">
          <cell r="C124">
            <v>40050592.957300007</v>
          </cell>
        </row>
        <row r="125">
          <cell r="C125">
            <v>80849734.091200009</v>
          </cell>
        </row>
        <row r="126">
          <cell r="C126">
            <v>133836084.98889999</v>
          </cell>
        </row>
        <row r="127">
          <cell r="C127">
            <v>35435985.744899988</v>
          </cell>
        </row>
      </sheetData>
      <sheetData sheetId="23">
        <row r="38">
          <cell r="F38">
            <v>0</v>
          </cell>
        </row>
        <row r="39">
          <cell r="F39">
            <v>0</v>
          </cell>
        </row>
        <row r="43">
          <cell r="F43">
            <v>93.22</v>
          </cell>
        </row>
        <row r="44">
          <cell r="F44">
            <v>0.03</v>
          </cell>
        </row>
        <row r="45">
          <cell r="F45">
            <v>0</v>
          </cell>
        </row>
        <row r="46">
          <cell r="F46">
            <v>19.75</v>
          </cell>
        </row>
        <row r="47">
          <cell r="F47">
            <v>135.82</v>
          </cell>
        </row>
        <row r="52">
          <cell r="F52">
            <v>5619.3600000000006</v>
          </cell>
        </row>
        <row r="53">
          <cell r="F53">
            <v>-3519.98</v>
          </cell>
        </row>
        <row r="54">
          <cell r="F54">
            <v>-8483.35</v>
          </cell>
        </row>
        <row r="55">
          <cell r="F55">
            <v>-9896.1999999999989</v>
          </cell>
        </row>
        <row r="56">
          <cell r="F56">
            <v>-1751.22</v>
          </cell>
        </row>
        <row r="61">
          <cell r="F61">
            <v>119444.19</v>
          </cell>
        </row>
        <row r="62">
          <cell r="F62">
            <v>21558.480000000003</v>
          </cell>
        </row>
        <row r="63">
          <cell r="F63">
            <v>44970.66</v>
          </cell>
        </row>
        <row r="64">
          <cell r="F64">
            <v>44262.78</v>
          </cell>
        </row>
        <row r="65">
          <cell r="F65">
            <v>3509.69</v>
          </cell>
        </row>
        <row r="70">
          <cell r="F70">
            <v>13096.99</v>
          </cell>
        </row>
        <row r="71">
          <cell r="F71">
            <v>-881.33</v>
          </cell>
        </row>
        <row r="72">
          <cell r="F72">
            <v>73793.210000000006</v>
          </cell>
        </row>
        <row r="73">
          <cell r="F73">
            <v>78205.429999999993</v>
          </cell>
        </row>
        <row r="74">
          <cell r="F74">
            <v>22729.58</v>
          </cell>
        </row>
        <row r="79">
          <cell r="F79">
            <v>654437.12</v>
          </cell>
        </row>
        <row r="80">
          <cell r="F80">
            <v>79201.5</v>
          </cell>
        </row>
        <row r="81">
          <cell r="F81">
            <v>181473.59</v>
          </cell>
        </row>
        <row r="82">
          <cell r="F82">
            <v>309022.15999999997</v>
          </cell>
        </row>
        <row r="83">
          <cell r="F83">
            <v>94415.18</v>
          </cell>
        </row>
        <row r="87">
          <cell r="F87">
            <v>-40987.74</v>
          </cell>
        </row>
        <row r="88">
          <cell r="F88">
            <v>-26402.13</v>
          </cell>
        </row>
        <row r="89">
          <cell r="F89">
            <v>50040.3</v>
          </cell>
        </row>
        <row r="90">
          <cell r="F90">
            <v>19835.63</v>
          </cell>
        </row>
        <row r="91">
          <cell r="F91">
            <v>-32171.1</v>
          </cell>
        </row>
        <row r="95">
          <cell r="F95">
            <v>346773.24</v>
          </cell>
        </row>
        <row r="96">
          <cell r="F96">
            <v>30360.41</v>
          </cell>
        </row>
        <row r="97">
          <cell r="F97">
            <v>80555.039999999994</v>
          </cell>
        </row>
        <row r="98">
          <cell r="F98">
            <v>74978.33</v>
          </cell>
        </row>
        <row r="99">
          <cell r="F99">
            <v>4196.2299999999996</v>
          </cell>
        </row>
        <row r="103">
          <cell r="F103">
            <v>0</v>
          </cell>
        </row>
        <row r="104">
          <cell r="F104">
            <v>0</v>
          </cell>
        </row>
        <row r="105">
          <cell r="F105">
            <v>0</v>
          </cell>
        </row>
        <row r="106">
          <cell r="F106">
            <v>0</v>
          </cell>
        </row>
        <row r="107">
          <cell r="F107">
            <v>0</v>
          </cell>
        </row>
        <row r="123">
          <cell r="C123">
            <v>186474791.71129999</v>
          </cell>
        </row>
        <row r="124">
          <cell r="C124">
            <v>44001605.461200006</v>
          </cell>
        </row>
        <row r="125">
          <cell r="C125">
            <v>84805843.812199995</v>
          </cell>
        </row>
        <row r="126">
          <cell r="C126">
            <v>141945619.13149998</v>
          </cell>
        </row>
        <row r="127">
          <cell r="C127">
            <v>34968583.747999996</v>
          </cell>
        </row>
      </sheetData>
      <sheetData sheetId="24">
        <row r="38">
          <cell r="F38">
            <v>0</v>
          </cell>
        </row>
        <row r="39">
          <cell r="F39">
            <v>0</v>
          </cell>
        </row>
        <row r="43">
          <cell r="F43">
            <v>84.65</v>
          </cell>
        </row>
        <row r="44">
          <cell r="F44">
            <v>6.5600000000000005</v>
          </cell>
        </row>
        <row r="45">
          <cell r="F45">
            <v>-1.35</v>
          </cell>
        </row>
        <row r="46">
          <cell r="F46">
            <v>0</v>
          </cell>
        </row>
        <row r="47">
          <cell r="F47">
            <v>-280.7</v>
          </cell>
        </row>
        <row r="52">
          <cell r="F52">
            <v>7473.4800000000005</v>
          </cell>
        </row>
        <row r="53">
          <cell r="F53">
            <v>-4014.4</v>
          </cell>
        </row>
        <row r="54">
          <cell r="F54">
            <v>-9522.2000000000007</v>
          </cell>
        </row>
        <row r="55">
          <cell r="F55">
            <v>-10867.599999999999</v>
          </cell>
        </row>
        <row r="56">
          <cell r="F56">
            <v>-1807.67</v>
          </cell>
        </row>
        <row r="61">
          <cell r="F61">
            <v>158939.89000000001</v>
          </cell>
        </row>
        <row r="62">
          <cell r="F62">
            <v>24572.469999999998</v>
          </cell>
        </row>
        <row r="63">
          <cell r="F63">
            <v>50501.58</v>
          </cell>
        </row>
        <row r="64">
          <cell r="F64">
            <v>48128.639999999999</v>
          </cell>
        </row>
        <row r="65">
          <cell r="F65">
            <v>3625.64</v>
          </cell>
        </row>
        <row r="70">
          <cell r="F70">
            <v>17410.060000000001</v>
          </cell>
        </row>
        <row r="71">
          <cell r="F71">
            <v>-1211.48</v>
          </cell>
        </row>
        <row r="72">
          <cell r="F72">
            <v>82733.23</v>
          </cell>
        </row>
        <row r="73">
          <cell r="F73">
            <v>85423.94</v>
          </cell>
        </row>
        <row r="74">
          <cell r="F74">
            <v>23459.74</v>
          </cell>
        </row>
        <row r="79">
          <cell r="F79">
            <v>871068.04</v>
          </cell>
        </row>
        <row r="80">
          <cell r="F80">
            <v>91148.27</v>
          </cell>
        </row>
        <row r="81">
          <cell r="F81">
            <v>203211.49</v>
          </cell>
        </row>
        <row r="82">
          <cell r="F82">
            <v>338589.43</v>
          </cell>
        </row>
        <row r="83">
          <cell r="F83">
            <v>97448.15</v>
          </cell>
        </row>
        <row r="87">
          <cell r="F87">
            <v>-54566.42</v>
          </cell>
        </row>
        <row r="88">
          <cell r="F88">
            <v>-30648.93</v>
          </cell>
        </row>
        <row r="89">
          <cell r="F89">
            <v>56046.23</v>
          </cell>
        </row>
        <row r="90">
          <cell r="F90">
            <v>21744.28</v>
          </cell>
        </row>
        <row r="91">
          <cell r="F91">
            <v>-33204.559999999998</v>
          </cell>
        </row>
        <row r="95">
          <cell r="F95">
            <v>461581.05</v>
          </cell>
        </row>
        <row r="96">
          <cell r="F96">
            <v>34923.5</v>
          </cell>
        </row>
        <row r="97">
          <cell r="F97">
            <v>90143.71</v>
          </cell>
        </row>
        <row r="98">
          <cell r="F98">
            <v>82317.61</v>
          </cell>
        </row>
        <row r="99">
          <cell r="F99">
            <v>4331.03</v>
          </cell>
        </row>
        <row r="103">
          <cell r="F103">
            <v>2.39</v>
          </cell>
        </row>
        <row r="104">
          <cell r="F104">
            <v>0.14000000000000001</v>
          </cell>
        </row>
        <row r="105">
          <cell r="F105">
            <v>0</v>
          </cell>
        </row>
        <row r="106">
          <cell r="F106">
            <v>0</v>
          </cell>
        </row>
        <row r="107">
          <cell r="F107">
            <v>0</v>
          </cell>
        </row>
        <row r="123">
          <cell r="C123">
            <v>248191878.95329997</v>
          </cell>
        </row>
        <row r="124">
          <cell r="C124">
            <v>50685975.409699999</v>
          </cell>
        </row>
        <row r="125">
          <cell r="C125">
            <v>95006218.557700008</v>
          </cell>
        </row>
        <row r="126">
          <cell r="C126">
            <v>155316252.5379</v>
          </cell>
        </row>
        <row r="127">
          <cell r="C127">
            <v>36091908.232299998</v>
          </cell>
        </row>
      </sheetData>
      <sheetData sheetId="25">
        <row r="38">
          <cell r="F38">
            <v>0</v>
          </cell>
        </row>
        <row r="39">
          <cell r="F39">
            <v>0</v>
          </cell>
        </row>
        <row r="43">
          <cell r="F43">
            <v>-6.63</v>
          </cell>
        </row>
        <row r="44">
          <cell r="F44">
            <v>4.5500000000000007</v>
          </cell>
        </row>
        <row r="45">
          <cell r="F45">
            <v>0</v>
          </cell>
        </row>
        <row r="46">
          <cell r="F46">
            <v>0</v>
          </cell>
        </row>
        <row r="47">
          <cell r="F47">
            <v>311.74</v>
          </cell>
        </row>
        <row r="52">
          <cell r="F52">
            <v>5520.97</v>
          </cell>
        </row>
        <row r="53">
          <cell r="F53">
            <v>-3149.27</v>
          </cell>
        </row>
        <row r="54">
          <cell r="F54">
            <v>-7325.16</v>
          </cell>
        </row>
        <row r="55">
          <cell r="F55">
            <v>-8281.1999999999989</v>
          </cell>
        </row>
        <row r="56">
          <cell r="F56">
            <v>-1173.75</v>
          </cell>
        </row>
        <row r="61">
          <cell r="F61">
            <v>207805.73</v>
          </cell>
        </row>
        <row r="62">
          <cell r="F62">
            <v>34275.930000000008</v>
          </cell>
        </row>
        <row r="63">
          <cell r="F63">
            <v>68369.16</v>
          </cell>
        </row>
        <row r="64">
          <cell r="F64">
            <v>70204.349999999991</v>
          </cell>
        </row>
        <row r="65">
          <cell r="F65">
            <v>6982.75</v>
          </cell>
        </row>
        <row r="70">
          <cell r="F70">
            <v>-254.01999999999998</v>
          </cell>
        </row>
        <row r="71">
          <cell r="F71">
            <v>-5428.92</v>
          </cell>
        </row>
        <row r="72">
          <cell r="F72">
            <v>69353.289999999994</v>
          </cell>
        </row>
        <row r="73">
          <cell r="F73">
            <v>70462.700000000012</v>
          </cell>
        </row>
        <row r="74">
          <cell r="F74">
            <v>19056.240000000002</v>
          </cell>
        </row>
        <row r="79">
          <cell r="F79">
            <v>795885.01</v>
          </cell>
        </row>
        <row r="80">
          <cell r="F80">
            <v>93152.04</v>
          </cell>
        </row>
        <row r="81">
          <cell r="F81">
            <v>203480.42</v>
          </cell>
        </row>
        <row r="82">
          <cell r="F82">
            <v>342794.6</v>
          </cell>
        </row>
        <row r="83">
          <cell r="F83">
            <v>94189.07</v>
          </cell>
        </row>
        <row r="87">
          <cell r="F87">
            <v>-56044.04</v>
          </cell>
        </row>
        <row r="88">
          <cell r="F88">
            <v>-32297.31</v>
          </cell>
        </row>
        <row r="89">
          <cell r="F89">
            <v>45817.02</v>
          </cell>
        </row>
        <row r="90">
          <cell r="F90">
            <v>4572.67</v>
          </cell>
        </row>
        <row r="91">
          <cell r="F91">
            <v>-35241.53</v>
          </cell>
        </row>
        <row r="95">
          <cell r="F95">
            <v>509995.6</v>
          </cell>
        </row>
        <row r="96">
          <cell r="F96">
            <v>33075.93</v>
          </cell>
        </row>
        <row r="97">
          <cell r="F97">
            <v>84097.05</v>
          </cell>
        </row>
        <row r="98">
          <cell r="F98">
            <v>81149.94</v>
          </cell>
        </row>
        <row r="99">
          <cell r="F99">
            <v>2656.95</v>
          </cell>
        </row>
        <row r="103">
          <cell r="F103">
            <v>23864.6</v>
          </cell>
        </row>
        <row r="104">
          <cell r="F104">
            <v>2958.99</v>
          </cell>
        </row>
        <row r="105">
          <cell r="F105">
            <v>8327.06</v>
          </cell>
        </row>
        <row r="106">
          <cell r="F106">
            <v>13134.95</v>
          </cell>
        </row>
        <row r="107">
          <cell r="F107">
            <v>1975.56</v>
          </cell>
        </row>
        <row r="123">
          <cell r="C123">
            <v>239393096.39210007</v>
          </cell>
        </row>
        <row r="124">
          <cell r="C124">
            <v>50210251.284099996</v>
          </cell>
        </row>
        <row r="125">
          <cell r="C125">
            <v>91769625.66230002</v>
          </cell>
        </row>
        <row r="126">
          <cell r="C126">
            <v>150958059.02599999</v>
          </cell>
        </row>
        <row r="127">
          <cell r="C127">
            <v>33116594.028800003</v>
          </cell>
        </row>
      </sheetData>
      <sheetData sheetId="26">
        <row r="38">
          <cell r="F38">
            <v>0</v>
          </cell>
        </row>
        <row r="39">
          <cell r="F39">
            <v>0</v>
          </cell>
        </row>
        <row r="43">
          <cell r="F43">
            <v>-68.98</v>
          </cell>
        </row>
        <row r="44">
          <cell r="F44">
            <v>2.56</v>
          </cell>
        </row>
        <row r="45">
          <cell r="F45">
            <v>0</v>
          </cell>
        </row>
        <row r="46">
          <cell r="F46">
            <v>0</v>
          </cell>
        </row>
        <row r="47">
          <cell r="F47">
            <v>858.28</v>
          </cell>
        </row>
        <row r="52">
          <cell r="F52">
            <v>2173.2900000000004</v>
          </cell>
        </row>
        <row r="53">
          <cell r="F53">
            <v>-1490.29</v>
          </cell>
        </row>
        <row r="54">
          <cell r="F54">
            <v>-3604.06</v>
          </cell>
        </row>
        <row r="55">
          <cell r="F55">
            <v>-4502.9599999999991</v>
          </cell>
        </row>
        <row r="56">
          <cell r="F56">
            <v>-712.52</v>
          </cell>
        </row>
        <row r="61">
          <cell r="F61">
            <v>280229.81</v>
          </cell>
        </row>
        <row r="62">
          <cell r="F62">
            <v>52130.67</v>
          </cell>
        </row>
        <row r="63">
          <cell r="F63">
            <v>105404.96999999999</v>
          </cell>
        </row>
        <row r="64">
          <cell r="F64">
            <v>108050.09999999999</v>
          </cell>
        </row>
        <row r="65">
          <cell r="F65">
            <v>11070.82</v>
          </cell>
        </row>
        <row r="70">
          <cell r="F70">
            <v>-28449.94</v>
          </cell>
        </row>
        <row r="71">
          <cell r="F71">
            <v>-13401.51</v>
          </cell>
        </row>
        <row r="72">
          <cell r="F72">
            <v>47741.770000000004</v>
          </cell>
        </row>
        <row r="73">
          <cell r="F73">
            <v>49518.8</v>
          </cell>
        </row>
        <row r="74">
          <cell r="F74">
            <v>17171.129999999997</v>
          </cell>
        </row>
        <row r="79">
          <cell r="F79">
            <v>655024.71</v>
          </cell>
        </row>
        <row r="80">
          <cell r="F80">
            <v>97320.23</v>
          </cell>
        </row>
        <row r="81">
          <cell r="F81">
            <v>213500.57</v>
          </cell>
        </row>
        <row r="82">
          <cell r="F82">
            <v>363152.98</v>
          </cell>
        </row>
        <row r="83">
          <cell r="F83">
            <v>102687.65</v>
          </cell>
        </row>
        <row r="87">
          <cell r="F87">
            <v>-56936.18</v>
          </cell>
        </row>
        <row r="88">
          <cell r="F88">
            <v>-35749.14</v>
          </cell>
        </row>
        <row r="89">
          <cell r="F89">
            <v>28826.240000000002</v>
          </cell>
        </row>
        <row r="90">
          <cell r="F90">
            <v>-22509.48</v>
          </cell>
        </row>
        <row r="91">
          <cell r="F91">
            <v>-41555.870000000003</v>
          </cell>
        </row>
        <row r="95">
          <cell r="F95">
            <v>573782.88</v>
          </cell>
        </row>
        <row r="96">
          <cell r="F96">
            <v>29794.510000000002</v>
          </cell>
        </row>
        <row r="97">
          <cell r="F97">
            <v>76571.429999999993</v>
          </cell>
        </row>
        <row r="98">
          <cell r="F98">
            <v>82534.77</v>
          </cell>
        </row>
        <row r="99">
          <cell r="F99">
            <v>1373.75</v>
          </cell>
        </row>
        <row r="103">
          <cell r="F103">
            <v>61292.81</v>
          </cell>
        </row>
        <row r="104">
          <cell r="F104">
            <v>8438.1</v>
          </cell>
        </row>
        <row r="105">
          <cell r="F105">
            <v>24323.53</v>
          </cell>
        </row>
        <row r="106">
          <cell r="F106">
            <v>34514.54</v>
          </cell>
        </row>
        <row r="107">
          <cell r="F107">
            <v>4121.24</v>
          </cell>
        </row>
        <row r="123">
          <cell r="C123">
            <v>219055512.84030005</v>
          </cell>
        </row>
        <row r="124">
          <cell r="C124">
            <v>49654715.874099992</v>
          </cell>
        </row>
        <row r="125">
          <cell r="C125">
            <v>90084359.716999993</v>
          </cell>
        </row>
        <row r="126">
          <cell r="C126">
            <v>150063214.39480001</v>
          </cell>
        </row>
        <row r="127">
          <cell r="C127">
            <v>34343695.215500005</v>
          </cell>
        </row>
      </sheetData>
      <sheetData sheetId="27">
        <row r="38">
          <cell r="F38">
            <v>0</v>
          </cell>
        </row>
        <row r="39">
          <cell r="F39">
            <v>0</v>
          </cell>
        </row>
        <row r="43">
          <cell r="F43">
            <v>57.38</v>
          </cell>
        </row>
        <row r="44">
          <cell r="F44">
            <v>0</v>
          </cell>
        </row>
        <row r="45">
          <cell r="F45">
            <v>0</v>
          </cell>
        </row>
        <row r="46">
          <cell r="F46">
            <v>0</v>
          </cell>
        </row>
        <row r="47">
          <cell r="F47">
            <v>-284.77</v>
          </cell>
        </row>
        <row r="52">
          <cell r="F52">
            <v>1745.38</v>
          </cell>
        </row>
        <row r="53">
          <cell r="F53">
            <v>-1251.5700000000002</v>
          </cell>
        </row>
        <row r="54">
          <cell r="F54">
            <v>-3218.9700000000003</v>
          </cell>
        </row>
        <row r="55">
          <cell r="F55">
            <v>-4031.51</v>
          </cell>
        </row>
        <row r="56">
          <cell r="F56">
            <v>-676.14</v>
          </cell>
        </row>
        <row r="61">
          <cell r="F61">
            <v>222029.65000000002</v>
          </cell>
        </row>
        <row r="62">
          <cell r="F62">
            <v>44628.639999999999</v>
          </cell>
        </row>
        <row r="63">
          <cell r="F63">
            <v>93485.26</v>
          </cell>
        </row>
        <row r="64">
          <cell r="F64">
            <v>96858.94</v>
          </cell>
        </row>
        <row r="65">
          <cell r="F65">
            <v>10780.09</v>
          </cell>
        </row>
        <row r="70">
          <cell r="F70">
            <v>-22533.27</v>
          </cell>
        </row>
        <row r="71">
          <cell r="F71">
            <v>-11514.43</v>
          </cell>
        </row>
        <row r="72">
          <cell r="F72">
            <v>42559.98</v>
          </cell>
        </row>
        <row r="73">
          <cell r="F73">
            <v>44403.63</v>
          </cell>
        </row>
        <row r="74">
          <cell r="F74">
            <v>16815.72</v>
          </cell>
        </row>
        <row r="79">
          <cell r="F79">
            <v>518643.26</v>
          </cell>
        </row>
        <row r="80">
          <cell r="F80">
            <v>83028.53</v>
          </cell>
        </row>
        <row r="81">
          <cell r="F81">
            <v>189752.81</v>
          </cell>
        </row>
        <row r="82">
          <cell r="F82">
            <v>325626.65000000002</v>
          </cell>
        </row>
        <row r="83">
          <cell r="F83">
            <v>100558</v>
          </cell>
        </row>
        <row r="87">
          <cell r="F87">
            <v>-45093.27</v>
          </cell>
        </row>
        <row r="88">
          <cell r="F88">
            <v>-30521.14</v>
          </cell>
        </row>
        <row r="89">
          <cell r="F89">
            <v>25717.39</v>
          </cell>
        </row>
        <row r="90">
          <cell r="F90">
            <v>-20183.47</v>
          </cell>
        </row>
        <row r="91">
          <cell r="F91">
            <v>-40694.04</v>
          </cell>
        </row>
        <row r="95">
          <cell r="F95">
            <v>454408.01</v>
          </cell>
        </row>
        <row r="96">
          <cell r="F96">
            <v>25370.17</v>
          </cell>
        </row>
        <row r="97">
          <cell r="F97">
            <v>68113.460000000006</v>
          </cell>
        </row>
        <row r="98">
          <cell r="F98">
            <v>74006.06</v>
          </cell>
        </row>
        <row r="99">
          <cell r="F99">
            <v>1345.26</v>
          </cell>
        </row>
        <row r="103">
          <cell r="F103">
            <v>48554.49</v>
          </cell>
        </row>
        <row r="104">
          <cell r="F104">
            <v>7253.92</v>
          </cell>
        </row>
        <row r="105">
          <cell r="F105">
            <v>21539.05</v>
          </cell>
        </row>
        <row r="106">
          <cell r="F106">
            <v>30947.99</v>
          </cell>
        </row>
        <row r="107">
          <cell r="F107">
            <v>4035.77</v>
          </cell>
        </row>
        <row r="123">
          <cell r="C123">
            <v>173454440.35879999</v>
          </cell>
        </row>
        <row r="124">
          <cell r="C124">
            <v>42334133.756600007</v>
          </cell>
        </row>
        <row r="125">
          <cell r="C125">
            <v>80095667.133499995</v>
          </cell>
        </row>
        <row r="126">
          <cell r="C126">
            <v>134556465.63409999</v>
          </cell>
        </row>
        <row r="127">
          <cell r="C127">
            <v>33631438.950400002</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1"/>
      <sheetName val="Dec 2021"/>
      <sheetName val="Jan 2022"/>
      <sheetName val="Feb 2022"/>
      <sheetName val="Mar 2022"/>
      <sheetName val="Apr 2022"/>
    </sheetNames>
    <sheetDataSet>
      <sheetData sheetId="0">
        <row r="42">
          <cell r="E42">
            <v>9.0841999999999995E-4</v>
          </cell>
        </row>
      </sheetData>
      <sheetData sheetId="1">
        <row r="43">
          <cell r="E43">
            <v>9.1985999999999999E-4</v>
          </cell>
        </row>
      </sheetData>
      <sheetData sheetId="2">
        <row r="43">
          <cell r="E43">
            <v>9.2144000000000004E-4</v>
          </cell>
        </row>
      </sheetData>
      <sheetData sheetId="3">
        <row r="43">
          <cell r="E43">
            <v>9.6606999999999997E-4</v>
          </cell>
        </row>
      </sheetData>
      <sheetData sheetId="4">
        <row r="43">
          <cell r="E43">
            <v>1.1641399999999999E-3</v>
          </cell>
        </row>
      </sheetData>
      <sheetData sheetId="5">
        <row r="42">
          <cell r="E42">
            <v>1.33118E-3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1 12072021"/>
      <sheetName val="Input"/>
      <sheetName val="Program Descriptions"/>
    </sheetNames>
    <sheetDataSet>
      <sheetData sheetId="0">
        <row r="30">
          <cell r="N30">
            <v>546039.05000000005</v>
          </cell>
          <cell r="O30">
            <v>160249.20000000001</v>
          </cell>
          <cell r="P30">
            <v>59666.99</v>
          </cell>
          <cell r="Q30">
            <v>97175.71</v>
          </cell>
          <cell r="R30">
            <v>11116.589999999964</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1 01102022"/>
      <sheetName val="Input"/>
      <sheetName val="Program Descriptions"/>
    </sheetNames>
    <sheetDataSet>
      <sheetData sheetId="0">
        <row r="30">
          <cell r="N30">
            <v>584122.11</v>
          </cell>
          <cell r="O30">
            <v>48584.079999999994</v>
          </cell>
          <cell r="P30">
            <v>225279.65</v>
          </cell>
          <cell r="Q30">
            <v>389856.66000000003</v>
          </cell>
          <cell r="R30">
            <v>191392.11000000004</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workbookViewId="0">
      <pane xSplit="2" ySplit="3" topLeftCell="I4" activePane="bottomRight" state="frozen"/>
      <selection activeCell="J26" sqref="J26"/>
      <selection pane="topRight" activeCell="J26" sqref="J26"/>
      <selection pane="bottomLeft" activeCell="J26" sqref="J26"/>
      <selection pane="bottomRight" activeCell="O3" sqref="O3:U9"/>
    </sheetView>
  </sheetViews>
  <sheetFormatPr defaultRowHeight="15" outlineLevelCol="1" x14ac:dyDescent="0.25"/>
  <cols>
    <col min="2" max="2" width="25.140625" customWidth="1"/>
    <col min="3" max="3" width="16" bestFit="1" customWidth="1"/>
    <col min="4" max="4" width="15.5703125" customWidth="1"/>
    <col min="5" max="5" width="14.85546875" bestFit="1" customWidth="1"/>
    <col min="6" max="6" width="13.7109375" bestFit="1" customWidth="1"/>
    <col min="7" max="7" width="18.42578125" bestFit="1" customWidth="1"/>
    <col min="8" max="8" width="13.42578125" customWidth="1"/>
    <col min="9" max="9" width="3.5703125" customWidth="1"/>
    <col min="10" max="10" width="13.7109375" bestFit="1" customWidth="1"/>
    <col min="11" max="11" width="12.42578125" bestFit="1" customWidth="1"/>
    <col min="12" max="13" width="13.7109375" bestFit="1" customWidth="1"/>
    <col min="14" max="14" width="10.7109375" bestFit="1" customWidth="1"/>
    <col min="15" max="15" width="16" bestFit="1" customWidth="1" outlineLevel="1"/>
    <col min="16" max="16" width="19.28515625" customWidth="1" outlineLevel="1"/>
    <col min="17" max="17" width="16" style="46" customWidth="1" outlineLevel="1"/>
    <col min="18" max="18" width="9.140625" customWidth="1" outlineLevel="1"/>
    <col min="19" max="20" width="16" customWidth="1" outlineLevel="1"/>
    <col min="21" max="21" width="16" style="46" customWidth="1" outlineLevel="1"/>
    <col min="22" max="22" width="16" customWidth="1" outlineLevel="1"/>
    <col min="23" max="23" width="9.140625" customWidth="1" outlineLevel="1"/>
    <col min="24" max="27" width="16" bestFit="1" customWidth="1" outlineLevel="1"/>
    <col min="28" max="28" width="12" bestFit="1" customWidth="1"/>
  </cols>
  <sheetData>
    <row r="1" spans="1:28" x14ac:dyDescent="0.25">
      <c r="A1" s="3" t="str">
        <f>+'PPC Cycle 3'!A1</f>
        <v>Evergy Metro, Inc. - DSIM Rider Update Filed 06/01/2022</v>
      </c>
    </row>
    <row r="2" spans="1:28" ht="15.75" thickBot="1" x14ac:dyDescent="0.3">
      <c r="H2" s="46"/>
      <c r="I2" s="46"/>
      <c r="J2" s="48"/>
      <c r="K2" s="48"/>
    </row>
    <row r="3" spans="1:28" ht="27.75" thickBot="1" x14ac:dyDescent="0.3">
      <c r="B3" s="87" t="s">
        <v>7</v>
      </c>
      <c r="C3" s="130" t="s">
        <v>19</v>
      </c>
      <c r="D3" s="130" t="s">
        <v>20</v>
      </c>
      <c r="E3" s="130" t="s">
        <v>57</v>
      </c>
      <c r="F3" s="130" t="s">
        <v>21</v>
      </c>
      <c r="G3" s="130" t="s">
        <v>38</v>
      </c>
      <c r="H3" s="89" t="s">
        <v>28</v>
      </c>
      <c r="I3" s="39"/>
      <c r="J3" s="88" t="s">
        <v>13</v>
      </c>
      <c r="K3" s="89" t="s">
        <v>56</v>
      </c>
      <c r="L3" s="89" t="s">
        <v>72</v>
      </c>
      <c r="M3" s="89" t="s">
        <v>73</v>
      </c>
    </row>
    <row r="4" spans="1:28" ht="15.75" thickBot="1" x14ac:dyDescent="0.3">
      <c r="B4" s="90" t="s">
        <v>24</v>
      </c>
      <c r="C4" s="128">
        <f t="shared" ref="C4:F8" si="0">C13+C22</f>
        <v>7586570.2050000001</v>
      </c>
      <c r="D4" s="129">
        <f t="shared" si="0"/>
        <v>5080236.9899000004</v>
      </c>
      <c r="E4" s="129">
        <f t="shared" si="0"/>
        <v>37831.571150000091</v>
      </c>
      <c r="F4" s="129">
        <f t="shared" si="0"/>
        <v>-118221.40999999999</v>
      </c>
      <c r="G4" s="132">
        <f>+'PPC Cycle 3'!B5</f>
        <v>2634229106</v>
      </c>
      <c r="H4" s="133">
        <f>ROUND(SUM(C4:F4)/G4,5)</f>
        <v>4.7800000000000004E-3</v>
      </c>
      <c r="I4" s="134"/>
      <c r="J4" s="194">
        <f>ROUND((C13+C22)/G4,5)</f>
        <v>2.8800000000000002E-3</v>
      </c>
      <c r="K4" s="135">
        <f>ROUND((D13+D22)/G4,5)</f>
        <v>1.9300000000000001E-3</v>
      </c>
      <c r="L4" s="266">
        <f>ROUND((E13+E22)/G4,5)</f>
        <v>1.0000000000000001E-5</v>
      </c>
      <c r="M4" s="135">
        <f>ROUND((F13+F22)/G4,5)</f>
        <v>-4.0000000000000003E-5</v>
      </c>
      <c r="N4" s="227">
        <f>+H4-SUM(J4:M4)</f>
        <v>0</v>
      </c>
    </row>
    <row r="5" spans="1:28" ht="15.75" thickBot="1" x14ac:dyDescent="0.3">
      <c r="B5" s="90" t="s">
        <v>107</v>
      </c>
      <c r="C5" s="128">
        <f t="shared" si="0"/>
        <v>1269905.96</v>
      </c>
      <c r="D5" s="129">
        <f t="shared" si="0"/>
        <v>574438.6298</v>
      </c>
      <c r="E5" s="129">
        <f t="shared" si="0"/>
        <v>-69764.686389999988</v>
      </c>
      <c r="F5" s="129">
        <f t="shared" si="0"/>
        <v>0</v>
      </c>
      <c r="G5" s="132">
        <f>+'PPC Cycle 3'!B6</f>
        <v>572465658</v>
      </c>
      <c r="H5" s="133">
        <f>ROUND(SUM(C5:F5)/G5,5)</f>
        <v>3.0999999999999999E-3</v>
      </c>
      <c r="I5" s="134"/>
      <c r="J5" s="194">
        <f>ROUND((C14+C23)/G5,5)</f>
        <v>2.2200000000000002E-3</v>
      </c>
      <c r="K5" s="135">
        <f>ROUND((D14+D23)/G5,5)</f>
        <v>1E-3</v>
      </c>
      <c r="L5" s="266">
        <f>ROUND((E14+E23)/G5,5)</f>
        <v>-1.2E-4</v>
      </c>
      <c r="M5" s="135">
        <f>ROUND((F14+F23)/G5,5)</f>
        <v>0</v>
      </c>
      <c r="N5" s="227">
        <f t="shared" ref="N5:N8" si="1">+H5-SUM(J5:M5)</f>
        <v>0</v>
      </c>
      <c r="O5" s="265"/>
      <c r="P5" s="265"/>
      <c r="Q5" s="265"/>
      <c r="R5" s="265"/>
      <c r="S5" s="265"/>
      <c r="T5" s="265"/>
    </row>
    <row r="6" spans="1:28" s="46" customFormat="1" ht="15.75" thickBot="1" x14ac:dyDescent="0.3">
      <c r="B6" s="90" t="s">
        <v>108</v>
      </c>
      <c r="C6" s="128">
        <f t="shared" si="0"/>
        <v>2331198.81</v>
      </c>
      <c r="D6" s="129">
        <f t="shared" si="0"/>
        <v>1327422.23755</v>
      </c>
      <c r="E6" s="129">
        <f t="shared" si="0"/>
        <v>569750.03581000003</v>
      </c>
      <c r="F6" s="129">
        <f t="shared" si="0"/>
        <v>0</v>
      </c>
      <c r="G6" s="132">
        <f>+'PPC Cycle 3'!B7</f>
        <v>1148522955</v>
      </c>
      <c r="H6" s="133">
        <f>ROUND(SUM(C6:F6)/G6,5)</f>
        <v>3.6800000000000001E-3</v>
      </c>
      <c r="I6" s="134"/>
      <c r="J6" s="289">
        <f>ROUND((C15+C24)/G6,5)</f>
        <v>2.0300000000000001E-3</v>
      </c>
      <c r="K6" s="299">
        <f>ROUND((D15+D24)/G6,5)-0.00001</f>
        <v>1.15E-3</v>
      </c>
      <c r="L6" s="266">
        <f>ROUND((E15+E24)/G6,5)</f>
        <v>5.0000000000000001E-4</v>
      </c>
      <c r="M6" s="135">
        <f>ROUND((F15+F24)/G6,5)</f>
        <v>0</v>
      </c>
      <c r="N6" s="227">
        <f t="shared" si="1"/>
        <v>0</v>
      </c>
      <c r="O6" s="265"/>
      <c r="P6" s="265"/>
      <c r="Q6" s="265"/>
      <c r="R6" s="265"/>
      <c r="S6" s="265"/>
      <c r="T6" s="265"/>
    </row>
    <row r="7" spans="1:28" s="46" customFormat="1" ht="15.75" thickBot="1" x14ac:dyDescent="0.3">
      <c r="B7" s="90" t="s">
        <v>109</v>
      </c>
      <c r="C7" s="128">
        <f t="shared" si="0"/>
        <v>3005120.5500000007</v>
      </c>
      <c r="D7" s="129">
        <f t="shared" si="0"/>
        <v>1291599.524</v>
      </c>
      <c r="E7" s="129">
        <f t="shared" si="0"/>
        <v>605386.69439999992</v>
      </c>
      <c r="F7" s="129">
        <f t="shared" si="0"/>
        <v>0</v>
      </c>
      <c r="G7" s="132">
        <f>+'PPC Cycle 3'!B8</f>
        <v>1827312277</v>
      </c>
      <c r="H7" s="133">
        <f>ROUND(SUM(C7:F7)/G7,5)</f>
        <v>2.6800000000000001E-3</v>
      </c>
      <c r="I7" s="134"/>
      <c r="J7" s="289">
        <f>ROUND((C16+C25)/G7,5)</f>
        <v>1.64E-3</v>
      </c>
      <c r="K7" s="135">
        <f>ROUND((D16+D25)/G7,5)</f>
        <v>7.1000000000000002E-4</v>
      </c>
      <c r="L7" s="266">
        <f>ROUND((E16+E25)/G7,5)</f>
        <v>3.3E-4</v>
      </c>
      <c r="M7" s="135">
        <f>ROUND((F16+F25)/G7,5)</f>
        <v>0</v>
      </c>
      <c r="N7" s="227">
        <f t="shared" si="1"/>
        <v>0</v>
      </c>
      <c r="O7" s="265"/>
      <c r="P7" s="265"/>
      <c r="Q7" s="265"/>
      <c r="R7" s="265"/>
      <c r="S7" s="265"/>
      <c r="T7" s="265"/>
    </row>
    <row r="8" spans="1:28" s="46" customFormat="1" ht="15.75" thickBot="1" x14ac:dyDescent="0.3">
      <c r="B8" s="90" t="s">
        <v>110</v>
      </c>
      <c r="C8" s="128">
        <f t="shared" si="0"/>
        <v>231366.58000000042</v>
      </c>
      <c r="D8" s="129">
        <f t="shared" si="0"/>
        <v>109482.56212</v>
      </c>
      <c r="E8" s="129">
        <f t="shared" si="0"/>
        <v>212137.98635999998</v>
      </c>
      <c r="F8" s="129">
        <f t="shared" si="0"/>
        <v>0</v>
      </c>
      <c r="G8" s="132">
        <f>+'PPC Cycle 3'!B9</f>
        <v>488345855</v>
      </c>
      <c r="H8" s="133">
        <f>ROUND(SUM(C8:F8)/G8,5)</f>
        <v>1.1299999999999999E-3</v>
      </c>
      <c r="I8" s="134"/>
      <c r="J8" s="296">
        <f>ROUND((C17+C26)/G8,5)+0.00001</f>
        <v>4.8000000000000001E-4</v>
      </c>
      <c r="K8" s="135">
        <f>ROUND((D17+D26)/G8,5)</f>
        <v>2.2000000000000001E-4</v>
      </c>
      <c r="L8" s="266">
        <f>ROUND((E17+E26)/G8,5)</f>
        <v>4.2999999999999999E-4</v>
      </c>
      <c r="M8" s="135">
        <f>ROUND((F17+F26)/G8,5)</f>
        <v>0</v>
      </c>
      <c r="N8" s="227">
        <f t="shared" si="1"/>
        <v>0</v>
      </c>
      <c r="O8" s="265"/>
      <c r="P8" s="265"/>
      <c r="Q8" s="265"/>
      <c r="R8" s="265"/>
      <c r="S8" s="265"/>
      <c r="T8" s="265"/>
    </row>
    <row r="9" spans="1:28" x14ac:dyDescent="0.25">
      <c r="C9" s="127"/>
      <c r="D9" s="127"/>
      <c r="E9" s="127"/>
      <c r="F9" s="127"/>
      <c r="G9" s="126"/>
    </row>
    <row r="10" spans="1:28" x14ac:dyDescent="0.25">
      <c r="C10" s="127"/>
      <c r="D10" s="127"/>
      <c r="E10" s="127"/>
      <c r="F10" s="127"/>
      <c r="G10" s="126"/>
      <c r="H10" s="284"/>
      <c r="I10" s="151"/>
      <c r="J10" s="284"/>
      <c r="K10" s="284"/>
      <c r="L10" s="284"/>
      <c r="M10" s="284"/>
    </row>
    <row r="11" spans="1:28" ht="15.75" thickBot="1" x14ac:dyDescent="0.3">
      <c r="C11" s="127"/>
      <c r="D11" s="127"/>
      <c r="E11" s="127"/>
      <c r="F11" s="127"/>
      <c r="G11" s="126"/>
      <c r="H11" s="285"/>
      <c r="I11" s="286"/>
      <c r="J11" s="285"/>
      <c r="K11" s="285"/>
      <c r="L11" s="285"/>
      <c r="M11" s="285"/>
    </row>
    <row r="12" spans="1:28" ht="15.75" thickBot="1" x14ac:dyDescent="0.3">
      <c r="B12" s="87" t="s">
        <v>7</v>
      </c>
      <c r="C12" s="131" t="s">
        <v>6</v>
      </c>
      <c r="D12" s="131" t="s">
        <v>16</v>
      </c>
      <c r="E12" s="131" t="s">
        <v>58</v>
      </c>
      <c r="F12" s="131" t="s">
        <v>17</v>
      </c>
      <c r="G12" s="126"/>
      <c r="H12" s="285"/>
      <c r="I12" s="286"/>
      <c r="J12" s="285"/>
      <c r="K12" s="285"/>
      <c r="L12" s="285"/>
      <c r="M12" s="285"/>
      <c r="O12" s="131" t="s">
        <v>74</v>
      </c>
      <c r="P12" s="131" t="s">
        <v>75</v>
      </c>
      <c r="Q12" s="131" t="s">
        <v>82</v>
      </c>
      <c r="R12" s="46"/>
      <c r="S12" s="131" t="s">
        <v>76</v>
      </c>
      <c r="T12" s="131" t="s">
        <v>77</v>
      </c>
      <c r="U12" s="131" t="s">
        <v>103</v>
      </c>
      <c r="V12" s="131" t="s">
        <v>93</v>
      </c>
      <c r="X12" s="131" t="s">
        <v>115</v>
      </c>
      <c r="Y12" s="131" t="s">
        <v>116</v>
      </c>
      <c r="Z12" s="131" t="s">
        <v>117</v>
      </c>
      <c r="AA12" s="131" t="s">
        <v>118</v>
      </c>
    </row>
    <row r="13" spans="1:28" ht="15.75" thickBot="1" x14ac:dyDescent="0.3">
      <c r="B13" s="90" t="s">
        <v>24</v>
      </c>
      <c r="C13" s="129">
        <f>+'PPC Cycle 3'!C5</f>
        <v>8341311.3000000007</v>
      </c>
      <c r="D13" s="129">
        <f>'PTD Cycle 2'!C6+'PTD Cycle 3'!C6</f>
        <v>5161987.91</v>
      </c>
      <c r="E13" s="129">
        <f>+'EO Cycle 2'!G7+'EO Cycle 3'!G7</f>
        <v>-173763.47999999992</v>
      </c>
      <c r="F13" s="128">
        <f>+'OA Cycle 2'!D8</f>
        <v>-118221.40999999999</v>
      </c>
      <c r="G13" s="126"/>
      <c r="H13" s="285"/>
      <c r="I13" s="286"/>
      <c r="J13" s="285"/>
      <c r="K13" s="285"/>
      <c r="L13" s="285"/>
      <c r="M13" s="285"/>
      <c r="O13" s="183">
        <v>0</v>
      </c>
      <c r="P13" s="183">
        <v>0</v>
      </c>
      <c r="Q13" s="226">
        <v>0</v>
      </c>
      <c r="R13" s="158"/>
      <c r="S13" s="190">
        <v>0</v>
      </c>
      <c r="T13" s="190">
        <f>ROUND(+'PTD Cycle 2'!C6/'tariff tables'!G4,5)</f>
        <v>5.1999999999999995E-4</v>
      </c>
      <c r="U13" s="190">
        <f>ROUND('EO Cycle 2'!G7/'tariff tables'!G4,5)</f>
        <v>-2.4000000000000001E-4</v>
      </c>
      <c r="V13" s="190">
        <f>ROUND('OA Cycle 2'!D8/'tariff tables'!G4,5)</f>
        <v>-4.0000000000000003E-5</v>
      </c>
      <c r="W13" s="291"/>
      <c r="X13" s="190">
        <f>ROUND('PPC Cycle 3'!C5/'tariff tables'!$G4,5)</f>
        <v>3.1700000000000001E-3</v>
      </c>
      <c r="Y13" s="297">
        <f>ROUND('PTD Cycle 3'!C6/'tariff tables'!G4,5)+0.00001</f>
        <v>1.4500000000000001E-3</v>
      </c>
      <c r="Z13" s="297">
        <f>ROUND('EO Cycle 3'!G7/'tariff tables'!G4,5)-0.00001</f>
        <v>1.7000000000000001E-4</v>
      </c>
      <c r="AA13" s="190">
        <f>ROUND(0/'tariff tables'!G4,5)</f>
        <v>0</v>
      </c>
      <c r="AB13" s="158">
        <f>SUM(O13:AA13,O22:AA22)</f>
        <v>4.7799999999999995E-3</v>
      </c>
    </row>
    <row r="14" spans="1:28" ht="15.75" thickBot="1" x14ac:dyDescent="0.3">
      <c r="B14" s="90" t="s">
        <v>107</v>
      </c>
      <c r="C14" s="129">
        <f>+'PPC Cycle 3'!C6</f>
        <v>1227937.97</v>
      </c>
      <c r="D14" s="129">
        <f>'PTD Cycle 2'!C10+'PTD Cycle 3'!C7</f>
        <v>688423.05</v>
      </c>
      <c r="E14" s="129">
        <f>+'EO Cycle 2'!G11+'EO Cycle 3'!G11</f>
        <v>-140464.62</v>
      </c>
      <c r="F14" s="128">
        <f>+'OA Cycle 2'!B13</f>
        <v>0</v>
      </c>
      <c r="G14" s="126"/>
      <c r="H14" s="285"/>
      <c r="I14" s="286"/>
      <c r="J14" s="287"/>
      <c r="K14" s="285"/>
      <c r="L14" s="285"/>
      <c r="M14" s="285"/>
      <c r="O14" s="183">
        <v>0</v>
      </c>
      <c r="P14" s="183">
        <v>0</v>
      </c>
      <c r="Q14" s="226">
        <v>0</v>
      </c>
      <c r="R14" s="158"/>
      <c r="S14" s="190">
        <v>0</v>
      </c>
      <c r="T14" s="245">
        <f>ROUND(+'PTD Cycle 2'!C10/'tariff tables'!G5,5)</f>
        <v>4.0000000000000002E-4</v>
      </c>
      <c r="U14" s="243">
        <f>ROUND('EO Cycle 2'!G11/'tariff tables'!G5,5)</f>
        <v>-3.5E-4</v>
      </c>
      <c r="V14" s="245">
        <f>ROUND('OA Cycle 2'!B13/'tariff tables'!G5,5)</f>
        <v>0</v>
      </c>
      <c r="W14" s="291"/>
      <c r="X14" s="297">
        <f>ROUND('PPC Cycle 3'!C6/'tariff tables'!$G5,5)+0.00001</f>
        <v>2.15E-3</v>
      </c>
      <c r="Y14" s="190">
        <f>ROUND('PTD Cycle 3'!C7/'tariff tables'!G5,5)</f>
        <v>8.0000000000000004E-4</v>
      </c>
      <c r="Z14" s="190">
        <f>ROUND('EO Cycle 3'!G11/'tariff tables'!G5,5)</f>
        <v>1E-4</v>
      </c>
      <c r="AA14" s="190">
        <f>ROUND(0/'tariff tables'!G5,5)</f>
        <v>0</v>
      </c>
      <c r="AB14" s="158">
        <f t="shared" ref="AB14:AB17" si="2">SUM(O14:AA14,O23:AA23)</f>
        <v>3.0999999999999995E-3</v>
      </c>
    </row>
    <row r="15" spans="1:28" s="46" customFormat="1" ht="15.75" thickBot="1" x14ac:dyDescent="0.3">
      <c r="B15" s="90" t="s">
        <v>108</v>
      </c>
      <c r="C15" s="129">
        <f>+'PPC Cycle 3'!C7</f>
        <v>2644127.02</v>
      </c>
      <c r="D15" s="129">
        <f>'PTD Cycle 2'!C11+'PTD Cycle 3'!C8</f>
        <v>1321560.71</v>
      </c>
      <c r="E15" s="129">
        <f>+'EO Cycle 2'!G12+'EO Cycle 3'!G12</f>
        <v>362656.28</v>
      </c>
      <c r="F15" s="128">
        <f>+'OA Cycle 2'!B14</f>
        <v>0</v>
      </c>
      <c r="G15" s="126"/>
      <c r="H15" s="285"/>
      <c r="I15" s="286"/>
      <c r="J15" s="285"/>
      <c r="K15" s="285"/>
      <c r="L15" s="288"/>
      <c r="M15" s="285"/>
      <c r="O15" s="183">
        <v>0</v>
      </c>
      <c r="P15" s="183">
        <v>0</v>
      </c>
      <c r="Q15" s="226">
        <v>0</v>
      </c>
      <c r="R15" s="158"/>
      <c r="S15" s="190">
        <v>0</v>
      </c>
      <c r="T15" s="245">
        <f>ROUND(+'PTD Cycle 2'!C11/'tariff tables'!G6,5)</f>
        <v>4.8000000000000001E-4</v>
      </c>
      <c r="U15" s="243">
        <f>ROUND('EO Cycle 2'!G12/'tariff tables'!G6,5)</f>
        <v>1.2999999999999999E-4</v>
      </c>
      <c r="V15" s="245">
        <f>ROUND('OA Cycle 2'!B14/'tariff tables'!G6,5)</f>
        <v>0</v>
      </c>
      <c r="W15" s="291"/>
      <c r="X15" s="190">
        <f>ROUND('PPC Cycle 3'!C7/'tariff tables'!$G6,5)</f>
        <v>2.3E-3</v>
      </c>
      <c r="Y15" s="190">
        <f>ROUND('PTD Cycle 3'!C8/'tariff tables'!G6,5)</f>
        <v>6.7000000000000002E-4</v>
      </c>
      <c r="Z15" s="297">
        <f>ROUND('EO Cycle 3'!G12/'tariff tables'!G6,5)+0.00001</f>
        <v>1.9000000000000001E-4</v>
      </c>
      <c r="AA15" s="190">
        <f>ROUND(0/'tariff tables'!G6,5)</f>
        <v>0</v>
      </c>
      <c r="AB15" s="158">
        <f t="shared" si="2"/>
        <v>3.6800000000000001E-3</v>
      </c>
    </row>
    <row r="16" spans="1:28" s="46" customFormat="1" ht="15.75" thickBot="1" x14ac:dyDescent="0.3">
      <c r="B16" s="90" t="s">
        <v>109</v>
      </c>
      <c r="C16" s="129">
        <f>+'PPC Cycle 3'!C8</f>
        <v>4254657.7300000004</v>
      </c>
      <c r="D16" s="129">
        <f>'PTD Cycle 2'!C12+'PTD Cycle 3'!C9</f>
        <v>1269868.03</v>
      </c>
      <c r="E16" s="129">
        <f>+'EO Cycle 2'!G13+'EO Cycle 3'!G13</f>
        <v>367050.58999999997</v>
      </c>
      <c r="F16" s="128">
        <f>+'OA Cycle 2'!B15</f>
        <v>0</v>
      </c>
      <c r="G16" s="126"/>
      <c r="H16" s="17"/>
      <c r="I16" s="17"/>
      <c r="J16" s="156"/>
      <c r="K16" s="17"/>
      <c r="L16" s="17"/>
      <c r="M16" s="17"/>
      <c r="O16" s="183">
        <v>0</v>
      </c>
      <c r="P16" s="183">
        <v>0</v>
      </c>
      <c r="Q16" s="243">
        <v>0</v>
      </c>
      <c r="R16" s="244"/>
      <c r="S16" s="190">
        <v>0</v>
      </c>
      <c r="T16" s="245">
        <f>ROUND(+'PTD Cycle 2'!C12/'tariff tables'!G7,5)</f>
        <v>2.7999999999999998E-4</v>
      </c>
      <c r="U16" s="243">
        <f>ROUND('EO Cycle 2'!G13/'tariff tables'!G7,5)</f>
        <v>5.0000000000000002E-5</v>
      </c>
      <c r="V16" s="245">
        <f>ROUND('OA Cycle 2'!B15/'tariff tables'!G7,5)</f>
        <v>0</v>
      </c>
      <c r="W16" s="291"/>
      <c r="X16" s="190">
        <f>ROUND('PPC Cycle 3'!C8/'tariff tables'!$G7,5)</f>
        <v>2.33E-3</v>
      </c>
      <c r="Y16" s="190">
        <f>ROUND('PTD Cycle 3'!C9/'tariff tables'!G7,5)</f>
        <v>4.2000000000000002E-4</v>
      </c>
      <c r="Z16" s="190">
        <f>ROUND('EO Cycle 3'!G13/'tariff tables'!G7,5)</f>
        <v>1.4999999999999999E-4</v>
      </c>
      <c r="AA16" s="190">
        <f>ROUND(0/'tariff tables'!G7,5)</f>
        <v>0</v>
      </c>
      <c r="AB16" s="158">
        <f t="shared" si="2"/>
        <v>2.6800000000000001E-3</v>
      </c>
    </row>
    <row r="17" spans="2:28" s="46" customFormat="1" ht="15.75" thickBot="1" x14ac:dyDescent="0.3">
      <c r="B17" s="90" t="s">
        <v>110</v>
      </c>
      <c r="C17" s="129">
        <f>+'PPC Cycle 3'!C9</f>
        <v>950736.68</v>
      </c>
      <c r="D17" s="129">
        <f>'PTD Cycle 2'!C13+'PTD Cycle 3'!C10</f>
        <v>103496.65</v>
      </c>
      <c r="E17" s="129">
        <f>+'EO Cycle 2'!G14+'EO Cycle 3'!G14</f>
        <v>159859.09</v>
      </c>
      <c r="F17" s="128">
        <f>+'OA Cycle 2'!B16</f>
        <v>0</v>
      </c>
      <c r="G17" s="126"/>
      <c r="J17" s="156"/>
      <c r="K17" s="17"/>
      <c r="O17" s="183">
        <v>0</v>
      </c>
      <c r="P17" s="183">
        <v>0</v>
      </c>
      <c r="Q17" s="243">
        <v>0</v>
      </c>
      <c r="R17" s="244"/>
      <c r="S17" s="190">
        <v>0</v>
      </c>
      <c r="T17" s="245">
        <f>ROUND(+'PTD Cycle 2'!C13/'tariff tables'!G8,5)</f>
        <v>1E-4</v>
      </c>
      <c r="U17" s="245">
        <f>ROUND('EO Cycle 2'!G14/'tariff tables'!G8,5)</f>
        <v>2.5000000000000001E-4</v>
      </c>
      <c r="V17" s="245">
        <f>ROUND('OA Cycle 2'!B16/'tariff tables'!G8,5)</f>
        <v>0</v>
      </c>
      <c r="W17" s="291"/>
      <c r="X17" s="190">
        <f>ROUND('PPC Cycle 3'!C9/'tariff tables'!$G8,5)</f>
        <v>1.9499999999999999E-3</v>
      </c>
      <c r="Y17" s="297">
        <f>ROUND('PTD Cycle 3'!C10/'tariff tables'!G8,5)-0.00001</f>
        <v>1E-4</v>
      </c>
      <c r="Z17" s="297">
        <f>ROUND('EO Cycle 3'!G14/'tariff tables'!G8,5)-0.00001</f>
        <v>7.0000000000000007E-5</v>
      </c>
      <c r="AA17" s="190">
        <f>ROUND(0/'tariff tables'!G8,5)</f>
        <v>0</v>
      </c>
      <c r="AB17" s="158">
        <f t="shared" si="2"/>
        <v>1.1299999999999997E-3</v>
      </c>
    </row>
    <row r="18" spans="2:28" x14ac:dyDescent="0.25">
      <c r="C18" s="127"/>
      <c r="D18" s="127"/>
      <c r="E18" s="127"/>
      <c r="F18" s="127"/>
      <c r="G18" s="126"/>
      <c r="J18" s="17"/>
      <c r="K18" s="17"/>
      <c r="O18" s="184"/>
      <c r="P18" s="184"/>
      <c r="Q18" s="246"/>
      <c r="R18" s="244"/>
      <c r="S18" s="244"/>
      <c r="T18" s="244"/>
      <c r="U18" s="244"/>
      <c r="V18" s="244"/>
      <c r="W18" s="291"/>
      <c r="X18" s="244"/>
      <c r="Y18" s="244"/>
      <c r="Z18" s="244"/>
      <c r="AA18" s="244"/>
    </row>
    <row r="19" spans="2:28" x14ac:dyDescent="0.25">
      <c r="C19" s="127"/>
      <c r="D19" s="127"/>
      <c r="E19" s="127"/>
      <c r="F19" s="127"/>
      <c r="G19" s="126"/>
      <c r="J19" s="17"/>
      <c r="K19" s="17"/>
      <c r="O19" s="184"/>
      <c r="P19" s="184"/>
      <c r="Q19" s="246"/>
      <c r="R19" s="244"/>
      <c r="S19" s="244"/>
      <c r="T19" s="244"/>
      <c r="U19" s="244"/>
      <c r="V19" s="244"/>
      <c r="W19" s="291"/>
      <c r="X19" s="244"/>
      <c r="Y19" s="244"/>
      <c r="Z19" s="244"/>
      <c r="AA19" s="244"/>
    </row>
    <row r="20" spans="2:28" ht="15.75" thickBot="1" x14ac:dyDescent="0.3">
      <c r="C20" s="127"/>
      <c r="D20" s="127"/>
      <c r="E20" s="127"/>
      <c r="F20" s="127"/>
      <c r="G20" s="126"/>
      <c r="J20" s="17"/>
      <c r="K20" s="17"/>
      <c r="O20" s="184"/>
      <c r="P20" s="184"/>
      <c r="Q20" s="246"/>
      <c r="R20" s="244"/>
      <c r="S20" s="244"/>
      <c r="T20" s="244"/>
      <c r="U20" s="244"/>
      <c r="V20" s="244"/>
      <c r="W20" s="291"/>
      <c r="X20" s="244"/>
      <c r="Y20" s="244"/>
      <c r="Z20" s="244"/>
      <c r="AA20" s="244"/>
    </row>
    <row r="21" spans="2:28" ht="15.75" thickBot="1" x14ac:dyDescent="0.3">
      <c r="B21" s="87" t="s">
        <v>7</v>
      </c>
      <c r="C21" s="131" t="s">
        <v>4</v>
      </c>
      <c r="D21" s="131" t="s">
        <v>9</v>
      </c>
      <c r="E21" s="131" t="s">
        <v>59</v>
      </c>
      <c r="F21" s="131" t="s">
        <v>18</v>
      </c>
      <c r="G21" s="126"/>
      <c r="O21" s="185" t="s">
        <v>78</v>
      </c>
      <c r="P21" s="185" t="s">
        <v>79</v>
      </c>
      <c r="Q21" s="247" t="s">
        <v>83</v>
      </c>
      <c r="R21" s="244"/>
      <c r="S21" s="248" t="s">
        <v>80</v>
      </c>
      <c r="T21" s="248" t="s">
        <v>81</v>
      </c>
      <c r="U21" s="247" t="s">
        <v>106</v>
      </c>
      <c r="V21" s="248" t="s">
        <v>94</v>
      </c>
      <c r="W21" s="291"/>
      <c r="X21" s="248" t="s">
        <v>119</v>
      </c>
      <c r="Y21" s="248" t="s">
        <v>120</v>
      </c>
      <c r="Z21" s="247" t="s">
        <v>121</v>
      </c>
      <c r="AA21" s="248" t="s">
        <v>122</v>
      </c>
    </row>
    <row r="22" spans="2:28" ht="15.75" thickBot="1" x14ac:dyDescent="0.3">
      <c r="B22" s="90" t="s">
        <v>24</v>
      </c>
      <c r="C22" s="129">
        <f>+'PCR Cycle 3'!K4+'PCR Cycle 2'!K4</f>
        <v>-754741.09500000067</v>
      </c>
      <c r="D22" s="129">
        <f>'TDR Cycle 3'!K4+'TDR Cycle 2'!K4</f>
        <v>-81750.920099999814</v>
      </c>
      <c r="E22" s="129">
        <f>+'EOR Cycle 2'!J4+'EOR Cycle 3'!J4</f>
        <v>211595.05115000001</v>
      </c>
      <c r="F22" s="128">
        <f>+'OAR Cycle 2'!I4</f>
        <v>0</v>
      </c>
      <c r="G22" s="126"/>
      <c r="O22" s="183">
        <v>0</v>
      </c>
      <c r="P22" s="183">
        <v>0</v>
      </c>
      <c r="Q22" s="245">
        <v>0</v>
      </c>
      <c r="R22" s="244"/>
      <c r="S22" s="190">
        <f>ROUND(+'PCR Cycle 2'!K4/'tariff tables'!G4,5)</f>
        <v>0</v>
      </c>
      <c r="T22" s="190">
        <f>ROUND(+'TDR Cycle 2'!K4/'tariff tables'!G4,5)</f>
        <v>1.7000000000000001E-4</v>
      </c>
      <c r="U22" s="190">
        <f>ROUND('EOR Cycle 2'!J4/'tariff tables'!G4,5)</f>
        <v>8.0000000000000007E-5</v>
      </c>
      <c r="V22" s="190">
        <f>ROUND('OAR Cycle 2'!I4/'tariff tables'!G4,5)</f>
        <v>0</v>
      </c>
      <c r="W22" s="291"/>
      <c r="X22" s="190">
        <f>ROUND('PCR Cycle 3'!K4/'tariff tables'!G4,5)</f>
        <v>-2.9E-4</v>
      </c>
      <c r="Y22" s="190">
        <f>ROUND('TDR Cycle 3'!K4/'tariff tables'!G4,5)</f>
        <v>-2.1000000000000001E-4</v>
      </c>
      <c r="Z22" s="190">
        <f>ROUND(+'EOR Cycle 3'!J4/'tariff tables'!G4,5)</f>
        <v>0</v>
      </c>
      <c r="AA22" s="190">
        <f>ROUND(0/'tariff tables'!G4,5)</f>
        <v>0</v>
      </c>
    </row>
    <row r="23" spans="2:28" ht="15.75" thickBot="1" x14ac:dyDescent="0.3">
      <c r="B23" s="90" t="s">
        <v>107</v>
      </c>
      <c r="C23" s="129">
        <f>'PCR Cycle 3'!K5+'PCR Cycle 2'!K8</f>
        <v>41967.989999999911</v>
      </c>
      <c r="D23" s="129">
        <f>'TDR Cycle 3'!K5+'TDR Cycle 2'!K8</f>
        <v>-113984.42020000011</v>
      </c>
      <c r="E23" s="129">
        <f>+'EOR Cycle 2'!J8+'EOR Cycle 3'!J5</f>
        <v>70699.933610000007</v>
      </c>
      <c r="F23" s="128">
        <f>+'OAR Cycle 2'!I8</f>
        <v>0</v>
      </c>
      <c r="G23" s="126"/>
      <c r="O23" s="183">
        <v>0</v>
      </c>
      <c r="P23" s="183">
        <v>0</v>
      </c>
      <c r="Q23" s="245">
        <v>0</v>
      </c>
      <c r="R23" s="244"/>
      <c r="S23" s="190">
        <f>ROUND(+'PCR Cycle 2'!K8/'tariff tables'!G5,5)</f>
        <v>-2.0000000000000002E-5</v>
      </c>
      <c r="T23" s="190">
        <f>ROUND(+'TDR Cycle 2'!K8/'tariff tables'!G5,5)</f>
        <v>1.2E-4</v>
      </c>
      <c r="U23" s="190">
        <f>ROUND('EOR Cycle 2'!J8/'tariff tables'!G5,5)</f>
        <v>1.2999999999999999E-4</v>
      </c>
      <c r="V23" s="190">
        <f>ROUND('OAR Cycle 2'!I8/'tariff tables'!G5,5)</f>
        <v>0</v>
      </c>
      <c r="W23" s="291"/>
      <c r="X23" s="190">
        <f>ROUND('PCR Cycle 3'!K5/'tariff tables'!G5,5)</f>
        <v>9.0000000000000006E-5</v>
      </c>
      <c r="Y23" s="190">
        <f>ROUND('TDR Cycle 3'!K5/'tariff tables'!G5,5)</f>
        <v>-3.2000000000000003E-4</v>
      </c>
      <c r="Z23" s="190">
        <f>ROUND(+'EOR Cycle 3'!J5/'tariff tables'!G5,5)</f>
        <v>0</v>
      </c>
      <c r="AA23" s="190">
        <f>ROUND(0/'tariff tables'!G5,5)</f>
        <v>0</v>
      </c>
    </row>
    <row r="24" spans="2:28" s="46" customFormat="1" ht="15.75" thickBot="1" x14ac:dyDescent="0.3">
      <c r="B24" s="90" t="s">
        <v>108</v>
      </c>
      <c r="C24" s="129">
        <f>'PCR Cycle 3'!K6+'PCR Cycle 2'!K9</f>
        <v>-312928.20999999996</v>
      </c>
      <c r="D24" s="129">
        <f>'TDR Cycle 3'!K6+'TDR Cycle 2'!K9</f>
        <v>5861.5275499999989</v>
      </c>
      <c r="E24" s="129">
        <f>+'EOR Cycle 2'!J9+'EOR Cycle 3'!J6</f>
        <v>207093.75581</v>
      </c>
      <c r="F24" s="128">
        <f>+'OAR Cycle 2'!I9</f>
        <v>0</v>
      </c>
      <c r="G24" s="126"/>
      <c r="O24" s="183">
        <v>0</v>
      </c>
      <c r="P24" s="183">
        <v>0</v>
      </c>
      <c r="Q24" s="245">
        <v>0</v>
      </c>
      <c r="R24" s="244"/>
      <c r="S24" s="190">
        <f>ROUND(+'PCR Cycle 2'!K9/'tariff tables'!G6,5)</f>
        <v>-2.0000000000000002E-5</v>
      </c>
      <c r="T24" s="190">
        <f>ROUND(+'TDR Cycle 2'!K9/'tariff tables'!G6,5)</f>
        <v>1.6000000000000001E-4</v>
      </c>
      <c r="U24" s="190">
        <f>ROUND('EOR Cycle 2'!J9/'tariff tables'!G6,5)</f>
        <v>1.7000000000000001E-4</v>
      </c>
      <c r="V24" s="190">
        <f>ROUND('OAR Cycle 2'!I9/'tariff tables'!G6,5)</f>
        <v>0</v>
      </c>
      <c r="W24" s="291"/>
      <c r="X24" s="190">
        <f>ROUND('PCR Cycle 3'!K6/'tariff tables'!G6,5)</f>
        <v>-2.5000000000000001E-4</v>
      </c>
      <c r="Y24" s="190">
        <f>ROUND('TDR Cycle 3'!K6/'tariff tables'!G6,5)</f>
        <v>-1.6000000000000001E-4</v>
      </c>
      <c r="Z24" s="190">
        <f>ROUND(+'EOR Cycle 3'!J6/'tariff tables'!G6,5)</f>
        <v>1.0000000000000001E-5</v>
      </c>
      <c r="AA24" s="190">
        <f>ROUND(0/'tariff tables'!G6,5)</f>
        <v>0</v>
      </c>
    </row>
    <row r="25" spans="2:28" s="46" customFormat="1" ht="15.75" thickBot="1" x14ac:dyDescent="0.3">
      <c r="B25" s="90" t="s">
        <v>109</v>
      </c>
      <c r="C25" s="129">
        <f>'PCR Cycle 3'!K7+'PCR Cycle 2'!K10</f>
        <v>-1249537.18</v>
      </c>
      <c r="D25" s="129">
        <f>'TDR Cycle 3'!K7+'TDR Cycle 2'!K10</f>
        <v>21731.493999999948</v>
      </c>
      <c r="E25" s="129">
        <f>+'EOR Cycle 2'!J10+'EOR Cycle 3'!J7</f>
        <v>238336.10439999998</v>
      </c>
      <c r="F25" s="128">
        <f>+'OAR Cycle 2'!I10</f>
        <v>0</v>
      </c>
      <c r="G25" s="126"/>
      <c r="O25" s="183">
        <v>0</v>
      </c>
      <c r="P25" s="183">
        <v>0</v>
      </c>
      <c r="Q25" s="245">
        <v>0</v>
      </c>
      <c r="R25" s="244"/>
      <c r="S25" s="190">
        <f>ROUND(+'PCR Cycle 2'!K10/'tariff tables'!G7,5)</f>
        <v>-2.0000000000000002E-5</v>
      </c>
      <c r="T25" s="190">
        <f>ROUND(+'TDR Cycle 2'!K10/'tariff tables'!G7,5)</f>
        <v>1.2E-4</v>
      </c>
      <c r="U25" s="190">
        <f>ROUND('EOR Cycle 2'!J10/'tariff tables'!G7,5)</f>
        <v>1.2E-4</v>
      </c>
      <c r="V25" s="190">
        <f>ROUND('OAR Cycle 2'!I10/'tariff tables'!G7,5)</f>
        <v>0</v>
      </c>
      <c r="W25" s="291"/>
      <c r="X25" s="190">
        <f>ROUND('PCR Cycle 3'!K7/'tariff tables'!G7,5)</f>
        <v>-6.7000000000000002E-4</v>
      </c>
      <c r="Y25" s="190">
        <f>ROUND('TDR Cycle 3'!K7/'tariff tables'!G7,5)</f>
        <v>-1.1E-4</v>
      </c>
      <c r="Z25" s="190">
        <f>ROUND(+'EOR Cycle 3'!J7/'tariff tables'!G7,5)</f>
        <v>1.0000000000000001E-5</v>
      </c>
      <c r="AA25" s="190">
        <f>ROUND(0/'tariff tables'!G7,5)</f>
        <v>0</v>
      </c>
    </row>
    <row r="26" spans="2:28" s="46" customFormat="1" ht="15.75" thickBot="1" x14ac:dyDescent="0.3">
      <c r="B26" s="90" t="s">
        <v>110</v>
      </c>
      <c r="C26" s="129">
        <f>'PCR Cycle 3'!K8+'PCR Cycle 2'!K11</f>
        <v>-719370.09999999963</v>
      </c>
      <c r="D26" s="129">
        <f>'TDR Cycle 3'!K8+'TDR Cycle 2'!K11</f>
        <v>5985.9121200000081</v>
      </c>
      <c r="E26" s="129">
        <f>+'EOR Cycle 2'!J11+'EOR Cycle 3'!J8</f>
        <v>52278.896359999992</v>
      </c>
      <c r="F26" s="128">
        <f>+'OAR Cycle 2'!I11</f>
        <v>0</v>
      </c>
      <c r="G26" s="126"/>
      <c r="O26" s="183">
        <v>0</v>
      </c>
      <c r="P26" s="183">
        <v>0</v>
      </c>
      <c r="Q26" s="245">
        <v>0</v>
      </c>
      <c r="R26" s="244"/>
      <c r="S26" s="190">
        <f>ROUND(+'PCR Cycle 2'!K11/'tariff tables'!G8,5)</f>
        <v>-1.0000000000000001E-5</v>
      </c>
      <c r="T26" s="190">
        <f>ROUND(+'TDR Cycle 2'!K11/'tariff tables'!G8,5)</f>
        <v>1E-4</v>
      </c>
      <c r="U26" s="190">
        <f>ROUND('EOR Cycle 2'!J11/'tariff tables'!G8,5)</f>
        <v>1E-4</v>
      </c>
      <c r="V26" s="190">
        <f>ROUND('OAR Cycle 2'!I11/'tariff tables'!G8,5)</f>
        <v>0</v>
      </c>
      <c r="W26" s="291"/>
      <c r="X26" s="190">
        <f>ROUND('PCR Cycle 3'!K8/'tariff tables'!G8,5)</f>
        <v>-1.4599999999999999E-3</v>
      </c>
      <c r="Y26" s="190">
        <f>ROUND('TDR Cycle 3'!K8/'tariff tables'!G8,5)</f>
        <v>-8.0000000000000007E-5</v>
      </c>
      <c r="Z26" s="190">
        <f>ROUND(+'EOR Cycle 3'!J8/'tariff tables'!G8,5)</f>
        <v>1.0000000000000001E-5</v>
      </c>
      <c r="AA26" s="190">
        <f>ROUND(0/'tariff tables'!G8,5)</f>
        <v>0</v>
      </c>
    </row>
    <row r="27" spans="2:28" x14ac:dyDescent="0.25">
      <c r="O27" s="46"/>
      <c r="P27" s="46"/>
      <c r="R27" s="46"/>
      <c r="S27" s="46"/>
      <c r="T27" s="46"/>
    </row>
    <row r="28" spans="2:28" x14ac:dyDescent="0.25">
      <c r="B28" s="93" t="s">
        <v>39</v>
      </c>
      <c r="R28" t="s">
        <v>153</v>
      </c>
      <c r="S28" s="157">
        <f>+J4-O13-O22-S13-S22-X13-X22</f>
        <v>0</v>
      </c>
      <c r="T28" s="157">
        <f t="shared" ref="S28:U32" si="3">+K4-P13-P22-T13-T22-Y13-Y22</f>
        <v>0</v>
      </c>
      <c r="U28" s="157">
        <f t="shared" si="3"/>
        <v>0</v>
      </c>
    </row>
    <row r="29" spans="2:28" x14ac:dyDescent="0.25">
      <c r="B29" s="94" t="s">
        <v>40</v>
      </c>
      <c r="R29" t="s">
        <v>154</v>
      </c>
      <c r="S29" s="157">
        <f t="shared" si="3"/>
        <v>2.3039296165316969E-19</v>
      </c>
      <c r="T29" s="157">
        <f t="shared" si="3"/>
        <v>0</v>
      </c>
      <c r="U29" s="157">
        <f t="shared" si="3"/>
        <v>1.3552527156068805E-20</v>
      </c>
    </row>
    <row r="30" spans="2:28" x14ac:dyDescent="0.25">
      <c r="B30" s="94" t="s">
        <v>43</v>
      </c>
      <c r="R30" t="s">
        <v>155</v>
      </c>
      <c r="S30" s="157">
        <f t="shared" si="3"/>
        <v>0</v>
      </c>
      <c r="T30" s="157">
        <f t="shared" si="3"/>
        <v>0</v>
      </c>
      <c r="U30" s="157">
        <f t="shared" si="3"/>
        <v>-2.8799120206646212E-20</v>
      </c>
    </row>
    <row r="31" spans="2:28" x14ac:dyDescent="0.25">
      <c r="B31" s="94" t="s">
        <v>144</v>
      </c>
      <c r="R31" t="s">
        <v>156</v>
      </c>
      <c r="S31" s="157">
        <f t="shared" si="3"/>
        <v>0</v>
      </c>
      <c r="T31" s="157">
        <f t="shared" si="3"/>
        <v>0</v>
      </c>
      <c r="U31" s="157">
        <f t="shared" si="3"/>
        <v>0</v>
      </c>
    </row>
    <row r="32" spans="2:28" x14ac:dyDescent="0.25">
      <c r="B32" s="94" t="s">
        <v>41</v>
      </c>
      <c r="R32" t="s">
        <v>157</v>
      </c>
      <c r="S32" s="157">
        <f t="shared" si="3"/>
        <v>0</v>
      </c>
      <c r="T32" s="157">
        <f t="shared" si="3"/>
        <v>0</v>
      </c>
      <c r="U32" s="157">
        <f t="shared" si="3"/>
        <v>-2.8799120206646212E-20</v>
      </c>
    </row>
    <row r="33" spans="2:20" x14ac:dyDescent="0.25">
      <c r="B33" s="94" t="s">
        <v>149</v>
      </c>
      <c r="O33" s="258"/>
      <c r="P33" s="258"/>
      <c r="Q33" s="258"/>
      <c r="R33" s="151"/>
      <c r="S33" s="46"/>
      <c r="T33" s="46"/>
    </row>
    <row r="34" spans="2:20" x14ac:dyDescent="0.25">
      <c r="B34" s="94" t="s">
        <v>143</v>
      </c>
      <c r="O34" s="151"/>
      <c r="P34" s="151"/>
      <c r="Q34" s="259"/>
      <c r="R34" s="151"/>
      <c r="S34" s="46"/>
      <c r="T34" s="46"/>
    </row>
    <row r="35" spans="2:20" x14ac:dyDescent="0.25">
      <c r="B35" s="94" t="s">
        <v>48</v>
      </c>
      <c r="O35" s="260"/>
      <c r="P35" s="151"/>
      <c r="Q35" s="259"/>
      <c r="R35" s="151"/>
      <c r="S35" s="46"/>
      <c r="T35" s="46"/>
    </row>
    <row r="36" spans="2:20" x14ac:dyDescent="0.25">
      <c r="B36" s="94" t="s">
        <v>148</v>
      </c>
      <c r="O36" s="261"/>
      <c r="P36" s="262"/>
      <c r="Q36" s="259"/>
      <c r="R36" s="259"/>
      <c r="S36" s="46"/>
      <c r="T36" s="46"/>
    </row>
    <row r="37" spans="2:20" x14ac:dyDescent="0.25">
      <c r="B37" s="94" t="s">
        <v>145</v>
      </c>
      <c r="O37" s="261"/>
      <c r="P37" s="262"/>
      <c r="Q37" s="259"/>
      <c r="R37" s="259"/>
      <c r="S37" s="46"/>
      <c r="T37" s="46"/>
    </row>
    <row r="38" spans="2:20" x14ac:dyDescent="0.25">
      <c r="B38" s="94" t="s">
        <v>146</v>
      </c>
      <c r="O38" s="261"/>
      <c r="P38" s="262"/>
      <c r="Q38" s="259"/>
      <c r="R38" s="259"/>
      <c r="S38" s="46"/>
      <c r="T38" s="46"/>
    </row>
    <row r="39" spans="2:20" x14ac:dyDescent="0.25">
      <c r="B39" s="94" t="s">
        <v>150</v>
      </c>
      <c r="O39" s="261"/>
      <c r="P39" s="262"/>
      <c r="Q39" s="259"/>
      <c r="R39" s="259"/>
      <c r="S39" s="46"/>
      <c r="T39" s="46"/>
    </row>
    <row r="40" spans="2:20" x14ac:dyDescent="0.25">
      <c r="B40" s="94" t="s">
        <v>42</v>
      </c>
      <c r="O40" s="261"/>
      <c r="P40" s="262"/>
      <c r="Q40" s="259"/>
      <c r="R40" s="259"/>
      <c r="S40" s="46"/>
      <c r="T40" s="46"/>
    </row>
    <row r="41" spans="2:20" x14ac:dyDescent="0.25">
      <c r="B41" s="94" t="s">
        <v>147</v>
      </c>
      <c r="O41" s="261"/>
      <c r="P41" s="262"/>
      <c r="Q41" s="259"/>
      <c r="R41" s="259"/>
      <c r="S41" s="46"/>
      <c r="T41" s="46"/>
    </row>
    <row r="42" spans="2:20" x14ac:dyDescent="0.25">
      <c r="B42" s="94" t="s">
        <v>151</v>
      </c>
      <c r="O42" s="263"/>
      <c r="P42" s="262"/>
      <c r="Q42" s="259"/>
      <c r="R42" s="259"/>
      <c r="S42" s="46"/>
      <c r="T42" s="46"/>
    </row>
    <row r="43" spans="2:20" x14ac:dyDescent="0.25">
      <c r="B43" s="94" t="s">
        <v>152</v>
      </c>
      <c r="O43" s="151"/>
      <c r="P43" s="264"/>
      <c r="Q43" s="259"/>
      <c r="R43" s="259"/>
      <c r="S43" s="46"/>
      <c r="T43" s="46"/>
    </row>
    <row r="44" spans="2:20" x14ac:dyDescent="0.25">
      <c r="O44" s="260"/>
      <c r="P44" s="151"/>
      <c r="Q44" s="259"/>
      <c r="R44" s="259"/>
      <c r="S44" s="46"/>
      <c r="T44" s="46"/>
    </row>
    <row r="45" spans="2:20" x14ac:dyDescent="0.25">
      <c r="O45" s="261"/>
      <c r="P45" s="262"/>
      <c r="Q45" s="259"/>
      <c r="R45" s="259"/>
      <c r="S45" s="46"/>
      <c r="T45" s="46"/>
    </row>
    <row r="46" spans="2:20" x14ac:dyDescent="0.25">
      <c r="O46" s="261"/>
      <c r="P46" s="262"/>
      <c r="Q46" s="259"/>
      <c r="R46" s="259"/>
      <c r="S46" s="46"/>
      <c r="T46" s="46"/>
    </row>
    <row r="47" spans="2:20" x14ac:dyDescent="0.25">
      <c r="O47" s="261"/>
      <c r="P47" s="262"/>
      <c r="Q47" s="259"/>
      <c r="R47" s="259"/>
      <c r="S47" s="46"/>
      <c r="T47" s="46"/>
    </row>
    <row r="48" spans="2:20" x14ac:dyDescent="0.25">
      <c r="O48" s="261"/>
      <c r="P48" s="262"/>
      <c r="Q48" s="259"/>
      <c r="R48" s="259"/>
      <c r="S48" s="46"/>
      <c r="T48" s="46"/>
    </row>
    <row r="49" spans="15:20" x14ac:dyDescent="0.25">
      <c r="O49" s="261"/>
      <c r="P49" s="262"/>
      <c r="Q49" s="259"/>
      <c r="R49" s="259"/>
      <c r="S49" s="46"/>
      <c r="T49" s="46"/>
    </row>
    <row r="50" spans="15:20" x14ac:dyDescent="0.25">
      <c r="O50" s="261"/>
      <c r="P50" s="262"/>
      <c r="Q50" s="259"/>
      <c r="R50" s="259"/>
      <c r="S50" s="46"/>
      <c r="T50" s="46"/>
    </row>
    <row r="51" spans="15:20" x14ac:dyDescent="0.25">
      <c r="O51" s="263"/>
      <c r="P51" s="262"/>
      <c r="Q51" s="259"/>
      <c r="R51" s="259"/>
    </row>
    <row r="52" spans="15:20" x14ac:dyDescent="0.25">
      <c r="O52" s="151"/>
      <c r="P52" s="264"/>
      <c r="Q52" s="259"/>
      <c r="R52" s="259"/>
    </row>
    <row r="53" spans="15:20" x14ac:dyDescent="0.25">
      <c r="O53" s="151"/>
      <c r="P53" s="151"/>
      <c r="Q53" s="259"/>
      <c r="R53" s="259"/>
    </row>
    <row r="54" spans="15:20" x14ac:dyDescent="0.25">
      <c r="O54" s="151"/>
      <c r="P54" s="151"/>
      <c r="Q54" s="151"/>
      <c r="R54" s="151"/>
    </row>
    <row r="55" spans="15:20" x14ac:dyDescent="0.25">
      <c r="O55" s="151"/>
      <c r="P55" s="151"/>
      <c r="Q55" s="151"/>
      <c r="R55" s="151"/>
    </row>
    <row r="56" spans="15:20" x14ac:dyDescent="0.25">
      <c r="O56" s="151"/>
      <c r="P56" s="151"/>
      <c r="Q56" s="151"/>
      <c r="R56" s="151"/>
    </row>
    <row r="57" spans="15:20" x14ac:dyDescent="0.25">
      <c r="O57" s="151"/>
      <c r="P57" s="151"/>
      <c r="Q57" s="151"/>
      <c r="R57" s="151"/>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pane xSplit="1" ySplit="2" topLeftCell="E3" activePane="bottomRight" state="frozen"/>
      <selection activeCell="J26" sqref="J26"/>
      <selection pane="topRight" activeCell="J26" sqref="J26"/>
      <selection pane="bottomLeft" activeCell="J26" sqref="J26"/>
      <selection pane="bottomRight" activeCell="P1" sqref="P1:P1048576"/>
    </sheetView>
  </sheetViews>
  <sheetFormatPr defaultColWidth="9.140625" defaultRowHeight="15" outlineLevelCol="1" x14ac:dyDescent="0.25"/>
  <cols>
    <col min="1" max="1" width="37" style="46" customWidth="1"/>
    <col min="2" max="2" width="12.140625" style="46" customWidth="1"/>
    <col min="3" max="3" width="12.42578125" style="46" customWidth="1"/>
    <col min="4" max="4" width="12.42578125" style="46" hidden="1" customWidth="1" outlineLevel="1"/>
    <col min="5" max="5" width="15.42578125" style="46" customWidth="1" collapsed="1"/>
    <col min="6" max="6" width="15.85546875" style="46" customWidth="1"/>
    <col min="7" max="7" width="12.28515625" style="46" customWidth="1"/>
    <col min="8" max="9" width="13.28515625" style="46" customWidth="1"/>
    <col min="10" max="10" width="12.28515625" style="46" bestFit="1" customWidth="1"/>
    <col min="11" max="11" width="11.5703125" style="46" bestFit="1" customWidth="1"/>
    <col min="12" max="12" width="12.85546875" style="46" customWidth="1"/>
    <col min="13" max="13" width="12.28515625" style="46" bestFit="1" customWidth="1"/>
    <col min="14" max="14" width="15" style="46" bestFit="1" customWidth="1"/>
    <col min="15" max="15" width="16" style="46" bestFit="1"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06/01/2022</v>
      </c>
      <c r="B1" s="3"/>
      <c r="C1" s="3"/>
      <c r="D1" s="3"/>
    </row>
    <row r="2" spans="1:35" x14ac:dyDescent="0.25">
      <c r="E2" s="3" t="s">
        <v>141</v>
      </c>
    </row>
    <row r="3" spans="1:35" ht="30" x14ac:dyDescent="0.25">
      <c r="E3" s="48" t="s">
        <v>46</v>
      </c>
      <c r="F3" s="70" t="s">
        <v>71</v>
      </c>
      <c r="G3" s="70" t="s">
        <v>54</v>
      </c>
      <c r="H3" s="48" t="s">
        <v>3</v>
      </c>
      <c r="I3" s="70" t="s">
        <v>55</v>
      </c>
      <c r="J3" s="48" t="s">
        <v>10</v>
      </c>
      <c r="K3" s="48" t="s">
        <v>9</v>
      </c>
      <c r="S3" s="48"/>
    </row>
    <row r="4" spans="1:35" x14ac:dyDescent="0.25">
      <c r="A4" s="20" t="s">
        <v>24</v>
      </c>
      <c r="B4" s="20"/>
      <c r="C4" s="20"/>
      <c r="D4" s="20"/>
      <c r="E4" s="22">
        <f>SUM(C16:M16)</f>
        <v>3147809.4896999998</v>
      </c>
      <c r="F4" s="138">
        <f>N23</f>
        <v>35697437.021804273</v>
      </c>
      <c r="G4" s="22">
        <f>SUM(C30:L30)</f>
        <v>2075664.29</v>
      </c>
      <c r="H4" s="22">
        <f>G4-E4</f>
        <v>-1072145.1996999998</v>
      </c>
      <c r="I4" s="22">
        <f>+B46</f>
        <v>525943.12112000003</v>
      </c>
      <c r="J4" s="22">
        <f>SUM(C54:L54)</f>
        <v>3730.24</v>
      </c>
      <c r="K4" s="25">
        <f>SUM(H4:J4)</f>
        <v>-542471.83857999975</v>
      </c>
      <c r="L4" s="47">
        <f>+K4-M46</f>
        <v>0</v>
      </c>
    </row>
    <row r="5" spans="1:35" x14ac:dyDescent="0.25">
      <c r="A5" s="20" t="s">
        <v>107</v>
      </c>
      <c r="B5" s="20"/>
      <c r="C5" s="20"/>
      <c r="D5" s="20"/>
      <c r="E5" s="22">
        <f t="shared" ref="E5:E7" si="0">SUM(C17:M17)</f>
        <v>175921.67353000003</v>
      </c>
      <c r="F5" s="138">
        <f t="shared" ref="F5:F7" si="1">N24</f>
        <v>2630463.5007899753</v>
      </c>
      <c r="G5" s="22">
        <f t="shared" ref="G5:G7" si="2">SUM(C31:L31)</f>
        <v>200399.41999999998</v>
      </c>
      <c r="H5" s="22">
        <f t="shared" ref="H5:H7" si="3">G5-E5</f>
        <v>24477.746469999955</v>
      </c>
      <c r="I5" s="22">
        <f t="shared" ref="I5:I7" si="4">+B47</f>
        <v>-207619.25667000006</v>
      </c>
      <c r="J5" s="22">
        <f t="shared" ref="J5:J7" si="5">SUM(C55:L55)</f>
        <v>-1287.1599999999999</v>
      </c>
      <c r="K5" s="25">
        <f t="shared" ref="K5:K7" si="6">SUM(H5:J5)</f>
        <v>-184428.67020000011</v>
      </c>
      <c r="L5" s="47">
        <f>+K5-M47</f>
        <v>0</v>
      </c>
    </row>
    <row r="6" spans="1:35" x14ac:dyDescent="0.25">
      <c r="A6" s="20" t="s">
        <v>108</v>
      </c>
      <c r="B6" s="20"/>
      <c r="C6" s="20"/>
      <c r="D6" s="20"/>
      <c r="E6" s="22">
        <f t="shared" si="0"/>
        <v>447195.4952</v>
      </c>
      <c r="F6" s="138">
        <f t="shared" si="1"/>
        <v>9042855.2465733737</v>
      </c>
      <c r="G6" s="22">
        <f t="shared" si="2"/>
        <v>425425.83999999997</v>
      </c>
      <c r="H6" s="22">
        <f t="shared" si="3"/>
        <v>-21769.655200000037</v>
      </c>
      <c r="I6" s="22">
        <f t="shared" si="4"/>
        <v>-156414.42724999998</v>
      </c>
      <c r="J6" s="22">
        <f t="shared" si="5"/>
        <v>-732.58999999999992</v>
      </c>
      <c r="K6" s="25">
        <f t="shared" si="6"/>
        <v>-178916.67245000001</v>
      </c>
      <c r="L6" s="47">
        <f>+K6-M48</f>
        <v>0</v>
      </c>
    </row>
    <row r="7" spans="1:35" x14ac:dyDescent="0.25">
      <c r="A7" s="20" t="s">
        <v>109</v>
      </c>
      <c r="B7" s="20"/>
      <c r="C7" s="20"/>
      <c r="D7" s="20"/>
      <c r="E7" s="22">
        <f t="shared" si="0"/>
        <v>474671.69591000001</v>
      </c>
      <c r="F7" s="138">
        <f t="shared" si="1"/>
        <v>14861889.752670556</v>
      </c>
      <c r="G7" s="22">
        <f t="shared" si="2"/>
        <v>426703.02999999997</v>
      </c>
      <c r="H7" s="22">
        <f t="shared" si="3"/>
        <v>-47968.66591000004</v>
      </c>
      <c r="I7" s="22">
        <f t="shared" si="4"/>
        <v>-146572.13008999999</v>
      </c>
      <c r="J7" s="22">
        <f t="shared" si="5"/>
        <v>-781.17000000000007</v>
      </c>
      <c r="K7" s="25">
        <f t="shared" si="6"/>
        <v>-195321.96600000004</v>
      </c>
      <c r="L7" s="47">
        <f>+K7-M49</f>
        <v>0</v>
      </c>
    </row>
    <row r="8" spans="1:35" ht="15.75" thickBot="1" x14ac:dyDescent="0.3">
      <c r="A8" s="20" t="s">
        <v>110</v>
      </c>
      <c r="B8" s="20"/>
      <c r="C8" s="20"/>
      <c r="D8" s="20"/>
      <c r="E8" s="22">
        <f>SUM(C20:M20)</f>
        <v>7585.0521199999966</v>
      </c>
      <c r="F8" s="138">
        <f>N27</f>
        <v>1326350.4022380377</v>
      </c>
      <c r="G8" s="22">
        <f>SUM(C34:L34)</f>
        <v>21722.6</v>
      </c>
      <c r="H8" s="22">
        <f>G8-E8</f>
        <v>14137.547880000002</v>
      </c>
      <c r="I8" s="22">
        <f>+B50</f>
        <v>-54427.965759999992</v>
      </c>
      <c r="J8" s="22">
        <f>SUM(C58:L58)</f>
        <v>-318.95999999999998</v>
      </c>
      <c r="K8" s="25">
        <f>SUM(H8:J8)</f>
        <v>-40609.377879999993</v>
      </c>
      <c r="L8" s="47">
        <f>+K8-M50</f>
        <v>0</v>
      </c>
    </row>
    <row r="9" spans="1:35" ht="16.5" thickTop="1" thickBot="1" x14ac:dyDescent="0.3">
      <c r="E9" s="27">
        <f t="shared" ref="E9:I9" si="7">SUM(E4:E8)</f>
        <v>4253183.4064600002</v>
      </c>
      <c r="F9" s="139">
        <f t="shared" si="7"/>
        <v>63558995.924076222</v>
      </c>
      <c r="G9" s="27">
        <f t="shared" si="7"/>
        <v>3149915.1799999997</v>
      </c>
      <c r="H9" s="27">
        <f t="shared" si="7"/>
        <v>-1103268.22646</v>
      </c>
      <c r="I9" s="27">
        <f t="shared" si="7"/>
        <v>-39090.658649999968</v>
      </c>
      <c r="J9" s="27">
        <f>SUM(J4:J8)</f>
        <v>610.3599999999999</v>
      </c>
      <c r="K9" s="27">
        <f>SUM(K4:K8)</f>
        <v>-1141748.5251099998</v>
      </c>
      <c r="T9" s="5"/>
    </row>
    <row r="10" spans="1:35" ht="16.5" thickTop="1" thickBot="1" x14ac:dyDescent="0.3">
      <c r="K10" s="231"/>
      <c r="L10" s="230"/>
    </row>
    <row r="11" spans="1:35" ht="120.75" thickBot="1" x14ac:dyDescent="0.3">
      <c r="B11" s="118" t="str">
        <f>+'PCR Cycle 2'!B14</f>
        <v>Cumulative Over/Under Carryover From 12/01/2021 Filing</v>
      </c>
      <c r="C11" s="153" t="str">
        <f>+'PCR Cycle 2'!C14</f>
        <v>Reverse November 2021 - April 2022 Forecast From 12/01/2021 Filing</v>
      </c>
      <c r="D11" s="214">
        <f>+'PCR Cycle 2'!D14</f>
        <v>0</v>
      </c>
      <c r="E11" s="308" t="s">
        <v>33</v>
      </c>
      <c r="F11" s="308"/>
      <c r="G11" s="309"/>
      <c r="H11" s="314" t="s">
        <v>33</v>
      </c>
      <c r="I11" s="315"/>
      <c r="J11" s="316"/>
      <c r="K11" s="304" t="s">
        <v>8</v>
      </c>
      <c r="L11" s="305"/>
      <c r="M11" s="306"/>
    </row>
    <row r="12" spans="1:35" x14ac:dyDescent="0.25">
      <c r="A12" s="46" t="s">
        <v>63</v>
      </c>
      <c r="C12" s="105"/>
      <c r="D12" s="215"/>
      <c r="E12" s="19">
        <f>+'PCR Cycle 2'!E15</f>
        <v>44530</v>
      </c>
      <c r="F12" s="19">
        <f t="shared" ref="F12:M12" si="8">EOMONTH(E12,1)</f>
        <v>44561</v>
      </c>
      <c r="G12" s="19">
        <f t="shared" si="8"/>
        <v>44592</v>
      </c>
      <c r="H12" s="14">
        <f t="shared" si="8"/>
        <v>44620</v>
      </c>
      <c r="I12" s="19">
        <f t="shared" si="8"/>
        <v>44651</v>
      </c>
      <c r="J12" s="15">
        <f t="shared" si="8"/>
        <v>44681</v>
      </c>
      <c r="K12" s="19">
        <f t="shared" si="8"/>
        <v>44712</v>
      </c>
      <c r="L12" s="19">
        <f t="shared" si="8"/>
        <v>44742</v>
      </c>
      <c r="M12" s="15">
        <f t="shared" si="8"/>
        <v>44773</v>
      </c>
      <c r="Z12" s="1"/>
      <c r="AA12" s="1"/>
      <c r="AB12" s="1"/>
      <c r="AC12" s="1"/>
      <c r="AD12" s="1"/>
      <c r="AE12" s="1"/>
      <c r="AF12" s="1"/>
      <c r="AG12" s="1"/>
      <c r="AH12" s="1"/>
      <c r="AI12" s="1"/>
    </row>
    <row r="13" spans="1:35" x14ac:dyDescent="0.25">
      <c r="A13" s="46" t="s">
        <v>5</v>
      </c>
      <c r="C13" s="195">
        <v>-1050278.7</v>
      </c>
      <c r="D13" s="198"/>
      <c r="E13" s="109">
        <f t="shared" ref="E13:L13" si="9">SUM(E30:E34)</f>
        <v>508170.56000000006</v>
      </c>
      <c r="F13" s="109">
        <f t="shared" si="9"/>
        <v>549051.99</v>
      </c>
      <c r="G13" s="110">
        <f t="shared" si="9"/>
        <v>459121.87</v>
      </c>
      <c r="H13" s="16">
        <f t="shared" si="9"/>
        <v>421997.8</v>
      </c>
      <c r="I13" s="55">
        <f t="shared" si="9"/>
        <v>458140.68</v>
      </c>
      <c r="J13" s="166">
        <f t="shared" si="9"/>
        <v>494033.78</v>
      </c>
      <c r="K13" s="159">
        <f t="shared" si="9"/>
        <v>529795.99</v>
      </c>
      <c r="L13" s="78">
        <f t="shared" si="9"/>
        <v>779881.21</v>
      </c>
      <c r="M13" s="79"/>
    </row>
    <row r="14" spans="1:35" x14ac:dyDescent="0.25">
      <c r="C14" s="99"/>
      <c r="D14" s="199"/>
      <c r="E14" s="17"/>
      <c r="F14" s="17"/>
      <c r="G14" s="17"/>
      <c r="H14" s="10"/>
      <c r="I14" s="17"/>
      <c r="J14" s="11"/>
      <c r="K14" s="31"/>
      <c r="L14" s="31"/>
      <c r="M14" s="29"/>
    </row>
    <row r="15" spans="1:35" x14ac:dyDescent="0.25">
      <c r="A15" s="46" t="s">
        <v>62</v>
      </c>
      <c r="C15" s="99"/>
      <c r="D15" s="199"/>
      <c r="E15" s="18"/>
      <c r="F15" s="18"/>
      <c r="G15" s="18"/>
      <c r="H15" s="91"/>
      <c r="I15" s="18"/>
      <c r="J15" s="167"/>
      <c r="K15" s="31"/>
      <c r="L15" s="31"/>
      <c r="M15" s="29"/>
      <c r="N15" s="3" t="s">
        <v>68</v>
      </c>
      <c r="O15" s="39"/>
    </row>
    <row r="16" spans="1:35" x14ac:dyDescent="0.25">
      <c r="A16" s="46" t="s">
        <v>24</v>
      </c>
      <c r="C16" s="195">
        <v>-1218264.4888800001</v>
      </c>
      <c r="D16" s="198"/>
      <c r="E16" s="136">
        <f>ROUND('[6]Nov 2021'!$F95,2)</f>
        <v>288726.46000000002</v>
      </c>
      <c r="F16" s="136">
        <f>ROUND('[6]Dec 2021'!$F95,2)</f>
        <v>346773.24</v>
      </c>
      <c r="G16" s="136">
        <f>ROUND('[6]Jan 2022'!$F95,2)</f>
        <v>461581.05</v>
      </c>
      <c r="H16" s="16">
        <f>ROUND('[6]Feb 2022'!$F95,2)</f>
        <v>509995.6</v>
      </c>
      <c r="I16" s="121">
        <f>ROUND('[6]Mar 2022'!$F95,2)</f>
        <v>573782.88</v>
      </c>
      <c r="J16" s="171">
        <f>ROUND('[6]Apr 2022'!$F95,2)</f>
        <v>454408.01</v>
      </c>
      <c r="K16" s="123">
        <f>'PCR Cycle 2'!K27*'TDR Cycle 3'!$N16</f>
        <v>420462.51512</v>
      </c>
      <c r="L16" s="41">
        <f>'PCR Cycle 2'!L27*'TDR Cycle 3'!$N16</f>
        <v>605038.90298000001</v>
      </c>
      <c r="M16" s="61">
        <f>'PCR Cycle 2'!M27*'TDR Cycle 3'!$N16</f>
        <v>705305.32047999999</v>
      </c>
      <c r="N16" s="72">
        <v>2.6199999999999999E-3</v>
      </c>
      <c r="O16" s="4"/>
    </row>
    <row r="17" spans="1:15" x14ac:dyDescent="0.25">
      <c r="A17" s="46" t="s">
        <v>107</v>
      </c>
      <c r="C17" s="195">
        <v>-88701.116669999989</v>
      </c>
      <c r="D17" s="198"/>
      <c r="E17" s="136">
        <f>ROUND('[6]Nov 2021'!$F96,2)</f>
        <v>27671.53</v>
      </c>
      <c r="F17" s="136">
        <f>ROUND('[6]Dec 2021'!$F96,2)</f>
        <v>30360.41</v>
      </c>
      <c r="G17" s="136">
        <f>ROUND('[6]Jan 2022'!$F96,2)</f>
        <v>34923.5</v>
      </c>
      <c r="H17" s="16">
        <f>ROUND('[6]Feb 2022'!$F96,2)</f>
        <v>33075.93</v>
      </c>
      <c r="I17" s="121">
        <f>ROUND('[6]Mar 2022'!$F96,2)</f>
        <v>29794.51</v>
      </c>
      <c r="J17" s="171">
        <f>ROUND('[6]Apr 2022'!$F96,2)</f>
        <v>25370.17</v>
      </c>
      <c r="K17" s="123">
        <f>'PCR Cycle 2'!K28*'TDR Cycle 3'!$N17</f>
        <v>26339.205600000001</v>
      </c>
      <c r="L17" s="41">
        <f>'PCR Cycle 2'!L28*'TDR Cycle 3'!$N17</f>
        <v>28501.303200000002</v>
      </c>
      <c r="M17" s="61">
        <f>'PCR Cycle 2'!M28*'TDR Cycle 3'!$N17</f>
        <v>28586.231400000004</v>
      </c>
      <c r="N17" s="72">
        <v>6.0000000000000006E-4</v>
      </c>
      <c r="O17" s="4"/>
    </row>
    <row r="18" spans="1:15" x14ac:dyDescent="0.25">
      <c r="A18" s="46" t="s">
        <v>108</v>
      </c>
      <c r="C18" s="195">
        <v>-266209.71724999999</v>
      </c>
      <c r="D18" s="198"/>
      <c r="E18" s="136">
        <f>ROUND('[6]Nov 2021'!$F97,2)</f>
        <v>76807.25</v>
      </c>
      <c r="F18" s="136">
        <f>ROUND('[6]Dec 2021'!$F97,2)</f>
        <v>80555.039999999994</v>
      </c>
      <c r="G18" s="136">
        <f>ROUND('[6]Jan 2022'!$F97,2)</f>
        <v>90143.71</v>
      </c>
      <c r="H18" s="16">
        <f>ROUND('[6]Feb 2022'!$F97,2)</f>
        <v>84097.05</v>
      </c>
      <c r="I18" s="121">
        <f>ROUND('[6]Mar 2022'!$F97,2)</f>
        <v>76571.429999999993</v>
      </c>
      <c r="J18" s="171">
        <f>ROUND('[6]Apr 2022'!$F97,2)</f>
        <v>68113.460000000006</v>
      </c>
      <c r="K18" s="123">
        <f>'PCR Cycle 2'!K29*'TDR Cycle 3'!$N18</f>
        <v>74861.856200000009</v>
      </c>
      <c r="L18" s="41">
        <f>'PCR Cycle 2'!L29*'TDR Cycle 3'!$N18</f>
        <v>81007.015350000001</v>
      </c>
      <c r="M18" s="61">
        <f>'PCR Cycle 2'!M29*'TDR Cycle 3'!$N18</f>
        <v>81248.400900000008</v>
      </c>
      <c r="N18" s="72">
        <v>8.5000000000000006E-4</v>
      </c>
      <c r="O18" s="4"/>
    </row>
    <row r="19" spans="1:15" x14ac:dyDescent="0.25">
      <c r="A19" s="46" t="s">
        <v>109</v>
      </c>
      <c r="C19" s="195">
        <v>-235357.87009000001</v>
      </c>
      <c r="D19" s="198"/>
      <c r="E19" s="136">
        <f>ROUND('[6]Nov 2021'!$F98,2)</f>
        <v>70935.960000000006</v>
      </c>
      <c r="F19" s="136">
        <f>ROUND('[6]Dec 2021'!$F98,2)</f>
        <v>74978.33</v>
      </c>
      <c r="G19" s="136">
        <f>ROUND('[6]Jan 2022'!$F98,2)</f>
        <v>82317.61</v>
      </c>
      <c r="H19" s="16">
        <f>ROUND('[6]Feb 2022'!$F98,2)</f>
        <v>81149.94</v>
      </c>
      <c r="I19" s="121">
        <f>ROUND('[6]Mar 2022'!$F98,2)</f>
        <v>82534.77</v>
      </c>
      <c r="J19" s="171">
        <f>ROUND('[6]Apr 2022'!$F98,2)</f>
        <v>74006.06</v>
      </c>
      <c r="K19" s="123">
        <f>'PCR Cycle 2'!K30*'TDR Cycle 3'!$N19</f>
        <v>77068.596550000002</v>
      </c>
      <c r="L19" s="41">
        <f>'PCR Cycle 2'!L30*'TDR Cycle 3'!$N19</f>
        <v>83394.8995</v>
      </c>
      <c r="M19" s="61">
        <f>'PCR Cycle 2'!M30*'TDR Cycle 3'!$N19</f>
        <v>83643.399950000006</v>
      </c>
      <c r="N19" s="72">
        <v>5.5000000000000003E-4</v>
      </c>
      <c r="O19" s="4"/>
    </row>
    <row r="20" spans="1:15" x14ac:dyDescent="0.25">
      <c r="A20" s="46" t="s">
        <v>110</v>
      </c>
      <c r="C20" s="195">
        <v>-15315.00576</v>
      </c>
      <c r="D20" s="198"/>
      <c r="E20" s="136">
        <f>ROUND('[6]Nov 2021'!$F99,2)</f>
        <v>4252.32</v>
      </c>
      <c r="F20" s="136">
        <f>ROUND('[6]Dec 2021'!$F99,2)</f>
        <v>4196.2299999999996</v>
      </c>
      <c r="G20" s="136">
        <f>ROUND('[6]Jan 2022'!$F99,2)</f>
        <v>4331.03</v>
      </c>
      <c r="H20" s="16">
        <f>ROUND('[6]Feb 2022'!$F99,2)</f>
        <v>2656.95</v>
      </c>
      <c r="I20" s="121">
        <f>ROUND('[6]Mar 2022'!$F99,2)</f>
        <v>1373.75</v>
      </c>
      <c r="J20" s="171">
        <f>ROUND('[6]Apr 2022'!$F99,2)</f>
        <v>1345.26</v>
      </c>
      <c r="K20" s="123">
        <f>'PCR Cycle 2'!K31*'TDR Cycle 3'!$N20</f>
        <v>1497.9229999999993</v>
      </c>
      <c r="L20" s="41">
        <f>'PCR Cycle 2'!L31*'TDR Cycle 3'!$N20</f>
        <v>1620.8824799999993</v>
      </c>
      <c r="M20" s="61">
        <f>'PCR Cycle 2'!M31*'TDR Cycle 3'!$N20</f>
        <v>1625.7123999999992</v>
      </c>
      <c r="N20" s="72">
        <v>3.9999999999999983E-5</v>
      </c>
      <c r="O20" s="4"/>
    </row>
    <row r="21" spans="1:15" x14ac:dyDescent="0.25">
      <c r="C21" s="67"/>
      <c r="D21" s="200"/>
      <c r="E21" s="68"/>
      <c r="F21" s="68"/>
      <c r="G21" s="68"/>
      <c r="H21" s="67"/>
      <c r="I21" s="68"/>
      <c r="J21" s="169"/>
      <c r="K21" s="56"/>
      <c r="L21" s="56"/>
      <c r="M21" s="13"/>
      <c r="O21" s="4"/>
    </row>
    <row r="22" spans="1:15" x14ac:dyDescent="0.25">
      <c r="A22" s="39" t="s">
        <v>66</v>
      </c>
      <c r="B22" s="39"/>
      <c r="C22" s="67"/>
      <c r="D22" s="200"/>
      <c r="E22" s="56"/>
      <c r="F22" s="56"/>
      <c r="G22" s="56"/>
      <c r="H22" s="12"/>
      <c r="I22" s="56"/>
      <c r="J22" s="170"/>
      <c r="K22" s="56"/>
      <c r="L22" s="56"/>
      <c r="M22" s="13"/>
      <c r="N22" s="7"/>
    </row>
    <row r="23" spans="1:15" x14ac:dyDescent="0.25">
      <c r="A23" s="46" t="s">
        <v>24</v>
      </c>
      <c r="C23" s="196">
        <v>-10626206.079708332</v>
      </c>
      <c r="D23" s="201"/>
      <c r="E23" s="111">
        <f>+'[15]Monthly TD Calc'!AA460</f>
        <v>4854328.2549652671</v>
      </c>
      <c r="F23" s="111">
        <f>+'[15]Monthly TD Calc'!AB460</f>
        <v>5963395.7324858001</v>
      </c>
      <c r="G23" s="125">
        <f>+'[15]Monthly TD Calc'!AC460</f>
        <v>6335185.5930740833</v>
      </c>
      <c r="H23" s="74">
        <f>+'[15]Monthly TD Calc'!AD460</f>
        <v>5589147.8888868252</v>
      </c>
      <c r="I23" s="75">
        <f>+'[15]Monthly TD Calc'!AE460</f>
        <v>5602809.9106298424</v>
      </c>
      <c r="J23" s="171">
        <f>+'[15]Monthly TD Calc'!AF460</f>
        <v>5873400.8391582016</v>
      </c>
      <c r="K23" s="160">
        <f>+'[3]Monthly TD Calc'!AG461</f>
        <v>6074738.9361627065</v>
      </c>
      <c r="L23" s="144">
        <f>+'[3]Monthly TD Calc'!AH461</f>
        <v>6030635.9461498857</v>
      </c>
      <c r="M23" s="80"/>
      <c r="N23" s="59">
        <f>SUM(C23:L23)</f>
        <v>35697437.021804273</v>
      </c>
    </row>
    <row r="24" spans="1:15" x14ac:dyDescent="0.25">
      <c r="A24" s="46" t="s">
        <v>107</v>
      </c>
      <c r="C24" s="196">
        <v>-747605.72059546201</v>
      </c>
      <c r="D24" s="201"/>
      <c r="E24" s="111">
        <f>+'[15]Monthly TD Calc'!AA461</f>
        <v>361864.15920374473</v>
      </c>
      <c r="F24" s="111">
        <f>+'[15]Monthly TD Calc'!AB461</f>
        <v>385055.66699496558</v>
      </c>
      <c r="G24" s="125">
        <f>+'[15]Monthly TD Calc'!AC461</f>
        <v>414725.44802283926</v>
      </c>
      <c r="H24" s="74">
        <f>+'[15]Monthly TD Calc'!AD461</f>
        <v>380827.09780178795</v>
      </c>
      <c r="I24" s="75">
        <f>+'[15]Monthly TD Calc'!AE461</f>
        <v>429024.33393295924</v>
      </c>
      <c r="J24" s="171">
        <f>+'[15]Monthly TD Calc'!AF461</f>
        <v>437039.85024010536</v>
      </c>
      <c r="K24" s="160">
        <f>+'[3]Monthly TD Calc'!AG462</f>
        <v>479676.36739443074</v>
      </c>
      <c r="L24" s="144">
        <f>+'[3]Monthly TD Calc'!AH462</f>
        <v>489856.29779460473</v>
      </c>
      <c r="M24" s="80"/>
      <c r="N24" s="59">
        <f t="shared" ref="N24:N27" si="10">SUM(C24:L24)</f>
        <v>2630463.5007899753</v>
      </c>
    </row>
    <row r="25" spans="1:15" x14ac:dyDescent="0.25">
      <c r="A25" s="46" t="s">
        <v>108</v>
      </c>
      <c r="C25" s="196">
        <v>-2749824.49524864</v>
      </c>
      <c r="D25" s="201"/>
      <c r="E25" s="111">
        <f>+'[15]Monthly TD Calc'!AA462</f>
        <v>1315882.3779273084</v>
      </c>
      <c r="F25" s="111">
        <f>+'[15]Monthly TD Calc'!AB462</f>
        <v>1383884.5492268186</v>
      </c>
      <c r="G25" s="125">
        <f>+'[15]Monthly TD Calc'!AC462</f>
        <v>1508873.8807748589</v>
      </c>
      <c r="H25" s="74">
        <f>+'[15]Monthly TD Calc'!AD462</f>
        <v>1374720.0026345386</v>
      </c>
      <c r="I25" s="75">
        <f>+'[15]Monthly TD Calc'!AE462</f>
        <v>1549823.2725096878</v>
      </c>
      <c r="J25" s="171">
        <f>+'[15]Monthly TD Calc'!AF462</f>
        <v>1492324.7312269981</v>
      </c>
      <c r="K25" s="160">
        <f>+'[3]Monthly TD Calc'!AG463</f>
        <v>1586678.2841929882</v>
      </c>
      <c r="L25" s="144">
        <f>+'[3]Monthly TD Calc'!AH463</f>
        <v>1580492.6433288152</v>
      </c>
      <c r="M25" s="80"/>
      <c r="N25" s="59">
        <f t="shared" si="10"/>
        <v>9042855.2465733737</v>
      </c>
    </row>
    <row r="26" spans="1:15" x14ac:dyDescent="0.25">
      <c r="A26" s="46" t="s">
        <v>109</v>
      </c>
      <c r="C26" s="196">
        <v>-4588923.3591222512</v>
      </c>
      <c r="D26" s="201"/>
      <c r="E26" s="111">
        <f>+'[15]Monthly TD Calc'!AA463</f>
        <v>2200100.3049067105</v>
      </c>
      <c r="F26" s="111">
        <f>+'[15]Monthly TD Calc'!AB463</f>
        <v>2313548.7569724293</v>
      </c>
      <c r="G26" s="125">
        <f>+'[15]Monthly TD Calc'!AC463</f>
        <v>2519875.6828550878</v>
      </c>
      <c r="H26" s="74">
        <f>+'[15]Monthly TD Calc'!AD463</f>
        <v>2283714.2831982784</v>
      </c>
      <c r="I26" s="75">
        <f>+'[15]Monthly TD Calc'!AE463</f>
        <v>2539889.8542861836</v>
      </c>
      <c r="J26" s="171">
        <f>+'[15]Monthly TD Calc'!AF463</f>
        <v>2429556.6411878662</v>
      </c>
      <c r="K26" s="160">
        <f>+'[3]Monthly TD Calc'!AG464</f>
        <v>2587459.9246119964</v>
      </c>
      <c r="L26" s="144">
        <f>+'[3]Monthly TD Calc'!AH464</f>
        <v>2576667.6637742557</v>
      </c>
      <c r="M26" s="80"/>
      <c r="N26" s="59">
        <f t="shared" si="10"/>
        <v>14861889.752670556</v>
      </c>
    </row>
    <row r="27" spans="1:15" x14ac:dyDescent="0.25">
      <c r="A27" s="46" t="s">
        <v>110</v>
      </c>
      <c r="C27" s="196">
        <v>-355631.72859054105</v>
      </c>
      <c r="D27" s="201"/>
      <c r="E27" s="111">
        <f>+'[15]Monthly TD Calc'!AA464</f>
        <v>141755.18895071512</v>
      </c>
      <c r="F27" s="111">
        <f>+'[15]Monthly TD Calc'!AB464</f>
        <v>180046.18809845645</v>
      </c>
      <c r="G27" s="125">
        <f>+'[15]Monthly TD Calc'!AC464</f>
        <v>226225.73653489994</v>
      </c>
      <c r="H27" s="74">
        <f>+'[15]Monthly TD Calc'!AD464</f>
        <v>206418.76560112031</v>
      </c>
      <c r="I27" s="75">
        <f>+'[15]Monthly TD Calc'!AE464</f>
        <v>229789.65719795</v>
      </c>
      <c r="J27" s="171">
        <f>+'[15]Monthly TD Calc'!AF464</f>
        <v>217209.16939282801</v>
      </c>
      <c r="K27" s="160">
        <f>+'[3]Monthly TD Calc'!AG465</f>
        <v>232008.18854543753</v>
      </c>
      <c r="L27" s="144">
        <f>+'[3]Monthly TD Calc'!AH465</f>
        <v>248529.23650717147</v>
      </c>
      <c r="M27" s="80"/>
      <c r="N27" s="59">
        <f t="shared" si="10"/>
        <v>1326350.4022380377</v>
      </c>
    </row>
    <row r="28" spans="1:15" x14ac:dyDescent="0.25">
      <c r="C28" s="67"/>
      <c r="D28" s="200"/>
      <c r="E28" s="68"/>
      <c r="F28" s="68"/>
      <c r="G28" s="68"/>
      <c r="H28" s="67"/>
      <c r="I28" s="68"/>
      <c r="J28" s="169"/>
      <c r="K28" s="56"/>
      <c r="L28" s="56"/>
      <c r="M28" s="13"/>
    </row>
    <row r="29" spans="1:15" x14ac:dyDescent="0.25">
      <c r="A29" s="46" t="s">
        <v>69</v>
      </c>
      <c r="C29" s="36"/>
      <c r="D29" s="202"/>
      <c r="E29" s="37"/>
      <c r="F29" s="37"/>
      <c r="G29" s="37"/>
      <c r="H29" s="36"/>
      <c r="I29" s="37"/>
      <c r="J29" s="172"/>
      <c r="K29" s="52"/>
      <c r="L29" s="52"/>
      <c r="M29" s="38"/>
    </row>
    <row r="30" spans="1:15" x14ac:dyDescent="0.25">
      <c r="A30" s="46" t="s">
        <v>24</v>
      </c>
      <c r="C30" s="195">
        <v>-731532.92999999993</v>
      </c>
      <c r="D30" s="198"/>
      <c r="E30" s="109">
        <f>ROUND('[15]Monthly TD Calc'!AA562,2)</f>
        <v>348040.82</v>
      </c>
      <c r="F30" s="109">
        <f>ROUND('[15]Monthly TD Calc'!AB562,2)</f>
        <v>395751.45</v>
      </c>
      <c r="G30" s="110">
        <f>ROUND('[15]Monthly TD Calc'!AC562,2)</f>
        <v>307030.25</v>
      </c>
      <c r="H30" s="16">
        <f>ROUND('[15]Monthly TD Calc'!AD562,2)</f>
        <v>278547.71999999997</v>
      </c>
      <c r="I30" s="55">
        <f>ROUND('[15]Monthly TD Calc'!AE562,2)</f>
        <v>292811.86</v>
      </c>
      <c r="J30" s="171">
        <f>ROUND('[15]Monthly TD Calc'!AF562,2)</f>
        <v>324592</v>
      </c>
      <c r="K30" s="161">
        <f>ROUND('[3]Monthly TD Calc'!AG563,2)</f>
        <v>337659.04</v>
      </c>
      <c r="L30" s="143">
        <f>ROUND('[3]Monthly TD Calc'!AH563,2)</f>
        <v>522764.08</v>
      </c>
      <c r="M30" s="79"/>
    </row>
    <row r="31" spans="1:15" x14ac:dyDescent="0.25">
      <c r="A31" s="46" t="s">
        <v>107</v>
      </c>
      <c r="C31" s="195">
        <v>-56151.25</v>
      </c>
      <c r="D31" s="198"/>
      <c r="E31" s="109">
        <f>ROUND('[15]Monthly TD Calc'!AA563,2)</f>
        <v>28285.89</v>
      </c>
      <c r="F31" s="109">
        <f>ROUND('[15]Monthly TD Calc'!AB563,2)</f>
        <v>27834.57</v>
      </c>
      <c r="G31" s="110">
        <f>ROUND('[15]Monthly TD Calc'!AC563,2)</f>
        <v>27498.880000000001</v>
      </c>
      <c r="H31" s="16">
        <f>ROUND('[15]Monthly TD Calc'!AD563,2)</f>
        <v>25899.84</v>
      </c>
      <c r="I31" s="55">
        <f>ROUND('[15]Monthly TD Calc'!AE563,2)</f>
        <v>29853.75</v>
      </c>
      <c r="J31" s="171">
        <f>ROUND('[15]Monthly TD Calc'!AF563,2)</f>
        <v>31909.13</v>
      </c>
      <c r="K31" s="161">
        <f>ROUND('[3]Monthly TD Calc'!AG564,2)</f>
        <v>37044.46</v>
      </c>
      <c r="L31" s="143">
        <f>ROUND('[3]Monthly TD Calc'!AH564,2)</f>
        <v>48224.15</v>
      </c>
      <c r="M31" s="79"/>
    </row>
    <row r="32" spans="1:15" x14ac:dyDescent="0.25">
      <c r="A32" s="46" t="s">
        <v>108</v>
      </c>
      <c r="C32" s="195">
        <v>-128363.76</v>
      </c>
      <c r="D32" s="198"/>
      <c r="E32" s="109">
        <f>ROUND('[15]Monthly TD Calc'!AA564,2)</f>
        <v>64561.59</v>
      </c>
      <c r="F32" s="109">
        <f>ROUND('[15]Monthly TD Calc'!AB564,2)</f>
        <v>61395.4</v>
      </c>
      <c r="G32" s="110">
        <f>ROUND('[15]Monthly TD Calc'!AC564,2)</f>
        <v>60570.23</v>
      </c>
      <c r="H32" s="16">
        <f>ROUND('[15]Monthly TD Calc'!AD564,2)</f>
        <v>56506.69</v>
      </c>
      <c r="I32" s="55">
        <f>ROUND('[15]Monthly TD Calc'!AE564,2)</f>
        <v>64983.95</v>
      </c>
      <c r="J32" s="171">
        <f>ROUND('[15]Monthly TD Calc'!AF564,2)</f>
        <v>66968.95</v>
      </c>
      <c r="K32" s="161">
        <f>ROUND('[3]Monthly TD Calc'!AG565,2)</f>
        <v>77175.44</v>
      </c>
      <c r="L32" s="143">
        <f>ROUND('[3]Monthly TD Calc'!AH565,2)</f>
        <v>101627.35</v>
      </c>
      <c r="M32" s="79"/>
    </row>
    <row r="33" spans="1:15" x14ac:dyDescent="0.25">
      <c r="A33" s="46" t="s">
        <v>109</v>
      </c>
      <c r="C33" s="195">
        <v>-128546.85</v>
      </c>
      <c r="D33" s="198"/>
      <c r="E33" s="109">
        <f>ROUND('[15]Monthly TD Calc'!AA565,2)</f>
        <v>64909.77</v>
      </c>
      <c r="F33" s="109">
        <f>ROUND('[15]Monthly TD Calc'!AB565,2)</f>
        <v>61279.58</v>
      </c>
      <c r="G33" s="110">
        <f>ROUND('[15]Monthly TD Calc'!AC565,2)</f>
        <v>60743.13</v>
      </c>
      <c r="H33" s="16">
        <f>ROUND('[15]Monthly TD Calc'!AD565,2)</f>
        <v>57657.57</v>
      </c>
      <c r="I33" s="55">
        <f>ROUND('[15]Monthly TD Calc'!AE565,2)</f>
        <v>66661.66</v>
      </c>
      <c r="J33" s="171">
        <f>ROUND('[15]Monthly TD Calc'!AF565,2)</f>
        <v>67233.39</v>
      </c>
      <c r="K33" s="161">
        <f>ROUND('[3]Monthly TD Calc'!AG566,2)</f>
        <v>74428.789999999994</v>
      </c>
      <c r="L33" s="143">
        <f>ROUND('[3]Monthly TD Calc'!AH566,2)</f>
        <v>102335.99</v>
      </c>
      <c r="M33" s="79"/>
    </row>
    <row r="34" spans="1:15" x14ac:dyDescent="0.25">
      <c r="A34" s="46" t="s">
        <v>110</v>
      </c>
      <c r="C34" s="195">
        <v>-5683.91</v>
      </c>
      <c r="D34" s="198"/>
      <c r="E34" s="109">
        <f>ROUND('[15]Monthly TD Calc'!AA566,2)</f>
        <v>2372.4899999999998</v>
      </c>
      <c r="F34" s="109">
        <f>ROUND('[15]Monthly TD Calc'!AB566,2)</f>
        <v>2790.99</v>
      </c>
      <c r="G34" s="110">
        <f>ROUND('[15]Monthly TD Calc'!AC566,2)</f>
        <v>3279.38</v>
      </c>
      <c r="H34" s="16">
        <f>ROUND('[15]Monthly TD Calc'!AD566,2)</f>
        <v>3385.98</v>
      </c>
      <c r="I34" s="55">
        <f>ROUND('[15]Monthly TD Calc'!AE566,2)</f>
        <v>3829.46</v>
      </c>
      <c r="J34" s="171">
        <f>ROUND('[15]Monthly TD Calc'!AF566,2)</f>
        <v>3330.31</v>
      </c>
      <c r="K34" s="161">
        <f>ROUND('[3]Monthly TD Calc'!AG567,2)</f>
        <v>3488.26</v>
      </c>
      <c r="L34" s="143">
        <f>ROUND('[3]Monthly TD Calc'!AH567,2)</f>
        <v>4929.6400000000003</v>
      </c>
      <c r="M34" s="79"/>
      <c r="O34" s="47"/>
    </row>
    <row r="35" spans="1:15" x14ac:dyDescent="0.25">
      <c r="C35" s="99"/>
      <c r="D35" s="199"/>
      <c r="E35" s="18"/>
      <c r="F35" s="18"/>
      <c r="G35" s="18"/>
      <c r="H35" s="91"/>
      <c r="I35" s="18"/>
      <c r="J35" s="167"/>
      <c r="K35" s="56"/>
      <c r="L35" s="56"/>
      <c r="M35" s="13"/>
    </row>
    <row r="36" spans="1:15" ht="15.75" thickBot="1" x14ac:dyDescent="0.3">
      <c r="A36" s="3" t="s">
        <v>15</v>
      </c>
      <c r="B36" s="3"/>
      <c r="C36" s="197">
        <v>-1314.4</v>
      </c>
      <c r="D36" s="203"/>
      <c r="E36" s="279">
        <v>684.07999999999993</v>
      </c>
      <c r="F36" s="136">
        <v>717.24</v>
      </c>
      <c r="G36" s="137">
        <v>626.07000000000005</v>
      </c>
      <c r="H36" s="26">
        <v>413.95000000000005</v>
      </c>
      <c r="I36" s="122">
        <v>153.04000000000005</v>
      </c>
      <c r="J36" s="173">
        <v>-114.40999999999997</v>
      </c>
      <c r="K36" s="162">
        <v>-247.53000000000003</v>
      </c>
      <c r="L36" s="145">
        <v>-308.41999999999996</v>
      </c>
      <c r="M36" s="82"/>
    </row>
    <row r="37" spans="1:15" x14ac:dyDescent="0.25">
      <c r="C37" s="64"/>
      <c r="D37" s="206"/>
      <c r="E37" s="66"/>
      <c r="F37" s="66"/>
      <c r="G37" s="33"/>
      <c r="H37" s="64"/>
      <c r="I37" s="33"/>
      <c r="J37" s="174"/>
      <c r="K37" s="34"/>
      <c r="L37" s="34"/>
      <c r="M37" s="60"/>
    </row>
    <row r="38" spans="1:15" x14ac:dyDescent="0.25">
      <c r="A38" s="46" t="s">
        <v>52</v>
      </c>
      <c r="C38" s="65"/>
      <c r="D38" s="207"/>
      <c r="E38" s="35"/>
      <c r="F38" s="35"/>
      <c r="G38" s="35"/>
      <c r="H38" s="65"/>
      <c r="I38" s="35"/>
      <c r="J38" s="175"/>
      <c r="K38" s="34"/>
      <c r="L38" s="34"/>
      <c r="M38" s="60"/>
    </row>
    <row r="39" spans="1:15" x14ac:dyDescent="0.25">
      <c r="A39" s="46" t="s">
        <v>24</v>
      </c>
      <c r="C39" s="204">
        <f t="shared" ref="C39" si="11">C30-C16</f>
        <v>486731.55888000014</v>
      </c>
      <c r="D39" s="208">
        <f t="shared" ref="D39" si="12">D30-D16</f>
        <v>0</v>
      </c>
      <c r="E39" s="41">
        <f t="shared" ref="E39:M39" si="13">E30-E16</f>
        <v>59314.359999999986</v>
      </c>
      <c r="F39" s="41">
        <f t="shared" si="13"/>
        <v>48978.210000000021</v>
      </c>
      <c r="G39" s="108">
        <f t="shared" si="13"/>
        <v>-154550.79999999999</v>
      </c>
      <c r="H39" s="40">
        <f t="shared" si="13"/>
        <v>-231447.88</v>
      </c>
      <c r="I39" s="41">
        <f t="shared" si="13"/>
        <v>-280971.02</v>
      </c>
      <c r="J39" s="61">
        <f t="shared" si="13"/>
        <v>-129816.01000000001</v>
      </c>
      <c r="K39" s="123">
        <f t="shared" si="13"/>
        <v>-82803.475120000017</v>
      </c>
      <c r="L39" s="41">
        <f t="shared" si="13"/>
        <v>-82274.822979999997</v>
      </c>
      <c r="M39" s="61">
        <f t="shared" si="13"/>
        <v>-705305.32047999999</v>
      </c>
    </row>
    <row r="40" spans="1:15" x14ac:dyDescent="0.25">
      <c r="A40" s="46" t="s">
        <v>107</v>
      </c>
      <c r="C40" s="204">
        <f t="shared" ref="C40" si="14">C31-C17</f>
        <v>32549.866669999989</v>
      </c>
      <c r="D40" s="208">
        <f t="shared" ref="D40:M40" si="15">D31-D17</f>
        <v>0</v>
      </c>
      <c r="E40" s="41">
        <f t="shared" si="15"/>
        <v>614.36000000000058</v>
      </c>
      <c r="F40" s="41">
        <f t="shared" si="15"/>
        <v>-2525.84</v>
      </c>
      <c r="G40" s="108">
        <f t="shared" si="15"/>
        <v>-7424.619999999999</v>
      </c>
      <c r="H40" s="40">
        <f t="shared" si="15"/>
        <v>-7176.09</v>
      </c>
      <c r="I40" s="41">
        <f t="shared" si="15"/>
        <v>59.240000000001601</v>
      </c>
      <c r="J40" s="61">
        <f t="shared" si="15"/>
        <v>6538.9600000000028</v>
      </c>
      <c r="K40" s="123">
        <f t="shared" si="15"/>
        <v>10705.254399999998</v>
      </c>
      <c r="L40" s="41">
        <f t="shared" si="15"/>
        <v>19722.846799999999</v>
      </c>
      <c r="M40" s="61">
        <f t="shared" si="15"/>
        <v>-28586.231400000004</v>
      </c>
    </row>
    <row r="41" spans="1:15" x14ac:dyDescent="0.25">
      <c r="A41" s="46" t="s">
        <v>108</v>
      </c>
      <c r="C41" s="204">
        <f t="shared" ref="C41" si="16">C32-C18</f>
        <v>137845.95724999998</v>
      </c>
      <c r="D41" s="208">
        <f t="shared" ref="D41:M41" si="17">D32-D18</f>
        <v>0</v>
      </c>
      <c r="E41" s="41">
        <f t="shared" si="17"/>
        <v>-12245.660000000003</v>
      </c>
      <c r="F41" s="41">
        <f t="shared" si="17"/>
        <v>-19159.639999999992</v>
      </c>
      <c r="G41" s="108">
        <f t="shared" si="17"/>
        <v>-29573.480000000003</v>
      </c>
      <c r="H41" s="40">
        <f t="shared" si="17"/>
        <v>-27590.36</v>
      </c>
      <c r="I41" s="41">
        <f t="shared" si="17"/>
        <v>-11587.479999999996</v>
      </c>
      <c r="J41" s="61">
        <f t="shared" si="17"/>
        <v>-1144.5100000000093</v>
      </c>
      <c r="K41" s="123">
        <f t="shared" si="17"/>
        <v>2313.5837999999931</v>
      </c>
      <c r="L41" s="41">
        <f t="shared" si="17"/>
        <v>20620.334650000004</v>
      </c>
      <c r="M41" s="61">
        <f t="shared" si="17"/>
        <v>-81248.400900000008</v>
      </c>
    </row>
    <row r="42" spans="1:15" x14ac:dyDescent="0.25">
      <c r="A42" s="46" t="s">
        <v>109</v>
      </c>
      <c r="C42" s="204">
        <f t="shared" ref="C42" si="18">C33-C19</f>
        <v>106811.02009000001</v>
      </c>
      <c r="D42" s="208">
        <f t="shared" ref="D42:M42" si="19">D33-D19</f>
        <v>0</v>
      </c>
      <c r="E42" s="41">
        <f t="shared" si="19"/>
        <v>-6026.1900000000096</v>
      </c>
      <c r="F42" s="41">
        <f t="shared" si="19"/>
        <v>-13698.75</v>
      </c>
      <c r="G42" s="108">
        <f t="shared" si="19"/>
        <v>-21574.480000000003</v>
      </c>
      <c r="H42" s="40">
        <f t="shared" si="19"/>
        <v>-23492.370000000003</v>
      </c>
      <c r="I42" s="41">
        <f t="shared" si="19"/>
        <v>-15873.11</v>
      </c>
      <c r="J42" s="61">
        <f t="shared" si="19"/>
        <v>-6772.6699999999983</v>
      </c>
      <c r="K42" s="123">
        <f t="shared" si="19"/>
        <v>-2639.8065500000084</v>
      </c>
      <c r="L42" s="41">
        <f t="shared" si="19"/>
        <v>18941.090500000006</v>
      </c>
      <c r="M42" s="61">
        <f t="shared" si="19"/>
        <v>-83643.399950000006</v>
      </c>
    </row>
    <row r="43" spans="1:15" x14ac:dyDescent="0.25">
      <c r="A43" s="46" t="s">
        <v>110</v>
      </c>
      <c r="C43" s="204">
        <f t="shared" ref="C43" si="20">C34-C20</f>
        <v>9631.0957600000002</v>
      </c>
      <c r="D43" s="208">
        <f t="shared" ref="D43:M43" si="21">D34-D20</f>
        <v>0</v>
      </c>
      <c r="E43" s="41">
        <f t="shared" si="21"/>
        <v>-1879.83</v>
      </c>
      <c r="F43" s="41">
        <f t="shared" si="21"/>
        <v>-1405.2399999999998</v>
      </c>
      <c r="G43" s="108">
        <f t="shared" si="21"/>
        <v>-1051.6499999999996</v>
      </c>
      <c r="H43" s="40">
        <f t="shared" si="21"/>
        <v>729.0300000000002</v>
      </c>
      <c r="I43" s="41">
        <f t="shared" si="21"/>
        <v>2455.71</v>
      </c>
      <c r="J43" s="61">
        <f t="shared" si="21"/>
        <v>1985.05</v>
      </c>
      <c r="K43" s="123">
        <f t="shared" si="21"/>
        <v>1990.3370000000009</v>
      </c>
      <c r="L43" s="41">
        <f t="shared" si="21"/>
        <v>3308.757520000001</v>
      </c>
      <c r="M43" s="61">
        <f t="shared" si="21"/>
        <v>-1625.7123999999992</v>
      </c>
    </row>
    <row r="44" spans="1:15" x14ac:dyDescent="0.25">
      <c r="C44" s="99"/>
      <c r="D44" s="199"/>
      <c r="E44" s="31"/>
      <c r="F44" s="17"/>
      <c r="G44" s="17"/>
      <c r="H44" s="10"/>
      <c r="I44" s="17"/>
      <c r="J44" s="11"/>
      <c r="K44" s="17"/>
      <c r="L44" s="17"/>
      <c r="M44" s="11"/>
    </row>
    <row r="45" spans="1:15" ht="15.75" thickBot="1" x14ac:dyDescent="0.3">
      <c r="A45" s="46" t="s">
        <v>53</v>
      </c>
      <c r="C45" s="99"/>
      <c r="D45" s="199"/>
      <c r="E45" s="17"/>
      <c r="F45" s="17"/>
      <c r="G45" s="17"/>
      <c r="H45" s="10"/>
      <c r="I45" s="17"/>
      <c r="J45" s="11"/>
      <c r="K45" s="17"/>
      <c r="L45" s="17"/>
      <c r="M45" s="11"/>
    </row>
    <row r="46" spans="1:15" x14ac:dyDescent="0.25">
      <c r="A46" s="46" t="s">
        <v>24</v>
      </c>
      <c r="B46" s="116">
        <v>525943.12112000003</v>
      </c>
      <c r="C46" s="204">
        <f t="shared" ref="C46:C50" si="22">+B46+C39+B54</f>
        <v>1012674.6800000002</v>
      </c>
      <c r="D46" s="208">
        <f t="shared" ref="D46:D50" si="23">+C46+D39+C54</f>
        <v>1010800.1300000001</v>
      </c>
      <c r="E46" s="41">
        <f t="shared" ref="E46:E50" si="24">+D46+E39+D54</f>
        <v>1070114.4900000002</v>
      </c>
      <c r="F46" s="41">
        <f t="shared" ref="F46:F50" si="25">+E46+F39+E54</f>
        <v>1120037.8700000001</v>
      </c>
      <c r="G46" s="108">
        <f t="shared" ref="G46:G50" si="26">+F46+G39+F54</f>
        <v>966494.82000000007</v>
      </c>
      <c r="H46" s="40">
        <f t="shared" ref="H46:H50" si="27">+G46+H39+G54</f>
        <v>736008.71000000008</v>
      </c>
      <c r="I46" s="41">
        <f t="shared" ref="I46:I50" si="28">+H46+I39+H54</f>
        <v>455860.52000000008</v>
      </c>
      <c r="J46" s="61">
        <f t="shared" ref="J46:J50" si="29">+I46+J39+I54</f>
        <v>326738.74000000005</v>
      </c>
      <c r="K46" s="123">
        <f t="shared" ref="K46:K50" si="30">+J46+K39+J54</f>
        <v>244456.61488000004</v>
      </c>
      <c r="L46" s="41">
        <f t="shared" ref="L46:L50" si="31">+K46+L39+K54</f>
        <v>162562.32190000004</v>
      </c>
      <c r="M46" s="61">
        <f t="shared" ref="M46:M50" si="32">+L46+M39+L54</f>
        <v>-542471.83857999987</v>
      </c>
    </row>
    <row r="47" spans="1:15" x14ac:dyDescent="0.25">
      <c r="A47" s="46" t="s">
        <v>107</v>
      </c>
      <c r="B47" s="249">
        <v>-207619.25667000006</v>
      </c>
      <c r="C47" s="204">
        <f t="shared" si="22"/>
        <v>-175069.39000000007</v>
      </c>
      <c r="D47" s="208">
        <f t="shared" si="23"/>
        <v>-174753.04000000007</v>
      </c>
      <c r="E47" s="41">
        <f t="shared" si="24"/>
        <v>-174138.68000000005</v>
      </c>
      <c r="F47" s="41">
        <f t="shared" si="25"/>
        <v>-176822.99000000005</v>
      </c>
      <c r="G47" s="108">
        <f t="shared" si="26"/>
        <v>-184409.10000000003</v>
      </c>
      <c r="H47" s="40">
        <f t="shared" si="27"/>
        <v>-191751.69000000003</v>
      </c>
      <c r="I47" s="41">
        <f t="shared" si="28"/>
        <v>-191874.23000000004</v>
      </c>
      <c r="J47" s="61">
        <f t="shared" si="29"/>
        <v>-185558.67000000004</v>
      </c>
      <c r="K47" s="123">
        <f t="shared" si="30"/>
        <v>-175104.77560000002</v>
      </c>
      <c r="L47" s="41">
        <f t="shared" si="31"/>
        <v>-155622.14880000002</v>
      </c>
      <c r="M47" s="61">
        <f t="shared" si="32"/>
        <v>-184428.67020000002</v>
      </c>
    </row>
    <row r="48" spans="1:15" x14ac:dyDescent="0.25">
      <c r="A48" s="46" t="s">
        <v>108</v>
      </c>
      <c r="B48" s="249">
        <v>-156414.42724999998</v>
      </c>
      <c r="C48" s="204">
        <f t="shared" si="22"/>
        <v>-18568.47</v>
      </c>
      <c r="D48" s="208">
        <f t="shared" si="23"/>
        <v>-18498.75</v>
      </c>
      <c r="E48" s="41">
        <f t="shared" si="24"/>
        <v>-30744.410000000003</v>
      </c>
      <c r="F48" s="41">
        <f t="shared" si="25"/>
        <v>-49926.42</v>
      </c>
      <c r="G48" s="108">
        <f t="shared" si="26"/>
        <v>-79537.009999999995</v>
      </c>
      <c r="H48" s="40">
        <f t="shared" si="27"/>
        <v>-107187.03</v>
      </c>
      <c r="I48" s="41">
        <f t="shared" si="28"/>
        <v>-118864.73</v>
      </c>
      <c r="J48" s="61">
        <f t="shared" si="29"/>
        <v>-120140.87000000001</v>
      </c>
      <c r="K48" s="123">
        <f t="shared" si="30"/>
        <v>-117986.45620000002</v>
      </c>
      <c r="L48" s="41">
        <f t="shared" si="31"/>
        <v>-97524.721550000017</v>
      </c>
      <c r="M48" s="61">
        <f t="shared" si="32"/>
        <v>-178916.67245000001</v>
      </c>
    </row>
    <row r="49" spans="1:13" x14ac:dyDescent="0.25">
      <c r="A49" s="46" t="s">
        <v>109</v>
      </c>
      <c r="B49" s="249">
        <v>-146572.13008999999</v>
      </c>
      <c r="C49" s="204">
        <f t="shared" si="22"/>
        <v>-39761.109999999986</v>
      </c>
      <c r="D49" s="208">
        <f t="shared" si="23"/>
        <v>-39671.599999999984</v>
      </c>
      <c r="E49" s="41">
        <f t="shared" si="24"/>
        <v>-45697.789999999994</v>
      </c>
      <c r="F49" s="41">
        <f t="shared" si="25"/>
        <v>-59435.319999999992</v>
      </c>
      <c r="G49" s="108">
        <f t="shared" si="26"/>
        <v>-81058.169999999984</v>
      </c>
      <c r="H49" s="40">
        <f t="shared" si="27"/>
        <v>-104615.28999999998</v>
      </c>
      <c r="I49" s="41">
        <f t="shared" si="28"/>
        <v>-120578.11999999998</v>
      </c>
      <c r="J49" s="61">
        <f t="shared" si="29"/>
        <v>-127481.91999999998</v>
      </c>
      <c r="K49" s="123">
        <f t="shared" si="30"/>
        <v>-130286.91654999999</v>
      </c>
      <c r="L49" s="41">
        <f t="shared" si="31"/>
        <v>-111517.50604999998</v>
      </c>
      <c r="M49" s="61">
        <f t="shared" si="32"/>
        <v>-195321.96599999999</v>
      </c>
    </row>
    <row r="50" spans="1:13" ht="15.75" thickBot="1" x14ac:dyDescent="0.3">
      <c r="A50" s="46" t="s">
        <v>110</v>
      </c>
      <c r="B50" s="117">
        <v>-54427.965759999992</v>
      </c>
      <c r="C50" s="204">
        <f t="shared" si="22"/>
        <v>-44796.869999999995</v>
      </c>
      <c r="D50" s="208">
        <f t="shared" si="23"/>
        <v>-44712.299999999996</v>
      </c>
      <c r="E50" s="41">
        <f t="shared" si="24"/>
        <v>-46592.13</v>
      </c>
      <c r="F50" s="41">
        <f t="shared" si="25"/>
        <v>-48038.84</v>
      </c>
      <c r="G50" s="108">
        <f t="shared" si="26"/>
        <v>-49134.03</v>
      </c>
      <c r="H50" s="40">
        <f t="shared" si="27"/>
        <v>-48449.79</v>
      </c>
      <c r="I50" s="41">
        <f t="shared" si="28"/>
        <v>-46041.240000000005</v>
      </c>
      <c r="J50" s="61">
        <f t="shared" si="29"/>
        <v>-44111.22</v>
      </c>
      <c r="K50" s="123">
        <f t="shared" si="30"/>
        <v>-42180.923000000003</v>
      </c>
      <c r="L50" s="41">
        <f t="shared" si="31"/>
        <v>-38929.645480000007</v>
      </c>
      <c r="M50" s="61">
        <f t="shared" si="32"/>
        <v>-40609.37788</v>
      </c>
    </row>
    <row r="51" spans="1:13" x14ac:dyDescent="0.25">
      <c r="C51" s="99"/>
      <c r="D51" s="199"/>
      <c r="E51" s="17"/>
      <c r="F51" s="17"/>
      <c r="G51" s="17"/>
      <c r="H51" s="10"/>
      <c r="I51" s="17"/>
      <c r="J51" s="11"/>
      <c r="K51" s="17"/>
      <c r="L51" s="17"/>
      <c r="M51" s="11"/>
    </row>
    <row r="52" spans="1:13" x14ac:dyDescent="0.25">
      <c r="A52" s="39" t="s">
        <v>124</v>
      </c>
      <c r="B52" s="39"/>
      <c r="C52" s="104"/>
      <c r="D52" s="209"/>
      <c r="E52" s="83">
        <f>+'PCR Cycle 2'!E50</f>
        <v>9.0841999999999995E-4</v>
      </c>
      <c r="F52" s="83">
        <f>+'PCR Cycle 2'!F50</f>
        <v>9.1985999999999999E-4</v>
      </c>
      <c r="G52" s="83">
        <f>+'PCR Cycle 2'!G50</f>
        <v>9.2144000000000004E-4</v>
      </c>
      <c r="H52" s="84">
        <f>+'PCR Cycle 2'!H50</f>
        <v>9.6606999999999997E-4</v>
      </c>
      <c r="I52" s="83">
        <f>+'PCR Cycle 2'!I50</f>
        <v>1.1641399999999999E-3</v>
      </c>
      <c r="J52" s="92">
        <f>+'PCR Cycle 2'!J50</f>
        <v>1.33118E-3</v>
      </c>
      <c r="K52" s="83">
        <f>+'PCR Cycle 2'!K50</f>
        <v>1.33118E-3</v>
      </c>
      <c r="L52" s="83">
        <f>+'PCR Cycle 2'!L50</f>
        <v>1.33118E-3</v>
      </c>
      <c r="M52" s="85"/>
    </row>
    <row r="53" spans="1:13" x14ac:dyDescent="0.25">
      <c r="A53" s="39" t="s">
        <v>37</v>
      </c>
      <c r="B53" s="39"/>
      <c r="C53" s="106"/>
      <c r="D53" s="210"/>
      <c r="E53" s="83"/>
      <c r="F53" s="83"/>
      <c r="G53" s="83"/>
      <c r="H53" s="84"/>
      <c r="I53" s="83"/>
      <c r="J53" s="85"/>
      <c r="K53" s="83"/>
      <c r="L53" s="83"/>
      <c r="M53" s="85"/>
    </row>
    <row r="54" spans="1:13" x14ac:dyDescent="0.25">
      <c r="A54" s="46" t="s">
        <v>24</v>
      </c>
      <c r="C54" s="204">
        <v>-1874.55</v>
      </c>
      <c r="D54" s="208"/>
      <c r="E54" s="252">
        <f t="shared" ref="E54:M58" si="33">ROUND((D46+D54+E39/2)*E$52,2)</f>
        <v>945.17</v>
      </c>
      <c r="F54" s="41">
        <f t="shared" ref="F54:F58" si="34">ROUND((E46+E54+F39/2)*F$52,2)</f>
        <v>1007.75</v>
      </c>
      <c r="G54" s="108">
        <f t="shared" ref="G54:G58" si="35">ROUND((F46+F54+G39/2)*G$52,2)</f>
        <v>961.77</v>
      </c>
      <c r="H54" s="40">
        <f t="shared" ref="H54:H58" si="36">ROUND((G46+G54+H39/2)*H$52,2)</f>
        <v>822.83</v>
      </c>
      <c r="I54" s="123">
        <f t="shared" ref="I54:I58" si="37">ROUND((H46+H54+I39/2)*I$52,2)</f>
        <v>694.23</v>
      </c>
      <c r="J54" s="61">
        <f t="shared" ref="J54:J58" si="38">ROUND((I46+I54+J39/2)*J$52,2)</f>
        <v>521.35</v>
      </c>
      <c r="K54" s="163">
        <f t="shared" ref="K54:K58" si="39">ROUND((J46+J54+K39/2)*K$52,2)</f>
        <v>380.53</v>
      </c>
      <c r="L54" s="108">
        <f t="shared" ref="L54:L58" si="40">ROUND((K46+K54+L39/2)*L$52,2)</f>
        <v>271.16000000000003</v>
      </c>
      <c r="M54" s="61">
        <f t="shared" si="33"/>
        <v>0</v>
      </c>
    </row>
    <row r="55" spans="1:13" x14ac:dyDescent="0.25">
      <c r="A55" s="46" t="s">
        <v>107</v>
      </c>
      <c r="C55" s="204">
        <v>316.35000000000002</v>
      </c>
      <c r="D55" s="208"/>
      <c r="E55" s="252">
        <f t="shared" si="33"/>
        <v>-158.47</v>
      </c>
      <c r="F55" s="41">
        <f t="shared" si="34"/>
        <v>-161.49</v>
      </c>
      <c r="G55" s="108">
        <f t="shared" si="35"/>
        <v>-166.5</v>
      </c>
      <c r="H55" s="40">
        <f t="shared" si="36"/>
        <v>-181.78</v>
      </c>
      <c r="I55" s="123">
        <f t="shared" si="37"/>
        <v>-223.4</v>
      </c>
      <c r="J55" s="61">
        <f t="shared" si="38"/>
        <v>-251.36</v>
      </c>
      <c r="K55" s="163">
        <f t="shared" si="39"/>
        <v>-240.22</v>
      </c>
      <c r="L55" s="108">
        <f t="shared" si="40"/>
        <v>-220.29</v>
      </c>
      <c r="M55" s="61"/>
    </row>
    <row r="56" spans="1:13" x14ac:dyDescent="0.25">
      <c r="A56" s="46" t="s">
        <v>108</v>
      </c>
      <c r="C56" s="204">
        <v>69.72</v>
      </c>
      <c r="D56" s="208"/>
      <c r="E56" s="252">
        <f t="shared" si="33"/>
        <v>-22.37</v>
      </c>
      <c r="F56" s="41">
        <f t="shared" si="34"/>
        <v>-37.11</v>
      </c>
      <c r="G56" s="108">
        <f t="shared" si="35"/>
        <v>-59.66</v>
      </c>
      <c r="H56" s="40">
        <f t="shared" si="36"/>
        <v>-90.22</v>
      </c>
      <c r="I56" s="123">
        <f t="shared" si="37"/>
        <v>-131.63</v>
      </c>
      <c r="J56" s="61">
        <f t="shared" si="38"/>
        <v>-159.16999999999999</v>
      </c>
      <c r="K56" s="163">
        <f t="shared" si="39"/>
        <v>-158.6</v>
      </c>
      <c r="L56" s="108">
        <f t="shared" si="40"/>
        <v>-143.55000000000001</v>
      </c>
      <c r="M56" s="61"/>
    </row>
    <row r="57" spans="1:13" x14ac:dyDescent="0.25">
      <c r="A57" s="46" t="s">
        <v>109</v>
      </c>
      <c r="C57" s="204">
        <v>89.509999999999991</v>
      </c>
      <c r="D57" s="208"/>
      <c r="E57" s="252">
        <f t="shared" si="33"/>
        <v>-38.78</v>
      </c>
      <c r="F57" s="41">
        <f t="shared" si="34"/>
        <v>-48.37</v>
      </c>
      <c r="G57" s="108">
        <f t="shared" si="35"/>
        <v>-64.75</v>
      </c>
      <c r="H57" s="40">
        <f t="shared" si="36"/>
        <v>-89.72</v>
      </c>
      <c r="I57" s="123">
        <f t="shared" si="37"/>
        <v>-131.13</v>
      </c>
      <c r="J57" s="61">
        <f t="shared" si="38"/>
        <v>-165.19</v>
      </c>
      <c r="K57" s="163">
        <f t="shared" si="39"/>
        <v>-171.68</v>
      </c>
      <c r="L57" s="108">
        <f t="shared" si="40"/>
        <v>-161.06</v>
      </c>
      <c r="M57" s="61"/>
    </row>
    <row r="58" spans="1:13" ht="15.75" thickBot="1" x14ac:dyDescent="0.3">
      <c r="A58" s="46" t="s">
        <v>110</v>
      </c>
      <c r="C58" s="204">
        <v>84.57</v>
      </c>
      <c r="D58" s="208"/>
      <c r="E58" s="252">
        <f t="shared" si="33"/>
        <v>-41.47</v>
      </c>
      <c r="F58" s="41">
        <f t="shared" si="34"/>
        <v>-43.54</v>
      </c>
      <c r="G58" s="108">
        <f t="shared" si="35"/>
        <v>-44.79</v>
      </c>
      <c r="H58" s="40">
        <f t="shared" si="36"/>
        <v>-47.16</v>
      </c>
      <c r="I58" s="123">
        <f t="shared" si="37"/>
        <v>-55.03</v>
      </c>
      <c r="J58" s="61">
        <f t="shared" si="38"/>
        <v>-60.04</v>
      </c>
      <c r="K58" s="163">
        <f t="shared" si="39"/>
        <v>-57.48</v>
      </c>
      <c r="L58" s="108">
        <f t="shared" si="40"/>
        <v>-54.02</v>
      </c>
      <c r="M58" s="61">
        <f t="shared" ref="M58" si="41">ROUND((L50+L58+M43/2)*M$52,2)</f>
        <v>0</v>
      </c>
    </row>
    <row r="59" spans="1:13" ht="16.5" thickTop="1" thickBot="1" x14ac:dyDescent="0.3">
      <c r="A59" s="54" t="s">
        <v>22</v>
      </c>
      <c r="B59" s="54"/>
      <c r="C59" s="205">
        <v>0</v>
      </c>
      <c r="D59" s="211"/>
      <c r="E59" s="42">
        <f>SUM(E54:E58)+SUM(E46:E50)-E62</f>
        <v>0</v>
      </c>
      <c r="F59" s="42">
        <f t="shared" ref="F59:M59" si="42">SUM(F54:F58)+SUM(F46:F50)-F62</f>
        <v>0</v>
      </c>
      <c r="G59" s="50">
        <f t="shared" si="42"/>
        <v>0</v>
      </c>
      <c r="H59" s="51">
        <f t="shared" si="42"/>
        <v>0</v>
      </c>
      <c r="I59" s="42">
        <f t="shared" si="42"/>
        <v>-1.5279510989785194E-10</v>
      </c>
      <c r="J59" s="62">
        <f t="shared" si="42"/>
        <v>-2.9103830456733704E-10</v>
      </c>
      <c r="K59" s="164">
        <f t="shared" si="42"/>
        <v>-3.2014213502407074E-10</v>
      </c>
      <c r="L59" s="50">
        <f t="shared" si="42"/>
        <v>0</v>
      </c>
      <c r="M59" s="62">
        <f t="shared" si="42"/>
        <v>0</v>
      </c>
    </row>
    <row r="60" spans="1:13" ht="16.5" thickTop="1" thickBot="1" x14ac:dyDescent="0.3">
      <c r="A60" s="54" t="s">
        <v>23</v>
      </c>
      <c r="B60" s="54"/>
      <c r="C60" s="205">
        <v>0</v>
      </c>
      <c r="D60" s="211"/>
      <c r="E60" s="42">
        <f>SUM(E54:E58)-E36</f>
        <v>0</v>
      </c>
      <c r="F60" s="42">
        <f t="shared" ref="F60:J60" si="43">SUM(F54:F58)-F36</f>
        <v>0</v>
      </c>
      <c r="G60" s="50">
        <f t="shared" ref="G60:I60" si="44">SUM(G54:G58)-G36</f>
        <v>0</v>
      </c>
      <c r="H60" s="51">
        <f t="shared" si="44"/>
        <v>0</v>
      </c>
      <c r="I60" s="42">
        <f t="shared" si="44"/>
        <v>0</v>
      </c>
      <c r="J60" s="62">
        <f t="shared" si="43"/>
        <v>0</v>
      </c>
      <c r="K60" s="165">
        <f t="shared" ref="K60:M60" si="45">SUM(K54:K58)-K36</f>
        <v>8.0000000000012506E-2</v>
      </c>
      <c r="L60" s="42">
        <f t="shared" si="45"/>
        <v>0.65999999999996817</v>
      </c>
      <c r="M60" s="42">
        <f t="shared" si="45"/>
        <v>0</v>
      </c>
    </row>
    <row r="61" spans="1:13" ht="16.5" thickTop="1" thickBot="1" x14ac:dyDescent="0.3">
      <c r="C61" s="99"/>
      <c r="D61" s="199"/>
      <c r="E61" s="17"/>
      <c r="F61" s="17"/>
      <c r="G61" s="17"/>
      <c r="H61" s="10"/>
      <c r="I61" s="17"/>
      <c r="J61" s="11"/>
      <c r="K61" s="17"/>
      <c r="L61" s="17"/>
      <c r="M61" s="11"/>
    </row>
    <row r="62" spans="1:13" ht="15.75" thickBot="1" x14ac:dyDescent="0.3">
      <c r="A62" s="46" t="s">
        <v>36</v>
      </c>
      <c r="B62" s="119">
        <f>SUM(B46:B50)</f>
        <v>-39090.658649999968</v>
      </c>
      <c r="C62" s="204">
        <f>(C13-SUM(C16:C20))+SUM(C54:C58)+B62</f>
        <v>733164.44000000018</v>
      </c>
      <c r="D62" s="208">
        <f>(D13-SUM(D16:D20))+SUM(D54:D58)+C62</f>
        <v>733164.44000000018</v>
      </c>
      <c r="E62" s="41">
        <f>(E13-SUM(E16:E20))+SUM(E54:E58)+D62</f>
        <v>773625.56000000017</v>
      </c>
      <c r="F62" s="41">
        <f t="shared" ref="F62:M62" si="46">(F13-SUM(F16:F20))+SUM(F54:F58)+E62</f>
        <v>786531.54000000027</v>
      </c>
      <c r="G62" s="108">
        <f t="shared" si="46"/>
        <v>572982.58000000031</v>
      </c>
      <c r="H62" s="40">
        <f t="shared" si="46"/>
        <v>284418.86000000034</v>
      </c>
      <c r="I62" s="41">
        <f t="shared" si="46"/>
        <v>-21344.759999999776</v>
      </c>
      <c r="J62" s="61">
        <f t="shared" si="46"/>
        <v>-150668.34999999971</v>
      </c>
      <c r="K62" s="163">
        <f t="shared" si="46"/>
        <v>-221349.9064699997</v>
      </c>
      <c r="L62" s="108">
        <f t="shared" si="46"/>
        <v>-241339.45997999981</v>
      </c>
      <c r="M62" s="61">
        <f t="shared" si="46"/>
        <v>-1141748.5251099998</v>
      </c>
    </row>
    <row r="63" spans="1:13" x14ac:dyDescent="0.25">
      <c r="A63" s="46" t="s">
        <v>12</v>
      </c>
      <c r="C63" s="120"/>
      <c r="D63" s="212"/>
      <c r="E63" s="17"/>
      <c r="F63" s="17"/>
      <c r="G63" s="17"/>
      <c r="H63" s="10"/>
      <c r="I63" s="17"/>
      <c r="J63" s="11"/>
      <c r="K63" s="17"/>
      <c r="L63" s="17"/>
      <c r="M63" s="11"/>
    </row>
    <row r="64" spans="1:13" ht="15.75" thickBot="1" x14ac:dyDescent="0.3">
      <c r="A64" s="37"/>
      <c r="B64" s="37"/>
      <c r="C64" s="148"/>
      <c r="D64" s="213"/>
      <c r="E64" s="44"/>
      <c r="F64" s="44"/>
      <c r="G64" s="44"/>
      <c r="H64" s="43"/>
      <c r="I64" s="44"/>
      <c r="J64" s="45"/>
      <c r="K64" s="44"/>
      <c r="L64" s="44"/>
      <c r="M64" s="45"/>
    </row>
    <row r="66" spans="1:13" x14ac:dyDescent="0.25">
      <c r="A66" s="69" t="s">
        <v>11</v>
      </c>
      <c r="B66" s="69"/>
      <c r="C66" s="69"/>
      <c r="D66" s="69"/>
    </row>
    <row r="67" spans="1:13" ht="34.5" customHeight="1" x14ac:dyDescent="0.25">
      <c r="A67" s="307" t="s">
        <v>215</v>
      </c>
      <c r="B67" s="307"/>
      <c r="C67" s="307"/>
      <c r="D67" s="307"/>
      <c r="E67" s="307"/>
      <c r="F67" s="307"/>
      <c r="G67" s="307"/>
      <c r="H67" s="307"/>
      <c r="I67" s="307"/>
      <c r="J67" s="307"/>
      <c r="K67" s="237"/>
      <c r="L67" s="238"/>
      <c r="M67" s="238"/>
    </row>
    <row r="68" spans="1:13" ht="42.75" customHeight="1" x14ac:dyDescent="0.25">
      <c r="A68" s="307" t="s">
        <v>214</v>
      </c>
      <c r="B68" s="307"/>
      <c r="C68" s="307"/>
      <c r="D68" s="307"/>
      <c r="E68" s="307"/>
      <c r="F68" s="307"/>
      <c r="G68" s="307"/>
      <c r="H68" s="307"/>
      <c r="I68" s="307"/>
      <c r="J68" s="307"/>
      <c r="K68" s="307"/>
      <c r="L68" s="238"/>
      <c r="M68" s="238"/>
    </row>
    <row r="69" spans="1:13" ht="33.75" customHeight="1" x14ac:dyDescent="0.25">
      <c r="A69" s="307" t="s">
        <v>216</v>
      </c>
      <c r="B69" s="307"/>
      <c r="C69" s="307"/>
      <c r="D69" s="307"/>
      <c r="E69" s="307"/>
      <c r="F69" s="307"/>
      <c r="G69" s="307"/>
      <c r="H69" s="307"/>
      <c r="I69" s="307"/>
      <c r="J69" s="307"/>
      <c r="K69" s="237"/>
      <c r="L69" s="238"/>
      <c r="M69" s="238"/>
    </row>
    <row r="70" spans="1:13" x14ac:dyDescent="0.25">
      <c r="A70" s="3" t="s">
        <v>67</v>
      </c>
      <c r="B70" s="3"/>
      <c r="C70" s="3"/>
      <c r="D70" s="3"/>
    </row>
    <row r="71" spans="1:13" x14ac:dyDescent="0.25">
      <c r="A71" s="63" t="s">
        <v>203</v>
      </c>
      <c r="B71" s="3"/>
      <c r="C71" s="3"/>
      <c r="D71" s="3"/>
    </row>
    <row r="72" spans="1:13" x14ac:dyDescent="0.25">
      <c r="A72" s="3" t="s">
        <v>70</v>
      </c>
      <c r="B72" s="3"/>
      <c r="C72" s="3"/>
      <c r="D72" s="3"/>
    </row>
    <row r="73" spans="1:13" x14ac:dyDescent="0.25">
      <c r="A73" s="3"/>
      <c r="B73" s="3"/>
      <c r="C73" s="3"/>
      <c r="D73" s="3"/>
    </row>
    <row r="74" spans="1:13" ht="33" customHeight="1" x14ac:dyDescent="0.25">
      <c r="A74" s="303"/>
      <c r="B74" s="303"/>
      <c r="C74" s="303"/>
      <c r="D74" s="303"/>
      <c r="E74" s="303"/>
      <c r="F74" s="303"/>
      <c r="G74" s="303"/>
    </row>
  </sheetData>
  <mergeCells count="7">
    <mergeCell ref="A74:G74"/>
    <mergeCell ref="A69:J69"/>
    <mergeCell ref="E11:G11"/>
    <mergeCell ref="H11:J11"/>
    <mergeCell ref="K11:M11"/>
    <mergeCell ref="A67:J67"/>
    <mergeCell ref="A68:K68"/>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2"/>
  <sheetViews>
    <sheetView topLeftCell="A25" workbookViewId="0">
      <selection activeCell="A82" sqref="A82:G82"/>
    </sheetView>
  </sheetViews>
  <sheetFormatPr defaultRowHeight="15" x14ac:dyDescent="0.25"/>
  <cols>
    <col min="1" max="1" width="22.42578125" customWidth="1"/>
    <col min="2" max="2" width="15.28515625" bestFit="1" customWidth="1"/>
    <col min="3" max="3" width="14.28515625" style="46" customWidth="1"/>
    <col min="4" max="4" width="13.28515625" bestFit="1" customWidth="1"/>
    <col min="5" max="5" width="10.85546875" bestFit="1" customWidth="1"/>
    <col min="6" max="6" width="11.5703125" bestFit="1" customWidth="1"/>
    <col min="7" max="7" width="13.140625" customWidth="1"/>
  </cols>
  <sheetData>
    <row r="1" spans="1:7" x14ac:dyDescent="0.25">
      <c r="A1" s="63" t="str">
        <f>+'PPC Cycle 3'!A1</f>
        <v>Evergy Metro, Inc. - DSIM Rider Update Filed 06/01/2022</v>
      </c>
      <c r="B1" s="46"/>
      <c r="D1" s="46"/>
      <c r="E1" s="46"/>
    </row>
    <row r="2" spans="1:7" x14ac:dyDescent="0.25">
      <c r="A2" s="9" t="str">
        <f>+'PPC Cycle 3'!A2</f>
        <v>Projections for Cycle 3 July 2022 - June 2023 DSIM</v>
      </c>
      <c r="B2" s="46"/>
      <c r="D2" s="46"/>
      <c r="E2" s="46"/>
    </row>
    <row r="3" spans="1:7" ht="45.75" customHeight="1" x14ac:dyDescent="0.25">
      <c r="A3" s="46"/>
      <c r="B3" s="301" t="s">
        <v>98</v>
      </c>
      <c r="C3" s="301"/>
      <c r="D3" s="301"/>
      <c r="E3" s="46"/>
    </row>
    <row r="4" spans="1:7" ht="90" x14ac:dyDescent="0.25">
      <c r="A4" s="46"/>
      <c r="B4" s="70" t="s">
        <v>100</v>
      </c>
      <c r="C4" s="70" t="s">
        <v>101</v>
      </c>
      <c r="D4" s="70" t="s">
        <v>104</v>
      </c>
      <c r="E4" s="70" t="s">
        <v>102</v>
      </c>
      <c r="F4" s="70" t="s">
        <v>99</v>
      </c>
      <c r="G4" s="70" t="s">
        <v>105</v>
      </c>
    </row>
    <row r="5" spans="1:7" s="46" customFormat="1" x14ac:dyDescent="0.25">
      <c r="B5" s="70"/>
      <c r="C5" s="70"/>
      <c r="D5" s="70"/>
      <c r="E5" s="70"/>
      <c r="F5" s="70"/>
      <c r="G5" s="70"/>
    </row>
    <row r="6" spans="1:7" s="46" customFormat="1" x14ac:dyDescent="0.25">
      <c r="A6" s="254" t="s">
        <v>161</v>
      </c>
      <c r="B6" s="70"/>
      <c r="C6" s="70"/>
      <c r="D6" s="155"/>
    </row>
    <row r="7" spans="1:7" s="46" customFormat="1" x14ac:dyDescent="0.25">
      <c r="A7" s="20" t="s">
        <v>24</v>
      </c>
      <c r="B7" s="225">
        <f>+B19+B31+B43+B54</f>
        <v>4794235.91</v>
      </c>
      <c r="C7" s="225">
        <f t="shared" ref="C7:E7" si="0">+C19+C31+C43+C54</f>
        <v>-1294218.32</v>
      </c>
      <c r="D7" s="225">
        <f t="shared" si="0"/>
        <v>-1905501.69</v>
      </c>
      <c r="E7" s="225">
        <f t="shared" si="0"/>
        <v>-175895.57</v>
      </c>
      <c r="F7" s="225">
        <f>SUM(B7:E7)</f>
        <v>1418620.3299999998</v>
      </c>
      <c r="G7" s="225">
        <f>+G19+G31+G43+G54+G65</f>
        <v>-644438.42999999993</v>
      </c>
    </row>
    <row r="8" spans="1:7" s="46" customFormat="1" x14ac:dyDescent="0.25">
      <c r="A8" s="20" t="s">
        <v>25</v>
      </c>
      <c r="B8" s="225">
        <f t="shared" ref="B8:E8" si="1">+B20+B32+B44+B55</f>
        <v>5972530.4700000007</v>
      </c>
      <c r="C8" s="225">
        <f t="shared" si="1"/>
        <v>1159977.21</v>
      </c>
      <c r="D8" s="225">
        <f t="shared" si="1"/>
        <v>-761810.72</v>
      </c>
      <c r="E8" s="225">
        <f t="shared" si="1"/>
        <v>115284.29000000001</v>
      </c>
      <c r="F8" s="225">
        <f>SUM(B8:E8)</f>
        <v>6485981.2500000009</v>
      </c>
      <c r="G8" s="225">
        <f>+G20+G32+G44+G55+G66</f>
        <v>167264.85</v>
      </c>
    </row>
    <row r="9" spans="1:7" s="46" customFormat="1" x14ac:dyDescent="0.25">
      <c r="A9" s="20" t="s">
        <v>5</v>
      </c>
      <c r="B9" s="225">
        <f t="shared" ref="B9:G9" si="2">SUM(B7:B8)</f>
        <v>10766766.380000001</v>
      </c>
      <c r="C9" s="225">
        <f t="shared" si="2"/>
        <v>-134241.1100000001</v>
      </c>
      <c r="D9" s="225">
        <f t="shared" si="2"/>
        <v>-2667312.41</v>
      </c>
      <c r="E9" s="225">
        <f t="shared" si="2"/>
        <v>-60611.28</v>
      </c>
      <c r="F9" s="225">
        <f t="shared" si="2"/>
        <v>7904601.580000001</v>
      </c>
      <c r="G9" s="225">
        <f t="shared" si="2"/>
        <v>-477173.57999999996</v>
      </c>
    </row>
    <row r="10" spans="1:7" s="46" customFormat="1" x14ac:dyDescent="0.25"/>
    <row r="11" spans="1:7" s="46" customFormat="1" x14ac:dyDescent="0.25">
      <c r="A11" s="20" t="s">
        <v>107</v>
      </c>
      <c r="B11" s="225">
        <f t="shared" ref="B11:E11" si="3">+B23+B35+B47+B58</f>
        <v>798822.8899999999</v>
      </c>
      <c r="C11" s="225">
        <f t="shared" si="3"/>
        <v>-79725.23</v>
      </c>
      <c r="D11" s="225">
        <f t="shared" si="3"/>
        <v>-499670.70999999996</v>
      </c>
      <c r="E11" s="225">
        <f t="shared" si="3"/>
        <v>-19424.34</v>
      </c>
      <c r="F11" s="225">
        <f t="shared" ref="F11:F14" si="4">SUM(B11:E11)</f>
        <v>200002.60999999996</v>
      </c>
      <c r="G11" s="225">
        <f t="shared" ref="G11:G14" si="5">+G23+G35+G47+G58+G69</f>
        <v>-198714.93</v>
      </c>
    </row>
    <row r="12" spans="1:7" s="46" customFormat="1" x14ac:dyDescent="0.25">
      <c r="A12" s="20" t="s">
        <v>108</v>
      </c>
      <c r="B12" s="225">
        <f t="shared" ref="B12:E12" si="6">+B24+B36+B48+B59</f>
        <v>2103656.44</v>
      </c>
      <c r="C12" s="225">
        <f t="shared" si="6"/>
        <v>447456.04000000004</v>
      </c>
      <c r="D12" s="225">
        <f t="shared" si="6"/>
        <v>74826.469999999972</v>
      </c>
      <c r="E12" s="225">
        <f t="shared" si="6"/>
        <v>71197.17</v>
      </c>
      <c r="F12" s="225">
        <f t="shared" si="4"/>
        <v>2697136.12</v>
      </c>
      <c r="G12" s="225">
        <f t="shared" si="5"/>
        <v>154079.21</v>
      </c>
    </row>
    <row r="13" spans="1:7" s="46" customFormat="1" x14ac:dyDescent="0.25">
      <c r="A13" s="20" t="s">
        <v>109</v>
      </c>
      <c r="B13" s="225">
        <f t="shared" ref="B13:E13" si="7">+B25+B37+B49+B60</f>
        <v>2570767.7999999998</v>
      </c>
      <c r="C13" s="225">
        <f t="shared" si="7"/>
        <v>308800.2</v>
      </c>
      <c r="D13" s="225">
        <f t="shared" si="7"/>
        <v>-168074.32999999996</v>
      </c>
      <c r="E13" s="225">
        <f t="shared" si="7"/>
        <v>43321.640000000007</v>
      </c>
      <c r="F13" s="225">
        <f t="shared" si="4"/>
        <v>2754815.31</v>
      </c>
      <c r="G13" s="225">
        <f t="shared" si="5"/>
        <v>91772.59</v>
      </c>
    </row>
    <row r="14" spans="1:7" s="46" customFormat="1" x14ac:dyDescent="0.25">
      <c r="A14" s="20" t="s">
        <v>110</v>
      </c>
      <c r="B14" s="225">
        <f t="shared" ref="B14:E14" si="8">+B26+B38+B50+B61</f>
        <v>499283.36</v>
      </c>
      <c r="C14" s="225">
        <f t="shared" si="8"/>
        <v>483446.2</v>
      </c>
      <c r="D14" s="225">
        <f t="shared" si="8"/>
        <v>-168892.15000000002</v>
      </c>
      <c r="E14" s="225">
        <f t="shared" si="8"/>
        <v>20189.82</v>
      </c>
      <c r="F14" s="225">
        <f t="shared" si="4"/>
        <v>834027.23</v>
      </c>
      <c r="G14" s="225">
        <f t="shared" si="5"/>
        <v>120127.98</v>
      </c>
    </row>
    <row r="15" spans="1:7" s="46" customFormat="1" x14ac:dyDescent="0.25">
      <c r="A15" s="30" t="s">
        <v>112</v>
      </c>
      <c r="B15" s="225">
        <f>SUM(B11:B14)</f>
        <v>5972530.4900000002</v>
      </c>
      <c r="C15" s="225">
        <f>SUM(C11:C14)</f>
        <v>1159977.21</v>
      </c>
      <c r="D15" s="225">
        <f t="shared" ref="D15:G15" si="9">SUM(D11:D14)</f>
        <v>-761810.72</v>
      </c>
      <c r="E15" s="225">
        <f t="shared" si="9"/>
        <v>115284.29000000001</v>
      </c>
      <c r="F15" s="225">
        <f t="shared" si="9"/>
        <v>6485981.2699999996</v>
      </c>
      <c r="G15" s="225">
        <f t="shared" si="9"/>
        <v>167264.84999999998</v>
      </c>
    </row>
    <row r="16" spans="1:7" s="46" customFormat="1" x14ac:dyDescent="0.25">
      <c r="E16" s="4"/>
    </row>
    <row r="17" spans="1:7" s="46" customFormat="1" x14ac:dyDescent="0.25">
      <c r="A17" s="20"/>
      <c r="B17" s="70"/>
      <c r="C17" s="70"/>
      <c r="D17" s="154"/>
    </row>
    <row r="18" spans="1:7" s="46" customFormat="1" x14ac:dyDescent="0.25">
      <c r="A18" s="254" t="s">
        <v>180</v>
      </c>
      <c r="B18" s="70"/>
      <c r="C18" s="70"/>
      <c r="D18" s="154"/>
    </row>
    <row r="19" spans="1:7" s="46" customFormat="1" x14ac:dyDescent="0.25">
      <c r="A19" s="20" t="s">
        <v>24</v>
      </c>
      <c r="B19" s="25">
        <f>ROUND(+'[16]EO Matrix @Meter'!$S$18,2)</f>
        <v>3528190.07</v>
      </c>
      <c r="C19" s="25">
        <f>ROUND(+'[17]TD EO Ex Post Gross Adj'!$AL$370,2)</f>
        <v>-1041427.6</v>
      </c>
      <c r="D19" s="25">
        <f>ROUND('[17]TD EO NTG Adj'!$AL$384,2)</f>
        <v>537465.77</v>
      </c>
      <c r="E19" s="25">
        <f>ROUND(+'[17]EO TD Carrying Costs'!$AL$63,2)</f>
        <v>11386.11</v>
      </c>
      <c r="F19" s="225">
        <f>SUM(B19:E19)</f>
        <v>3035614.3499999996</v>
      </c>
      <c r="G19" s="225">
        <f>ROUND(F19/24*0,2)</f>
        <v>0</v>
      </c>
    </row>
    <row r="20" spans="1:7" s="46" customFormat="1" x14ac:dyDescent="0.25">
      <c r="A20" s="20" t="s">
        <v>25</v>
      </c>
      <c r="B20" s="224">
        <f>ROUND(+'[16]EO Matrix @Meter'!$T$18,2)</f>
        <v>4826270.37</v>
      </c>
      <c r="C20" s="224">
        <f>SUM(C23:C26)</f>
        <v>288583.98</v>
      </c>
      <c r="D20" s="224">
        <f t="shared" ref="D20:E20" si="10">SUM(D23:D26)</f>
        <v>662688.41</v>
      </c>
      <c r="E20" s="224">
        <f t="shared" si="10"/>
        <v>41412.159999999996</v>
      </c>
      <c r="F20" s="225">
        <f>SUM(B20:E20)</f>
        <v>5818954.9199999999</v>
      </c>
      <c r="G20" s="225">
        <f>ROUND(F20/24*0,2)</f>
        <v>0</v>
      </c>
    </row>
    <row r="21" spans="1:7" s="46" customFormat="1" x14ac:dyDescent="0.25">
      <c r="A21" s="20" t="s">
        <v>5</v>
      </c>
      <c r="B21" s="225">
        <f t="shared" ref="B21:G21" si="11">SUM(B19:B20)</f>
        <v>8354460.4399999995</v>
      </c>
      <c r="C21" s="225">
        <f t="shared" si="11"/>
        <v>-752843.62</v>
      </c>
      <c r="D21" s="225">
        <f t="shared" si="11"/>
        <v>1200154.1800000002</v>
      </c>
      <c r="E21" s="225">
        <f t="shared" si="11"/>
        <v>52798.27</v>
      </c>
      <c r="F21" s="225">
        <f t="shared" si="11"/>
        <v>8854569.2699999996</v>
      </c>
      <c r="G21" s="225">
        <f t="shared" si="11"/>
        <v>0</v>
      </c>
    </row>
    <row r="22" spans="1:7" s="46" customFormat="1" x14ac:dyDescent="0.25">
      <c r="B22" s="222"/>
      <c r="C22" s="222"/>
      <c r="D22" s="223"/>
    </row>
    <row r="23" spans="1:7" x14ac:dyDescent="0.25">
      <c r="A23" s="20" t="s">
        <v>107</v>
      </c>
      <c r="B23" s="25">
        <f>ROUND(+'[16]EO Matrix @Meter'!$W$18,2)</f>
        <v>674006.21</v>
      </c>
      <c r="C23" s="25">
        <f>ROUND(+'[17]TD EO Ex Post Gross Adj'!AL371,2)</f>
        <v>-37272.29</v>
      </c>
      <c r="D23" s="25">
        <f>ROUND(+'[17]TD EO NTG Adj'!AL385,2)</f>
        <v>101225.02</v>
      </c>
      <c r="E23" s="224">
        <f>ROUND(+'[17]EO TD Carrying Costs'!AL64,2)</f>
        <v>4637.5600000000004</v>
      </c>
      <c r="F23" s="225">
        <f t="shared" ref="F23:F26" si="12">SUM(B23:E23)</f>
        <v>742596.5</v>
      </c>
      <c r="G23" s="225">
        <f>ROUND(F23/24*0,2)</f>
        <v>0</v>
      </c>
    </row>
    <row r="24" spans="1:7" x14ac:dyDescent="0.25">
      <c r="A24" s="20" t="s">
        <v>108</v>
      </c>
      <c r="B24" s="224">
        <f>ROUND(+'[16]EO Matrix @Meter'!$X$18,2)</f>
        <v>1713084.19</v>
      </c>
      <c r="C24" s="224">
        <f>ROUND(+'[17]TD EO Ex Post Gross Adj'!AL372,2)</f>
        <v>122147.33</v>
      </c>
      <c r="D24" s="224">
        <f>ROUND(+'[17]TD EO NTG Adj'!AL386,2)</f>
        <v>340699.47</v>
      </c>
      <c r="E24" s="224">
        <f>ROUND(+'[17]EO TD Carrying Costs'!AL65,2)</f>
        <v>19663.03</v>
      </c>
      <c r="F24" s="225">
        <f t="shared" si="12"/>
        <v>2195594.02</v>
      </c>
      <c r="G24" s="225">
        <f>ROUND(F24/24*0,2)</f>
        <v>0</v>
      </c>
    </row>
    <row r="25" spans="1:7" x14ac:dyDescent="0.25">
      <c r="A25" s="20" t="s">
        <v>109</v>
      </c>
      <c r="B25" s="25">
        <f>ROUND(+'[16]EO Matrix @Meter'!$Y$18,2)</f>
        <v>2024596.54</v>
      </c>
      <c r="C25" s="25">
        <f>ROUND(+'[17]TD EO Ex Post Gross Adj'!AL373,2)</f>
        <v>169641.44</v>
      </c>
      <c r="D25" s="25">
        <f>ROUND(+'[17]TD EO NTG Adj'!AL387,2)</f>
        <v>191871.42</v>
      </c>
      <c r="E25" s="25">
        <f>ROUND(+'[17]EO TD Carrying Costs'!AL66,2)</f>
        <v>15454.89</v>
      </c>
      <c r="F25" s="225">
        <f t="shared" si="12"/>
        <v>2401564.29</v>
      </c>
      <c r="G25" s="225">
        <f>ROUND(F25/24*0,2)</f>
        <v>0</v>
      </c>
    </row>
    <row r="26" spans="1:7" x14ac:dyDescent="0.25">
      <c r="A26" s="20" t="s">
        <v>110</v>
      </c>
      <c r="B26" s="224">
        <f>ROUND(+'[16]EO Matrix @Meter'!$Z$18,2)</f>
        <v>414583.45</v>
      </c>
      <c r="C26" s="224">
        <f>ROUND(+'[17]TD EO Ex Post Gross Adj'!AL374,2)</f>
        <v>34067.5</v>
      </c>
      <c r="D26" s="224">
        <f>ROUND(+'[17]TD EO NTG Adj'!AL388,2)</f>
        <v>28892.5</v>
      </c>
      <c r="E26" s="224">
        <f>ROUND(+'[17]EO TD Carrying Costs'!AL67,2)</f>
        <v>1656.68</v>
      </c>
      <c r="F26" s="225">
        <f t="shared" si="12"/>
        <v>479200.13</v>
      </c>
      <c r="G26" s="225">
        <f>ROUND(F26/24*0,2)</f>
        <v>0</v>
      </c>
    </row>
    <row r="27" spans="1:7" x14ac:dyDescent="0.25">
      <c r="A27" s="30" t="s">
        <v>112</v>
      </c>
      <c r="B27" s="225">
        <f>SUM(B23:B26)</f>
        <v>4826270.3899999997</v>
      </c>
      <c r="C27" s="225">
        <f>SUM(C23:C26)</f>
        <v>288583.98</v>
      </c>
      <c r="D27" s="225">
        <f t="shared" ref="D27:G27" si="13">SUM(D23:D26)</f>
        <v>662688.41</v>
      </c>
      <c r="E27" s="225">
        <f t="shared" si="13"/>
        <v>41412.159999999996</v>
      </c>
      <c r="F27" s="225">
        <f t="shared" si="13"/>
        <v>5818954.9400000004</v>
      </c>
      <c r="G27" s="225">
        <f t="shared" si="13"/>
        <v>0</v>
      </c>
    </row>
    <row r="28" spans="1:7" x14ac:dyDescent="0.25">
      <c r="A28" s="46"/>
      <c r="B28" s="46"/>
      <c r="D28" s="46"/>
      <c r="E28" s="4"/>
    </row>
    <row r="29" spans="1:7" s="46" customFormat="1" x14ac:dyDescent="0.25">
      <c r="E29" s="4"/>
    </row>
    <row r="30" spans="1:7" x14ac:dyDescent="0.25">
      <c r="A30" s="254" t="s">
        <v>181</v>
      </c>
      <c r="B30" s="46"/>
      <c r="D30" s="46"/>
      <c r="E30" s="46"/>
    </row>
    <row r="31" spans="1:7" s="46" customFormat="1" x14ac:dyDescent="0.25">
      <c r="A31" s="20" t="s">
        <v>24</v>
      </c>
      <c r="B31" s="25">
        <f>ROUND(+'[18]EO Matrix @Meter'!$S$18,2)</f>
        <v>1266045.8400000001</v>
      </c>
      <c r="C31" s="25">
        <f>ROUND(+'[17]TD EO Ex Post Gross Adj'!BE370+'[17]TD EO Ex Post Gross Adj'!BS370+'[19]TD EO Ex Post Gross Adj'!BE370+'[19]TD EO Ex Post Gross Adj'!BS370,2)</f>
        <v>-261684.95</v>
      </c>
      <c r="D31" s="25">
        <f>ROUND(+'[17]TD EO NTG Adj'!$BE$384+'[17]TD EO NTG Adj'!$BS$384+'[19]TD EO NTG Adj'!$BE$384+'[19]TD EO NTG Adj'!$BS$384,2)</f>
        <v>-1774297.12</v>
      </c>
      <c r="E31" s="25">
        <f>ROUND(+'[17]EO TD Carrying Costs'!$BE$63+'[19]EO TD Carrying Costs'!$BE$62,2)</f>
        <v>-89512.47</v>
      </c>
      <c r="F31" s="225">
        <f>SUM(B31:E31)</f>
        <v>-859448.7</v>
      </c>
      <c r="G31" s="225">
        <f>ROUND(F31/24*7,2)</f>
        <v>-250672.54</v>
      </c>
    </row>
    <row r="32" spans="1:7" s="46" customFormat="1" x14ac:dyDescent="0.25">
      <c r="A32" s="20" t="s">
        <v>25</v>
      </c>
      <c r="B32" s="224">
        <f>ROUND(SUM('[18]EO Matrix @Meter'!$W$18:$Z$18),2)</f>
        <v>1146260.1000000001</v>
      </c>
      <c r="C32" s="224">
        <f>SUM(C35:C38)</f>
        <v>652330.12000000011</v>
      </c>
      <c r="D32" s="224">
        <f t="shared" ref="D32:E32" si="14">SUM(D35:D38)</f>
        <v>-1070219.28</v>
      </c>
      <c r="E32" s="224">
        <f t="shared" si="14"/>
        <v>60706.75</v>
      </c>
      <c r="F32" s="225">
        <f>SUM(B32:E32)</f>
        <v>789077.69000000018</v>
      </c>
      <c r="G32" s="225">
        <f>ROUND(F32/24*7,2)</f>
        <v>230147.66</v>
      </c>
    </row>
    <row r="33" spans="1:7" s="46" customFormat="1" x14ac:dyDescent="0.25">
      <c r="A33" s="20" t="s">
        <v>5</v>
      </c>
      <c r="B33" s="225">
        <f t="shared" ref="B33:G33" si="15">SUM(B31:B32)</f>
        <v>2412305.9400000004</v>
      </c>
      <c r="C33" s="225">
        <f t="shared" si="15"/>
        <v>390645.1700000001</v>
      </c>
      <c r="D33" s="225">
        <f t="shared" si="15"/>
        <v>-2844516.4000000004</v>
      </c>
      <c r="E33" s="225">
        <f t="shared" si="15"/>
        <v>-28805.72</v>
      </c>
      <c r="F33" s="225">
        <f t="shared" si="15"/>
        <v>-70371.009999999776</v>
      </c>
      <c r="G33" s="225">
        <f t="shared" si="15"/>
        <v>-20524.880000000005</v>
      </c>
    </row>
    <row r="34" spans="1:7" s="46" customFormat="1" x14ac:dyDescent="0.25">
      <c r="B34" s="222"/>
      <c r="C34" s="222"/>
      <c r="D34" s="223"/>
    </row>
    <row r="35" spans="1:7" s="46" customFormat="1" x14ac:dyDescent="0.25">
      <c r="A35" s="20" t="s">
        <v>107</v>
      </c>
      <c r="B35" s="25">
        <f>ROUND(+'[18]EO Matrix @Meter'!$W$18,2)</f>
        <v>124816.68</v>
      </c>
      <c r="C35" s="25">
        <f>ROUND(+'[17]TD EO Ex Post Gross Adj'!BE371+'[17]TD EO Ex Post Gross Adj'!BS371+'[19]TD EO Ex Post Gross Adj'!BE371+'[19]TD EO Ex Post Gross Adj'!BS371,2)</f>
        <v>-31690.68</v>
      </c>
      <c r="D35" s="25">
        <f>ROUND(+'[17]TD EO NTG Adj'!BE385+'[17]TD EO NTG Adj'!BS385+'[19]TD EO NTG Adj'!BE385+'[19]TD EO NTG Adj'!BS385,2)</f>
        <v>-451100.9</v>
      </c>
      <c r="E35" s="224">
        <f>ROUND(+'[17]EO TD Carrying Costs'!BE64+'[19]EO TD Carrying Costs'!BE63,2)</f>
        <v>-6747.99</v>
      </c>
      <c r="F35" s="225">
        <f t="shared" ref="F35:F38" si="16">SUM(B35:E35)</f>
        <v>-364722.89</v>
      </c>
      <c r="G35" s="225">
        <f>ROUND(F35/24*7,2)</f>
        <v>-106377.51</v>
      </c>
    </row>
    <row r="36" spans="1:7" s="46" customFormat="1" x14ac:dyDescent="0.25">
      <c r="A36" s="20" t="s">
        <v>108</v>
      </c>
      <c r="B36" s="224">
        <f>ROUND(+'[18]EO Matrix @Meter'!$X$18,2)</f>
        <v>390572.25</v>
      </c>
      <c r="C36" s="224">
        <f>ROUND(+'[17]TD EO Ex Post Gross Adj'!BE372+'[17]TD EO Ex Post Gross Adj'!BS372+'[19]TD EO Ex Post Gross Adj'!BE372+'[19]TD EO Ex Post Gross Adj'!BS372,2)</f>
        <v>243638.01</v>
      </c>
      <c r="D36" s="224">
        <f>ROUND(+'[17]TD EO NTG Adj'!BE386+'[17]TD EO NTG Adj'!BS386+'[19]TD EO NTG Adj'!BE386+'[19]TD EO NTG Adj'!BS386,2)</f>
        <v>-201296.23</v>
      </c>
      <c r="E36" s="224">
        <f>ROUND(+'[17]EO TD Carrying Costs'!BE65+'[19]EO TD Carrying Costs'!BE64,2)</f>
        <v>35332.660000000003</v>
      </c>
      <c r="F36" s="225">
        <f t="shared" si="16"/>
        <v>468246.69000000006</v>
      </c>
      <c r="G36" s="225">
        <f>ROUND(F36/24*7,2)</f>
        <v>136571.95000000001</v>
      </c>
    </row>
    <row r="37" spans="1:7" s="46" customFormat="1" x14ac:dyDescent="0.25">
      <c r="A37" s="20" t="s">
        <v>109</v>
      </c>
      <c r="B37" s="25">
        <f>ROUND(+'[18]EO Matrix @Meter'!$Y$18,2)</f>
        <v>546171.26</v>
      </c>
      <c r="C37" s="25">
        <f>ROUND(+'[17]TD EO Ex Post Gross Adj'!BE373+'[17]TD EO Ex Post Gross Adj'!BS373+'[19]TD EO Ex Post Gross Adj'!BE373+'[19]TD EO Ex Post Gross Adj'!BS373,2)</f>
        <v>104616.02</v>
      </c>
      <c r="D37" s="25">
        <f>ROUND(+'[17]TD EO NTG Adj'!BE387+'[17]TD EO NTG Adj'!BS387+'[19]TD EO NTG Adj'!BE387+'[19]TD EO NTG Adj'!BS387,2)</f>
        <v>-270192.05</v>
      </c>
      <c r="E37" s="25">
        <f>ROUND(+'[17]EO TD Carrying Costs'!BE66+'[19]EO TD Carrying Costs'!BE65,2)</f>
        <v>23076.27</v>
      </c>
      <c r="F37" s="225">
        <f t="shared" si="16"/>
        <v>403671.50000000006</v>
      </c>
      <c r="G37" s="225">
        <f>ROUND(F37/24*7,2)</f>
        <v>117737.52</v>
      </c>
    </row>
    <row r="38" spans="1:7" s="46" customFormat="1" x14ac:dyDescent="0.25">
      <c r="A38" s="20" t="s">
        <v>110</v>
      </c>
      <c r="B38" s="224">
        <f>ROUND(+'[18]EO Matrix @Meter'!$Z$18,2)</f>
        <v>84699.91</v>
      </c>
      <c r="C38" s="224">
        <f>ROUND(+'[17]TD EO Ex Post Gross Adj'!BE374+'[17]TD EO Ex Post Gross Adj'!BS374+'[19]TD EO Ex Post Gross Adj'!BE374+'[19]TD EO Ex Post Gross Adj'!BS374,2)</f>
        <v>335766.77</v>
      </c>
      <c r="D38" s="224">
        <f>ROUND(+'[17]TD EO NTG Adj'!BE388+'[17]TD EO NTG Adj'!BS388+'[19]TD EO NTG Adj'!BE388+'[19]TD EO NTG Adj'!BS388,2)</f>
        <v>-147630.1</v>
      </c>
      <c r="E38" s="224">
        <f>ROUND(+'[17]EO TD Carrying Costs'!BE67+'[19]EO TD Carrying Costs'!BE66,2)</f>
        <v>9045.81</v>
      </c>
      <c r="F38" s="225">
        <f t="shared" si="16"/>
        <v>281882.39000000007</v>
      </c>
      <c r="G38" s="225">
        <f>ROUND(F38/24*7,2)</f>
        <v>82215.7</v>
      </c>
    </row>
    <row r="39" spans="1:7" s="46" customFormat="1" x14ac:dyDescent="0.25">
      <c r="A39" s="30" t="s">
        <v>112</v>
      </c>
      <c r="B39" s="225">
        <f>SUM(B35:B38)</f>
        <v>1146260.0999999999</v>
      </c>
      <c r="C39" s="225">
        <f>SUM(C35:C38)</f>
        <v>652330.12000000011</v>
      </c>
      <c r="D39" s="225">
        <f t="shared" ref="D39:G39" si="17">SUM(D35:D38)</f>
        <v>-1070219.28</v>
      </c>
      <c r="E39" s="225">
        <f t="shared" si="17"/>
        <v>60706.75</v>
      </c>
      <c r="F39" s="225">
        <f t="shared" si="17"/>
        <v>789077.69000000018</v>
      </c>
      <c r="G39" s="225">
        <f t="shared" si="17"/>
        <v>230147.66000000003</v>
      </c>
    </row>
    <row r="40" spans="1:7" s="46" customFormat="1" x14ac:dyDescent="0.25">
      <c r="E40" s="4"/>
    </row>
    <row r="41" spans="1:7" x14ac:dyDescent="0.25">
      <c r="A41" s="46"/>
      <c r="B41" s="46"/>
      <c r="D41" s="46"/>
      <c r="E41" s="46"/>
    </row>
    <row r="42" spans="1:7" s="46" customFormat="1" x14ac:dyDescent="0.25">
      <c r="A42" s="254" t="s">
        <v>182</v>
      </c>
    </row>
    <row r="43" spans="1:7" s="46" customFormat="1" x14ac:dyDescent="0.25">
      <c r="A43" s="20" t="s">
        <v>24</v>
      </c>
      <c r="B43" s="25">
        <v>0</v>
      </c>
      <c r="C43" s="25">
        <f>ROUND('[17]TD EO Ex Post Gross Adj'!$CE$370+'[19]TD EO Ex Post Gross Adj'!$CE$370,2)</f>
        <v>8894.23</v>
      </c>
      <c r="D43" s="25">
        <f>ROUND('[17]TD EO NTG Adj'!$CE$384+'[19]TD EO NTG Adj'!$CE$384,2)</f>
        <v>-668670.34</v>
      </c>
      <c r="E43" s="25">
        <f>ROUND('[17]EO TD Carrying Costs'!$BK$63+'[19]EO TD Carrying Costs'!$BK$62,2)</f>
        <v>-51414.78</v>
      </c>
      <c r="F43" s="225">
        <f>SUM(B43:E43)</f>
        <v>-711190.89</v>
      </c>
      <c r="G43" s="225">
        <f>ROUND(F43/24*12,2)</f>
        <v>-355595.45</v>
      </c>
    </row>
    <row r="44" spans="1:7" s="46" customFormat="1" x14ac:dyDescent="0.25">
      <c r="A44" s="20" t="s">
        <v>25</v>
      </c>
      <c r="B44" s="224">
        <v>0</v>
      </c>
      <c r="C44" s="224">
        <f>SUM(C47:C50)</f>
        <v>219063.11</v>
      </c>
      <c r="D44" s="224">
        <f t="shared" ref="D44:E44" si="18">SUM(D47:D50)</f>
        <v>-354279.85</v>
      </c>
      <c r="E44" s="224">
        <f t="shared" si="18"/>
        <v>10216.190000000002</v>
      </c>
      <c r="F44" s="225">
        <f>SUM(B44:E44)</f>
        <v>-125000.54999999999</v>
      </c>
      <c r="G44" s="225">
        <f>ROUND(F44/24*12,2)</f>
        <v>-62500.28</v>
      </c>
    </row>
    <row r="45" spans="1:7" s="46" customFormat="1" x14ac:dyDescent="0.25">
      <c r="A45" s="20" t="s">
        <v>5</v>
      </c>
      <c r="B45" s="225">
        <f t="shared" ref="B45:G45" si="19">SUM(B43:B44)</f>
        <v>0</v>
      </c>
      <c r="C45" s="225">
        <f t="shared" si="19"/>
        <v>227957.34</v>
      </c>
      <c r="D45" s="225">
        <f t="shared" si="19"/>
        <v>-1022950.19</v>
      </c>
      <c r="E45" s="225">
        <f t="shared" si="19"/>
        <v>-41198.589999999997</v>
      </c>
      <c r="F45" s="225">
        <f t="shared" si="19"/>
        <v>-836191.44</v>
      </c>
      <c r="G45" s="225">
        <f t="shared" si="19"/>
        <v>-418095.73</v>
      </c>
    </row>
    <row r="46" spans="1:7" s="46" customFormat="1" x14ac:dyDescent="0.25">
      <c r="B46" s="222"/>
      <c r="C46" s="222"/>
      <c r="D46" s="223"/>
    </row>
    <row r="47" spans="1:7" s="46" customFormat="1" x14ac:dyDescent="0.25">
      <c r="A47" s="20" t="s">
        <v>107</v>
      </c>
      <c r="B47" s="25">
        <v>0</v>
      </c>
      <c r="C47" s="25">
        <f>ROUND('[17]TD EO Ex Post Gross Adj'!$CE$371+'[19]TD EO Ex Post Gross Adj'!$CE$371,2)</f>
        <v>-10762.26</v>
      </c>
      <c r="D47" s="25">
        <f>ROUND('[17]TD EO NTG Adj'!$CE$385+'[19]TD EO NTG Adj'!$CE$385,2)</f>
        <v>-149794.82999999999</v>
      </c>
      <c r="E47" s="224">
        <f>ROUND('[17]EO TD Carrying Costs'!$BK$64+'[19]EO TD Carrying Costs'!$BK$63,2)</f>
        <v>-8503.82</v>
      </c>
      <c r="F47" s="225">
        <f t="shared" ref="F47:F50" si="20">SUM(B47:E47)</f>
        <v>-169060.91</v>
      </c>
      <c r="G47" s="225">
        <f>ROUND(F47/24*12,2)</f>
        <v>-84530.46</v>
      </c>
    </row>
    <row r="48" spans="1:7" s="46" customFormat="1" x14ac:dyDescent="0.25">
      <c r="A48" s="20" t="s">
        <v>108</v>
      </c>
      <c r="B48" s="224">
        <v>0</v>
      </c>
      <c r="C48" s="224">
        <f>ROUND('[17]TD EO Ex Post Gross Adj'!$CE$372+'[19]TD EO Ex Post Gross Adj'!$CE$372,2)</f>
        <v>81670.7</v>
      </c>
      <c r="D48" s="224">
        <f>ROUND('[17]TD EO NTG Adj'!$CE$386+'[19]TD EO NTG Adj'!$CE$386,2)</f>
        <v>-64576.77</v>
      </c>
      <c r="E48" s="224">
        <f>ROUND('[17]EO TD Carrying Costs'!$BK$65+'[19]EO TD Carrying Costs'!$BK$64,2)</f>
        <v>9912.11</v>
      </c>
      <c r="F48" s="225">
        <f t="shared" si="20"/>
        <v>27006.04</v>
      </c>
      <c r="G48" s="225">
        <f t="shared" ref="G48:G50" si="21">ROUND(F48/24*12,2)</f>
        <v>13503.02</v>
      </c>
    </row>
    <row r="49" spans="1:7" s="46" customFormat="1" x14ac:dyDescent="0.25">
      <c r="A49" s="20" t="s">
        <v>109</v>
      </c>
      <c r="B49" s="25">
        <v>0</v>
      </c>
      <c r="C49" s="25">
        <f>ROUND('[17]TD EO Ex Post Gross Adj'!$CE$373+'[19]TD EO Ex Post Gross Adj'!$CE$373,2)</f>
        <v>34542.74</v>
      </c>
      <c r="D49" s="25">
        <f>ROUND('[17]TD EO NTG Adj'!$CE$387+'[19]TD EO NTG Adj'!$CE$387,2)</f>
        <v>-89753.7</v>
      </c>
      <c r="E49" s="25">
        <f>ROUND('[17]EO TD Carrying Costs'!$BK$66+'[19]EO TD Carrying Costs'!$BK$65,2)</f>
        <v>3787.3</v>
      </c>
      <c r="F49" s="225">
        <f t="shared" si="20"/>
        <v>-51423.659999999996</v>
      </c>
      <c r="G49" s="225">
        <f t="shared" si="21"/>
        <v>-25711.83</v>
      </c>
    </row>
    <row r="50" spans="1:7" s="46" customFormat="1" x14ac:dyDescent="0.25">
      <c r="A50" s="20" t="s">
        <v>110</v>
      </c>
      <c r="B50" s="224">
        <v>0</v>
      </c>
      <c r="C50" s="224">
        <f>ROUND('[17]TD EO Ex Post Gross Adj'!$CE$374+'[19]TD EO Ex Post Gross Adj'!$CE$374,2)</f>
        <v>113611.93</v>
      </c>
      <c r="D50" s="224">
        <f>ROUND('[17]TD EO NTG Adj'!$CE$388+'[19]TD EO NTG Adj'!$CE$388,2)</f>
        <v>-50154.55</v>
      </c>
      <c r="E50" s="224">
        <f>ROUND('[17]EO TD Carrying Costs'!$BK$67+'[19]EO TD Carrying Costs'!$BK$66,2)</f>
        <v>5020.6000000000004</v>
      </c>
      <c r="F50" s="225">
        <f t="shared" si="20"/>
        <v>68477.98</v>
      </c>
      <c r="G50" s="225">
        <f t="shared" si="21"/>
        <v>34238.99</v>
      </c>
    </row>
    <row r="51" spans="1:7" s="46" customFormat="1" x14ac:dyDescent="0.25">
      <c r="A51" s="30" t="s">
        <v>112</v>
      </c>
      <c r="B51" s="225">
        <f>SUM(B47:B50)</f>
        <v>0</v>
      </c>
      <c r="C51" s="225">
        <f>SUM(C47:C50)</f>
        <v>219063.11</v>
      </c>
      <c r="D51" s="225">
        <f t="shared" ref="D51:G51" si="22">SUM(D47:D50)</f>
        <v>-354279.85</v>
      </c>
      <c r="E51" s="225">
        <f t="shared" si="22"/>
        <v>10216.190000000002</v>
      </c>
      <c r="F51" s="225">
        <f t="shared" si="22"/>
        <v>-125000.55</v>
      </c>
      <c r="G51" s="225">
        <f t="shared" si="22"/>
        <v>-62500.280000000006</v>
      </c>
    </row>
    <row r="52" spans="1:7" s="46" customFormat="1" x14ac:dyDescent="0.25">
      <c r="E52" s="4"/>
    </row>
    <row r="53" spans="1:7" s="46" customFormat="1" x14ac:dyDescent="0.25">
      <c r="A53" s="254" t="s">
        <v>183</v>
      </c>
    </row>
    <row r="54" spans="1:7" s="46" customFormat="1" x14ac:dyDescent="0.25">
      <c r="A54" s="20" t="s">
        <v>24</v>
      </c>
      <c r="B54" s="25">
        <v>0</v>
      </c>
      <c r="C54" s="25">
        <v>0</v>
      </c>
      <c r="D54" s="25">
        <v>0</v>
      </c>
      <c r="E54" s="25">
        <f>ROUND(SUM('[20]EO TD Carrying Costs'!$BJ$81:$BK$81,'[20]EO TD Carrying Costs'!$BL$55:$BQ$55)+SUM('[21]EO TD Carrying Costs'!$BJ$82:$BK$82,'[21]EO TD Carrying Costs'!$BL$55:$BQ$55),2)</f>
        <v>-46354.43</v>
      </c>
      <c r="F54" s="225">
        <f>SUM(B54:E54)</f>
        <v>-46354.43</v>
      </c>
      <c r="G54" s="225">
        <f>ROUND(F54/24*12,2)</f>
        <v>-23177.22</v>
      </c>
    </row>
    <row r="55" spans="1:7" s="46" customFormat="1" x14ac:dyDescent="0.25">
      <c r="A55" s="20" t="s">
        <v>25</v>
      </c>
      <c r="B55" s="224">
        <v>0</v>
      </c>
      <c r="C55" s="224">
        <f>SUM(C58:C61)</f>
        <v>0</v>
      </c>
      <c r="D55" s="224">
        <f t="shared" ref="D55:G55" si="23">SUM(D58:D61)</f>
        <v>0</v>
      </c>
      <c r="E55" s="224">
        <f t="shared" si="23"/>
        <v>2949.1899999999991</v>
      </c>
      <c r="F55" s="225">
        <f>SUM(B55:E55)</f>
        <v>2949.1899999999991</v>
      </c>
      <c r="G55" s="225">
        <f t="shared" si="23"/>
        <v>1474.5999999999997</v>
      </c>
    </row>
    <row r="56" spans="1:7" s="46" customFormat="1" x14ac:dyDescent="0.25">
      <c r="A56" s="20" t="s">
        <v>5</v>
      </c>
      <c r="B56" s="225">
        <f t="shared" ref="B56:G56" si="24">SUM(B54:B55)</f>
        <v>0</v>
      </c>
      <c r="C56" s="225">
        <f t="shared" si="24"/>
        <v>0</v>
      </c>
      <c r="D56" s="225">
        <f t="shared" si="24"/>
        <v>0</v>
      </c>
      <c r="E56" s="225">
        <f t="shared" si="24"/>
        <v>-43405.24</v>
      </c>
      <c r="F56" s="225">
        <f t="shared" si="24"/>
        <v>-43405.24</v>
      </c>
      <c r="G56" s="225">
        <f t="shared" si="24"/>
        <v>-21702.620000000003</v>
      </c>
    </row>
    <row r="57" spans="1:7" s="46" customFormat="1" x14ac:dyDescent="0.25">
      <c r="B57" s="222"/>
      <c r="C57" s="222"/>
      <c r="D57" s="223"/>
    </row>
    <row r="58" spans="1:7" s="46" customFormat="1" x14ac:dyDescent="0.25">
      <c r="A58" s="20" t="s">
        <v>107</v>
      </c>
      <c r="B58" s="25">
        <v>0</v>
      </c>
      <c r="C58" s="25">
        <v>0</v>
      </c>
      <c r="D58" s="25">
        <v>0</v>
      </c>
      <c r="E58" s="224">
        <f>ROUND(SUM('[20]EO TD Carrying Costs'!$BJ82:$BK82,'[20]EO TD Carrying Costs'!$BL56:$BQ56)+SUM('[21]EO TD Carrying Costs'!$BJ83:$BK83,'[21]EO TD Carrying Costs'!$BL56:$BQ56),2)</f>
        <v>-8810.09</v>
      </c>
      <c r="F58" s="225">
        <f t="shared" ref="F58:F61" si="25">SUM(B58:E58)</f>
        <v>-8810.09</v>
      </c>
      <c r="G58" s="225">
        <f>ROUND(F58/24*12,2)</f>
        <v>-4405.05</v>
      </c>
    </row>
    <row r="59" spans="1:7" s="46" customFormat="1" x14ac:dyDescent="0.25">
      <c r="A59" s="20" t="s">
        <v>108</v>
      </c>
      <c r="B59" s="224">
        <v>0</v>
      </c>
      <c r="C59" s="224">
        <v>0</v>
      </c>
      <c r="D59" s="224">
        <v>0</v>
      </c>
      <c r="E59" s="224">
        <f>ROUND(SUM('[20]EO TD Carrying Costs'!$BJ83:$BK83,'[20]EO TD Carrying Costs'!$BL57:$BQ57)+SUM('[21]EO TD Carrying Costs'!$BJ84:$BK84,'[21]EO TD Carrying Costs'!$BL57:$BQ57),2)</f>
        <v>6289.37</v>
      </c>
      <c r="F59" s="225">
        <f t="shared" si="25"/>
        <v>6289.37</v>
      </c>
      <c r="G59" s="225">
        <f t="shared" ref="G59:G61" si="26">ROUND(F59/24*12,2)</f>
        <v>3144.69</v>
      </c>
    </row>
    <row r="60" spans="1:7" s="46" customFormat="1" x14ac:dyDescent="0.25">
      <c r="A60" s="20" t="s">
        <v>109</v>
      </c>
      <c r="B60" s="25">
        <v>0</v>
      </c>
      <c r="C60" s="25">
        <v>0</v>
      </c>
      <c r="D60" s="25">
        <v>0</v>
      </c>
      <c r="E60" s="25">
        <f>ROUND(SUM('[20]EO TD Carrying Costs'!$BJ84:$BK84,'[20]EO TD Carrying Costs'!$BL58:$BQ58)+SUM('[21]EO TD Carrying Costs'!$BJ85:$BK85,'[21]EO TD Carrying Costs'!$BL58:$BQ58),2)</f>
        <v>1003.18</v>
      </c>
      <c r="F60" s="225">
        <f t="shared" si="25"/>
        <v>1003.18</v>
      </c>
      <c r="G60" s="225">
        <f t="shared" si="26"/>
        <v>501.59</v>
      </c>
    </row>
    <row r="61" spans="1:7" s="46" customFormat="1" x14ac:dyDescent="0.25">
      <c r="A61" s="20" t="s">
        <v>110</v>
      </c>
      <c r="B61" s="224">
        <v>0</v>
      </c>
      <c r="C61" s="224">
        <v>0</v>
      </c>
      <c r="D61" s="224">
        <v>0</v>
      </c>
      <c r="E61" s="224">
        <f>ROUND(SUM('[20]EO TD Carrying Costs'!$BJ85:$BK85,'[20]EO TD Carrying Costs'!$BL59:$BQ59)+SUM('[21]EO TD Carrying Costs'!$BJ86:$BK86,'[21]EO TD Carrying Costs'!$BL59:$BQ59),2)</f>
        <v>4466.7299999999996</v>
      </c>
      <c r="F61" s="225">
        <f t="shared" si="25"/>
        <v>4466.7299999999996</v>
      </c>
      <c r="G61" s="225">
        <f t="shared" si="26"/>
        <v>2233.37</v>
      </c>
    </row>
    <row r="62" spans="1:7" s="46" customFormat="1" x14ac:dyDescent="0.25">
      <c r="A62" s="30" t="s">
        <v>112</v>
      </c>
      <c r="B62" s="225">
        <f>SUM(B58:B61)</f>
        <v>0</v>
      </c>
      <c r="C62" s="225">
        <f>SUM(C58:C61)</f>
        <v>0</v>
      </c>
      <c r="D62" s="225">
        <f t="shared" ref="D62:G62" si="27">SUM(D58:D61)</f>
        <v>0</v>
      </c>
      <c r="E62" s="225">
        <f t="shared" si="27"/>
        <v>2949.1899999999991</v>
      </c>
      <c r="F62" s="225">
        <f t="shared" si="27"/>
        <v>2949.1899999999991</v>
      </c>
      <c r="G62" s="225">
        <f t="shared" si="27"/>
        <v>1474.5999999999997</v>
      </c>
    </row>
    <row r="63" spans="1:7" s="46" customFormat="1" x14ac:dyDescent="0.25">
      <c r="E63" s="4"/>
    </row>
    <row r="64" spans="1:7" s="46" customFormat="1" x14ac:dyDescent="0.25">
      <c r="A64" s="254" t="s">
        <v>197</v>
      </c>
    </row>
    <row r="65" spans="1:7" s="46" customFormat="1" x14ac:dyDescent="0.25">
      <c r="A65" s="20" t="s">
        <v>24</v>
      </c>
      <c r="B65" s="25">
        <v>0</v>
      </c>
      <c r="C65" s="25">
        <v>0</v>
      </c>
      <c r="D65" s="25">
        <v>0</v>
      </c>
      <c r="E65" s="25">
        <f>ROUND(SUM('[20]EO TD Carrying Costs'!$BR$55:$BW$55)+SUM('[21]EO TD Carrying Costs'!$BR$55:$BW$55),2)</f>
        <v>-32712.49</v>
      </c>
      <c r="F65" s="225">
        <f>SUM(B65:E65)</f>
        <v>-32712.49</v>
      </c>
      <c r="G65" s="225">
        <f>ROUND(F65/24*11,2)</f>
        <v>-14993.22</v>
      </c>
    </row>
    <row r="66" spans="1:7" s="46" customFormat="1" x14ac:dyDescent="0.25">
      <c r="A66" s="20" t="s">
        <v>25</v>
      </c>
      <c r="B66" s="224">
        <v>0</v>
      </c>
      <c r="C66" s="224">
        <f>SUM(C69:C72)</f>
        <v>0</v>
      </c>
      <c r="D66" s="224">
        <f t="shared" ref="D66:E66" si="28">SUM(D69:D72)</f>
        <v>0</v>
      </c>
      <c r="E66" s="224">
        <f t="shared" si="28"/>
        <v>-4051.89</v>
      </c>
      <c r="F66" s="225">
        <f>SUM(B66:E66)</f>
        <v>-4051.89</v>
      </c>
      <c r="G66" s="225">
        <f t="shared" ref="G66" si="29">SUM(G69:G72)</f>
        <v>-1857.1299999999997</v>
      </c>
    </row>
    <row r="67" spans="1:7" s="46" customFormat="1" x14ac:dyDescent="0.25">
      <c r="A67" s="20" t="s">
        <v>5</v>
      </c>
      <c r="B67" s="225">
        <f t="shared" ref="B67:G67" si="30">SUM(B65:B66)</f>
        <v>0</v>
      </c>
      <c r="C67" s="225">
        <f t="shared" si="30"/>
        <v>0</v>
      </c>
      <c r="D67" s="225">
        <f t="shared" si="30"/>
        <v>0</v>
      </c>
      <c r="E67" s="225">
        <f t="shared" si="30"/>
        <v>-36764.380000000005</v>
      </c>
      <c r="F67" s="225">
        <f t="shared" si="30"/>
        <v>-36764.380000000005</v>
      </c>
      <c r="G67" s="225">
        <f t="shared" si="30"/>
        <v>-16850.349999999999</v>
      </c>
    </row>
    <row r="68" spans="1:7" s="46" customFormat="1" x14ac:dyDescent="0.25">
      <c r="B68" s="222"/>
      <c r="C68" s="222"/>
      <c r="D68" s="223"/>
    </row>
    <row r="69" spans="1:7" s="46" customFormat="1" x14ac:dyDescent="0.25">
      <c r="A69" s="20" t="s">
        <v>107</v>
      </c>
      <c r="B69" s="25">
        <v>0</v>
      </c>
      <c r="C69" s="25">
        <v>0</v>
      </c>
      <c r="D69" s="25">
        <v>0</v>
      </c>
      <c r="E69" s="224">
        <f>ROUND(SUM('[20]EO TD Carrying Costs'!$BR56:$BW56)+SUM('[21]EO TD Carrying Costs'!$BR56:$BW56),2)</f>
        <v>-7422.34</v>
      </c>
      <c r="F69" s="225">
        <f t="shared" ref="F69:F72" si="31">SUM(B69:E69)</f>
        <v>-7422.34</v>
      </c>
      <c r="G69" s="225">
        <f>ROUND(F69/24*11,2)</f>
        <v>-3401.91</v>
      </c>
    </row>
    <row r="70" spans="1:7" s="46" customFormat="1" x14ac:dyDescent="0.25">
      <c r="A70" s="20" t="s">
        <v>108</v>
      </c>
      <c r="B70" s="224">
        <v>0</v>
      </c>
      <c r="C70" s="224">
        <v>0</v>
      </c>
      <c r="D70" s="224">
        <v>0</v>
      </c>
      <c r="E70" s="224">
        <f>ROUND(SUM('[20]EO TD Carrying Costs'!$BR57:$BW57)+SUM('[21]EO TD Carrying Costs'!$BR57:$BW57),2)</f>
        <v>1875.39</v>
      </c>
      <c r="F70" s="225">
        <f t="shared" si="31"/>
        <v>1875.39</v>
      </c>
      <c r="G70" s="225">
        <f t="shared" ref="G70:G72" si="32">ROUND(F70/24*11,2)</f>
        <v>859.55</v>
      </c>
    </row>
    <row r="71" spans="1:7" s="46" customFormat="1" x14ac:dyDescent="0.25">
      <c r="A71" s="20" t="s">
        <v>109</v>
      </c>
      <c r="B71" s="25">
        <v>0</v>
      </c>
      <c r="C71" s="25">
        <v>0</v>
      </c>
      <c r="D71" s="25">
        <v>0</v>
      </c>
      <c r="E71" s="25">
        <f>ROUND(SUM('[20]EO TD Carrying Costs'!$BR58:$BW58)+SUM('[21]EO TD Carrying Costs'!$BR58:$BW58),2)</f>
        <v>-1646.59</v>
      </c>
      <c r="F71" s="225">
        <f t="shared" si="31"/>
        <v>-1646.59</v>
      </c>
      <c r="G71" s="225">
        <f t="shared" si="32"/>
        <v>-754.69</v>
      </c>
    </row>
    <row r="72" spans="1:7" s="46" customFormat="1" x14ac:dyDescent="0.25">
      <c r="A72" s="20" t="s">
        <v>110</v>
      </c>
      <c r="B72" s="224">
        <v>0</v>
      </c>
      <c r="C72" s="224">
        <v>0</v>
      </c>
      <c r="D72" s="224">
        <v>0</v>
      </c>
      <c r="E72" s="224">
        <f>ROUND(SUM('[20]EO TD Carrying Costs'!$BR59:$BW59)+SUM('[21]EO TD Carrying Costs'!$BR59:$BW59),2)</f>
        <v>3141.65</v>
      </c>
      <c r="F72" s="225">
        <f t="shared" si="31"/>
        <v>3141.65</v>
      </c>
      <c r="G72" s="225">
        <f t="shared" si="32"/>
        <v>1439.92</v>
      </c>
    </row>
    <row r="73" spans="1:7" s="46" customFormat="1" x14ac:dyDescent="0.25">
      <c r="A73" s="30" t="s">
        <v>112</v>
      </c>
      <c r="B73" s="225">
        <f>SUM(B69:B72)</f>
        <v>0</v>
      </c>
      <c r="C73" s="225">
        <f>SUM(C69:C72)</f>
        <v>0</v>
      </c>
      <c r="D73" s="225">
        <f t="shared" ref="D73:G73" si="33">SUM(D69:D72)</f>
        <v>0</v>
      </c>
      <c r="E73" s="225">
        <f t="shared" si="33"/>
        <v>-4051.89</v>
      </c>
      <c r="F73" s="225">
        <f t="shared" si="33"/>
        <v>-4051.89</v>
      </c>
      <c r="G73" s="225">
        <f t="shared" si="33"/>
        <v>-1857.1299999999997</v>
      </c>
    </row>
    <row r="74" spans="1:7" s="46" customFormat="1" x14ac:dyDescent="0.25">
      <c r="E74" s="4"/>
    </row>
    <row r="75" spans="1:7" x14ac:dyDescent="0.25">
      <c r="A75" s="46"/>
      <c r="B75" s="46"/>
      <c r="D75" s="46"/>
      <c r="E75" s="46"/>
    </row>
    <row r="76" spans="1:7" x14ac:dyDescent="0.25">
      <c r="A76" s="53" t="s">
        <v>11</v>
      </c>
      <c r="B76" s="46"/>
      <c r="D76" s="46"/>
      <c r="E76" s="46"/>
    </row>
    <row r="77" spans="1:7" x14ac:dyDescent="0.25">
      <c r="A77" s="3" t="s">
        <v>162</v>
      </c>
      <c r="B77" s="46"/>
      <c r="D77" s="46"/>
      <c r="E77" s="46"/>
    </row>
    <row r="78" spans="1:7" s="46" customFormat="1" x14ac:dyDescent="0.25">
      <c r="A78" s="3" t="s">
        <v>217</v>
      </c>
    </row>
    <row r="79" spans="1:7" s="46" customFormat="1" x14ac:dyDescent="0.25">
      <c r="A79" s="3" t="s">
        <v>222</v>
      </c>
    </row>
    <row r="80" spans="1:7" x14ac:dyDescent="0.25">
      <c r="A80" s="3" t="s">
        <v>223</v>
      </c>
      <c r="B80" s="46"/>
      <c r="D80" s="46"/>
      <c r="E80" s="46"/>
    </row>
    <row r="81" spans="1:7" s="46" customFormat="1" x14ac:dyDescent="0.25">
      <c r="A81" s="3" t="s">
        <v>163</v>
      </c>
    </row>
    <row r="82" spans="1:7" ht="57.6" customHeight="1" x14ac:dyDescent="0.25">
      <c r="A82" s="300" t="s">
        <v>224</v>
      </c>
      <c r="B82" s="300"/>
      <c r="C82" s="300"/>
      <c r="D82" s="300"/>
      <c r="E82" s="300"/>
      <c r="F82" s="300"/>
      <c r="G82" s="300"/>
    </row>
  </sheetData>
  <mergeCells count="2">
    <mergeCell ref="B3:D3"/>
    <mergeCell ref="A82:G82"/>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G60"/>
  <sheetViews>
    <sheetView workbookViewId="0">
      <selection activeCell="E73" sqref="E73"/>
    </sheetView>
  </sheetViews>
  <sheetFormatPr defaultColWidth="8.7109375" defaultRowHeight="15" outlineLevelRow="1" x14ac:dyDescent="0.25"/>
  <cols>
    <col min="1" max="1" width="22.42578125" style="46" customWidth="1"/>
    <col min="2" max="2" width="15.28515625" style="46" bestFit="1" customWidth="1"/>
    <col min="3" max="3" width="14.28515625" style="46" customWidth="1"/>
    <col min="4" max="4" width="13.28515625" style="46" bestFit="1" customWidth="1"/>
    <col min="5" max="5" width="10.85546875" style="46" bestFit="1" customWidth="1"/>
    <col min="6" max="6" width="11.5703125" style="46" bestFit="1" customWidth="1"/>
    <col min="7" max="7" width="13.140625" style="46" customWidth="1"/>
    <col min="8" max="16384" width="8.7109375" style="46"/>
  </cols>
  <sheetData>
    <row r="1" spans="1:7" x14ac:dyDescent="0.25">
      <c r="A1" s="63" t="str">
        <f>+'PPC Cycle 3'!A1</f>
        <v>Evergy Metro, Inc. - DSIM Rider Update Filed 06/01/2022</v>
      </c>
    </row>
    <row r="2" spans="1:7" x14ac:dyDescent="0.25">
      <c r="A2" s="9" t="str">
        <f>+'PPC Cycle 3'!A2</f>
        <v>Projections for Cycle 3 July 2022 - June 2023 DSIM</v>
      </c>
    </row>
    <row r="3" spans="1:7" ht="45.75" customHeight="1" x14ac:dyDescent="0.25">
      <c r="B3" s="301" t="s">
        <v>173</v>
      </c>
      <c r="C3" s="301"/>
      <c r="D3" s="301"/>
    </row>
    <row r="4" spans="1:7" ht="90" x14ac:dyDescent="0.25">
      <c r="B4" s="70" t="s">
        <v>100</v>
      </c>
      <c r="C4" s="70" t="s">
        <v>101</v>
      </c>
      <c r="D4" s="70" t="s">
        <v>104</v>
      </c>
      <c r="E4" s="70" t="s">
        <v>102</v>
      </c>
      <c r="F4" s="70" t="s">
        <v>99</v>
      </c>
      <c r="G4" s="70" t="s">
        <v>174</v>
      </c>
    </row>
    <row r="5" spans="1:7" x14ac:dyDescent="0.25">
      <c r="B5" s="70"/>
      <c r="C5" s="70"/>
      <c r="D5" s="70"/>
      <c r="E5" s="70"/>
      <c r="F5" s="70"/>
      <c r="G5" s="70"/>
    </row>
    <row r="6" spans="1:7" x14ac:dyDescent="0.25">
      <c r="A6" s="254" t="s">
        <v>171</v>
      </c>
      <c r="B6" s="70"/>
      <c r="C6" s="70"/>
      <c r="D6" s="155"/>
    </row>
    <row r="7" spans="1:7" x14ac:dyDescent="0.25">
      <c r="A7" s="20" t="s">
        <v>24</v>
      </c>
      <c r="B7" s="225">
        <f>+B19+B31+B43</f>
        <v>1163217.68</v>
      </c>
      <c r="C7" s="225">
        <f t="shared" ref="C7:E7" si="0">+C19+C31+C43</f>
        <v>452250.89</v>
      </c>
      <c r="D7" s="225">
        <f t="shared" si="0"/>
        <v>-773577.97</v>
      </c>
      <c r="E7" s="225">
        <f t="shared" si="0"/>
        <v>-30448.25</v>
      </c>
      <c r="F7" s="225">
        <f>SUM(B7:E7)</f>
        <v>811442.34999999986</v>
      </c>
      <c r="G7" s="225">
        <f>+G19+G31+G43</f>
        <v>470674.95</v>
      </c>
    </row>
    <row r="8" spans="1:7" x14ac:dyDescent="0.25">
      <c r="A8" s="20" t="s">
        <v>25</v>
      </c>
      <c r="B8" s="225">
        <f t="shared" ref="B8:E8" si="1">+B20+B32+B44</f>
        <v>923233.23</v>
      </c>
      <c r="C8" s="225">
        <f t="shared" si="1"/>
        <v>175464.49000000002</v>
      </c>
      <c r="D8" s="225">
        <f t="shared" si="1"/>
        <v>-99959.58</v>
      </c>
      <c r="E8" s="225">
        <f t="shared" si="1"/>
        <v>4987.76</v>
      </c>
      <c r="F8" s="225">
        <f>SUM(B8:E8)</f>
        <v>1003725.9</v>
      </c>
      <c r="G8" s="225">
        <f t="shared" ref="G8" si="2">+G20+G32+G44</f>
        <v>581836.49</v>
      </c>
    </row>
    <row r="9" spans="1:7" x14ac:dyDescent="0.25">
      <c r="A9" s="20" t="s">
        <v>5</v>
      </c>
      <c r="B9" s="225">
        <f t="shared" ref="B9:G9" si="3">SUM(B7:B8)</f>
        <v>2086450.91</v>
      </c>
      <c r="C9" s="225">
        <f t="shared" si="3"/>
        <v>627715.38</v>
      </c>
      <c r="D9" s="225">
        <f t="shared" si="3"/>
        <v>-873537.54999999993</v>
      </c>
      <c r="E9" s="225">
        <f t="shared" si="3"/>
        <v>-25460.489999999998</v>
      </c>
      <c r="F9" s="225">
        <f t="shared" si="3"/>
        <v>1815168.25</v>
      </c>
      <c r="G9" s="225">
        <f t="shared" si="3"/>
        <v>1052511.44</v>
      </c>
    </row>
    <row r="11" spans="1:7" x14ac:dyDescent="0.25">
      <c r="A11" s="20" t="s">
        <v>107</v>
      </c>
      <c r="B11" s="225">
        <f t="shared" ref="B11:E14" si="4">+B23+B35+B47</f>
        <v>89861.64</v>
      </c>
      <c r="C11" s="225">
        <f t="shared" si="4"/>
        <v>38160.949999999997</v>
      </c>
      <c r="D11" s="225">
        <f t="shared" si="4"/>
        <v>-27392.65</v>
      </c>
      <c r="E11" s="225">
        <f t="shared" si="4"/>
        <v>406.54999999999995</v>
      </c>
      <c r="F11" s="225">
        <f t="shared" ref="F11:F14" si="5">SUM(B11:E11)</f>
        <v>101036.49</v>
      </c>
      <c r="G11" s="225">
        <f t="shared" ref="G11:G14" si="6">+G23+G35+G47</f>
        <v>58250.310000000005</v>
      </c>
    </row>
    <row r="12" spans="1:7" x14ac:dyDescent="0.25">
      <c r="A12" s="20" t="s">
        <v>108</v>
      </c>
      <c r="B12" s="225">
        <f t="shared" si="4"/>
        <v>329114.67</v>
      </c>
      <c r="C12" s="225">
        <f t="shared" si="4"/>
        <v>74418.680000000008</v>
      </c>
      <c r="D12" s="225">
        <f t="shared" si="4"/>
        <v>-44798.86</v>
      </c>
      <c r="E12" s="225">
        <f t="shared" si="4"/>
        <v>1731.0500000000002</v>
      </c>
      <c r="F12" s="225">
        <f t="shared" si="5"/>
        <v>360465.54</v>
      </c>
      <c r="G12" s="225">
        <f t="shared" si="6"/>
        <v>208577.07</v>
      </c>
    </row>
    <row r="13" spans="1:7" x14ac:dyDescent="0.25">
      <c r="A13" s="20" t="s">
        <v>109</v>
      </c>
      <c r="B13" s="225">
        <f t="shared" si="4"/>
        <v>441576.37</v>
      </c>
      <c r="C13" s="225">
        <f t="shared" si="4"/>
        <v>56846.179999999993</v>
      </c>
      <c r="D13" s="225">
        <f t="shared" si="4"/>
        <v>-26685.440000000002</v>
      </c>
      <c r="E13" s="225">
        <f t="shared" si="4"/>
        <v>2273.42</v>
      </c>
      <c r="F13" s="225">
        <f t="shared" si="5"/>
        <v>474010.52999999997</v>
      </c>
      <c r="G13" s="225">
        <f t="shared" si="6"/>
        <v>275278</v>
      </c>
    </row>
    <row r="14" spans="1:7" x14ac:dyDescent="0.25">
      <c r="A14" s="20" t="s">
        <v>110</v>
      </c>
      <c r="B14" s="225">
        <f t="shared" si="4"/>
        <v>62680.55</v>
      </c>
      <c r="C14" s="225">
        <f t="shared" si="4"/>
        <v>6038.68</v>
      </c>
      <c r="D14" s="225">
        <f t="shared" si="4"/>
        <v>-1082.6300000000001</v>
      </c>
      <c r="E14" s="225">
        <f t="shared" si="4"/>
        <v>576.74</v>
      </c>
      <c r="F14" s="225">
        <f t="shared" si="5"/>
        <v>68213.340000000011</v>
      </c>
      <c r="G14" s="225">
        <f t="shared" si="6"/>
        <v>39731.109999999993</v>
      </c>
    </row>
    <row r="15" spans="1:7" x14ac:dyDescent="0.25">
      <c r="A15" s="30" t="s">
        <v>112</v>
      </c>
      <c r="B15" s="225">
        <f>SUM(B11:B14)</f>
        <v>923233.23</v>
      </c>
      <c r="C15" s="225">
        <f>SUM(C11:C14)</f>
        <v>175464.49</v>
      </c>
      <c r="D15" s="225">
        <f t="shared" ref="D15:G15" si="7">SUM(D11:D14)</f>
        <v>-99959.580000000016</v>
      </c>
      <c r="E15" s="225">
        <f t="shared" si="7"/>
        <v>4987.76</v>
      </c>
      <c r="F15" s="225">
        <f t="shared" si="7"/>
        <v>1003725.8999999999</v>
      </c>
      <c r="G15" s="225">
        <f t="shared" si="7"/>
        <v>581836.49</v>
      </c>
    </row>
    <row r="16" spans="1:7" x14ac:dyDescent="0.25">
      <c r="E16" s="4"/>
    </row>
    <row r="17" spans="1:7" x14ac:dyDescent="0.25">
      <c r="A17" s="20"/>
      <c r="B17" s="70"/>
      <c r="C17" s="70"/>
      <c r="D17" s="154"/>
    </row>
    <row r="18" spans="1:7" x14ac:dyDescent="0.25">
      <c r="A18" s="254" t="s">
        <v>184</v>
      </c>
      <c r="B18" s="70"/>
      <c r="C18" s="70"/>
      <c r="D18" s="154"/>
    </row>
    <row r="19" spans="1:7" x14ac:dyDescent="0.25">
      <c r="A19" s="20" t="s">
        <v>24</v>
      </c>
      <c r="B19" s="25">
        <f>ROUND('[22]EO Matrix @Meter'!$R$20,2)</f>
        <v>1163217.68</v>
      </c>
      <c r="C19" s="25">
        <f>ROUND(SUM('[23]Ex Post Gross TD Calc'!$E$571:$Z$571),2)</f>
        <v>331067.99</v>
      </c>
      <c r="D19" s="25">
        <f>ROUND(SUM('[23]NTG TD Calc'!$E$436:$Z$436),2)</f>
        <v>-686548</v>
      </c>
      <c r="E19" s="25">
        <f>ROUND(SUM('[23]EO TD Carrying Costs'!$C$55:$X$55),2)</f>
        <v>-17626.7</v>
      </c>
      <c r="F19" s="225">
        <f>SUM(B19:E19)</f>
        <v>790110.97</v>
      </c>
      <c r="G19" s="225">
        <f>ROUND(F19/12*7,2)</f>
        <v>460898.07</v>
      </c>
    </row>
    <row r="20" spans="1:7" x14ac:dyDescent="0.25">
      <c r="A20" s="20" t="s">
        <v>25</v>
      </c>
      <c r="B20" s="224">
        <f>ROUND(SUM(B23:B26),2)</f>
        <v>923233.23</v>
      </c>
      <c r="C20" s="224">
        <f>SUM(C23:C26)</f>
        <v>137591.55000000002</v>
      </c>
      <c r="D20" s="224">
        <f t="shared" ref="D20:G20" si="8">SUM(D23:D26)</f>
        <v>-89366.98</v>
      </c>
      <c r="E20" s="224">
        <f t="shared" si="8"/>
        <v>2905.83</v>
      </c>
      <c r="F20" s="225">
        <f>SUM(B20:E20)</f>
        <v>974363.63</v>
      </c>
      <c r="G20" s="225">
        <f t="shared" si="8"/>
        <v>568378.78</v>
      </c>
    </row>
    <row r="21" spans="1:7" x14ac:dyDescent="0.25">
      <c r="A21" s="20" t="s">
        <v>5</v>
      </c>
      <c r="B21" s="225">
        <f t="shared" ref="B21:G21" si="9">SUM(B19:B20)</f>
        <v>2086450.91</v>
      </c>
      <c r="C21" s="225">
        <f t="shared" si="9"/>
        <v>468659.54000000004</v>
      </c>
      <c r="D21" s="225">
        <f t="shared" si="9"/>
        <v>-775914.98</v>
      </c>
      <c r="E21" s="225">
        <f t="shared" si="9"/>
        <v>-14720.87</v>
      </c>
      <c r="F21" s="225">
        <f t="shared" si="9"/>
        <v>1764474.6</v>
      </c>
      <c r="G21" s="225">
        <f t="shared" si="9"/>
        <v>1029276.8500000001</v>
      </c>
    </row>
    <row r="22" spans="1:7" x14ac:dyDescent="0.25">
      <c r="B22" s="222"/>
      <c r="C22" s="222"/>
      <c r="D22" s="223"/>
    </row>
    <row r="23" spans="1:7" x14ac:dyDescent="0.25">
      <c r="A23" s="20" t="s">
        <v>107</v>
      </c>
      <c r="B23" s="25">
        <f>ROUND('[22]EO Matrix @Meter'!$V$20,2)</f>
        <v>89861.64</v>
      </c>
      <c r="C23" s="25">
        <f>ROUND(SUM('[23]Ex Post Gross TD Calc'!$E$572:$Z$572),2)</f>
        <v>30571.68</v>
      </c>
      <c r="D23" s="25">
        <f>ROUND(SUM('[23]NTG TD Calc'!$E$437:$Z$437),2)</f>
        <v>-25048.27</v>
      </c>
      <c r="E23" s="224">
        <f>ROUND(SUM('[23]EO TD Carrying Costs'!$C$56:$X$56),2)</f>
        <v>150.27000000000001</v>
      </c>
      <c r="F23" s="225">
        <f t="shared" ref="F23:F26" si="10">SUM(B23:E23)</f>
        <v>95535.32</v>
      </c>
      <c r="G23" s="225">
        <f>ROUND(F23/12*7,2)</f>
        <v>55728.94</v>
      </c>
    </row>
    <row r="24" spans="1:7" x14ac:dyDescent="0.25">
      <c r="A24" s="20" t="s">
        <v>108</v>
      </c>
      <c r="B24" s="224">
        <f>ROUND('[22]EO Matrix @Meter'!$W$20,2)</f>
        <v>329114.67</v>
      </c>
      <c r="C24" s="224">
        <f>ROUND(SUM('[23]Ex Post Gross TD Calc'!$E$573:$Z$573),2)</f>
        <v>56526.62</v>
      </c>
      <c r="D24" s="224">
        <f>ROUND(SUM('[23]NTG TD Calc'!$E$438:$Z$438),2)</f>
        <v>-39695.9</v>
      </c>
      <c r="E24" s="224">
        <f>ROUND(SUM('[23]EO TD Carrying Costs'!$C$57:$X$57),2)</f>
        <v>964.19</v>
      </c>
      <c r="F24" s="225">
        <f t="shared" si="10"/>
        <v>346909.57999999996</v>
      </c>
      <c r="G24" s="225">
        <f t="shared" ref="G24:G26" si="11">ROUND(F24/12*7,2)</f>
        <v>202363.92</v>
      </c>
    </row>
    <row r="25" spans="1:7" x14ac:dyDescent="0.25">
      <c r="A25" s="20" t="s">
        <v>109</v>
      </c>
      <c r="B25" s="25">
        <f>ROUND('[22]EO Matrix @Meter'!$X$20,2)</f>
        <v>441576.37</v>
      </c>
      <c r="C25" s="25">
        <f>ROUND(SUM('[23]Ex Post Gross TD Calc'!$E$574:$Z$574),2)</f>
        <v>44928.09</v>
      </c>
      <c r="D25" s="25">
        <f>ROUND(SUM('[23]NTG TD Calc'!$E$439:$Z$439),2)</f>
        <v>-23708.22</v>
      </c>
      <c r="E25" s="25">
        <f>ROUND(SUM('[23]EO TD Carrying Costs'!$C$58:$X$58),2)</f>
        <v>1389.19</v>
      </c>
      <c r="F25" s="225">
        <f t="shared" si="10"/>
        <v>464185.43</v>
      </c>
      <c r="G25" s="225">
        <f t="shared" si="11"/>
        <v>270774.83</v>
      </c>
    </row>
    <row r="26" spans="1:7" x14ac:dyDescent="0.25">
      <c r="A26" s="20" t="s">
        <v>110</v>
      </c>
      <c r="B26" s="224">
        <f>ROUND('[22]EO Matrix @Meter'!$Y$20,2)</f>
        <v>62680.55</v>
      </c>
      <c r="C26" s="224">
        <f>ROUND(SUM('[23]Ex Post Gross TD Calc'!$E$575:$Z$575),2)</f>
        <v>5565.16</v>
      </c>
      <c r="D26" s="224">
        <f>ROUND(SUM('[23]NTG TD Calc'!$E$440:$Z$440),2)</f>
        <v>-914.59</v>
      </c>
      <c r="E26" s="224">
        <f>ROUND(SUM('[23]EO TD Carrying Costs'!$C$59:$X$59),2)</f>
        <v>402.18</v>
      </c>
      <c r="F26" s="225">
        <f t="shared" si="10"/>
        <v>67733.3</v>
      </c>
      <c r="G26" s="225">
        <f t="shared" si="11"/>
        <v>39511.089999999997</v>
      </c>
    </row>
    <row r="27" spans="1:7" x14ac:dyDescent="0.25">
      <c r="A27" s="30" t="s">
        <v>112</v>
      </c>
      <c r="B27" s="225">
        <f>SUM(B23:B26)</f>
        <v>923233.23</v>
      </c>
      <c r="C27" s="225">
        <f>SUM(C23:C26)</f>
        <v>137591.55000000002</v>
      </c>
      <c r="D27" s="225">
        <f t="shared" ref="D27:G27" si="12">SUM(D23:D26)</f>
        <v>-89366.98</v>
      </c>
      <c r="E27" s="225">
        <f t="shared" si="12"/>
        <v>2905.83</v>
      </c>
      <c r="F27" s="225">
        <f t="shared" si="12"/>
        <v>974363.63</v>
      </c>
      <c r="G27" s="225">
        <f t="shared" si="12"/>
        <v>568378.78</v>
      </c>
    </row>
    <row r="28" spans="1:7" x14ac:dyDescent="0.25">
      <c r="E28" s="4"/>
    </row>
    <row r="29" spans="1:7" x14ac:dyDescent="0.25">
      <c r="E29" s="4"/>
    </row>
    <row r="30" spans="1:7" x14ac:dyDescent="0.25">
      <c r="A30" s="254" t="s">
        <v>198</v>
      </c>
    </row>
    <row r="31" spans="1:7" x14ac:dyDescent="0.25">
      <c r="A31" s="20" t="s">
        <v>24</v>
      </c>
      <c r="B31" s="25">
        <f>ROUND(0,2)</f>
        <v>0</v>
      </c>
      <c r="C31" s="25">
        <f>ROUND(SUM('[23]Ex Post Gross TD Calc'!$AA$571:$AF$571),2)</f>
        <v>121182.9</v>
      </c>
      <c r="D31" s="25">
        <f>ROUND(SUM('[23]NTG TD Calc'!$AA$436:$AF$436),2)</f>
        <v>-87029.97</v>
      </c>
      <c r="E31" s="25">
        <f>ROUND(SUM('[23]EO TD Carrying Costs'!$Y$55:$AD$55),2)</f>
        <v>-12821.55</v>
      </c>
      <c r="F31" s="225">
        <f>SUM(B31:E31)</f>
        <v>21331.379999999994</v>
      </c>
      <c r="G31" s="225">
        <f>ROUND(F31/24*11,2)</f>
        <v>9776.8799999999992</v>
      </c>
    </row>
    <row r="32" spans="1:7" x14ac:dyDescent="0.25">
      <c r="A32" s="20" t="s">
        <v>25</v>
      </c>
      <c r="B32" s="224">
        <f>SUM(B35:B38)</f>
        <v>0</v>
      </c>
      <c r="C32" s="224">
        <f>SUM(C35:C38)</f>
        <v>37872.939999999995</v>
      </c>
      <c r="D32" s="224">
        <f t="shared" ref="D32:E32" si="13">SUM(D35:D38)</f>
        <v>-10592.6</v>
      </c>
      <c r="E32" s="224">
        <f t="shared" si="13"/>
        <v>2081.9299999999998</v>
      </c>
      <c r="F32" s="225">
        <f>SUM(B32:E32)</f>
        <v>29362.269999999997</v>
      </c>
      <c r="G32" s="225">
        <f>ROUND(F32/24*11,2)</f>
        <v>13457.71</v>
      </c>
    </row>
    <row r="33" spans="1:7" x14ac:dyDescent="0.25">
      <c r="A33" s="20" t="s">
        <v>5</v>
      </c>
      <c r="B33" s="225">
        <f t="shared" ref="B33:G33" si="14">SUM(B31:B32)</f>
        <v>0</v>
      </c>
      <c r="C33" s="225">
        <f t="shared" si="14"/>
        <v>159055.84</v>
      </c>
      <c r="D33" s="225">
        <f t="shared" si="14"/>
        <v>-97622.57</v>
      </c>
      <c r="E33" s="225">
        <f t="shared" si="14"/>
        <v>-10739.619999999999</v>
      </c>
      <c r="F33" s="225">
        <f t="shared" si="14"/>
        <v>50693.649999999994</v>
      </c>
      <c r="G33" s="225">
        <f t="shared" si="14"/>
        <v>23234.589999999997</v>
      </c>
    </row>
    <row r="34" spans="1:7" x14ac:dyDescent="0.25">
      <c r="B34" s="222"/>
      <c r="C34" s="222"/>
      <c r="D34" s="223"/>
    </row>
    <row r="35" spans="1:7" x14ac:dyDescent="0.25">
      <c r="A35" s="20" t="s">
        <v>107</v>
      </c>
      <c r="B35" s="25">
        <f>ROUND(0,2)</f>
        <v>0</v>
      </c>
      <c r="C35" s="25">
        <f>ROUND(SUM('[23]Ex Post Gross TD Calc'!$AA572:$AF572),2)</f>
        <v>7589.27</v>
      </c>
      <c r="D35" s="25">
        <f>ROUND(SUM('[23]NTG TD Calc'!$AA437:$AF437),2)</f>
        <v>-2344.38</v>
      </c>
      <c r="E35" s="224">
        <f>ROUND(SUM('[23]EO TD Carrying Costs'!$Y56:$AD56),2)</f>
        <v>256.27999999999997</v>
      </c>
      <c r="F35" s="225">
        <f t="shared" ref="F35:F38" si="15">SUM(B35:E35)</f>
        <v>5501.17</v>
      </c>
      <c r="G35" s="225">
        <f>ROUND(F35/24*11,2)</f>
        <v>2521.37</v>
      </c>
    </row>
    <row r="36" spans="1:7" x14ac:dyDescent="0.25">
      <c r="A36" s="20" t="s">
        <v>108</v>
      </c>
      <c r="B36" s="224">
        <f>ROUND(0,2)</f>
        <v>0</v>
      </c>
      <c r="C36" s="224">
        <f>ROUND(SUM('[23]Ex Post Gross TD Calc'!$AA573:$AF573),2)</f>
        <v>17892.060000000001</v>
      </c>
      <c r="D36" s="224">
        <f>ROUND(SUM('[23]NTG TD Calc'!$AA438:$AF438),2)</f>
        <v>-5102.96</v>
      </c>
      <c r="E36" s="224">
        <f>ROUND(SUM('[23]EO TD Carrying Costs'!$Y57:$AD57),2)</f>
        <v>766.86</v>
      </c>
      <c r="F36" s="225">
        <f t="shared" si="15"/>
        <v>13555.960000000003</v>
      </c>
      <c r="G36" s="225">
        <f t="shared" ref="G36:G38" si="16">ROUND(F36/24*11,2)</f>
        <v>6213.15</v>
      </c>
    </row>
    <row r="37" spans="1:7" x14ac:dyDescent="0.25">
      <c r="A37" s="20" t="s">
        <v>109</v>
      </c>
      <c r="B37" s="25">
        <f>ROUND(0,2)</f>
        <v>0</v>
      </c>
      <c r="C37" s="25">
        <f>ROUND(SUM('[23]Ex Post Gross TD Calc'!$AA574:$AF574),2)</f>
        <v>11918.09</v>
      </c>
      <c r="D37" s="25">
        <f>ROUND(SUM('[23]NTG TD Calc'!$AA439:$AF439),2)</f>
        <v>-2977.22</v>
      </c>
      <c r="E37" s="25">
        <f>ROUND(SUM('[23]EO TD Carrying Costs'!$Y58:$AD58),2)</f>
        <v>884.23</v>
      </c>
      <c r="F37" s="225">
        <f t="shared" si="15"/>
        <v>9825.1</v>
      </c>
      <c r="G37" s="225">
        <f t="shared" si="16"/>
        <v>4503.17</v>
      </c>
    </row>
    <row r="38" spans="1:7" x14ac:dyDescent="0.25">
      <c r="A38" s="20" t="s">
        <v>110</v>
      </c>
      <c r="B38" s="224">
        <f>ROUND(0,2)</f>
        <v>0</v>
      </c>
      <c r="C38" s="224">
        <f>ROUND(SUM('[23]Ex Post Gross TD Calc'!$AA575:$AF575),2)</f>
        <v>473.52</v>
      </c>
      <c r="D38" s="224">
        <f>ROUND(SUM('[23]NTG TD Calc'!$AA440:$AF440),2)</f>
        <v>-168.04</v>
      </c>
      <c r="E38" s="224">
        <f>ROUND(SUM('[23]EO TD Carrying Costs'!$Y59:$AD59),2)</f>
        <v>174.56</v>
      </c>
      <c r="F38" s="225">
        <f t="shared" si="15"/>
        <v>480.04</v>
      </c>
      <c r="G38" s="225">
        <f t="shared" si="16"/>
        <v>220.02</v>
      </c>
    </row>
    <row r="39" spans="1:7" x14ac:dyDescent="0.25">
      <c r="A39" s="30" t="s">
        <v>112</v>
      </c>
      <c r="B39" s="225">
        <f>SUM(B35:B38)</f>
        <v>0</v>
      </c>
      <c r="C39" s="225">
        <f>SUM(C35:C38)</f>
        <v>37872.939999999995</v>
      </c>
      <c r="D39" s="225">
        <f t="shared" ref="D39:G39" si="17">SUM(D35:D38)</f>
        <v>-10592.6</v>
      </c>
      <c r="E39" s="225">
        <f t="shared" si="17"/>
        <v>2081.9299999999998</v>
      </c>
      <c r="F39" s="225">
        <f t="shared" si="17"/>
        <v>29362.270000000004</v>
      </c>
      <c r="G39" s="225">
        <f t="shared" si="17"/>
        <v>13457.710000000001</v>
      </c>
    </row>
    <row r="40" spans="1:7" hidden="1" outlineLevel="1" x14ac:dyDescent="0.25">
      <c r="E40" s="4"/>
    </row>
    <row r="41" spans="1:7" hidden="1" outlineLevel="1" x14ac:dyDescent="0.25"/>
    <row r="42" spans="1:7" hidden="1" outlineLevel="1" x14ac:dyDescent="0.25">
      <c r="A42" s="254" t="s">
        <v>172</v>
      </c>
    </row>
    <row r="43" spans="1:7" hidden="1" outlineLevel="1" x14ac:dyDescent="0.25">
      <c r="A43" s="20" t="s">
        <v>24</v>
      </c>
      <c r="B43" s="25">
        <v>0</v>
      </c>
      <c r="C43" s="25">
        <f>ROUND(0,2)</f>
        <v>0</v>
      </c>
      <c r="D43" s="25">
        <f>ROUND(0,2)</f>
        <v>0</v>
      </c>
      <c r="E43" s="25">
        <f>ROUND(0,2)</f>
        <v>0</v>
      </c>
      <c r="F43" s="225">
        <f>SUM(B43:E43)</f>
        <v>0</v>
      </c>
      <c r="G43" s="225">
        <f>ROUND(F43/24*12,2)</f>
        <v>0</v>
      </c>
    </row>
    <row r="44" spans="1:7" hidden="1" outlineLevel="1" x14ac:dyDescent="0.25">
      <c r="A44" s="20" t="s">
        <v>25</v>
      </c>
      <c r="B44" s="224">
        <f>SUM(B47:B50)</f>
        <v>0</v>
      </c>
      <c r="C44" s="224">
        <f>SUM(C47:C50)</f>
        <v>0</v>
      </c>
      <c r="D44" s="224">
        <f t="shared" ref="D44:E44" si="18">SUM(D47:D50)</f>
        <v>0</v>
      </c>
      <c r="E44" s="224">
        <f t="shared" si="18"/>
        <v>0</v>
      </c>
      <c r="F44" s="225">
        <f>SUM(B44:E44)</f>
        <v>0</v>
      </c>
      <c r="G44" s="225">
        <f>ROUND(F44/24*12,2)</f>
        <v>0</v>
      </c>
    </row>
    <row r="45" spans="1:7" hidden="1" outlineLevel="1" x14ac:dyDescent="0.25">
      <c r="A45" s="20" t="s">
        <v>5</v>
      </c>
      <c r="B45" s="225">
        <f t="shared" ref="B45:G45" si="19">SUM(B43:B44)</f>
        <v>0</v>
      </c>
      <c r="C45" s="225">
        <f t="shared" si="19"/>
        <v>0</v>
      </c>
      <c r="D45" s="225">
        <f t="shared" si="19"/>
        <v>0</v>
      </c>
      <c r="E45" s="225">
        <f t="shared" si="19"/>
        <v>0</v>
      </c>
      <c r="F45" s="225">
        <f t="shared" si="19"/>
        <v>0</v>
      </c>
      <c r="G45" s="225">
        <f t="shared" si="19"/>
        <v>0</v>
      </c>
    </row>
    <row r="46" spans="1:7" hidden="1" outlineLevel="1" x14ac:dyDescent="0.25">
      <c r="B46" s="222"/>
      <c r="C46" s="222"/>
      <c r="D46" s="223"/>
    </row>
    <row r="47" spans="1:7" hidden="1" outlineLevel="1" x14ac:dyDescent="0.25">
      <c r="A47" s="20" t="s">
        <v>107</v>
      </c>
      <c r="B47" s="25">
        <v>0</v>
      </c>
      <c r="C47" s="25">
        <f>ROUND(0,2)</f>
        <v>0</v>
      </c>
      <c r="D47" s="25">
        <f>ROUND(0,2)</f>
        <v>0</v>
      </c>
      <c r="E47" s="224">
        <f>ROUND(0,2)</f>
        <v>0</v>
      </c>
      <c r="F47" s="225">
        <f t="shared" ref="F47:F50" si="20">SUM(B47:E47)</f>
        <v>0</v>
      </c>
      <c r="G47" s="225">
        <f>ROUND(F47/24*12,2)</f>
        <v>0</v>
      </c>
    </row>
    <row r="48" spans="1:7" hidden="1" outlineLevel="1" x14ac:dyDescent="0.25">
      <c r="A48" s="20" t="s">
        <v>108</v>
      </c>
      <c r="B48" s="224">
        <v>0</v>
      </c>
      <c r="C48" s="224">
        <f t="shared" ref="C48:E50" si="21">ROUND(0,2)</f>
        <v>0</v>
      </c>
      <c r="D48" s="224">
        <f t="shared" si="21"/>
        <v>0</v>
      </c>
      <c r="E48" s="224">
        <f t="shared" si="21"/>
        <v>0</v>
      </c>
      <c r="F48" s="225">
        <f t="shared" si="20"/>
        <v>0</v>
      </c>
      <c r="G48" s="225">
        <f t="shared" ref="G48:G50" si="22">ROUND(F48/24*12,2)</f>
        <v>0</v>
      </c>
    </row>
    <row r="49" spans="1:7" hidden="1" outlineLevel="1" x14ac:dyDescent="0.25">
      <c r="A49" s="20" t="s">
        <v>109</v>
      </c>
      <c r="B49" s="25">
        <v>0</v>
      </c>
      <c r="C49" s="25">
        <f t="shared" si="21"/>
        <v>0</v>
      </c>
      <c r="D49" s="25">
        <f t="shared" si="21"/>
        <v>0</v>
      </c>
      <c r="E49" s="25">
        <f t="shared" si="21"/>
        <v>0</v>
      </c>
      <c r="F49" s="225">
        <f t="shared" si="20"/>
        <v>0</v>
      </c>
      <c r="G49" s="225">
        <f t="shared" si="22"/>
        <v>0</v>
      </c>
    </row>
    <row r="50" spans="1:7" hidden="1" outlineLevel="1" x14ac:dyDescent="0.25">
      <c r="A50" s="20" t="s">
        <v>110</v>
      </c>
      <c r="B50" s="224">
        <v>0</v>
      </c>
      <c r="C50" s="224">
        <f t="shared" si="21"/>
        <v>0</v>
      </c>
      <c r="D50" s="224">
        <f t="shared" si="21"/>
        <v>0</v>
      </c>
      <c r="E50" s="224">
        <f t="shared" si="21"/>
        <v>0</v>
      </c>
      <c r="F50" s="225">
        <f t="shared" si="20"/>
        <v>0</v>
      </c>
      <c r="G50" s="225">
        <f t="shared" si="22"/>
        <v>0</v>
      </c>
    </row>
    <row r="51" spans="1:7" hidden="1" outlineLevel="1" x14ac:dyDescent="0.25">
      <c r="A51" s="30" t="s">
        <v>112</v>
      </c>
      <c r="B51" s="225">
        <f>SUM(B47:B50)</f>
        <v>0</v>
      </c>
      <c r="C51" s="225">
        <f>SUM(C47:C50)</f>
        <v>0</v>
      </c>
      <c r="D51" s="225">
        <f t="shared" ref="D51:G51" si="23">SUM(D47:D50)</f>
        <v>0</v>
      </c>
      <c r="E51" s="225">
        <f t="shared" si="23"/>
        <v>0</v>
      </c>
      <c r="F51" s="225">
        <f t="shared" si="23"/>
        <v>0</v>
      </c>
      <c r="G51" s="225">
        <f t="shared" si="23"/>
        <v>0</v>
      </c>
    </row>
    <row r="52" spans="1:7" hidden="1" outlineLevel="1" x14ac:dyDescent="0.25">
      <c r="E52" s="4"/>
    </row>
    <row r="53" spans="1:7" collapsed="1" x14ac:dyDescent="0.25"/>
    <row r="54" spans="1:7" x14ac:dyDescent="0.25">
      <c r="A54" s="53" t="s">
        <v>11</v>
      </c>
    </row>
    <row r="55" spans="1:7" x14ac:dyDescent="0.25">
      <c r="A55" s="3" t="s">
        <v>175</v>
      </c>
    </row>
    <row r="56" spans="1:7" x14ac:dyDescent="0.25">
      <c r="A56" s="3" t="s">
        <v>176</v>
      </c>
    </row>
    <row r="57" spans="1:7" x14ac:dyDescent="0.25">
      <c r="A57" s="3" t="s">
        <v>177</v>
      </c>
    </row>
    <row r="58" spans="1:7" x14ac:dyDescent="0.25">
      <c r="A58" s="3" t="s">
        <v>178</v>
      </c>
    </row>
    <row r="59" spans="1:7" x14ac:dyDescent="0.25">
      <c r="A59" s="3" t="s">
        <v>163</v>
      </c>
    </row>
    <row r="60" spans="1:7" ht="28.5" customHeight="1" x14ac:dyDescent="0.25">
      <c r="A60" s="300" t="s">
        <v>225</v>
      </c>
      <c r="B60" s="300"/>
      <c r="C60" s="300"/>
      <c r="D60" s="300"/>
      <c r="E60" s="300"/>
      <c r="F60" s="300"/>
      <c r="G60" s="300"/>
    </row>
  </sheetData>
  <mergeCells count="2">
    <mergeCell ref="B3:D3"/>
    <mergeCell ref="A60:G60"/>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topLeftCell="H1" workbookViewId="0">
      <selection activeCell="P1" sqref="P1:P1048576"/>
    </sheetView>
  </sheetViews>
  <sheetFormatPr defaultColWidth="9.140625" defaultRowHeight="15" x14ac:dyDescent="0.25"/>
  <cols>
    <col min="1" max="1" width="37.7109375" style="46" customWidth="1"/>
    <col min="2" max="2" width="12.28515625" style="46" bestFit="1" customWidth="1"/>
    <col min="3" max="3" width="12.42578125" style="46" bestFit="1" customWidth="1"/>
    <col min="4" max="4" width="12.42578125" style="46" customWidth="1"/>
    <col min="5" max="5" width="15.42578125" style="46" customWidth="1"/>
    <col min="6" max="6" width="15.85546875" style="46" bestFit="1" customWidth="1"/>
    <col min="7" max="7" width="12.28515625" style="46" bestFit="1" customWidth="1"/>
    <col min="8" max="9" width="13.28515625" style="46" bestFit="1" customWidth="1"/>
    <col min="10" max="10" width="12.28515625" style="46" bestFit="1" customWidth="1"/>
    <col min="11" max="11" width="12.5703125" style="46" customWidth="1"/>
    <col min="12" max="12" width="12.85546875" style="46" customWidth="1"/>
    <col min="13" max="13" width="16" style="46" customWidth="1"/>
    <col min="14" max="14" width="15" style="46" bestFit="1" customWidth="1"/>
    <col min="15" max="15" width="16" style="46" bestFit="1"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06/01/2022</v>
      </c>
      <c r="B1" s="3"/>
      <c r="C1" s="3"/>
      <c r="D1" s="3"/>
    </row>
    <row r="2" spans="1:35" x14ac:dyDescent="0.25">
      <c r="E2" s="3" t="s">
        <v>142</v>
      </c>
    </row>
    <row r="3" spans="1:35" ht="30" x14ac:dyDescent="0.25">
      <c r="E3" s="48" t="s">
        <v>46</v>
      </c>
      <c r="F3" s="70" t="s">
        <v>58</v>
      </c>
      <c r="G3" s="48" t="s">
        <v>3</v>
      </c>
      <c r="H3" s="70" t="s">
        <v>55</v>
      </c>
      <c r="I3" s="48" t="s">
        <v>10</v>
      </c>
      <c r="J3" s="48" t="s">
        <v>59</v>
      </c>
      <c r="S3" s="48"/>
    </row>
    <row r="4" spans="1:35" x14ac:dyDescent="0.25">
      <c r="A4" s="20" t="s">
        <v>24</v>
      </c>
      <c r="B4" s="20"/>
      <c r="C4" s="20"/>
      <c r="D4" s="20"/>
      <c r="E4" s="22">
        <f>SUM(C19:M19)</f>
        <v>-141515.94722999999</v>
      </c>
      <c r="F4" s="22">
        <f>SUM(C26:L26)</f>
        <v>-149349.20000000001</v>
      </c>
      <c r="G4" s="22">
        <f>F4-E4</f>
        <v>-7833.252770000021</v>
      </c>
      <c r="H4" s="22">
        <f>+B42</f>
        <v>206744.31644</v>
      </c>
      <c r="I4" s="22">
        <f>SUM(C50:L50)</f>
        <v>1798.79</v>
      </c>
      <c r="J4" s="25">
        <f>SUM(G4:I4)</f>
        <v>200709.85366999998</v>
      </c>
      <c r="K4" s="47">
        <f>+J4-M42</f>
        <v>0</v>
      </c>
      <c r="N4" s="47"/>
    </row>
    <row r="5" spans="1:35" ht="15.75" thickBot="1" x14ac:dyDescent="0.3">
      <c r="A5" s="20" t="s">
        <v>25</v>
      </c>
      <c r="B5" s="20"/>
      <c r="C5" s="20"/>
      <c r="D5" s="20"/>
      <c r="E5" s="22">
        <f>SUM(C20:M23)</f>
        <v>624632.15107999987</v>
      </c>
      <c r="F5" s="22">
        <f>SUM(C27:L30)</f>
        <v>651546.57999999973</v>
      </c>
      <c r="G5" s="22">
        <f>F5-E5</f>
        <v>26914.42891999986</v>
      </c>
      <c r="H5" s="22">
        <f>SUM(B43:B46)</f>
        <v>506237.37965999998</v>
      </c>
      <c r="I5" s="22">
        <f>SUM(C51:L54)</f>
        <v>5670.3799999999992</v>
      </c>
      <c r="J5" s="25">
        <f>SUM(G5:I5)</f>
        <v>538822.18857999984</v>
      </c>
      <c r="K5" s="47">
        <f>+J5-SUM(M43:M46)</f>
        <v>0</v>
      </c>
      <c r="N5" s="47"/>
    </row>
    <row r="6" spans="1:35" ht="16.5" thickTop="1" thickBot="1" x14ac:dyDescent="0.3">
      <c r="E6" s="27">
        <f t="shared" ref="E6:J6" si="0">SUM(E4:E5)</f>
        <v>483116.20384999987</v>
      </c>
      <c r="F6" s="27">
        <f t="shared" si="0"/>
        <v>502197.37999999971</v>
      </c>
      <c r="G6" s="27">
        <f t="shared" si="0"/>
        <v>19081.176149999839</v>
      </c>
      <c r="H6" s="27">
        <f t="shared" si="0"/>
        <v>712981.69609999994</v>
      </c>
      <c r="I6" s="27">
        <f t="shared" si="0"/>
        <v>7469.1699999999992</v>
      </c>
      <c r="J6" s="27">
        <f t="shared" si="0"/>
        <v>739532.04224999982</v>
      </c>
      <c r="T6" s="5"/>
    </row>
    <row r="7" spans="1:35" ht="45.75" thickTop="1" x14ac:dyDescent="0.25">
      <c r="J7" s="231"/>
      <c r="K7" s="230" t="s">
        <v>123</v>
      </c>
    </row>
    <row r="8" spans="1:35" ht="17.25" customHeight="1" x14ac:dyDescent="0.25">
      <c r="A8" s="20" t="s">
        <v>107</v>
      </c>
      <c r="J8" s="25">
        <f>ROUND($J$5*K8,2)</f>
        <v>73152.88</v>
      </c>
      <c r="K8" s="228">
        <f>+'PCR Cycle 2'!L8</f>
        <v>0.13576441564001979</v>
      </c>
    </row>
    <row r="9" spans="1:35" ht="17.25" customHeight="1" x14ac:dyDescent="0.25">
      <c r="A9" s="20" t="s">
        <v>108</v>
      </c>
      <c r="J9" s="25">
        <f t="shared" ref="J9:J11" si="1">ROUND($J$5*K9,2)</f>
        <v>191883.06</v>
      </c>
      <c r="K9" s="228">
        <f>+'PCR Cycle 2'!L9</f>
        <v>0.35611574316442379</v>
      </c>
    </row>
    <row r="10" spans="1:35" ht="17.25" customHeight="1" x14ac:dyDescent="0.25">
      <c r="A10" s="20" t="s">
        <v>109</v>
      </c>
      <c r="J10" s="25">
        <f t="shared" si="1"/>
        <v>225399.33</v>
      </c>
      <c r="K10" s="228">
        <f>+'PCR Cycle 2'!L10</f>
        <v>0.4183185730547726</v>
      </c>
    </row>
    <row r="11" spans="1:35" ht="17.25" customHeight="1" thickBot="1" x14ac:dyDescent="0.3">
      <c r="A11" s="20" t="s">
        <v>110</v>
      </c>
      <c r="J11" s="25">
        <f t="shared" si="1"/>
        <v>48386.92</v>
      </c>
      <c r="K11" s="228">
        <f>+'PCR Cycle 2'!L11</f>
        <v>8.9801268140783777E-2</v>
      </c>
    </row>
    <row r="12" spans="1:35" ht="17.25" customHeight="1" thickTop="1" thickBot="1" x14ac:dyDescent="0.3">
      <c r="A12" s="20" t="s">
        <v>112</v>
      </c>
      <c r="J12" s="27">
        <f>SUM(J8:J11)</f>
        <v>538822.19000000006</v>
      </c>
      <c r="K12" s="229">
        <f>SUM(K8:K11)</f>
        <v>1</v>
      </c>
    </row>
    <row r="13" spans="1:35" ht="16.5" thickTop="1" thickBot="1" x14ac:dyDescent="0.3">
      <c r="V13" s="4"/>
      <c r="W13" s="5"/>
    </row>
    <row r="14" spans="1:35" ht="120.75" thickBot="1" x14ac:dyDescent="0.3">
      <c r="B14" s="118" t="str">
        <f>+'PCR Cycle 2'!B14</f>
        <v>Cumulative Over/Under Carryover From 12/01/2021 Filing</v>
      </c>
      <c r="C14" s="278" t="str">
        <f>+'PCR Cycle 2'!C14</f>
        <v>Reverse November 2021 - April 2022 Forecast From 12/01/2021 Filing</v>
      </c>
      <c r="D14" s="278"/>
      <c r="E14" s="308" t="s">
        <v>33</v>
      </c>
      <c r="F14" s="308"/>
      <c r="G14" s="309"/>
      <c r="H14" s="314" t="s">
        <v>33</v>
      </c>
      <c r="I14" s="315"/>
      <c r="J14" s="316"/>
      <c r="K14" s="304" t="s">
        <v>8</v>
      </c>
      <c r="L14" s="305"/>
      <c r="M14" s="306"/>
    </row>
    <row r="15" spans="1:35" x14ac:dyDescent="0.25">
      <c r="A15" s="46" t="s">
        <v>86</v>
      </c>
      <c r="C15" s="105"/>
      <c r="D15" s="276"/>
      <c r="E15" s="19">
        <f>+'PCR Cycle 2'!E15</f>
        <v>44530</v>
      </c>
      <c r="F15" s="19">
        <f t="shared" ref="F15:M15" si="2">EOMONTH(E15,1)</f>
        <v>44561</v>
      </c>
      <c r="G15" s="19">
        <f t="shared" si="2"/>
        <v>44592</v>
      </c>
      <c r="H15" s="14">
        <f t="shared" si="2"/>
        <v>44620</v>
      </c>
      <c r="I15" s="19">
        <f t="shared" si="2"/>
        <v>44651</v>
      </c>
      <c r="J15" s="15">
        <f t="shared" si="2"/>
        <v>44681</v>
      </c>
      <c r="K15" s="19">
        <f t="shared" si="2"/>
        <v>44712</v>
      </c>
      <c r="L15" s="19">
        <f t="shared" si="2"/>
        <v>44742</v>
      </c>
      <c r="M15" s="15">
        <f t="shared" si="2"/>
        <v>44773</v>
      </c>
      <c r="Z15" s="1"/>
      <c r="AA15" s="1"/>
      <c r="AB15" s="1"/>
      <c r="AC15" s="1"/>
      <c r="AD15" s="1"/>
      <c r="AE15" s="1"/>
      <c r="AF15" s="1"/>
      <c r="AG15" s="1"/>
      <c r="AH15" s="1"/>
      <c r="AI15" s="1"/>
    </row>
    <row r="16" spans="1:35" x14ac:dyDescent="0.25">
      <c r="A16" s="46" t="s">
        <v>5</v>
      </c>
      <c r="C16" s="97">
        <v>-662333.9</v>
      </c>
      <c r="D16" s="97"/>
      <c r="E16" s="109">
        <f t="shared" ref="E16:L16" si="3">SUM(E26:E30)</f>
        <v>331166.95</v>
      </c>
      <c r="F16" s="109">
        <f t="shared" si="3"/>
        <v>331166.95</v>
      </c>
      <c r="G16" s="110">
        <f t="shared" si="3"/>
        <v>331166.95</v>
      </c>
      <c r="H16" s="16">
        <f t="shared" si="3"/>
        <v>329358.39</v>
      </c>
      <c r="I16" s="55">
        <f t="shared" si="3"/>
        <v>-39581.990000000005</v>
      </c>
      <c r="J16" s="166">
        <f t="shared" si="3"/>
        <v>-39581.990000000005</v>
      </c>
      <c r="K16" s="159">
        <f t="shared" si="3"/>
        <v>-39581.990000000005</v>
      </c>
      <c r="L16" s="78">
        <f t="shared" si="3"/>
        <v>-39581.990000000005</v>
      </c>
      <c r="M16" s="79"/>
    </row>
    <row r="17" spans="1:15" x14ac:dyDescent="0.25">
      <c r="C17" s="99"/>
      <c r="D17" s="99"/>
      <c r="E17" s="17"/>
      <c r="F17" s="17"/>
      <c r="G17" s="17"/>
      <c r="H17" s="10"/>
      <c r="I17" s="17"/>
      <c r="J17" s="11"/>
      <c r="K17" s="31"/>
      <c r="L17" s="31"/>
      <c r="M17" s="29"/>
    </row>
    <row r="18" spans="1:15" x14ac:dyDescent="0.25">
      <c r="A18" s="46" t="s">
        <v>87</v>
      </c>
      <c r="C18" s="99"/>
      <c r="D18" s="99"/>
      <c r="E18" s="18"/>
      <c r="F18" s="18"/>
      <c r="G18" s="18"/>
      <c r="H18" s="91"/>
      <c r="I18" s="18"/>
      <c r="J18" s="167"/>
      <c r="K18" s="31"/>
      <c r="L18" s="31"/>
      <c r="M18" s="29"/>
      <c r="N18" s="3" t="s">
        <v>50</v>
      </c>
      <c r="O18" s="39"/>
    </row>
    <row r="19" spans="1:15" x14ac:dyDescent="0.25">
      <c r="A19" s="46" t="s">
        <v>24</v>
      </c>
      <c r="C19" s="97">
        <v>-45848.663560000001</v>
      </c>
      <c r="D19" s="97"/>
      <c r="E19" s="136">
        <f>ROUND('[6]Nov 2021'!$F70,2)</f>
        <v>10942.62</v>
      </c>
      <c r="F19" s="136">
        <f>ROUND('[6]Dec 2021'!$F70,2)</f>
        <v>13096.99</v>
      </c>
      <c r="G19" s="136">
        <f>ROUND('[6]Jan 2022'!$F70,2)</f>
        <v>17410.060000000001</v>
      </c>
      <c r="H19" s="187">
        <f>ROUND('[6]Feb 2022'!$F70,2)</f>
        <v>-254.02</v>
      </c>
      <c r="I19" s="121">
        <f>ROUND('[6]Mar 2022'!$F70,2)</f>
        <v>-28449.94</v>
      </c>
      <c r="J19" s="168">
        <f>ROUND('[6]Apr 2022'!$F70,2)</f>
        <v>-22533.27</v>
      </c>
      <c r="K19" s="123">
        <f>'PCR Cycle 2'!K27*$N19</f>
        <v>-20862.643880000003</v>
      </c>
      <c r="L19" s="41">
        <f>'PCR Cycle 2'!L27*$N19</f>
        <v>-30021.014270000003</v>
      </c>
      <c r="M19" s="61">
        <f>'PCR Cycle 2'!M27*$N19</f>
        <v>-34996.065520000004</v>
      </c>
      <c r="N19" s="72">
        <v>-1.3000000000000002E-4</v>
      </c>
      <c r="O19" s="4"/>
    </row>
    <row r="20" spans="1:15" x14ac:dyDescent="0.25">
      <c r="A20" s="46" t="s">
        <v>135</v>
      </c>
      <c r="C20" s="97">
        <v>2571.0468600000004</v>
      </c>
      <c r="D20" s="97"/>
      <c r="E20" s="136">
        <f>ROUND('[6]Nov 2021'!$F71,2)</f>
        <v>-993.69</v>
      </c>
      <c r="F20" s="136">
        <f>ROUND('[6]Dec 2021'!$F71,2)</f>
        <v>-881.33</v>
      </c>
      <c r="G20" s="136">
        <f>ROUND('[6]Jan 2022'!$F71,2)</f>
        <v>-1211.48</v>
      </c>
      <c r="H20" s="187">
        <f>ROUND('[6]Feb 2022'!$F71,2)</f>
        <v>-5428.92</v>
      </c>
      <c r="I20" s="121">
        <f>ROUND('[6]Mar 2022'!$F71,2)</f>
        <v>-13401.51</v>
      </c>
      <c r="J20" s="168">
        <f>ROUND('[6]Apr 2022'!$F71,2)</f>
        <v>-11514.43</v>
      </c>
      <c r="K20" s="123">
        <f>'PCR Cycle 2'!K28*$N20</f>
        <v>-11852.642520000003</v>
      </c>
      <c r="L20" s="41">
        <f>'PCR Cycle 2'!L28*$N20</f>
        <v>-12825.586440000003</v>
      </c>
      <c r="M20" s="61">
        <f>'PCR Cycle 2'!M28*$N20</f>
        <v>-12863.804130000002</v>
      </c>
      <c r="N20" s="72">
        <v>-2.7000000000000006E-4</v>
      </c>
      <c r="O20" s="4"/>
    </row>
    <row r="21" spans="1:15" x14ac:dyDescent="0.25">
      <c r="A21" s="46" t="s">
        <v>136</v>
      </c>
      <c r="C21" s="97">
        <v>-243792.05685000002</v>
      </c>
      <c r="D21" s="97"/>
      <c r="E21" s="136">
        <f>ROUND('[6]Nov 2021'!$F72,2)</f>
        <v>70337.25</v>
      </c>
      <c r="F21" s="136">
        <f>ROUND('[6]Dec 2021'!$F72,2)</f>
        <v>73793.210000000006</v>
      </c>
      <c r="G21" s="136">
        <f>ROUND('[6]Jan 2022'!$F72,2)</f>
        <v>82733.23</v>
      </c>
      <c r="H21" s="187">
        <f>ROUND('[6]Feb 2022'!$F72,2)</f>
        <v>69353.289999999994</v>
      </c>
      <c r="I21" s="121">
        <f>ROUND('[6]Mar 2022'!$F72,2)</f>
        <v>47741.77</v>
      </c>
      <c r="J21" s="168">
        <f>ROUND('[6]Apr 2022'!$F72,2)</f>
        <v>42559.98</v>
      </c>
      <c r="K21" s="123">
        <f>'PCR Cycle 2'!K29*$N21</f>
        <v>46678.569159999999</v>
      </c>
      <c r="L21" s="41">
        <f>'PCR Cycle 2'!L29*$N21</f>
        <v>50510.256629999996</v>
      </c>
      <c r="M21" s="61">
        <f>'PCR Cycle 2'!M29*$N21</f>
        <v>50660.767619999999</v>
      </c>
      <c r="N21" s="72">
        <v>5.2999999999999998E-4</v>
      </c>
      <c r="O21" s="4"/>
    </row>
    <row r="22" spans="1:15" x14ac:dyDescent="0.25">
      <c r="A22" s="46" t="s">
        <v>137</v>
      </c>
      <c r="C22" s="97">
        <v>-244239.29915000004</v>
      </c>
      <c r="D22" s="97"/>
      <c r="E22" s="136">
        <f>ROUND('[6]Nov 2021'!$F73,2)</f>
        <v>73603.56</v>
      </c>
      <c r="F22" s="136">
        <f>ROUND('[6]Dec 2021'!$F73,2)</f>
        <v>78205.429999999993</v>
      </c>
      <c r="G22" s="136">
        <f>ROUND('[6]Jan 2022'!$F73,2)</f>
        <v>85423.94</v>
      </c>
      <c r="H22" s="187">
        <f>ROUND('[6]Feb 2022'!$F73,2)</f>
        <v>70462.7</v>
      </c>
      <c r="I22" s="121">
        <f>ROUND('[6]Mar 2022'!$F73,2)</f>
        <v>49518.8</v>
      </c>
      <c r="J22" s="168">
        <f>ROUND('[6]Apr 2022'!$F73,2)</f>
        <v>44403.63</v>
      </c>
      <c r="K22" s="123">
        <f>'PCR Cycle 2'!K30*$N22</f>
        <v>46241.157930000001</v>
      </c>
      <c r="L22" s="41">
        <f>'PCR Cycle 2'!L30*$N22</f>
        <v>50036.939700000003</v>
      </c>
      <c r="M22" s="61">
        <f>'PCR Cycle 2'!M30*$N22</f>
        <v>50186.039969999998</v>
      </c>
      <c r="N22" s="72">
        <v>3.3E-4</v>
      </c>
      <c r="O22" s="4"/>
    </row>
    <row r="23" spans="1:15" x14ac:dyDescent="0.25">
      <c r="A23" s="46" t="s">
        <v>138</v>
      </c>
      <c r="C23" s="97">
        <v>-82956.281200000012</v>
      </c>
      <c r="D23" s="97"/>
      <c r="E23" s="136">
        <f>ROUND('[6]Nov 2021'!$F74,2)</f>
        <v>23032.73</v>
      </c>
      <c r="F23" s="136">
        <f>ROUND('[6]Dec 2021'!$F74,2)</f>
        <v>22729.58</v>
      </c>
      <c r="G23" s="136">
        <f>ROUND('[6]Jan 2022'!$F74,2)</f>
        <v>23459.74</v>
      </c>
      <c r="H23" s="187">
        <f>ROUND('[6]Feb 2022'!$F74,2)</f>
        <v>19056.240000000002</v>
      </c>
      <c r="I23" s="121">
        <f>ROUND('[6]Mar 2022'!$F74,2)</f>
        <v>17171.13</v>
      </c>
      <c r="J23" s="168">
        <f>ROUND('[6]Apr 2022'!$F74,2)</f>
        <v>16815.72</v>
      </c>
      <c r="K23" s="123">
        <f>'PCR Cycle 2'!K31*$N23</f>
        <v>18724.037500000002</v>
      </c>
      <c r="L23" s="41">
        <f>'PCR Cycle 2'!L31*$N23</f>
        <v>20261.030999999999</v>
      </c>
      <c r="M23" s="61">
        <f>'PCR Cycle 2'!M31*$N23</f>
        <v>20321.404999999999</v>
      </c>
      <c r="N23" s="72">
        <v>5.0000000000000001E-4</v>
      </c>
      <c r="O23" s="4"/>
    </row>
    <row r="24" spans="1:15" x14ac:dyDescent="0.25">
      <c r="C24" s="67"/>
      <c r="D24" s="67"/>
      <c r="E24" s="68"/>
      <c r="F24" s="68"/>
      <c r="G24" s="68"/>
      <c r="H24" s="67"/>
      <c r="I24" s="68"/>
      <c r="J24" s="169"/>
      <c r="K24" s="56"/>
      <c r="L24" s="56"/>
      <c r="M24" s="13"/>
      <c r="O24" s="4"/>
    </row>
    <row r="25" spans="1:15" x14ac:dyDescent="0.25">
      <c r="A25" s="46" t="s">
        <v>89</v>
      </c>
      <c r="C25" s="36"/>
      <c r="D25" s="36"/>
      <c r="E25" s="37"/>
      <c r="F25" s="37"/>
      <c r="G25" s="37"/>
      <c r="H25" s="36"/>
      <c r="I25" s="37"/>
      <c r="J25" s="172"/>
      <c r="K25" s="52"/>
      <c r="L25" s="52"/>
      <c r="M25" s="38"/>
    </row>
    <row r="26" spans="1:15" x14ac:dyDescent="0.25">
      <c r="A26" s="46" t="s">
        <v>24</v>
      </c>
      <c r="C26" s="97">
        <v>-122081.24</v>
      </c>
      <c r="D26" s="97"/>
      <c r="E26" s="109">
        <f>ROUND('EO Cycle 2'!$F19/24+'EO Cycle 2'!$F31/24+'EO Cycle 2'!$F43/24,2)</f>
        <v>61040.62</v>
      </c>
      <c r="F26" s="109">
        <f>ROUND('EO Cycle 2'!$F19/24+'EO Cycle 2'!$F31/24+'EO Cycle 2'!$F43/24,2)</f>
        <v>61040.62</v>
      </c>
      <c r="G26" s="110">
        <f>ROUND('EO Cycle 2'!$F19/24+'EO Cycle 2'!$F31/24+'EO Cycle 2'!$F43/24,2)</f>
        <v>61040.62</v>
      </c>
      <c r="H26" s="16">
        <f>ROUND('EO Cycle 2'!$F$19/24+'EO Cycle 2'!$F$31/24+'EO Cycle 2'!$F$43/24+'EO Cycle 2'!$F$54/24,2)</f>
        <v>59109.18</v>
      </c>
      <c r="I26" s="55">
        <f>ROUND(+'EO Cycle 2'!$F$31/24+'EO Cycle 2'!$F$43/24+'EO Cycle 2'!$F$54/24,2)</f>
        <v>-67374.75</v>
      </c>
      <c r="J26" s="166">
        <f>ROUND(+'EO Cycle 2'!$F$31/24+'EO Cycle 2'!$F$43/24+'EO Cycle 2'!$F$54/24,2)</f>
        <v>-67374.75</v>
      </c>
      <c r="K26" s="161">
        <f>ROUND(+'EO Cycle 2'!$F$31/24+'EO Cycle 2'!$F$43/24+'EO Cycle 2'!$F$54/24,2)</f>
        <v>-67374.75</v>
      </c>
      <c r="L26" s="143">
        <f>ROUND(+'EO Cycle 2'!$F$31/24+'EO Cycle 2'!$F$43/24+'EO Cycle 2'!$F$54/24,2)</f>
        <v>-67374.75</v>
      </c>
      <c r="M26" s="79"/>
    </row>
    <row r="27" spans="1:15" x14ac:dyDescent="0.25">
      <c r="A27" s="46" t="s">
        <v>135</v>
      </c>
      <c r="C27" s="97">
        <v>-17401.060000000001</v>
      </c>
      <c r="D27" s="97"/>
      <c r="E27" s="109">
        <f>ROUND('EO Cycle 2'!$F23/24+'EO Cycle 2'!$F35/24+'EO Cycle 2'!$F47/24,2)</f>
        <v>8700.5300000000007</v>
      </c>
      <c r="F27" s="109">
        <f>ROUND('EO Cycle 2'!$F23/24+'EO Cycle 2'!$F35/24+'EO Cycle 2'!$F47/24,2)</f>
        <v>8700.5300000000007</v>
      </c>
      <c r="G27" s="110">
        <f>ROUND('EO Cycle 2'!$F23/24+'EO Cycle 2'!$F35/24+'EO Cycle 2'!$F47/24,2)</f>
        <v>8700.5300000000007</v>
      </c>
      <c r="H27" s="16">
        <f>ROUND('EO Cycle 2'!$F23/24+'EO Cycle 2'!$F35/24+'EO Cycle 2'!$F47/24+'EO Cycle 2'!$F58/24,2)</f>
        <v>8333.44</v>
      </c>
      <c r="I27" s="55">
        <f>ROUND(+'EO Cycle 2'!$F35/24+'EO Cycle 2'!$F47/24+'EO Cycle 2'!$F58/24,2)</f>
        <v>-22608.080000000002</v>
      </c>
      <c r="J27" s="166">
        <f>ROUND(+'EO Cycle 2'!$F35/24+'EO Cycle 2'!$F47/24+'EO Cycle 2'!$F58/24,2)</f>
        <v>-22608.080000000002</v>
      </c>
      <c r="K27" s="161">
        <f>ROUND(+'EO Cycle 2'!$F35/24+'EO Cycle 2'!$F47/24+'EO Cycle 2'!$F58/24,2)</f>
        <v>-22608.080000000002</v>
      </c>
      <c r="L27" s="143">
        <f>ROUND(+'EO Cycle 2'!$F35/24+'EO Cycle 2'!$F47/24+'EO Cycle 2'!$F58/24,2)</f>
        <v>-22608.080000000002</v>
      </c>
      <c r="M27" s="79"/>
    </row>
    <row r="28" spans="1:15" x14ac:dyDescent="0.25">
      <c r="A28" s="46" t="s">
        <v>136</v>
      </c>
      <c r="C28" s="97">
        <v>-224237.22</v>
      </c>
      <c r="D28" s="97"/>
      <c r="E28" s="109">
        <f>ROUND('EO Cycle 2'!$F24/24+'EO Cycle 2'!$F36/24+'EO Cycle 2'!$F48/24,2)</f>
        <v>112118.61</v>
      </c>
      <c r="F28" s="109">
        <f>ROUND('EO Cycle 2'!$F24/24+'EO Cycle 2'!$F36/24+'EO Cycle 2'!$F48/24,2)</f>
        <v>112118.61</v>
      </c>
      <c r="G28" s="110">
        <f>ROUND('EO Cycle 2'!$F24/24+'EO Cycle 2'!$F36/24+'EO Cycle 2'!$F48/24,2)</f>
        <v>112118.61</v>
      </c>
      <c r="H28" s="16">
        <f>ROUND('EO Cycle 2'!$F24/24+'EO Cycle 2'!$F36/24+'EO Cycle 2'!$F48/24+'EO Cycle 2'!$F59/24,2)</f>
        <v>112380.67</v>
      </c>
      <c r="I28" s="55">
        <f>ROUND(+'EO Cycle 2'!$F36/24+'EO Cycle 2'!$F48/24+'EO Cycle 2'!$F59/24,2)</f>
        <v>20897.59</v>
      </c>
      <c r="J28" s="166">
        <f>ROUND(+'EO Cycle 2'!$F36/24+'EO Cycle 2'!$F48/24+'EO Cycle 2'!$F59/24,2)</f>
        <v>20897.59</v>
      </c>
      <c r="K28" s="161">
        <f>ROUND(+'EO Cycle 2'!$F36/24+'EO Cycle 2'!$F48/24+'EO Cycle 2'!$F59/24,2)</f>
        <v>20897.59</v>
      </c>
      <c r="L28" s="143">
        <f>ROUND(+'EO Cycle 2'!$F36/24+'EO Cycle 2'!$F48/24+'EO Cycle 2'!$F59/24,2)</f>
        <v>20897.59</v>
      </c>
      <c r="M28" s="79"/>
    </row>
    <row r="29" spans="1:15" x14ac:dyDescent="0.25">
      <c r="A29" s="46" t="s">
        <v>137</v>
      </c>
      <c r="C29" s="97">
        <v>-229484.34</v>
      </c>
      <c r="D29" s="97"/>
      <c r="E29" s="109">
        <f>ROUND('EO Cycle 2'!$F25/24+'EO Cycle 2'!$F37/24+'EO Cycle 2'!$F49/24,2)</f>
        <v>114742.17</v>
      </c>
      <c r="F29" s="109">
        <f>ROUND('EO Cycle 2'!$F25/24+'EO Cycle 2'!$F37/24+'EO Cycle 2'!$F49/24,2)</f>
        <v>114742.17</v>
      </c>
      <c r="G29" s="110">
        <f>ROUND('EO Cycle 2'!$F25/24+'EO Cycle 2'!$F37/24+'EO Cycle 2'!$F49/24,2)</f>
        <v>114742.17</v>
      </c>
      <c r="H29" s="16">
        <f>ROUND('EO Cycle 2'!$F25/24+'EO Cycle 2'!$F37/24+'EO Cycle 2'!$F49/24+'EO Cycle 2'!$F60/24,2)</f>
        <v>114783.97</v>
      </c>
      <c r="I29" s="55">
        <f>ROUND(+'EO Cycle 2'!$F37/24+'EO Cycle 2'!$F49/24+'EO Cycle 2'!$F60/24,2)</f>
        <v>14718.79</v>
      </c>
      <c r="J29" s="166">
        <f>ROUND(+'EO Cycle 2'!$F37/24+'EO Cycle 2'!$F49/24+'EO Cycle 2'!$F60/24,2)</f>
        <v>14718.79</v>
      </c>
      <c r="K29" s="161">
        <f>ROUND(+'EO Cycle 2'!$F37/24+'EO Cycle 2'!$F49/24+'EO Cycle 2'!$F60/24,2)</f>
        <v>14718.79</v>
      </c>
      <c r="L29" s="143">
        <f>ROUND(+'EO Cycle 2'!$F37/24+'EO Cycle 2'!$F49/24+'EO Cycle 2'!$F60/24,2)</f>
        <v>14718.79</v>
      </c>
      <c r="M29" s="79"/>
    </row>
    <row r="30" spans="1:15" x14ac:dyDescent="0.25">
      <c r="A30" s="46" t="s">
        <v>138</v>
      </c>
      <c r="C30" s="97">
        <v>-69130.039999999994</v>
      </c>
      <c r="D30" s="97"/>
      <c r="E30" s="109">
        <f>ROUND('EO Cycle 2'!$F26/24+'EO Cycle 2'!$F38/24+'EO Cycle 2'!$F50/24,2)</f>
        <v>34565.019999999997</v>
      </c>
      <c r="F30" s="109">
        <f>ROUND('EO Cycle 2'!$F26/24+'EO Cycle 2'!$F38/24+'EO Cycle 2'!$F50/24,2)</f>
        <v>34565.019999999997</v>
      </c>
      <c r="G30" s="110">
        <f>ROUND('EO Cycle 2'!$F26/24+'EO Cycle 2'!$F38/24+'EO Cycle 2'!$F50/24,2)</f>
        <v>34565.019999999997</v>
      </c>
      <c r="H30" s="16">
        <f>ROUND('EO Cycle 2'!$F26/24+'EO Cycle 2'!$F38/24+'EO Cycle 2'!$F50/24+'EO Cycle 2'!$F61/24,2)</f>
        <v>34751.129999999997</v>
      </c>
      <c r="I30" s="55">
        <f>ROUND(+'EO Cycle 2'!$F38/24+'EO Cycle 2'!$F50/24+'EO Cycle 2'!$F61/24,2)</f>
        <v>14784.46</v>
      </c>
      <c r="J30" s="166">
        <f>ROUND(+'EO Cycle 2'!$F38/24+'EO Cycle 2'!$F50/24+'EO Cycle 2'!$F61/24,2)</f>
        <v>14784.46</v>
      </c>
      <c r="K30" s="161">
        <f>ROUND(+'EO Cycle 2'!$F38/24+'EO Cycle 2'!$F50/24+'EO Cycle 2'!$F61/24,2)</f>
        <v>14784.46</v>
      </c>
      <c r="L30" s="143">
        <f>ROUND(+'EO Cycle 2'!$F38/24+'EO Cycle 2'!$F50/24+'EO Cycle 2'!$F61/24,2)</f>
        <v>14784.46</v>
      </c>
      <c r="M30" s="79"/>
      <c r="O30" s="47"/>
    </row>
    <row r="31" spans="1:15" x14ac:dyDescent="0.25">
      <c r="C31" s="99"/>
      <c r="D31" s="99"/>
      <c r="E31" s="18"/>
      <c r="F31" s="18"/>
      <c r="G31" s="18"/>
      <c r="H31" s="91"/>
      <c r="I31" s="18"/>
      <c r="J31" s="167"/>
      <c r="K31" s="56"/>
      <c r="L31" s="56"/>
      <c r="M31" s="13"/>
    </row>
    <row r="32" spans="1:15" ht="15.75" thickBot="1" x14ac:dyDescent="0.3">
      <c r="A32" s="3" t="s">
        <v>14</v>
      </c>
      <c r="B32" s="3"/>
      <c r="C32" s="103">
        <v>-1447.19</v>
      </c>
      <c r="D32" s="103"/>
      <c r="E32" s="136">
        <v>672.77</v>
      </c>
      <c r="F32" s="136">
        <v>819.13</v>
      </c>
      <c r="G32" s="137">
        <v>944.56999999999994</v>
      </c>
      <c r="H32" s="26">
        <v>1135.9099999999999</v>
      </c>
      <c r="I32" s="122">
        <v>1407.38</v>
      </c>
      <c r="J32" s="173">
        <v>1463.7800000000002</v>
      </c>
      <c r="K32" s="162">
        <v>1314.1899999999998</v>
      </c>
      <c r="L32" s="145">
        <v>1158.99</v>
      </c>
      <c r="M32" s="82"/>
    </row>
    <row r="33" spans="1:13" x14ac:dyDescent="0.25">
      <c r="C33" s="64"/>
      <c r="D33" s="64"/>
      <c r="E33" s="149"/>
      <c r="F33" s="149"/>
      <c r="G33" s="150"/>
      <c r="H33" s="64"/>
      <c r="I33" s="33"/>
      <c r="J33" s="174"/>
      <c r="K33" s="34"/>
      <c r="L33" s="34"/>
      <c r="M33" s="60"/>
    </row>
    <row r="34" spans="1:13" x14ac:dyDescent="0.25">
      <c r="A34" s="46" t="s">
        <v>52</v>
      </c>
      <c r="C34" s="65"/>
      <c r="D34" s="65"/>
      <c r="E34" s="150"/>
      <c r="F34" s="150"/>
      <c r="G34" s="150"/>
      <c r="H34" s="65"/>
      <c r="I34" s="35"/>
      <c r="J34" s="175"/>
      <c r="K34" s="34"/>
      <c r="L34" s="34"/>
      <c r="M34" s="60"/>
    </row>
    <row r="35" spans="1:13" x14ac:dyDescent="0.25">
      <c r="A35" s="46" t="s">
        <v>24</v>
      </c>
      <c r="C35" s="100">
        <f t="shared" ref="C35:M35" si="4">C26-C19</f>
        <v>-76232.576440000004</v>
      </c>
      <c r="D35" s="100"/>
      <c r="E35" s="41">
        <f t="shared" si="4"/>
        <v>50098</v>
      </c>
      <c r="F35" s="41">
        <f t="shared" si="4"/>
        <v>47943.630000000005</v>
      </c>
      <c r="G35" s="108">
        <f t="shared" si="4"/>
        <v>43630.559999999998</v>
      </c>
      <c r="H35" s="40">
        <f t="shared" si="4"/>
        <v>59363.199999999997</v>
      </c>
      <c r="I35" s="41">
        <f t="shared" si="4"/>
        <v>-38924.81</v>
      </c>
      <c r="J35" s="61">
        <f t="shared" si="4"/>
        <v>-44841.479999999996</v>
      </c>
      <c r="K35" s="123">
        <f t="shared" si="4"/>
        <v>-46512.106119999997</v>
      </c>
      <c r="L35" s="41">
        <f t="shared" si="4"/>
        <v>-37353.73573</v>
      </c>
      <c r="M35" s="61">
        <f t="shared" si="4"/>
        <v>34996.065520000004</v>
      </c>
    </row>
    <row r="36" spans="1:13" x14ac:dyDescent="0.25">
      <c r="A36" s="46" t="s">
        <v>135</v>
      </c>
      <c r="C36" s="100">
        <f t="shared" ref="C36:M36" si="5">C27-C20</f>
        <v>-19972.10686</v>
      </c>
      <c r="D36" s="100"/>
      <c r="E36" s="41">
        <f t="shared" si="5"/>
        <v>9694.2200000000012</v>
      </c>
      <c r="F36" s="41">
        <f t="shared" si="5"/>
        <v>9581.86</v>
      </c>
      <c r="G36" s="108">
        <f t="shared" si="5"/>
        <v>9912.01</v>
      </c>
      <c r="H36" s="40">
        <f t="shared" si="5"/>
        <v>13762.36</v>
      </c>
      <c r="I36" s="41">
        <f t="shared" si="5"/>
        <v>-9206.5700000000015</v>
      </c>
      <c r="J36" s="61">
        <f t="shared" si="5"/>
        <v>-11093.650000000001</v>
      </c>
      <c r="K36" s="123">
        <f t="shared" si="5"/>
        <v>-10755.437479999999</v>
      </c>
      <c r="L36" s="41">
        <f t="shared" si="5"/>
        <v>-9782.493559999999</v>
      </c>
      <c r="M36" s="61">
        <f t="shared" si="5"/>
        <v>12863.804130000002</v>
      </c>
    </row>
    <row r="37" spans="1:13" x14ac:dyDescent="0.25">
      <c r="A37" s="46" t="s">
        <v>136</v>
      </c>
      <c r="C37" s="100">
        <f t="shared" ref="C37:M37" si="6">C28-C21</f>
        <v>19554.836850000022</v>
      </c>
      <c r="D37" s="100"/>
      <c r="E37" s="41">
        <f t="shared" si="6"/>
        <v>41781.360000000001</v>
      </c>
      <c r="F37" s="41">
        <f t="shared" si="6"/>
        <v>38325.399999999994</v>
      </c>
      <c r="G37" s="108">
        <f t="shared" si="6"/>
        <v>29385.380000000005</v>
      </c>
      <c r="H37" s="40">
        <f t="shared" si="6"/>
        <v>43027.380000000005</v>
      </c>
      <c r="I37" s="41">
        <f t="shared" si="6"/>
        <v>-26844.179999999997</v>
      </c>
      <c r="J37" s="61">
        <f t="shared" si="6"/>
        <v>-21662.390000000003</v>
      </c>
      <c r="K37" s="123">
        <f t="shared" si="6"/>
        <v>-25780.979159999999</v>
      </c>
      <c r="L37" s="41">
        <f t="shared" si="6"/>
        <v>-29612.666629999996</v>
      </c>
      <c r="M37" s="61">
        <f t="shared" si="6"/>
        <v>-50660.767619999999</v>
      </c>
    </row>
    <row r="38" spans="1:13" x14ac:dyDescent="0.25">
      <c r="A38" s="46" t="s">
        <v>137</v>
      </c>
      <c r="C38" s="100">
        <f t="shared" ref="C38:M38" si="7">C29-C22</f>
        <v>14754.959150000039</v>
      </c>
      <c r="D38" s="100"/>
      <c r="E38" s="41">
        <f t="shared" si="7"/>
        <v>41138.61</v>
      </c>
      <c r="F38" s="41">
        <f t="shared" si="7"/>
        <v>36536.740000000005</v>
      </c>
      <c r="G38" s="108">
        <f t="shared" si="7"/>
        <v>29318.229999999996</v>
      </c>
      <c r="H38" s="40">
        <f t="shared" si="7"/>
        <v>44321.270000000004</v>
      </c>
      <c r="I38" s="41">
        <f t="shared" si="7"/>
        <v>-34800.01</v>
      </c>
      <c r="J38" s="61">
        <f t="shared" si="7"/>
        <v>-29684.839999999997</v>
      </c>
      <c r="K38" s="123">
        <f t="shared" si="7"/>
        <v>-31522.36793</v>
      </c>
      <c r="L38" s="41">
        <f t="shared" si="7"/>
        <v>-35318.149700000002</v>
      </c>
      <c r="M38" s="61">
        <f t="shared" si="7"/>
        <v>-50186.039969999998</v>
      </c>
    </row>
    <row r="39" spans="1:13" x14ac:dyDescent="0.25">
      <c r="A39" s="46" t="s">
        <v>138</v>
      </c>
      <c r="C39" s="100">
        <f t="shared" ref="C39:M39" si="8">C30-C23</f>
        <v>13826.241200000019</v>
      </c>
      <c r="D39" s="100"/>
      <c r="E39" s="41">
        <f t="shared" si="8"/>
        <v>11532.289999999997</v>
      </c>
      <c r="F39" s="41">
        <f t="shared" si="8"/>
        <v>11835.439999999995</v>
      </c>
      <c r="G39" s="108">
        <f t="shared" si="8"/>
        <v>11105.279999999995</v>
      </c>
      <c r="H39" s="40">
        <f t="shared" si="8"/>
        <v>15694.889999999996</v>
      </c>
      <c r="I39" s="41">
        <f t="shared" si="8"/>
        <v>-2386.6700000000019</v>
      </c>
      <c r="J39" s="61">
        <f t="shared" si="8"/>
        <v>-2031.260000000002</v>
      </c>
      <c r="K39" s="123">
        <f t="shared" si="8"/>
        <v>-3939.5775000000031</v>
      </c>
      <c r="L39" s="41">
        <f t="shared" si="8"/>
        <v>-5476.5709999999999</v>
      </c>
      <c r="M39" s="61">
        <f t="shared" si="8"/>
        <v>-20321.404999999999</v>
      </c>
    </row>
    <row r="40" spans="1:13" x14ac:dyDescent="0.25">
      <c r="C40" s="99"/>
      <c r="D40" s="99"/>
      <c r="E40" s="17"/>
      <c r="F40" s="17"/>
      <c r="G40" s="17"/>
      <c r="H40" s="10"/>
      <c r="I40" s="17"/>
      <c r="J40" s="11"/>
      <c r="K40" s="17"/>
      <c r="L40" s="17"/>
      <c r="M40" s="11"/>
    </row>
    <row r="41" spans="1:13" x14ac:dyDescent="0.25">
      <c r="A41" s="46" t="s">
        <v>53</v>
      </c>
      <c r="C41" s="99"/>
      <c r="D41" s="99"/>
      <c r="E41" s="17"/>
      <c r="F41" s="17"/>
      <c r="G41" s="17"/>
      <c r="H41" s="10"/>
      <c r="I41" s="17"/>
      <c r="J41" s="11"/>
      <c r="K41" s="17"/>
      <c r="L41" s="17"/>
      <c r="M41" s="11"/>
    </row>
    <row r="42" spans="1:13" x14ac:dyDescent="0.25">
      <c r="A42" s="46" t="s">
        <v>24</v>
      </c>
      <c r="B42" s="61">
        <v>206744.31644</v>
      </c>
      <c r="C42" s="100">
        <f t="shared" ref="C42:M42" si="9">B42+C35+B50</f>
        <v>130511.73999999999</v>
      </c>
      <c r="D42" s="100"/>
      <c r="E42" s="41">
        <f>C42+E35+C50+D50</f>
        <v>180286.46</v>
      </c>
      <c r="F42" s="41">
        <f t="shared" si="9"/>
        <v>228371.11</v>
      </c>
      <c r="G42" s="108">
        <f t="shared" si="9"/>
        <v>272189.69</v>
      </c>
      <c r="H42" s="40">
        <f t="shared" si="9"/>
        <v>331783.59000000003</v>
      </c>
      <c r="I42" s="41">
        <f t="shared" si="9"/>
        <v>293150.63</v>
      </c>
      <c r="J42" s="61">
        <f t="shared" si="9"/>
        <v>248673.08000000002</v>
      </c>
      <c r="K42" s="123">
        <f t="shared" si="9"/>
        <v>202521.84388</v>
      </c>
      <c r="L42" s="41">
        <f t="shared" si="9"/>
        <v>165468.65814999997</v>
      </c>
      <c r="M42" s="61">
        <f t="shared" si="9"/>
        <v>200709.85366999998</v>
      </c>
    </row>
    <row r="43" spans="1:13" x14ac:dyDescent="0.25">
      <c r="A43" s="46" t="s">
        <v>135</v>
      </c>
      <c r="B43" s="61">
        <v>-52854.803140000011</v>
      </c>
      <c r="C43" s="100">
        <f t="shared" ref="C43:M43" si="10">B43+C36+B51</f>
        <v>-72826.91</v>
      </c>
      <c r="D43" s="100"/>
      <c r="E43" s="41">
        <f t="shared" ref="E43:E46" si="11">C43+E36+C51+D51</f>
        <v>-63018.400000000001</v>
      </c>
      <c r="F43" s="41">
        <f t="shared" si="10"/>
        <v>-53498.19</v>
      </c>
      <c r="G43" s="108">
        <f t="shared" si="10"/>
        <v>-43639.8</v>
      </c>
      <c r="H43" s="40">
        <f t="shared" si="10"/>
        <v>-29922.22</v>
      </c>
      <c r="I43" s="41">
        <f t="shared" si="10"/>
        <v>-39164.340000000004</v>
      </c>
      <c r="J43" s="61">
        <f t="shared" si="10"/>
        <v>-50298.220000000008</v>
      </c>
      <c r="K43" s="123">
        <f t="shared" si="10"/>
        <v>-61113.227480000009</v>
      </c>
      <c r="L43" s="41">
        <f t="shared" si="10"/>
        <v>-70969.911040000006</v>
      </c>
      <c r="M43" s="61">
        <f t="shared" si="10"/>
        <v>-58194.066910000001</v>
      </c>
    </row>
    <row r="44" spans="1:13" x14ac:dyDescent="0.25">
      <c r="A44" s="46" t="s">
        <v>136</v>
      </c>
      <c r="B44" s="61">
        <v>243136.18314999997</v>
      </c>
      <c r="C44" s="100">
        <f t="shared" ref="C44:M44" si="12">B44+C37+B52</f>
        <v>262691.02</v>
      </c>
      <c r="D44" s="100"/>
      <c r="E44" s="41">
        <f t="shared" si="11"/>
        <v>303936.63</v>
      </c>
      <c r="F44" s="41">
        <f t="shared" si="12"/>
        <v>342519.15</v>
      </c>
      <c r="G44" s="108">
        <f t="shared" si="12"/>
        <v>372201.97000000003</v>
      </c>
      <c r="H44" s="40">
        <f t="shared" si="12"/>
        <v>415558.77</v>
      </c>
      <c r="I44" s="41">
        <f t="shared" si="12"/>
        <v>389095.27</v>
      </c>
      <c r="J44" s="61">
        <f t="shared" si="12"/>
        <v>367901.47000000003</v>
      </c>
      <c r="K44" s="123">
        <f t="shared" si="12"/>
        <v>342624.65084000002</v>
      </c>
      <c r="L44" s="41">
        <f t="shared" si="12"/>
        <v>313485.23421000002</v>
      </c>
      <c r="M44" s="61">
        <f t="shared" si="12"/>
        <v>263261.48659000004</v>
      </c>
    </row>
    <row r="45" spans="1:13" x14ac:dyDescent="0.25">
      <c r="A45" s="46" t="s">
        <v>137</v>
      </c>
      <c r="B45" s="61">
        <v>231245.14084999994</v>
      </c>
      <c r="C45" s="100">
        <f t="shared" ref="C45:M45" si="13">B45+C38+B53</f>
        <v>246000.09999999998</v>
      </c>
      <c r="D45" s="100"/>
      <c r="E45" s="41">
        <f t="shared" si="11"/>
        <v>286628.61</v>
      </c>
      <c r="F45" s="41">
        <f t="shared" si="13"/>
        <v>323407.03999999998</v>
      </c>
      <c r="G45" s="108">
        <f t="shared" si="13"/>
        <v>353005.94999999995</v>
      </c>
      <c r="H45" s="40">
        <f t="shared" si="13"/>
        <v>397638.99</v>
      </c>
      <c r="I45" s="41">
        <f t="shared" si="13"/>
        <v>363201.72</v>
      </c>
      <c r="J45" s="61">
        <f t="shared" si="13"/>
        <v>333959.95</v>
      </c>
      <c r="K45" s="123">
        <f t="shared" si="13"/>
        <v>302901.90207000001</v>
      </c>
      <c r="L45" s="41">
        <f t="shared" si="13"/>
        <v>268007.95237000001</v>
      </c>
      <c r="M45" s="61">
        <f t="shared" si="13"/>
        <v>218202.18240000002</v>
      </c>
    </row>
    <row r="46" spans="1:13" x14ac:dyDescent="0.25">
      <c r="A46" s="46" t="s">
        <v>138</v>
      </c>
      <c r="B46" s="61">
        <v>84710.858800000016</v>
      </c>
      <c r="C46" s="100">
        <f>B46+C39+B54</f>
        <v>98537.100000000035</v>
      </c>
      <c r="D46" s="100"/>
      <c r="E46" s="41">
        <f t="shared" si="11"/>
        <v>109877.04000000002</v>
      </c>
      <c r="F46" s="41">
        <f t="shared" ref="F46:M46" si="14">E46+F39+E54</f>
        <v>121807.06000000001</v>
      </c>
      <c r="G46" s="108">
        <f t="shared" si="14"/>
        <v>133018.94</v>
      </c>
      <c r="H46" s="40">
        <f t="shared" si="14"/>
        <v>148831.28</v>
      </c>
      <c r="I46" s="41">
        <f t="shared" si="14"/>
        <v>146580.81</v>
      </c>
      <c r="J46" s="61">
        <f t="shared" si="14"/>
        <v>144721.57999999999</v>
      </c>
      <c r="K46" s="123">
        <f t="shared" si="14"/>
        <v>140976.00249999997</v>
      </c>
      <c r="L46" s="41">
        <f t="shared" si="14"/>
        <v>135689.72149999999</v>
      </c>
      <c r="M46" s="61">
        <f t="shared" si="14"/>
        <v>115552.58649999999</v>
      </c>
    </row>
    <row r="47" spans="1:13" x14ac:dyDescent="0.25">
      <c r="C47" s="99"/>
      <c r="D47" s="99"/>
      <c r="E47" s="17"/>
      <c r="F47" s="17"/>
      <c r="G47" s="17"/>
      <c r="H47" s="10"/>
      <c r="I47" s="17"/>
      <c r="J47" s="11"/>
      <c r="K47" s="17"/>
      <c r="L47" s="17"/>
      <c r="M47" s="11"/>
    </row>
    <row r="48" spans="1:13" x14ac:dyDescent="0.25">
      <c r="A48" s="39" t="s">
        <v>88</v>
      </c>
      <c r="B48" s="39"/>
      <c r="C48" s="104"/>
      <c r="D48" s="104"/>
      <c r="E48" s="83">
        <f>+'PCR Cycle 2'!E50</f>
        <v>9.0841999999999995E-4</v>
      </c>
      <c r="F48" s="83">
        <f>+'PCR Cycle 2'!F50</f>
        <v>9.1985999999999999E-4</v>
      </c>
      <c r="G48" s="83">
        <f>+'PCR Cycle 2'!G50</f>
        <v>9.2144000000000004E-4</v>
      </c>
      <c r="H48" s="84">
        <f>+'PCR Cycle 2'!H50</f>
        <v>9.6606999999999997E-4</v>
      </c>
      <c r="I48" s="83">
        <f>+'PCR Cycle 2'!I50</f>
        <v>1.1641399999999999E-3</v>
      </c>
      <c r="J48" s="92">
        <f>+'PCR Cycle 2'!J50</f>
        <v>1.33118E-3</v>
      </c>
      <c r="K48" s="83">
        <f>+'PCR Cycle 2'!K50</f>
        <v>1.33118E-3</v>
      </c>
      <c r="L48" s="83">
        <f>+'PCR Cycle 2'!L50</f>
        <v>1.33118E-3</v>
      </c>
      <c r="M48" s="85"/>
    </row>
    <row r="49" spans="1:13" x14ac:dyDescent="0.25">
      <c r="A49" s="39" t="s">
        <v>37</v>
      </c>
      <c r="B49" s="39"/>
      <c r="C49" s="106"/>
      <c r="D49" s="106"/>
      <c r="E49" s="83"/>
      <c r="F49" s="83"/>
      <c r="G49" s="83"/>
      <c r="H49" s="84"/>
      <c r="I49" s="83"/>
      <c r="J49" s="85"/>
      <c r="K49" s="83"/>
      <c r="L49" s="83"/>
      <c r="M49" s="85"/>
    </row>
    <row r="50" spans="1:13" x14ac:dyDescent="0.25">
      <c r="A50" s="46" t="s">
        <v>24</v>
      </c>
      <c r="C50" s="100">
        <v>-323.27999999999997</v>
      </c>
      <c r="D50" s="100"/>
      <c r="E50" s="41">
        <f>ROUND((C42+C50+D50+E35/2)*E$48,2)</f>
        <v>141.02000000000001</v>
      </c>
      <c r="F50" s="41">
        <f t="shared" ref="F50:M50" si="15">ROUND((E42+E50+F35/2)*F$48,2)</f>
        <v>188.02</v>
      </c>
      <c r="G50" s="108">
        <f t="shared" si="15"/>
        <v>230.7</v>
      </c>
      <c r="H50" s="40">
        <f t="shared" si="15"/>
        <v>291.85000000000002</v>
      </c>
      <c r="I50" s="123">
        <f t="shared" si="15"/>
        <v>363.93</v>
      </c>
      <c r="J50" s="49">
        <f t="shared" si="15"/>
        <v>360.87</v>
      </c>
      <c r="K50" s="163">
        <f t="shared" si="15"/>
        <v>300.55</v>
      </c>
      <c r="L50" s="108">
        <f t="shared" si="15"/>
        <v>245.13</v>
      </c>
      <c r="M50" s="61">
        <f t="shared" si="15"/>
        <v>0</v>
      </c>
    </row>
    <row r="51" spans="1:13" x14ac:dyDescent="0.25">
      <c r="A51" s="46" t="s">
        <v>135</v>
      </c>
      <c r="C51" s="100">
        <v>114.28999999999999</v>
      </c>
      <c r="D51" s="100"/>
      <c r="E51" s="41">
        <f t="shared" ref="E51:E54" si="16">ROUND((C43+C51+D51+E36/2)*E$48,2)</f>
        <v>-61.65</v>
      </c>
      <c r="F51" s="41">
        <f t="shared" ref="F51:M51" si="17">ROUND((E43+E51+F36/2)*F$48,2)</f>
        <v>-53.62</v>
      </c>
      <c r="G51" s="108">
        <f t="shared" si="17"/>
        <v>-44.78</v>
      </c>
      <c r="H51" s="40">
        <f t="shared" si="17"/>
        <v>-35.549999999999997</v>
      </c>
      <c r="I51" s="123">
        <f t="shared" si="17"/>
        <v>-40.229999999999997</v>
      </c>
      <c r="J51" s="49">
        <f t="shared" si="17"/>
        <v>-59.57</v>
      </c>
      <c r="K51" s="163">
        <f t="shared" si="17"/>
        <v>-74.19</v>
      </c>
      <c r="L51" s="108">
        <f t="shared" si="17"/>
        <v>-87.96</v>
      </c>
      <c r="M51" s="61">
        <f t="shared" si="17"/>
        <v>0</v>
      </c>
    </row>
    <row r="52" spans="1:13" x14ac:dyDescent="0.25">
      <c r="A52" s="46" t="s">
        <v>136</v>
      </c>
      <c r="C52" s="100">
        <v>-535.75</v>
      </c>
      <c r="D52" s="100"/>
      <c r="E52" s="41">
        <f t="shared" si="16"/>
        <v>257.12</v>
      </c>
      <c r="F52" s="41">
        <f>ROUND((E44+E52+F37/2)*F$48,2)</f>
        <v>297.44</v>
      </c>
      <c r="G52" s="108">
        <f t="shared" ref="G52:M52" si="18">ROUND((F44+F52+G37/2)*G$48,2)</f>
        <v>329.42</v>
      </c>
      <c r="H52" s="40">
        <f t="shared" si="18"/>
        <v>380.68</v>
      </c>
      <c r="I52" s="123">
        <f t="shared" si="18"/>
        <v>468.59</v>
      </c>
      <c r="J52" s="49">
        <f t="shared" si="18"/>
        <v>504.16</v>
      </c>
      <c r="K52" s="163">
        <f t="shared" si="18"/>
        <v>473.25</v>
      </c>
      <c r="L52" s="108">
        <f t="shared" si="18"/>
        <v>437.02</v>
      </c>
      <c r="M52" s="61">
        <f t="shared" si="18"/>
        <v>0</v>
      </c>
    </row>
    <row r="53" spans="1:13" x14ac:dyDescent="0.25">
      <c r="A53" s="46" t="s">
        <v>137</v>
      </c>
      <c r="C53" s="100">
        <v>-510.1</v>
      </c>
      <c r="D53" s="100"/>
      <c r="E53" s="41">
        <f t="shared" si="16"/>
        <v>241.69</v>
      </c>
      <c r="F53" s="41">
        <f t="shared" ref="F53:M53" si="19">ROUND((E45+E53+F38/2)*F$48,2)</f>
        <v>280.68</v>
      </c>
      <c r="G53" s="108">
        <f t="shared" si="19"/>
        <v>311.77</v>
      </c>
      <c r="H53" s="40">
        <f t="shared" si="19"/>
        <v>362.74</v>
      </c>
      <c r="I53" s="123">
        <f t="shared" si="19"/>
        <v>443.07</v>
      </c>
      <c r="J53" s="49">
        <f t="shared" si="19"/>
        <v>464.32</v>
      </c>
      <c r="K53" s="163">
        <f t="shared" si="19"/>
        <v>424.2</v>
      </c>
      <c r="L53" s="108">
        <f t="shared" si="19"/>
        <v>380.27</v>
      </c>
      <c r="M53" s="61">
        <f t="shared" si="19"/>
        <v>0</v>
      </c>
    </row>
    <row r="54" spans="1:13" ht="15.75" thickBot="1" x14ac:dyDescent="0.3">
      <c r="A54" s="46" t="s">
        <v>138</v>
      </c>
      <c r="C54" s="100">
        <v>-192.35</v>
      </c>
      <c r="D54" s="100"/>
      <c r="E54" s="41">
        <f t="shared" si="16"/>
        <v>94.58</v>
      </c>
      <c r="F54" s="41">
        <f t="shared" ref="F54:M54" si="20">ROUND((E46+E54+F39/2)*F$48,2)</f>
        <v>106.6</v>
      </c>
      <c r="G54" s="108">
        <f t="shared" si="20"/>
        <v>117.45</v>
      </c>
      <c r="H54" s="40">
        <f t="shared" si="20"/>
        <v>136.19999999999999</v>
      </c>
      <c r="I54" s="123">
        <f t="shared" si="20"/>
        <v>172.03</v>
      </c>
      <c r="J54" s="49">
        <f t="shared" si="20"/>
        <v>194</v>
      </c>
      <c r="K54" s="163">
        <f t="shared" si="20"/>
        <v>190.29</v>
      </c>
      <c r="L54" s="108">
        <f t="shared" si="20"/>
        <v>184.27</v>
      </c>
      <c r="M54" s="61">
        <f t="shared" si="20"/>
        <v>0</v>
      </c>
    </row>
    <row r="55" spans="1:13" ht="16.5" thickTop="1" thickBot="1" x14ac:dyDescent="0.3">
      <c r="A55" s="54" t="s">
        <v>22</v>
      </c>
      <c r="B55" s="54"/>
      <c r="C55" s="107">
        <v>0</v>
      </c>
      <c r="D55" s="107"/>
      <c r="E55" s="42">
        <f t="shared" ref="E55:J55" si="21">SUM(E50:E54)+SUM(E42:E46)-E58</f>
        <v>0</v>
      </c>
      <c r="F55" s="42">
        <f t="shared" si="21"/>
        <v>0</v>
      </c>
      <c r="G55" s="50">
        <f t="shared" ref="G55:I55" si="22">SUM(G50:G54)+SUM(G42:G46)-G58</f>
        <v>0</v>
      </c>
      <c r="H55" s="147">
        <f t="shared" si="22"/>
        <v>0</v>
      </c>
      <c r="I55" s="50">
        <f t="shared" si="22"/>
        <v>0</v>
      </c>
      <c r="J55" s="62">
        <f t="shared" si="21"/>
        <v>0</v>
      </c>
      <c r="K55" s="164">
        <f t="shared" ref="K55:M55" si="23">SUM(K50:K54)+SUM(K42:K46)-K58</f>
        <v>0</v>
      </c>
      <c r="L55" s="50">
        <f t="shared" si="23"/>
        <v>0</v>
      </c>
      <c r="M55" s="62">
        <f t="shared" si="23"/>
        <v>0</v>
      </c>
    </row>
    <row r="56" spans="1:13" ht="16.5" thickTop="1" thickBot="1" x14ac:dyDescent="0.3">
      <c r="A56" s="54" t="s">
        <v>23</v>
      </c>
      <c r="B56" s="54"/>
      <c r="C56" s="107">
        <v>0</v>
      </c>
      <c r="D56" s="107"/>
      <c r="E56" s="42">
        <f t="shared" ref="E56:J56" si="24">SUM(E50:E54)-E32</f>
        <v>-9.9999999998772182E-3</v>
      </c>
      <c r="F56" s="42">
        <f t="shared" si="24"/>
        <v>-9.9999999999909051E-3</v>
      </c>
      <c r="G56" s="50">
        <f t="shared" ref="G56:I56" si="25">SUM(G50:G54)-G32</f>
        <v>-9.9999999998772182E-3</v>
      </c>
      <c r="H56" s="147">
        <f t="shared" si="25"/>
        <v>1.0000000000218279E-2</v>
      </c>
      <c r="I56" s="50">
        <f t="shared" si="25"/>
        <v>9.9999999997635314E-3</v>
      </c>
      <c r="J56" s="62">
        <f t="shared" si="24"/>
        <v>0</v>
      </c>
      <c r="K56" s="165">
        <f t="shared" ref="K56:M56" si="26">SUM(K50:K54)-K32</f>
        <v>-8.9999999999918145E-2</v>
      </c>
      <c r="L56" s="42">
        <f t="shared" si="26"/>
        <v>-0.25999999999999091</v>
      </c>
      <c r="M56" s="42">
        <f t="shared" si="26"/>
        <v>0</v>
      </c>
    </row>
    <row r="57" spans="1:13" ht="16.5" thickTop="1" thickBot="1" x14ac:dyDescent="0.3">
      <c r="C57" s="99"/>
      <c r="D57" s="99"/>
      <c r="E57" s="17"/>
      <c r="F57" s="17"/>
      <c r="G57" s="17"/>
      <c r="H57" s="10"/>
      <c r="I57" s="17"/>
      <c r="J57" s="11"/>
      <c r="K57" s="17"/>
      <c r="L57" s="17"/>
      <c r="M57" s="11"/>
    </row>
    <row r="58" spans="1:13" ht="15.75" thickBot="1" x14ac:dyDescent="0.3">
      <c r="A58" s="46" t="s">
        <v>36</v>
      </c>
      <c r="B58" s="119">
        <f>SUM(B42:B46)</f>
        <v>712981.69609999994</v>
      </c>
      <c r="C58" s="100">
        <f t="shared" ref="C58:M58" si="27">(C16-SUM(C19:C23))+SUM(C50:C54)+B58</f>
        <v>663465.85999999987</v>
      </c>
      <c r="D58" s="100"/>
      <c r="E58" s="41">
        <f>(E16-SUM(E19:E23))+SUM(D50:E54)+C58</f>
        <v>818383.09999999986</v>
      </c>
      <c r="F58" s="41">
        <f t="shared" si="27"/>
        <v>963425.2899999998</v>
      </c>
      <c r="G58" s="108">
        <f t="shared" si="27"/>
        <v>1087721.3099999998</v>
      </c>
      <c r="H58" s="40">
        <f t="shared" si="27"/>
        <v>1265026.3299999998</v>
      </c>
      <c r="I58" s="41">
        <f t="shared" si="27"/>
        <v>1154271.4799999997</v>
      </c>
      <c r="J58" s="61">
        <f t="shared" si="27"/>
        <v>1046421.6399999998</v>
      </c>
      <c r="K58" s="163">
        <f t="shared" si="27"/>
        <v>929225.27180999983</v>
      </c>
      <c r="L58" s="108">
        <f t="shared" si="27"/>
        <v>812840.38518999983</v>
      </c>
      <c r="M58" s="61">
        <f t="shared" si="27"/>
        <v>739532.04224999982</v>
      </c>
    </row>
    <row r="59" spans="1:13" x14ac:dyDescent="0.25">
      <c r="A59" s="46" t="s">
        <v>12</v>
      </c>
      <c r="C59" s="120"/>
      <c r="D59" s="17"/>
      <c r="E59" s="17"/>
      <c r="F59" s="17"/>
      <c r="G59" s="17"/>
      <c r="H59" s="10"/>
      <c r="I59" s="17"/>
      <c r="J59" s="11"/>
      <c r="K59" s="17"/>
      <c r="L59" s="17"/>
      <c r="M59" s="11"/>
    </row>
    <row r="60" spans="1:13" ht="15.75" thickBot="1" x14ac:dyDescent="0.3">
      <c r="A60" s="37"/>
      <c r="B60" s="37"/>
      <c r="C60" s="148"/>
      <c r="D60" s="277"/>
      <c r="E60" s="44"/>
      <c r="F60" s="44"/>
      <c r="G60" s="44"/>
      <c r="H60" s="43"/>
      <c r="I60" s="44"/>
      <c r="J60" s="45"/>
      <c r="K60" s="44"/>
      <c r="L60" s="44"/>
      <c r="M60" s="45"/>
    </row>
    <row r="62" spans="1:13" x14ac:dyDescent="0.25">
      <c r="A62" s="69" t="s">
        <v>11</v>
      </c>
      <c r="B62" s="69"/>
      <c r="C62" s="69"/>
      <c r="D62" s="69"/>
    </row>
    <row r="63" spans="1:13" ht="31.5" customHeight="1" x14ac:dyDescent="0.25">
      <c r="A63" s="307" t="s">
        <v>168</v>
      </c>
      <c r="B63" s="307"/>
      <c r="C63" s="307"/>
      <c r="D63" s="307"/>
      <c r="E63" s="307"/>
      <c r="F63" s="307"/>
      <c r="G63" s="307"/>
      <c r="H63" s="307"/>
      <c r="I63" s="307"/>
      <c r="J63" s="307"/>
      <c r="K63" s="238"/>
      <c r="L63" s="238"/>
      <c r="M63" s="238"/>
    </row>
    <row r="64" spans="1:13" ht="33.6" customHeight="1" x14ac:dyDescent="0.25">
      <c r="A64" s="307" t="s">
        <v>218</v>
      </c>
      <c r="B64" s="307"/>
      <c r="C64" s="307"/>
      <c r="D64" s="307"/>
      <c r="E64" s="307"/>
      <c r="F64" s="307"/>
      <c r="G64" s="307"/>
      <c r="H64" s="307"/>
      <c r="I64" s="307"/>
      <c r="J64" s="307"/>
      <c r="K64" s="238"/>
      <c r="L64" s="238"/>
    </row>
    <row r="65" spans="1:13" ht="18.75" customHeight="1" x14ac:dyDescent="0.25">
      <c r="A65" s="307" t="s">
        <v>169</v>
      </c>
      <c r="B65" s="307"/>
      <c r="C65" s="307"/>
      <c r="D65" s="307"/>
      <c r="E65" s="307"/>
      <c r="F65" s="307"/>
      <c r="G65" s="307"/>
      <c r="H65" s="307"/>
      <c r="I65" s="307"/>
      <c r="J65" s="307"/>
      <c r="K65" s="238"/>
      <c r="L65" s="238"/>
      <c r="M65" s="238"/>
    </row>
    <row r="66" spans="1:13" x14ac:dyDescent="0.25">
      <c r="A66" s="63" t="s">
        <v>31</v>
      </c>
      <c r="B66" s="63"/>
      <c r="C66" s="63"/>
      <c r="D66" s="63"/>
      <c r="E66" s="39"/>
      <c r="F66" s="39"/>
      <c r="G66" s="39"/>
      <c r="H66" s="39"/>
      <c r="I66" s="39"/>
      <c r="J66" s="39"/>
    </row>
    <row r="67" spans="1:13" x14ac:dyDescent="0.25">
      <c r="A67" s="63" t="s">
        <v>203</v>
      </c>
      <c r="B67" s="63"/>
      <c r="C67" s="63"/>
      <c r="D67" s="63"/>
      <c r="E67" s="39"/>
      <c r="F67" s="39"/>
      <c r="G67" s="39"/>
      <c r="H67" s="39"/>
      <c r="I67" s="39"/>
      <c r="J67" s="39"/>
    </row>
    <row r="68" spans="1:13" x14ac:dyDescent="0.25">
      <c r="A68" s="63" t="s">
        <v>95</v>
      </c>
      <c r="B68" s="63"/>
      <c r="C68" s="63"/>
      <c r="D68" s="63"/>
      <c r="E68" s="39"/>
      <c r="F68" s="39"/>
      <c r="G68" s="39"/>
      <c r="H68" s="39"/>
      <c r="I68" s="39"/>
      <c r="J68" s="39"/>
    </row>
    <row r="69" spans="1:13" x14ac:dyDescent="0.25">
      <c r="A69" s="3" t="s">
        <v>192</v>
      </c>
      <c r="B69" s="3"/>
      <c r="C69" s="3"/>
      <c r="D69" s="3"/>
    </row>
    <row r="71" spans="1:13" ht="36" customHeight="1" x14ac:dyDescent="0.25">
      <c r="A71" s="303"/>
      <c r="B71" s="303"/>
      <c r="C71" s="303"/>
      <c r="D71" s="303"/>
      <c r="E71" s="303"/>
      <c r="F71" s="303"/>
      <c r="G71" s="303"/>
    </row>
  </sheetData>
  <mergeCells count="7">
    <mergeCell ref="A71:G71"/>
    <mergeCell ref="A65:J65"/>
    <mergeCell ref="E14:G14"/>
    <mergeCell ref="H14:J14"/>
    <mergeCell ref="K14:M14"/>
    <mergeCell ref="A63:J63"/>
    <mergeCell ref="A64:J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pageSetUpPr fitToPage="1"/>
  </sheetPr>
  <dimension ref="A1:AI68"/>
  <sheetViews>
    <sheetView topLeftCell="O1" workbookViewId="0">
      <selection activeCell="P1" sqref="P1:P1048576"/>
    </sheetView>
  </sheetViews>
  <sheetFormatPr defaultColWidth="9.140625" defaultRowHeight="15" x14ac:dyDescent="0.25"/>
  <cols>
    <col min="1" max="1" width="37.7109375" style="46" customWidth="1"/>
    <col min="2" max="2" width="12.28515625" style="46" bestFit="1" customWidth="1"/>
    <col min="3" max="3" width="12.42578125" style="46" bestFit="1" customWidth="1"/>
    <col min="4" max="4" width="12.42578125" style="46" customWidth="1"/>
    <col min="5" max="5" width="15.42578125" style="46" customWidth="1"/>
    <col min="6" max="6" width="15.85546875" style="46" bestFit="1" customWidth="1"/>
    <col min="7" max="7" width="12.28515625" style="46" bestFit="1" customWidth="1"/>
    <col min="8" max="9" width="13.28515625" style="46" bestFit="1" customWidth="1"/>
    <col min="10" max="10" width="12.28515625" style="46" bestFit="1" customWidth="1"/>
    <col min="11" max="11" width="12.5703125" style="46" customWidth="1"/>
    <col min="12" max="12" width="12.85546875" style="46" customWidth="1"/>
    <col min="13" max="13" width="16" style="46" customWidth="1"/>
    <col min="14" max="14" width="15" style="46" bestFit="1" customWidth="1"/>
    <col min="15" max="15" width="16" style="46" bestFit="1"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06/01/2022</v>
      </c>
      <c r="B1" s="3"/>
      <c r="C1" s="3"/>
      <c r="D1" s="3"/>
    </row>
    <row r="2" spans="1:35" x14ac:dyDescent="0.25">
      <c r="E2" s="3" t="s">
        <v>196</v>
      </c>
    </row>
    <row r="3" spans="1:35" ht="30" x14ac:dyDescent="0.25">
      <c r="E3" s="48" t="s">
        <v>46</v>
      </c>
      <c r="F3" s="70" t="s">
        <v>58</v>
      </c>
      <c r="G3" s="48" t="s">
        <v>3</v>
      </c>
      <c r="H3" s="70" t="s">
        <v>55</v>
      </c>
      <c r="I3" s="48" t="s">
        <v>10</v>
      </c>
      <c r="J3" s="48" t="s">
        <v>59</v>
      </c>
      <c r="S3" s="48"/>
    </row>
    <row r="4" spans="1:35" x14ac:dyDescent="0.25">
      <c r="A4" s="20" t="s">
        <v>24</v>
      </c>
      <c r="B4" s="20"/>
      <c r="C4" s="20"/>
      <c r="D4" s="20"/>
      <c r="E4" s="22">
        <f>SUM(C16:M16)</f>
        <v>318686.00251999998</v>
      </c>
      <c r="F4" s="22">
        <f>SUM(C23:L23)</f>
        <v>329212.90000000002</v>
      </c>
      <c r="G4" s="22">
        <f>F4-E4</f>
        <v>10526.897480000043</v>
      </c>
      <c r="H4" s="22">
        <f>+B39</f>
        <v>0</v>
      </c>
      <c r="I4" s="22">
        <f>SUM(C47:L47)</f>
        <v>358.3</v>
      </c>
      <c r="J4" s="25">
        <f>SUM(G4:I4)</f>
        <v>10885.197480000043</v>
      </c>
      <c r="K4" s="47">
        <f>+J4-M39</f>
        <v>4.0017766878008842E-11</v>
      </c>
      <c r="N4" s="47"/>
    </row>
    <row r="5" spans="1:35" x14ac:dyDescent="0.25">
      <c r="A5" s="20" t="s">
        <v>107</v>
      </c>
      <c r="B5" s="20"/>
      <c r="C5" s="20"/>
      <c r="D5" s="20"/>
      <c r="E5" s="22">
        <f t="shared" ref="E5:E8" si="0">SUM(C17:M17)</f>
        <v>42288.726390000003</v>
      </c>
      <c r="F5" s="22">
        <f t="shared" ref="F5:F8" si="1">SUM(C24:L24)</f>
        <v>39806.400000000001</v>
      </c>
      <c r="G5" s="22">
        <f t="shared" ref="G5:G8" si="2">F5-E5</f>
        <v>-2482.326390000002</v>
      </c>
      <c r="H5" s="22">
        <f t="shared" ref="H5:H8" si="3">+B40</f>
        <v>0</v>
      </c>
      <c r="I5" s="22">
        <f t="shared" ref="I5:I8" si="4">SUM(C48:L48)</f>
        <v>29.380000000000003</v>
      </c>
      <c r="J5" s="25">
        <f t="shared" ref="J5:J8" si="5">SUM(G5:I5)</f>
        <v>-2452.9463900000019</v>
      </c>
      <c r="K5" s="47">
        <f>+J5-M40</f>
        <v>0</v>
      </c>
      <c r="N5" s="47"/>
    </row>
    <row r="6" spans="1:35" x14ac:dyDescent="0.25">
      <c r="A6" s="20" t="s">
        <v>108</v>
      </c>
      <c r="B6" s="20"/>
      <c r="C6" s="20"/>
      <c r="D6" s="20"/>
      <c r="E6" s="22">
        <f t="shared" si="0"/>
        <v>129509.24419</v>
      </c>
      <c r="F6" s="22">
        <f t="shared" si="1"/>
        <v>144545.65</v>
      </c>
      <c r="G6" s="22">
        <f t="shared" si="2"/>
        <v>15036.405809999997</v>
      </c>
      <c r="H6" s="22">
        <f t="shared" si="3"/>
        <v>0</v>
      </c>
      <c r="I6" s="22">
        <f t="shared" si="4"/>
        <v>174.29</v>
      </c>
      <c r="J6" s="25">
        <f t="shared" si="5"/>
        <v>15210.695809999997</v>
      </c>
      <c r="K6" s="47">
        <f>+J6-M41</f>
        <v>-1.6370904631912708E-11</v>
      </c>
      <c r="N6" s="47"/>
    </row>
    <row r="7" spans="1:35" x14ac:dyDescent="0.25">
      <c r="A7" s="20" t="s">
        <v>109</v>
      </c>
      <c r="B7" s="20"/>
      <c r="C7" s="20"/>
      <c r="D7" s="20"/>
      <c r="E7" s="22">
        <f t="shared" si="0"/>
        <v>180678.54560000001</v>
      </c>
      <c r="F7" s="22">
        <f t="shared" si="1"/>
        <v>193410.6</v>
      </c>
      <c r="G7" s="22">
        <f t="shared" si="2"/>
        <v>12732.054399999994</v>
      </c>
      <c r="H7" s="22">
        <f t="shared" si="3"/>
        <v>0</v>
      </c>
      <c r="I7" s="22">
        <f t="shared" si="4"/>
        <v>204.72000000000003</v>
      </c>
      <c r="J7" s="25">
        <f t="shared" si="5"/>
        <v>12936.774399999993</v>
      </c>
      <c r="K7" s="47">
        <f>+J7-M42</f>
        <v>0</v>
      </c>
      <c r="N7" s="47"/>
    </row>
    <row r="8" spans="1:35" ht="15.75" thickBot="1" x14ac:dyDescent="0.3">
      <c r="A8" s="20" t="s">
        <v>110</v>
      </c>
      <c r="B8" s="20"/>
      <c r="C8" s="20"/>
      <c r="D8" s="20"/>
      <c r="E8" s="22">
        <f t="shared" si="0"/>
        <v>24366.123640000002</v>
      </c>
      <c r="F8" s="22">
        <f t="shared" si="1"/>
        <v>28222.199999999997</v>
      </c>
      <c r="G8" s="22">
        <f t="shared" si="2"/>
        <v>3856.0763599999955</v>
      </c>
      <c r="H8" s="22">
        <f t="shared" si="3"/>
        <v>0</v>
      </c>
      <c r="I8" s="22">
        <f t="shared" si="4"/>
        <v>35.9</v>
      </c>
      <c r="J8" s="25">
        <f t="shared" si="5"/>
        <v>3891.9763599999956</v>
      </c>
      <c r="K8" s="47">
        <f>+J8-M43</f>
        <v>0</v>
      </c>
      <c r="N8" s="47"/>
    </row>
    <row r="9" spans="1:35" ht="16.5" thickTop="1" thickBot="1" x14ac:dyDescent="0.3">
      <c r="E9" s="27">
        <f t="shared" ref="E9:J9" si="6">SUM(E4:E8)</f>
        <v>695528.64234000002</v>
      </c>
      <c r="F9" s="27">
        <f t="shared" si="6"/>
        <v>735197.75</v>
      </c>
      <c r="G9" s="27">
        <f t="shared" si="6"/>
        <v>39669.107660000023</v>
      </c>
      <c r="H9" s="27">
        <f t="shared" si="6"/>
        <v>0</v>
      </c>
      <c r="I9" s="27">
        <f t="shared" si="6"/>
        <v>802.59</v>
      </c>
      <c r="J9" s="27">
        <f t="shared" si="6"/>
        <v>40471.697660000027</v>
      </c>
      <c r="T9" s="5"/>
    </row>
    <row r="10" spans="1:35" ht="16.5" thickTop="1" thickBot="1" x14ac:dyDescent="0.3">
      <c r="V10" s="4"/>
      <c r="W10" s="5"/>
    </row>
    <row r="11" spans="1:35" ht="120.75" thickBot="1" x14ac:dyDescent="0.3">
      <c r="B11" s="118" t="str">
        <f>+'PCR Cycle 2'!B14</f>
        <v>Cumulative Over/Under Carryover From 12/01/2021 Filing</v>
      </c>
      <c r="C11" s="278" t="str">
        <f>+'PCR Cycle 2'!C14</f>
        <v>Reverse November 2021 - April 2022 Forecast From 12/01/2021 Filing</v>
      </c>
      <c r="D11" s="278"/>
      <c r="E11" s="308" t="s">
        <v>33</v>
      </c>
      <c r="F11" s="308"/>
      <c r="G11" s="309"/>
      <c r="H11" s="314" t="s">
        <v>33</v>
      </c>
      <c r="I11" s="315"/>
      <c r="J11" s="316"/>
      <c r="K11" s="304" t="s">
        <v>8</v>
      </c>
      <c r="L11" s="305"/>
      <c r="M11" s="306"/>
    </row>
    <row r="12" spans="1:35" x14ac:dyDescent="0.25">
      <c r="A12" s="46" t="s">
        <v>86</v>
      </c>
      <c r="C12" s="105"/>
      <c r="D12" s="276"/>
      <c r="E12" s="19">
        <f>+'PCR Cycle 2'!E15</f>
        <v>44530</v>
      </c>
      <c r="F12" s="19">
        <f t="shared" ref="F12:M12" si="7">EOMONTH(E12,1)</f>
        <v>44561</v>
      </c>
      <c r="G12" s="19">
        <f t="shared" si="7"/>
        <v>44592</v>
      </c>
      <c r="H12" s="14">
        <f t="shared" si="7"/>
        <v>44620</v>
      </c>
      <c r="I12" s="19">
        <f t="shared" si="7"/>
        <v>44651</v>
      </c>
      <c r="J12" s="15">
        <f t="shared" si="7"/>
        <v>44681</v>
      </c>
      <c r="K12" s="19">
        <f t="shared" si="7"/>
        <v>44712</v>
      </c>
      <c r="L12" s="19">
        <f t="shared" si="7"/>
        <v>44742</v>
      </c>
      <c r="M12" s="15">
        <f t="shared" si="7"/>
        <v>44773</v>
      </c>
      <c r="Z12" s="1"/>
      <c r="AA12" s="1"/>
      <c r="AB12" s="1"/>
      <c r="AC12" s="1"/>
      <c r="AD12" s="1"/>
      <c r="AE12" s="1"/>
      <c r="AF12" s="1"/>
      <c r="AG12" s="1"/>
      <c r="AH12" s="1"/>
      <c r="AI12" s="1"/>
    </row>
    <row r="13" spans="1:35" x14ac:dyDescent="0.25">
      <c r="A13" s="46" t="s">
        <v>5</v>
      </c>
      <c r="C13" s="97">
        <v>0</v>
      </c>
      <c r="D13" s="97"/>
      <c r="E13" s="109">
        <f t="shared" ref="E13:L13" si="8">SUM(E23:E27)</f>
        <v>0</v>
      </c>
      <c r="F13" s="109">
        <f t="shared" si="8"/>
        <v>0</v>
      </c>
      <c r="G13" s="110">
        <f t="shared" si="8"/>
        <v>0</v>
      </c>
      <c r="H13" s="16">
        <f t="shared" si="8"/>
        <v>147039.55000000002</v>
      </c>
      <c r="I13" s="55">
        <f t="shared" si="8"/>
        <v>147039.55000000002</v>
      </c>
      <c r="J13" s="166">
        <f t="shared" si="8"/>
        <v>147039.55000000002</v>
      </c>
      <c r="K13" s="159">
        <f t="shared" si="8"/>
        <v>147039.55000000002</v>
      </c>
      <c r="L13" s="78">
        <f t="shared" si="8"/>
        <v>147039.55000000002</v>
      </c>
      <c r="M13" s="79"/>
    </row>
    <row r="14" spans="1:35" x14ac:dyDescent="0.25">
      <c r="C14" s="99"/>
      <c r="D14" s="99"/>
      <c r="E14" s="17"/>
      <c r="F14" s="17"/>
      <c r="G14" s="17"/>
      <c r="H14" s="10"/>
      <c r="I14" s="17"/>
      <c r="J14" s="11"/>
      <c r="K14" s="31"/>
      <c r="L14" s="31"/>
      <c r="M14" s="29"/>
    </row>
    <row r="15" spans="1:35" x14ac:dyDescent="0.25">
      <c r="A15" s="46" t="s">
        <v>87</v>
      </c>
      <c r="C15" s="99"/>
      <c r="D15" s="99"/>
      <c r="E15" s="18"/>
      <c r="F15" s="18"/>
      <c r="G15" s="18"/>
      <c r="H15" s="91"/>
      <c r="I15" s="18"/>
      <c r="J15" s="167"/>
      <c r="K15" s="31"/>
      <c r="L15" s="31"/>
      <c r="M15" s="29"/>
      <c r="N15" s="3" t="s">
        <v>50</v>
      </c>
      <c r="O15" s="39"/>
    </row>
    <row r="16" spans="1:35" x14ac:dyDescent="0.25">
      <c r="A16" s="46" t="s">
        <v>24</v>
      </c>
      <c r="C16" s="97">
        <v>0</v>
      </c>
      <c r="D16" s="97"/>
      <c r="E16" s="136">
        <f>ROUND('[6]Nov 2021'!$F103,2)</f>
        <v>0</v>
      </c>
      <c r="F16" s="136">
        <f>ROUND('[6]Dec 2021'!$F103,2)</f>
        <v>0</v>
      </c>
      <c r="G16" s="136">
        <f>ROUND('[6]Jan 2022'!$F103,2)</f>
        <v>2.39</v>
      </c>
      <c r="H16" s="187">
        <f>ROUND('[6]Feb 2022'!$F103,2)</f>
        <v>23864.6</v>
      </c>
      <c r="I16" s="121">
        <f>ROUND('[6]Mar 2022'!$F103,2)</f>
        <v>61292.81</v>
      </c>
      <c r="J16" s="168">
        <f>ROUND('[6]Apr 2022'!$F103,2)</f>
        <v>48554.49</v>
      </c>
      <c r="K16" s="123">
        <f>'PCR Cycle 2'!K27*$N16</f>
        <v>44934.925279999996</v>
      </c>
      <c r="L16" s="41">
        <f>'PCR Cycle 2'!L27*$N16</f>
        <v>64660.646119999998</v>
      </c>
      <c r="M16" s="61">
        <f>'PCR Cycle 2'!M27*$N16</f>
        <v>75376.14112</v>
      </c>
      <c r="N16" s="72">
        <v>2.7999999999999998E-4</v>
      </c>
      <c r="O16" s="4"/>
    </row>
    <row r="17" spans="1:15" x14ac:dyDescent="0.25">
      <c r="A17" s="46" t="s">
        <v>135</v>
      </c>
      <c r="C17" s="97">
        <v>0</v>
      </c>
      <c r="D17" s="97"/>
      <c r="E17" s="136">
        <f>ROUND('[6]Nov 2021'!$F104,2)</f>
        <v>0</v>
      </c>
      <c r="F17" s="136">
        <f>ROUND('[6]Dec 2021'!$F104,2)</f>
        <v>0</v>
      </c>
      <c r="G17" s="136">
        <f>ROUND('[6]Jan 2022'!$F104,2)</f>
        <v>0.14000000000000001</v>
      </c>
      <c r="H17" s="187">
        <f>ROUND('[6]Feb 2022'!$F104,2)</f>
        <v>2958.99</v>
      </c>
      <c r="I17" s="121">
        <f>ROUND('[6]Mar 2022'!$F104,2)</f>
        <v>8438.1</v>
      </c>
      <c r="J17" s="168">
        <f>ROUND('[6]Apr 2022'!$F104,2)</f>
        <v>7253.92</v>
      </c>
      <c r="K17" s="123">
        <f>'PCR Cycle 2'!K28*$N17</f>
        <v>7462.7749200000007</v>
      </c>
      <c r="L17" s="41">
        <f>'PCR Cycle 2'!L28*$N17</f>
        <v>8075.3692400000009</v>
      </c>
      <c r="M17" s="61">
        <f>'PCR Cycle 2'!M28*$N17</f>
        <v>8099.4322300000003</v>
      </c>
      <c r="N17" s="72">
        <v>1.7000000000000001E-4</v>
      </c>
      <c r="O17" s="4"/>
    </row>
    <row r="18" spans="1:15" x14ac:dyDescent="0.25">
      <c r="A18" s="46" t="s">
        <v>136</v>
      </c>
      <c r="C18" s="97">
        <v>0</v>
      </c>
      <c r="D18" s="97"/>
      <c r="E18" s="136">
        <f>ROUND('[6]Nov 2021'!$F105,2)</f>
        <v>0</v>
      </c>
      <c r="F18" s="136">
        <f>ROUND('[6]Dec 2021'!$F105,2)</f>
        <v>0</v>
      </c>
      <c r="G18" s="136">
        <f>ROUND('[6]Jan 2022'!$F105,2)</f>
        <v>0</v>
      </c>
      <c r="H18" s="187">
        <f>ROUND('[6]Feb 2022'!$F105,2)</f>
        <v>8327.06</v>
      </c>
      <c r="I18" s="121">
        <f>ROUND('[6]Mar 2022'!$F105,2)</f>
        <v>24323.53</v>
      </c>
      <c r="J18" s="168">
        <f>ROUND('[6]Apr 2022'!$F105,2)</f>
        <v>21539.05</v>
      </c>
      <c r="K18" s="123">
        <f>'PCR Cycle 2'!K29*$N18</f>
        <v>23779.648439999997</v>
      </c>
      <c r="L18" s="41">
        <f>'PCR Cycle 2'!L29*$N18</f>
        <v>25731.640169999995</v>
      </c>
      <c r="M18" s="61">
        <f>'PCR Cycle 2'!M29*$N18</f>
        <v>25808.315579999995</v>
      </c>
      <c r="N18" s="72">
        <v>2.6999999999999995E-4</v>
      </c>
      <c r="O18" s="4"/>
    </row>
    <row r="19" spans="1:15" x14ac:dyDescent="0.25">
      <c r="A19" s="46" t="s">
        <v>137</v>
      </c>
      <c r="C19" s="97">
        <v>0</v>
      </c>
      <c r="D19" s="97"/>
      <c r="E19" s="136">
        <f>ROUND('[6]Nov 2021'!$F106,2)</f>
        <v>0</v>
      </c>
      <c r="F19" s="136">
        <f>ROUND('[6]Dec 2021'!$F106,2)</f>
        <v>0</v>
      </c>
      <c r="G19" s="136">
        <f>ROUND('[6]Jan 2022'!$F106,2)</f>
        <v>0</v>
      </c>
      <c r="H19" s="187">
        <f>ROUND('[6]Feb 2022'!$F106,2)</f>
        <v>13134.95</v>
      </c>
      <c r="I19" s="121">
        <f>ROUND('[6]Mar 2022'!$F106,2)</f>
        <v>34514.54</v>
      </c>
      <c r="J19" s="168">
        <f>ROUND('[6]Apr 2022'!$F106,2)</f>
        <v>30947.99</v>
      </c>
      <c r="K19" s="123">
        <f>'PCR Cycle 2'!K30*$N19</f>
        <v>32228.685830000002</v>
      </c>
      <c r="L19" s="41">
        <f>'PCR Cycle 2'!L30*$N19</f>
        <v>34874.2307</v>
      </c>
      <c r="M19" s="61">
        <f>'PCR Cycle 2'!M30*$N19</f>
        <v>34978.149069999999</v>
      </c>
      <c r="N19" s="72">
        <v>2.3000000000000001E-4</v>
      </c>
      <c r="O19" s="4"/>
    </row>
    <row r="20" spans="1:15" x14ac:dyDescent="0.25">
      <c r="A20" s="46" t="s">
        <v>138</v>
      </c>
      <c r="C20" s="97">
        <v>0</v>
      </c>
      <c r="D20" s="97"/>
      <c r="E20" s="136">
        <f>ROUND('[6]Nov 2021'!$F107,2)</f>
        <v>0</v>
      </c>
      <c r="F20" s="136">
        <f>ROUND('[6]Dec 2021'!$F107,2)</f>
        <v>0</v>
      </c>
      <c r="G20" s="136">
        <f>ROUND('[6]Jan 2022'!$F107,2)</f>
        <v>0</v>
      </c>
      <c r="H20" s="187">
        <f>ROUND('[6]Feb 2022'!$F107,2)</f>
        <v>1975.56</v>
      </c>
      <c r="I20" s="121">
        <f>ROUND('[6]Mar 2022'!$F107,2)</f>
        <v>4121.24</v>
      </c>
      <c r="J20" s="168">
        <f>ROUND('[6]Apr 2022'!$F107,2)</f>
        <v>4035.77</v>
      </c>
      <c r="K20" s="123">
        <f>'PCR Cycle 2'!K31*$N20</f>
        <v>4493.7690000000002</v>
      </c>
      <c r="L20" s="41">
        <f>'PCR Cycle 2'!L31*$N20</f>
        <v>4862.6474399999997</v>
      </c>
      <c r="M20" s="61">
        <f>'PCR Cycle 2'!M31*$N20</f>
        <v>4877.1372000000001</v>
      </c>
      <c r="N20" s="72">
        <v>1.2E-4</v>
      </c>
      <c r="O20" s="4"/>
    </row>
    <row r="21" spans="1:15" x14ac:dyDescent="0.25">
      <c r="C21" s="67"/>
      <c r="D21" s="67"/>
      <c r="E21" s="68"/>
      <c r="F21" s="68"/>
      <c r="G21" s="68"/>
      <c r="H21" s="67"/>
      <c r="I21" s="68"/>
      <c r="J21" s="169"/>
      <c r="K21" s="56"/>
      <c r="L21" s="56"/>
      <c r="M21" s="13"/>
      <c r="O21" s="4"/>
    </row>
    <row r="22" spans="1:15" x14ac:dyDescent="0.25">
      <c r="A22" s="46" t="s">
        <v>89</v>
      </c>
      <c r="C22" s="36"/>
      <c r="D22" s="36"/>
      <c r="E22" s="37"/>
      <c r="F22" s="37"/>
      <c r="G22" s="37"/>
      <c r="H22" s="36"/>
      <c r="I22" s="37"/>
      <c r="J22" s="172"/>
      <c r="K22" s="52"/>
      <c r="L22" s="52"/>
      <c r="M22" s="38"/>
    </row>
    <row r="23" spans="1:15" x14ac:dyDescent="0.25">
      <c r="A23" s="46" t="s">
        <v>24</v>
      </c>
      <c r="C23" s="97">
        <v>0</v>
      </c>
      <c r="D23" s="97"/>
      <c r="E23" s="109"/>
      <c r="F23" s="109"/>
      <c r="G23" s="110"/>
      <c r="H23" s="16">
        <f>ROUND('EO Cycle 3'!$F19/12,2)</f>
        <v>65842.58</v>
      </c>
      <c r="I23" s="55">
        <f>ROUND('EO Cycle 3'!$F19/12,2)</f>
        <v>65842.58</v>
      </c>
      <c r="J23" s="166">
        <f>ROUND('EO Cycle 3'!$F19/12,2)</f>
        <v>65842.58</v>
      </c>
      <c r="K23" s="161">
        <f>ROUND('EO Cycle 3'!$F19/12,2)</f>
        <v>65842.58</v>
      </c>
      <c r="L23" s="143">
        <f>ROUND('EO Cycle 3'!$F19/12,2)</f>
        <v>65842.58</v>
      </c>
      <c r="M23" s="79"/>
    </row>
    <row r="24" spans="1:15" x14ac:dyDescent="0.25">
      <c r="A24" s="46" t="s">
        <v>135</v>
      </c>
      <c r="C24" s="97">
        <v>0</v>
      </c>
      <c r="D24" s="97"/>
      <c r="E24" s="109"/>
      <c r="F24" s="109"/>
      <c r="G24" s="110"/>
      <c r="H24" s="16">
        <f>ROUND('EO Cycle 3'!$F23/12,2)</f>
        <v>7961.28</v>
      </c>
      <c r="I24" s="55">
        <f>ROUND('EO Cycle 3'!$F23/12,2)</f>
        <v>7961.28</v>
      </c>
      <c r="J24" s="166">
        <f>ROUND('EO Cycle 3'!$F23/12,2)</f>
        <v>7961.28</v>
      </c>
      <c r="K24" s="161">
        <f>ROUND('EO Cycle 3'!$F23/12,2)</f>
        <v>7961.28</v>
      </c>
      <c r="L24" s="143">
        <f>ROUND('EO Cycle 3'!$F23/12,2)</f>
        <v>7961.28</v>
      </c>
      <c r="M24" s="79"/>
    </row>
    <row r="25" spans="1:15" x14ac:dyDescent="0.25">
      <c r="A25" s="46" t="s">
        <v>136</v>
      </c>
      <c r="C25" s="97">
        <v>0</v>
      </c>
      <c r="D25" s="97"/>
      <c r="E25" s="109"/>
      <c r="F25" s="109"/>
      <c r="G25" s="110"/>
      <c r="H25" s="16">
        <f>ROUND('EO Cycle 3'!$F24/12,2)</f>
        <v>28909.13</v>
      </c>
      <c r="I25" s="55">
        <f>ROUND('EO Cycle 3'!$F24/12,2)</f>
        <v>28909.13</v>
      </c>
      <c r="J25" s="166">
        <f>ROUND('EO Cycle 3'!$F24/12,2)</f>
        <v>28909.13</v>
      </c>
      <c r="K25" s="161">
        <f>ROUND('EO Cycle 3'!$F24/12,2)</f>
        <v>28909.13</v>
      </c>
      <c r="L25" s="143">
        <f>ROUND('EO Cycle 3'!$F24/12,2)</f>
        <v>28909.13</v>
      </c>
      <c r="M25" s="79"/>
    </row>
    <row r="26" spans="1:15" x14ac:dyDescent="0.25">
      <c r="A26" s="46" t="s">
        <v>137</v>
      </c>
      <c r="C26" s="97">
        <v>0</v>
      </c>
      <c r="D26" s="97"/>
      <c r="E26" s="109"/>
      <c r="F26" s="109"/>
      <c r="G26" s="110"/>
      <c r="H26" s="16">
        <f>ROUND('EO Cycle 3'!$F25/12,2)</f>
        <v>38682.120000000003</v>
      </c>
      <c r="I26" s="55">
        <f>ROUND('EO Cycle 3'!$F25/12,2)</f>
        <v>38682.120000000003</v>
      </c>
      <c r="J26" s="166">
        <f>ROUND('EO Cycle 3'!$F25/12,2)</f>
        <v>38682.120000000003</v>
      </c>
      <c r="K26" s="161">
        <f>ROUND('EO Cycle 3'!$F25/12,2)</f>
        <v>38682.120000000003</v>
      </c>
      <c r="L26" s="143">
        <f>ROUND('EO Cycle 3'!$F25/12,2)</f>
        <v>38682.120000000003</v>
      </c>
      <c r="M26" s="79"/>
    </row>
    <row r="27" spans="1:15" x14ac:dyDescent="0.25">
      <c r="A27" s="46" t="s">
        <v>138</v>
      </c>
      <c r="C27" s="97">
        <v>0</v>
      </c>
      <c r="D27" s="97"/>
      <c r="E27" s="109"/>
      <c r="F27" s="109"/>
      <c r="G27" s="110"/>
      <c r="H27" s="16">
        <f>ROUND('EO Cycle 3'!$F26/12,2)</f>
        <v>5644.44</v>
      </c>
      <c r="I27" s="55">
        <f>ROUND('EO Cycle 3'!$F26/12,2)</f>
        <v>5644.44</v>
      </c>
      <c r="J27" s="166">
        <f>ROUND('EO Cycle 3'!$F26/12,2)</f>
        <v>5644.44</v>
      </c>
      <c r="K27" s="161">
        <f>ROUND('EO Cycle 3'!$F26/12,2)</f>
        <v>5644.44</v>
      </c>
      <c r="L27" s="143">
        <f>ROUND('EO Cycle 3'!$F26/12,2)</f>
        <v>5644.44</v>
      </c>
      <c r="M27" s="79"/>
      <c r="O27" s="47"/>
    </row>
    <row r="28" spans="1:15" x14ac:dyDescent="0.25">
      <c r="C28" s="99"/>
      <c r="D28" s="99"/>
      <c r="E28" s="18"/>
      <c r="F28" s="18"/>
      <c r="G28" s="18"/>
      <c r="H28" s="91"/>
      <c r="I28" s="18"/>
      <c r="J28" s="167"/>
      <c r="K28" s="56"/>
      <c r="L28" s="56"/>
      <c r="M28" s="13"/>
    </row>
    <row r="29" spans="1:15" ht="15.75" thickBot="1" x14ac:dyDescent="0.3">
      <c r="A29" s="3" t="s">
        <v>14</v>
      </c>
      <c r="B29" s="3"/>
      <c r="C29" s="103">
        <v>0</v>
      </c>
      <c r="D29" s="103"/>
      <c r="E29" s="136"/>
      <c r="F29" s="136"/>
      <c r="G29" s="137"/>
      <c r="H29" s="26">
        <v>46.74</v>
      </c>
      <c r="I29" s="122">
        <v>121.07</v>
      </c>
      <c r="J29" s="173">
        <v>171.26000000000002</v>
      </c>
      <c r="K29" s="162">
        <v>217.34</v>
      </c>
      <c r="L29" s="145">
        <v>246.33</v>
      </c>
      <c r="M29" s="82"/>
    </row>
    <row r="30" spans="1:15" x14ac:dyDescent="0.25">
      <c r="C30" s="64"/>
      <c r="D30" s="64"/>
      <c r="E30" s="149"/>
      <c r="F30" s="149"/>
      <c r="G30" s="150"/>
      <c r="H30" s="64"/>
      <c r="I30" s="33"/>
      <c r="J30" s="174"/>
      <c r="K30" s="34"/>
      <c r="L30" s="34"/>
      <c r="M30" s="60"/>
    </row>
    <row r="31" spans="1:15" x14ac:dyDescent="0.25">
      <c r="A31" s="46" t="s">
        <v>52</v>
      </c>
      <c r="C31" s="65"/>
      <c r="D31" s="65"/>
      <c r="E31" s="150"/>
      <c r="F31" s="150"/>
      <c r="G31" s="150"/>
      <c r="H31" s="65"/>
      <c r="I31" s="35"/>
      <c r="J31" s="175"/>
      <c r="K31" s="34"/>
      <c r="L31" s="34"/>
      <c r="M31" s="60"/>
    </row>
    <row r="32" spans="1:15" x14ac:dyDescent="0.25">
      <c r="A32" s="46" t="s">
        <v>24</v>
      </c>
      <c r="C32" s="100">
        <f t="shared" ref="C32:M36" si="9">C23-C16</f>
        <v>0</v>
      </c>
      <c r="D32" s="100"/>
      <c r="E32" s="41">
        <f t="shared" si="9"/>
        <v>0</v>
      </c>
      <c r="F32" s="41">
        <f t="shared" si="9"/>
        <v>0</v>
      </c>
      <c r="G32" s="108">
        <f t="shared" si="9"/>
        <v>-2.39</v>
      </c>
      <c r="H32" s="40">
        <f t="shared" si="9"/>
        <v>41977.98</v>
      </c>
      <c r="I32" s="41">
        <f t="shared" si="9"/>
        <v>4549.7700000000041</v>
      </c>
      <c r="J32" s="61">
        <f t="shared" si="9"/>
        <v>17288.090000000004</v>
      </c>
      <c r="K32" s="123">
        <f t="shared" si="9"/>
        <v>20907.654720000006</v>
      </c>
      <c r="L32" s="41">
        <f t="shared" si="9"/>
        <v>1181.9338800000041</v>
      </c>
      <c r="M32" s="61">
        <f t="shared" si="9"/>
        <v>-75376.14112</v>
      </c>
    </row>
    <row r="33" spans="1:13" x14ac:dyDescent="0.25">
      <c r="A33" s="46" t="s">
        <v>135</v>
      </c>
      <c r="C33" s="100">
        <f t="shared" si="9"/>
        <v>0</v>
      </c>
      <c r="D33" s="100"/>
      <c r="E33" s="41">
        <f t="shared" si="9"/>
        <v>0</v>
      </c>
      <c r="F33" s="41">
        <f t="shared" si="9"/>
        <v>0</v>
      </c>
      <c r="G33" s="108">
        <f t="shared" si="9"/>
        <v>-0.14000000000000001</v>
      </c>
      <c r="H33" s="40">
        <f t="shared" si="9"/>
        <v>5002.29</v>
      </c>
      <c r="I33" s="41">
        <f t="shared" si="9"/>
        <v>-476.82000000000062</v>
      </c>
      <c r="J33" s="61">
        <f t="shared" si="9"/>
        <v>707.35999999999967</v>
      </c>
      <c r="K33" s="123">
        <f t="shared" si="9"/>
        <v>498.505079999999</v>
      </c>
      <c r="L33" s="41">
        <f t="shared" si="9"/>
        <v>-114.08924000000115</v>
      </c>
      <c r="M33" s="61">
        <f t="shared" si="9"/>
        <v>-8099.4322300000003</v>
      </c>
    </row>
    <row r="34" spans="1:13" x14ac:dyDescent="0.25">
      <c r="A34" s="46" t="s">
        <v>136</v>
      </c>
      <c r="C34" s="100">
        <f t="shared" si="9"/>
        <v>0</v>
      </c>
      <c r="D34" s="100"/>
      <c r="E34" s="41">
        <f t="shared" si="9"/>
        <v>0</v>
      </c>
      <c r="F34" s="41">
        <f t="shared" si="9"/>
        <v>0</v>
      </c>
      <c r="G34" s="108">
        <f t="shared" si="9"/>
        <v>0</v>
      </c>
      <c r="H34" s="40">
        <f t="shared" si="9"/>
        <v>20582.07</v>
      </c>
      <c r="I34" s="41">
        <f t="shared" si="9"/>
        <v>4585.6000000000022</v>
      </c>
      <c r="J34" s="61">
        <f t="shared" si="9"/>
        <v>7370.0800000000017</v>
      </c>
      <c r="K34" s="123">
        <f t="shared" si="9"/>
        <v>5129.4815600000038</v>
      </c>
      <c r="L34" s="41">
        <f t="shared" si="9"/>
        <v>3177.4898300000059</v>
      </c>
      <c r="M34" s="61">
        <f t="shared" si="9"/>
        <v>-25808.315579999995</v>
      </c>
    </row>
    <row r="35" spans="1:13" x14ac:dyDescent="0.25">
      <c r="A35" s="46" t="s">
        <v>137</v>
      </c>
      <c r="C35" s="100">
        <f t="shared" si="9"/>
        <v>0</v>
      </c>
      <c r="D35" s="100"/>
      <c r="E35" s="41">
        <f t="shared" si="9"/>
        <v>0</v>
      </c>
      <c r="F35" s="41">
        <f t="shared" si="9"/>
        <v>0</v>
      </c>
      <c r="G35" s="108">
        <f t="shared" si="9"/>
        <v>0</v>
      </c>
      <c r="H35" s="40">
        <f t="shared" si="9"/>
        <v>25547.170000000002</v>
      </c>
      <c r="I35" s="41">
        <f t="shared" si="9"/>
        <v>4167.5800000000017</v>
      </c>
      <c r="J35" s="61">
        <f t="shared" si="9"/>
        <v>7734.130000000001</v>
      </c>
      <c r="K35" s="123">
        <f t="shared" si="9"/>
        <v>6453.4341700000004</v>
      </c>
      <c r="L35" s="41">
        <f t="shared" si="9"/>
        <v>3807.8893000000025</v>
      </c>
      <c r="M35" s="61">
        <f t="shared" si="9"/>
        <v>-34978.149069999999</v>
      </c>
    </row>
    <row r="36" spans="1:13" x14ac:dyDescent="0.25">
      <c r="A36" s="46" t="s">
        <v>138</v>
      </c>
      <c r="C36" s="100">
        <f t="shared" si="9"/>
        <v>0</v>
      </c>
      <c r="D36" s="100"/>
      <c r="E36" s="41">
        <f t="shared" si="9"/>
        <v>0</v>
      </c>
      <c r="F36" s="41">
        <f t="shared" si="9"/>
        <v>0</v>
      </c>
      <c r="G36" s="108">
        <f t="shared" si="9"/>
        <v>0</v>
      </c>
      <c r="H36" s="40">
        <f t="shared" si="9"/>
        <v>3668.8799999999997</v>
      </c>
      <c r="I36" s="41">
        <f t="shared" si="9"/>
        <v>1523.1999999999998</v>
      </c>
      <c r="J36" s="61">
        <f t="shared" si="9"/>
        <v>1608.6699999999996</v>
      </c>
      <c r="K36" s="123">
        <f t="shared" si="9"/>
        <v>1150.6709999999994</v>
      </c>
      <c r="L36" s="41">
        <f t="shared" si="9"/>
        <v>781.79255999999987</v>
      </c>
      <c r="M36" s="61">
        <f t="shared" si="9"/>
        <v>-4877.1372000000001</v>
      </c>
    </row>
    <row r="37" spans="1:13" x14ac:dyDescent="0.25">
      <c r="C37" s="99"/>
      <c r="D37" s="99"/>
      <c r="E37" s="17"/>
      <c r="F37" s="17"/>
      <c r="G37" s="17"/>
      <c r="H37" s="10"/>
      <c r="I37" s="17"/>
      <c r="J37" s="11"/>
      <c r="K37" s="17"/>
      <c r="L37" s="17"/>
      <c r="M37" s="11"/>
    </row>
    <row r="38" spans="1:13" x14ac:dyDescent="0.25">
      <c r="A38" s="46" t="s">
        <v>53</v>
      </c>
      <c r="C38" s="99"/>
      <c r="D38" s="99"/>
      <c r="E38" s="17"/>
      <c r="F38" s="17"/>
      <c r="G38" s="17"/>
      <c r="H38" s="10"/>
      <c r="I38" s="17"/>
      <c r="J38" s="11"/>
      <c r="K38" s="17"/>
      <c r="L38" s="17"/>
      <c r="M38" s="11"/>
    </row>
    <row r="39" spans="1:13" x14ac:dyDescent="0.25">
      <c r="A39" s="46" t="s">
        <v>24</v>
      </c>
      <c r="B39" s="61">
        <v>0</v>
      </c>
      <c r="C39" s="100">
        <f t="shared" ref="C39:M43" si="10">B39+C32+B47</f>
        <v>0</v>
      </c>
      <c r="D39" s="100"/>
      <c r="E39" s="41">
        <f>C39+E32+C47+D47</f>
        <v>0</v>
      </c>
      <c r="F39" s="41">
        <f t="shared" si="10"/>
        <v>0</v>
      </c>
      <c r="G39" s="108">
        <f t="shared" si="10"/>
        <v>-2.39</v>
      </c>
      <c r="H39" s="40">
        <f t="shared" si="10"/>
        <v>41975.590000000004</v>
      </c>
      <c r="I39" s="41">
        <f t="shared" si="10"/>
        <v>46545.630000000005</v>
      </c>
      <c r="J39" s="61">
        <f t="shared" si="10"/>
        <v>63885.260000000009</v>
      </c>
      <c r="K39" s="123">
        <f t="shared" si="10"/>
        <v>84866.454720000009</v>
      </c>
      <c r="L39" s="41">
        <f t="shared" si="10"/>
        <v>86147.448600000003</v>
      </c>
      <c r="M39" s="61">
        <f t="shared" si="10"/>
        <v>10885.197480000003</v>
      </c>
    </row>
    <row r="40" spans="1:13" x14ac:dyDescent="0.25">
      <c r="A40" s="46" t="s">
        <v>135</v>
      </c>
      <c r="B40" s="61">
        <v>0</v>
      </c>
      <c r="C40" s="100">
        <f t="shared" si="10"/>
        <v>0</v>
      </c>
      <c r="D40" s="100"/>
      <c r="E40" s="41">
        <f t="shared" ref="E40:E43" si="11">C40+E33+C48+D48</f>
        <v>0</v>
      </c>
      <c r="F40" s="41">
        <f t="shared" si="10"/>
        <v>0</v>
      </c>
      <c r="G40" s="108">
        <f t="shared" si="10"/>
        <v>-0.14000000000000001</v>
      </c>
      <c r="H40" s="40">
        <f t="shared" si="10"/>
        <v>5002.1499999999996</v>
      </c>
      <c r="I40" s="41">
        <f t="shared" si="10"/>
        <v>4527.7499999999991</v>
      </c>
      <c r="J40" s="61">
        <f t="shared" si="10"/>
        <v>5240.6599999999989</v>
      </c>
      <c r="K40" s="123">
        <f t="shared" si="10"/>
        <v>5745.6750799999982</v>
      </c>
      <c r="L40" s="41">
        <f t="shared" si="10"/>
        <v>5638.9058399999967</v>
      </c>
      <c r="M40" s="61">
        <f t="shared" si="10"/>
        <v>-2452.9463900000037</v>
      </c>
    </row>
    <row r="41" spans="1:13" x14ac:dyDescent="0.25">
      <c r="A41" s="46" t="s">
        <v>136</v>
      </c>
      <c r="B41" s="61">
        <v>0</v>
      </c>
      <c r="C41" s="100">
        <f t="shared" si="10"/>
        <v>0</v>
      </c>
      <c r="D41" s="100"/>
      <c r="E41" s="41">
        <f t="shared" si="11"/>
        <v>0</v>
      </c>
      <c r="F41" s="41">
        <f t="shared" si="10"/>
        <v>0</v>
      </c>
      <c r="G41" s="108">
        <f t="shared" si="10"/>
        <v>0</v>
      </c>
      <c r="H41" s="40">
        <f t="shared" si="10"/>
        <v>20582.07</v>
      </c>
      <c r="I41" s="41">
        <f t="shared" si="10"/>
        <v>25177.61</v>
      </c>
      <c r="J41" s="61">
        <f t="shared" si="10"/>
        <v>32574.33</v>
      </c>
      <c r="K41" s="123">
        <f t="shared" si="10"/>
        <v>37742.271560000001</v>
      </c>
      <c r="L41" s="41">
        <f t="shared" si="10"/>
        <v>40966.591390000009</v>
      </c>
      <c r="M41" s="61">
        <f t="shared" si="10"/>
        <v>15210.695810000014</v>
      </c>
    </row>
    <row r="42" spans="1:13" x14ac:dyDescent="0.25">
      <c r="A42" s="46" t="s">
        <v>137</v>
      </c>
      <c r="B42" s="61">
        <v>0</v>
      </c>
      <c r="C42" s="100">
        <f t="shared" si="10"/>
        <v>0</v>
      </c>
      <c r="D42" s="100"/>
      <c r="E42" s="41">
        <f t="shared" si="11"/>
        <v>0</v>
      </c>
      <c r="F42" s="41">
        <f t="shared" si="10"/>
        <v>0</v>
      </c>
      <c r="G42" s="108">
        <f t="shared" si="10"/>
        <v>0</v>
      </c>
      <c r="H42" s="40">
        <f t="shared" si="10"/>
        <v>25547.170000000002</v>
      </c>
      <c r="I42" s="41">
        <f t="shared" si="10"/>
        <v>29727.090000000004</v>
      </c>
      <c r="J42" s="61">
        <f t="shared" si="10"/>
        <v>37493.4</v>
      </c>
      <c r="K42" s="123">
        <f t="shared" si="10"/>
        <v>43991.594170000004</v>
      </c>
      <c r="L42" s="41">
        <f t="shared" si="10"/>
        <v>47853.753470000003</v>
      </c>
      <c r="M42" s="61">
        <f t="shared" si="10"/>
        <v>12936.774400000004</v>
      </c>
    </row>
    <row r="43" spans="1:13" x14ac:dyDescent="0.25">
      <c r="A43" s="46" t="s">
        <v>138</v>
      </c>
      <c r="B43" s="61">
        <v>0</v>
      </c>
      <c r="C43" s="100">
        <f>B43+C36+B51</f>
        <v>0</v>
      </c>
      <c r="D43" s="100"/>
      <c r="E43" s="41">
        <f t="shared" si="11"/>
        <v>0</v>
      </c>
      <c r="F43" s="41">
        <f t="shared" si="10"/>
        <v>0</v>
      </c>
      <c r="G43" s="108">
        <f t="shared" si="10"/>
        <v>0</v>
      </c>
      <c r="H43" s="40">
        <f t="shared" si="10"/>
        <v>3668.8799999999997</v>
      </c>
      <c r="I43" s="41">
        <f t="shared" si="10"/>
        <v>5193.8500000000004</v>
      </c>
      <c r="J43" s="61">
        <f t="shared" si="10"/>
        <v>6807.68</v>
      </c>
      <c r="K43" s="123">
        <f t="shared" si="10"/>
        <v>7966.3409999999994</v>
      </c>
      <c r="L43" s="41">
        <f t="shared" si="10"/>
        <v>8757.9735599999985</v>
      </c>
      <c r="M43" s="61">
        <f t="shared" si="10"/>
        <v>3891.9763599999983</v>
      </c>
    </row>
    <row r="44" spans="1:13" x14ac:dyDescent="0.25">
      <c r="C44" s="99"/>
      <c r="D44" s="99"/>
      <c r="E44" s="17"/>
      <c r="F44" s="17"/>
      <c r="G44" s="17"/>
      <c r="H44" s="10"/>
      <c r="I44" s="17"/>
      <c r="J44" s="11"/>
      <c r="K44" s="17"/>
      <c r="L44" s="17"/>
      <c r="M44" s="11"/>
    </row>
    <row r="45" spans="1:13" x14ac:dyDescent="0.25">
      <c r="A45" s="39" t="s">
        <v>88</v>
      </c>
      <c r="B45" s="39"/>
      <c r="C45" s="104"/>
      <c r="D45" s="104"/>
      <c r="E45" s="83">
        <f>+'PCR Cycle 2'!E50</f>
        <v>9.0841999999999995E-4</v>
      </c>
      <c r="F45" s="83">
        <f>+'PCR Cycle 2'!F50</f>
        <v>9.1985999999999999E-4</v>
      </c>
      <c r="G45" s="83">
        <f>+'PCR Cycle 2'!G50</f>
        <v>9.2144000000000004E-4</v>
      </c>
      <c r="H45" s="84">
        <f>+'PCR Cycle 2'!H50</f>
        <v>9.6606999999999997E-4</v>
      </c>
      <c r="I45" s="83">
        <f>+'PCR Cycle 2'!I50</f>
        <v>1.1641399999999999E-3</v>
      </c>
      <c r="J45" s="92">
        <f>+'PCR Cycle 2'!J50</f>
        <v>1.33118E-3</v>
      </c>
      <c r="K45" s="83">
        <f>+'PCR Cycle 2'!K50</f>
        <v>1.33118E-3</v>
      </c>
      <c r="L45" s="83">
        <f>+'PCR Cycle 2'!L50</f>
        <v>1.33118E-3</v>
      </c>
      <c r="M45" s="85"/>
    </row>
    <row r="46" spans="1:13" x14ac:dyDescent="0.25">
      <c r="A46" s="39" t="s">
        <v>37</v>
      </c>
      <c r="B46" s="39"/>
      <c r="C46" s="106"/>
      <c r="D46" s="106"/>
      <c r="E46" s="83"/>
      <c r="F46" s="83"/>
      <c r="G46" s="83"/>
      <c r="H46" s="84"/>
      <c r="I46" s="83"/>
      <c r="J46" s="85"/>
      <c r="K46" s="83"/>
      <c r="L46" s="83"/>
      <c r="M46" s="85"/>
    </row>
    <row r="47" spans="1:13" x14ac:dyDescent="0.25">
      <c r="A47" s="46" t="s">
        <v>24</v>
      </c>
      <c r="C47" s="100">
        <v>0</v>
      </c>
      <c r="D47" s="100"/>
      <c r="E47" s="41">
        <f>ROUND((C39+C47+D47+E32/2)*E$45,2)</f>
        <v>0</v>
      </c>
      <c r="F47" s="41">
        <f t="shared" ref="F47:M51" si="12">ROUND((E39+E47+F32/2)*F$45,2)</f>
        <v>0</v>
      </c>
      <c r="G47" s="108">
        <f t="shared" si="12"/>
        <v>0</v>
      </c>
      <c r="H47" s="40">
        <f t="shared" si="12"/>
        <v>20.27</v>
      </c>
      <c r="I47" s="123">
        <f t="shared" si="12"/>
        <v>51.54</v>
      </c>
      <c r="J47" s="49">
        <f t="shared" si="12"/>
        <v>73.540000000000006</v>
      </c>
      <c r="K47" s="163">
        <f t="shared" si="12"/>
        <v>99.06</v>
      </c>
      <c r="L47" s="108">
        <f t="shared" si="12"/>
        <v>113.89</v>
      </c>
      <c r="M47" s="61">
        <f t="shared" si="12"/>
        <v>0</v>
      </c>
    </row>
    <row r="48" spans="1:13" x14ac:dyDescent="0.25">
      <c r="A48" s="46" t="s">
        <v>135</v>
      </c>
      <c r="C48" s="100">
        <v>0</v>
      </c>
      <c r="D48" s="100"/>
      <c r="E48" s="41">
        <f t="shared" ref="E48:E51" si="13">ROUND((C40+C48+D48+E33/2)*E$45,2)</f>
        <v>0</v>
      </c>
      <c r="F48" s="41">
        <f t="shared" si="12"/>
        <v>0</v>
      </c>
      <c r="G48" s="108">
        <f t="shared" si="12"/>
        <v>0</v>
      </c>
      <c r="H48" s="40">
        <f t="shared" si="12"/>
        <v>2.42</v>
      </c>
      <c r="I48" s="123">
        <f t="shared" si="12"/>
        <v>5.55</v>
      </c>
      <c r="J48" s="49">
        <f t="shared" si="12"/>
        <v>6.51</v>
      </c>
      <c r="K48" s="163">
        <f t="shared" si="12"/>
        <v>7.32</v>
      </c>
      <c r="L48" s="108">
        <f t="shared" si="12"/>
        <v>7.58</v>
      </c>
      <c r="M48" s="61">
        <f t="shared" si="12"/>
        <v>0</v>
      </c>
    </row>
    <row r="49" spans="1:13" x14ac:dyDescent="0.25">
      <c r="A49" s="46" t="s">
        <v>136</v>
      </c>
      <c r="C49" s="100">
        <v>0</v>
      </c>
      <c r="D49" s="100"/>
      <c r="E49" s="41">
        <f t="shared" si="13"/>
        <v>0</v>
      </c>
      <c r="F49" s="41">
        <f t="shared" si="12"/>
        <v>0</v>
      </c>
      <c r="G49" s="108">
        <f t="shared" si="12"/>
        <v>0</v>
      </c>
      <c r="H49" s="40">
        <f t="shared" si="12"/>
        <v>9.94</v>
      </c>
      <c r="I49" s="123">
        <f t="shared" si="12"/>
        <v>26.64</v>
      </c>
      <c r="J49" s="49">
        <f t="shared" si="12"/>
        <v>38.46</v>
      </c>
      <c r="K49" s="163">
        <f t="shared" si="12"/>
        <v>46.83</v>
      </c>
      <c r="L49" s="108">
        <f t="shared" si="12"/>
        <v>52.42</v>
      </c>
      <c r="M49" s="61">
        <f t="shared" si="12"/>
        <v>0</v>
      </c>
    </row>
    <row r="50" spans="1:13" x14ac:dyDescent="0.25">
      <c r="A50" s="46" t="s">
        <v>137</v>
      </c>
      <c r="C50" s="100">
        <v>0</v>
      </c>
      <c r="D50" s="100"/>
      <c r="E50" s="41">
        <f t="shared" si="13"/>
        <v>0</v>
      </c>
      <c r="F50" s="41">
        <f t="shared" si="12"/>
        <v>0</v>
      </c>
      <c r="G50" s="108">
        <f t="shared" si="12"/>
        <v>0</v>
      </c>
      <c r="H50" s="40">
        <f t="shared" si="12"/>
        <v>12.34</v>
      </c>
      <c r="I50" s="123">
        <f t="shared" si="12"/>
        <v>32.18</v>
      </c>
      <c r="J50" s="49">
        <f t="shared" si="12"/>
        <v>44.76</v>
      </c>
      <c r="K50" s="163">
        <f t="shared" si="12"/>
        <v>54.27</v>
      </c>
      <c r="L50" s="108">
        <f t="shared" si="12"/>
        <v>61.17</v>
      </c>
      <c r="M50" s="61">
        <f t="shared" si="12"/>
        <v>0</v>
      </c>
    </row>
    <row r="51" spans="1:13" ht="15.75" thickBot="1" x14ac:dyDescent="0.3">
      <c r="A51" s="46" t="s">
        <v>138</v>
      </c>
      <c r="C51" s="100">
        <v>0</v>
      </c>
      <c r="D51" s="100"/>
      <c r="E51" s="41">
        <f t="shared" si="13"/>
        <v>0</v>
      </c>
      <c r="F51" s="41">
        <f t="shared" si="12"/>
        <v>0</v>
      </c>
      <c r="G51" s="108">
        <f t="shared" si="12"/>
        <v>0</v>
      </c>
      <c r="H51" s="40">
        <f t="shared" si="12"/>
        <v>1.77</v>
      </c>
      <c r="I51" s="123">
        <f t="shared" si="12"/>
        <v>5.16</v>
      </c>
      <c r="J51" s="49">
        <f t="shared" si="12"/>
        <v>7.99</v>
      </c>
      <c r="K51" s="163">
        <f t="shared" si="12"/>
        <v>9.84</v>
      </c>
      <c r="L51" s="108">
        <f t="shared" si="12"/>
        <v>11.14</v>
      </c>
      <c r="M51" s="61">
        <f t="shared" si="12"/>
        <v>0</v>
      </c>
    </row>
    <row r="52" spans="1:13" ht="16.5" thickTop="1" thickBot="1" x14ac:dyDescent="0.3">
      <c r="A52" s="54" t="s">
        <v>22</v>
      </c>
      <c r="B52" s="54"/>
      <c r="C52" s="107">
        <v>0</v>
      </c>
      <c r="D52" s="107"/>
      <c r="E52" s="42">
        <f t="shared" ref="E52:J52" si="14">SUM(E47:E51)+SUM(E39:E43)-E55</f>
        <v>0</v>
      </c>
      <c r="F52" s="42">
        <f t="shared" si="14"/>
        <v>0</v>
      </c>
      <c r="G52" s="50">
        <f t="shared" ref="G52:I52" si="15">SUM(G47:G51)+SUM(G39:G43)-G55</f>
        <v>0</v>
      </c>
      <c r="H52" s="147">
        <f t="shared" si="15"/>
        <v>0</v>
      </c>
      <c r="I52" s="50">
        <f t="shared" si="15"/>
        <v>0</v>
      </c>
      <c r="J52" s="62">
        <f t="shared" si="14"/>
        <v>0</v>
      </c>
      <c r="K52" s="164">
        <f t="shared" ref="K52:M52" si="16">SUM(K47:K51)+SUM(K39:K43)-K55</f>
        <v>0</v>
      </c>
      <c r="L52" s="50">
        <f t="shared" si="16"/>
        <v>0</v>
      </c>
      <c r="M52" s="62">
        <f t="shared" si="16"/>
        <v>-1.0913936421275139E-10</v>
      </c>
    </row>
    <row r="53" spans="1:13" ht="16.5" thickTop="1" thickBot="1" x14ac:dyDescent="0.3">
      <c r="A53" s="54" t="s">
        <v>23</v>
      </c>
      <c r="B53" s="54"/>
      <c r="C53" s="107">
        <v>0</v>
      </c>
      <c r="D53" s="107"/>
      <c r="E53" s="42">
        <f t="shared" ref="E53:J53" si="17">SUM(E47:E51)-E29</f>
        <v>0</v>
      </c>
      <c r="F53" s="42">
        <f t="shared" si="17"/>
        <v>0</v>
      </c>
      <c r="G53" s="50">
        <f t="shared" ref="G53:I53" si="18">SUM(G47:G51)-G29</f>
        <v>0</v>
      </c>
      <c r="H53" s="147">
        <f t="shared" si="18"/>
        <v>0</v>
      </c>
      <c r="I53" s="50">
        <f t="shared" si="18"/>
        <v>0</v>
      </c>
      <c r="J53" s="62">
        <f t="shared" si="17"/>
        <v>0</v>
      </c>
      <c r="K53" s="165">
        <f t="shared" ref="K53:M53" si="19">SUM(K47:K51)-K29</f>
        <v>-2.0000000000010232E-2</v>
      </c>
      <c r="L53" s="42">
        <f t="shared" si="19"/>
        <v>-0.13000000000002387</v>
      </c>
      <c r="M53" s="42">
        <f t="shared" si="19"/>
        <v>0</v>
      </c>
    </row>
    <row r="54" spans="1:13" ht="16.5" thickTop="1" thickBot="1" x14ac:dyDescent="0.3">
      <c r="C54" s="99"/>
      <c r="D54" s="99"/>
      <c r="E54" s="17"/>
      <c r="F54" s="17"/>
      <c r="G54" s="17"/>
      <c r="H54" s="10"/>
      <c r="I54" s="17"/>
      <c r="J54" s="11"/>
      <c r="K54" s="17"/>
      <c r="L54" s="17"/>
      <c r="M54" s="11"/>
    </row>
    <row r="55" spans="1:13" ht="15.75" thickBot="1" x14ac:dyDescent="0.3">
      <c r="A55" s="46" t="s">
        <v>36</v>
      </c>
      <c r="B55" s="119">
        <f>SUM(B39:B43)</f>
        <v>0</v>
      </c>
      <c r="C55" s="100">
        <f t="shared" ref="C55:M55" si="20">(C13-SUM(C16:C20))+SUM(C47:C51)+B55</f>
        <v>0</v>
      </c>
      <c r="D55" s="100"/>
      <c r="E55" s="41">
        <f>(E13-SUM(E16:E20))+SUM(D47:E51)+C55</f>
        <v>0</v>
      </c>
      <c r="F55" s="41">
        <f t="shared" si="20"/>
        <v>0</v>
      </c>
      <c r="G55" s="108">
        <f t="shared" si="20"/>
        <v>-2.5300000000000002</v>
      </c>
      <c r="H55" s="40">
        <f t="shared" si="20"/>
        <v>96822.600000000035</v>
      </c>
      <c r="I55" s="41">
        <f t="shared" si="20"/>
        <v>111293.00000000006</v>
      </c>
      <c r="J55" s="61">
        <f t="shared" si="20"/>
        <v>146172.59000000008</v>
      </c>
      <c r="K55" s="163">
        <f t="shared" si="20"/>
        <v>180529.65653000009</v>
      </c>
      <c r="L55" s="108">
        <f t="shared" si="20"/>
        <v>189610.87286000012</v>
      </c>
      <c r="M55" s="61">
        <f t="shared" si="20"/>
        <v>40471.697660000122</v>
      </c>
    </row>
    <row r="56" spans="1:13" x14ac:dyDescent="0.25">
      <c r="A56" s="46" t="s">
        <v>12</v>
      </c>
      <c r="C56" s="120"/>
      <c r="D56" s="17"/>
      <c r="E56" s="17"/>
      <c r="F56" s="17"/>
      <c r="G56" s="17"/>
      <c r="H56" s="10"/>
      <c r="I56" s="17"/>
      <c r="J56" s="11"/>
      <c r="K56" s="17"/>
      <c r="L56" s="17"/>
      <c r="M56" s="11"/>
    </row>
    <row r="57" spans="1:13" ht="15.75" thickBot="1" x14ac:dyDescent="0.3">
      <c r="A57" s="37"/>
      <c r="B57" s="37"/>
      <c r="C57" s="148"/>
      <c r="D57" s="277"/>
      <c r="E57" s="44"/>
      <c r="F57" s="44"/>
      <c r="G57" s="44"/>
      <c r="H57" s="43"/>
      <c r="I57" s="44"/>
      <c r="J57" s="45"/>
      <c r="K57" s="44"/>
      <c r="L57" s="44"/>
      <c r="M57" s="45"/>
    </row>
    <row r="59" spans="1:13" x14ac:dyDescent="0.25">
      <c r="A59" s="69" t="s">
        <v>11</v>
      </c>
      <c r="B59" s="69"/>
      <c r="C59" s="69"/>
      <c r="D59" s="69"/>
    </row>
    <row r="60" spans="1:13" ht="31.5" customHeight="1" x14ac:dyDescent="0.25">
      <c r="A60" s="307" t="s">
        <v>168</v>
      </c>
      <c r="B60" s="307"/>
      <c r="C60" s="307"/>
      <c r="D60" s="307"/>
      <c r="E60" s="307"/>
      <c r="F60" s="307"/>
      <c r="G60" s="307"/>
      <c r="H60" s="307"/>
      <c r="I60" s="307"/>
      <c r="J60" s="307"/>
      <c r="K60" s="290"/>
      <c r="L60" s="290"/>
      <c r="M60" s="290"/>
    </row>
    <row r="61" spans="1:13" ht="45" customHeight="1" x14ac:dyDescent="0.25">
      <c r="A61" s="307" t="s">
        <v>218</v>
      </c>
      <c r="B61" s="307"/>
      <c r="C61" s="307"/>
      <c r="D61" s="307"/>
      <c r="E61" s="307"/>
      <c r="F61" s="307"/>
      <c r="G61" s="307"/>
      <c r="H61" s="307"/>
      <c r="I61" s="307"/>
      <c r="J61" s="307"/>
      <c r="K61" s="290"/>
      <c r="L61" s="290"/>
    </row>
    <row r="62" spans="1:13" ht="18.75" customHeight="1" x14ac:dyDescent="0.25">
      <c r="A62" s="307" t="s">
        <v>169</v>
      </c>
      <c r="B62" s="307"/>
      <c r="C62" s="307"/>
      <c r="D62" s="307"/>
      <c r="E62" s="307"/>
      <c r="F62" s="307"/>
      <c r="G62" s="307"/>
      <c r="H62" s="307"/>
      <c r="I62" s="307"/>
      <c r="J62" s="307"/>
      <c r="K62" s="290"/>
      <c r="L62" s="290"/>
      <c r="M62" s="290"/>
    </row>
    <row r="63" spans="1:13" x14ac:dyDescent="0.25">
      <c r="A63" s="63" t="s">
        <v>31</v>
      </c>
      <c r="B63" s="63"/>
      <c r="C63" s="63"/>
      <c r="D63" s="63"/>
      <c r="E63" s="39"/>
      <c r="F63" s="39"/>
      <c r="G63" s="39"/>
      <c r="H63" s="39"/>
      <c r="I63" s="39"/>
      <c r="J63" s="39"/>
    </row>
    <row r="64" spans="1:13" x14ac:dyDescent="0.25">
      <c r="A64" s="63" t="s">
        <v>203</v>
      </c>
      <c r="B64" s="63"/>
      <c r="C64" s="63"/>
      <c r="D64" s="63"/>
      <c r="E64" s="39"/>
      <c r="F64" s="39"/>
      <c r="G64" s="39"/>
      <c r="H64" s="39"/>
      <c r="I64" s="39"/>
      <c r="J64" s="39"/>
    </row>
    <row r="65" spans="1:10" x14ac:dyDescent="0.25">
      <c r="A65" s="63" t="s">
        <v>95</v>
      </c>
      <c r="B65" s="63"/>
      <c r="C65" s="63"/>
      <c r="D65" s="63"/>
      <c r="E65" s="39"/>
      <c r="F65" s="39"/>
      <c r="G65" s="39"/>
      <c r="H65" s="39"/>
      <c r="I65" s="39"/>
      <c r="J65" s="39"/>
    </row>
    <row r="66" spans="1:10" x14ac:dyDescent="0.25">
      <c r="A66" s="3"/>
      <c r="B66" s="3"/>
      <c r="C66" s="3"/>
      <c r="D66" s="3"/>
    </row>
    <row r="68" spans="1:10" ht="36" customHeight="1" x14ac:dyDescent="0.25">
      <c r="A68" s="303"/>
      <c r="B68" s="303"/>
      <c r="C68" s="303"/>
      <c r="D68" s="303"/>
      <c r="E68" s="303"/>
      <c r="F68" s="303"/>
      <c r="G68" s="303"/>
    </row>
  </sheetData>
  <mergeCells count="7">
    <mergeCell ref="A68:G68"/>
    <mergeCell ref="E11:G11"/>
    <mergeCell ref="H11:J11"/>
    <mergeCell ref="K11:M11"/>
    <mergeCell ref="A60:J60"/>
    <mergeCell ref="A61:J61"/>
    <mergeCell ref="A62:J62"/>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34"/>
  <sheetViews>
    <sheetView workbookViewId="0">
      <selection activeCell="B4" sqref="B4:D17"/>
    </sheetView>
  </sheetViews>
  <sheetFormatPr defaultColWidth="9.140625" defaultRowHeight="15" x14ac:dyDescent="0.25"/>
  <cols>
    <col min="1" max="1" width="43.140625" style="46" customWidth="1"/>
    <col min="2" max="2" width="14.28515625" style="46" bestFit="1" customWidth="1"/>
    <col min="3" max="3" width="14.28515625" style="46" customWidth="1"/>
    <col min="4" max="4" width="13.5703125" style="46" bestFit="1" customWidth="1"/>
    <col min="5" max="5" width="12.42578125" style="46" bestFit="1" customWidth="1"/>
    <col min="6" max="6" width="13.5703125" style="46" bestFit="1" customWidth="1"/>
    <col min="7" max="16384" width="9.140625" style="46"/>
  </cols>
  <sheetData>
    <row r="1" spans="1:4" x14ac:dyDescent="0.25">
      <c r="A1" s="63" t="str">
        <f>+'PPC Cycle 3'!A1</f>
        <v>Evergy Metro, Inc. - DSIM Rider Update Filed 06/01/2022</v>
      </c>
    </row>
    <row r="2" spans="1:4" x14ac:dyDescent="0.25">
      <c r="A2" s="9" t="str">
        <f>+'PPC Cycle 3'!A2</f>
        <v>Projections for Cycle 3 July 2022 - June 2023 DSIM</v>
      </c>
    </row>
    <row r="3" spans="1:4" ht="45.75" customHeight="1" x14ac:dyDescent="0.25">
      <c r="B3" s="301" t="s">
        <v>97</v>
      </c>
      <c r="C3" s="301"/>
      <c r="D3" s="301"/>
    </row>
    <row r="4" spans="1:4" x14ac:dyDescent="0.25">
      <c r="B4" s="48" t="s">
        <v>17</v>
      </c>
    </row>
    <row r="5" spans="1:4" x14ac:dyDescent="0.25">
      <c r="A5" s="20" t="s">
        <v>84</v>
      </c>
      <c r="B5" s="293">
        <f>+B8</f>
        <v>-108079.99999999999</v>
      </c>
    </row>
    <row r="6" spans="1:4" x14ac:dyDescent="0.25">
      <c r="A6" s="20" t="s">
        <v>85</v>
      </c>
      <c r="B6" s="293">
        <f>+C8</f>
        <v>-10141.41</v>
      </c>
    </row>
    <row r="7" spans="1:4" ht="30" x14ac:dyDescent="0.25">
      <c r="A7" s="20"/>
      <c r="B7" s="281" t="s">
        <v>84</v>
      </c>
      <c r="C7" s="282" t="s">
        <v>85</v>
      </c>
      <c r="D7" s="3" t="s">
        <v>5</v>
      </c>
    </row>
    <row r="8" spans="1:4" x14ac:dyDescent="0.25">
      <c r="A8" s="20" t="s">
        <v>24</v>
      </c>
      <c r="B8" s="219">
        <f>-'[24]OA Cycle 2'!$E$107</f>
        <v>-108079.99999999999</v>
      </c>
      <c r="C8" s="219">
        <f>-'[24]OA Cycle 2'!$K$107</f>
        <v>-10141.41</v>
      </c>
      <c r="D8" s="219">
        <f>SUM(B8:C8)</f>
        <v>-118221.40999999999</v>
      </c>
    </row>
    <row r="9" spans="1:4" x14ac:dyDescent="0.25">
      <c r="A9" s="20" t="s">
        <v>25</v>
      </c>
      <c r="B9" s="219">
        <v>0</v>
      </c>
      <c r="C9" s="219">
        <v>0</v>
      </c>
      <c r="D9" s="219">
        <f>SUM(B9:C9)</f>
        <v>0</v>
      </c>
    </row>
    <row r="10" spans="1:4" ht="15.75" thickBot="1" x14ac:dyDescent="0.3">
      <c r="A10" s="20" t="s">
        <v>5</v>
      </c>
      <c r="B10" s="220">
        <f>SUM(B8:B9)</f>
        <v>-108079.99999999999</v>
      </c>
      <c r="C10" s="220">
        <f>SUM(C8:C9)</f>
        <v>-10141.41</v>
      </c>
      <c r="D10" s="220">
        <f>SUM(D8:D9)</f>
        <v>-118221.40999999999</v>
      </c>
    </row>
    <row r="11" spans="1:4" ht="16.5" thickTop="1" thickBot="1" x14ac:dyDescent="0.3">
      <c r="B11" s="221">
        <f>+B10-B5</f>
        <v>0</v>
      </c>
      <c r="C11" s="221">
        <f>+C10-B6</f>
        <v>0</v>
      </c>
      <c r="D11" s="221">
        <f>ROUND(B5+B6,2)-D10</f>
        <v>0</v>
      </c>
    </row>
    <row r="12" spans="1:4" ht="30.75" thickTop="1" x14ac:dyDescent="0.25">
      <c r="B12" s="231"/>
      <c r="C12" s="230" t="s">
        <v>111</v>
      </c>
    </row>
    <row r="13" spans="1:4" x14ac:dyDescent="0.25">
      <c r="A13" s="20" t="s">
        <v>107</v>
      </c>
      <c r="B13" s="219">
        <v>0</v>
      </c>
      <c r="C13" s="228">
        <f>+'PCR Cycle 2'!L8</f>
        <v>0.13576441564001979</v>
      </c>
    </row>
    <row r="14" spans="1:4" x14ac:dyDescent="0.25">
      <c r="A14" s="20" t="s">
        <v>108</v>
      </c>
      <c r="B14" s="219">
        <v>0</v>
      </c>
      <c r="C14" s="228">
        <f>+'PCR Cycle 2'!L9</f>
        <v>0.35611574316442379</v>
      </c>
    </row>
    <row r="15" spans="1:4" x14ac:dyDescent="0.25">
      <c r="A15" s="20" t="s">
        <v>109</v>
      </c>
      <c r="B15" s="283">
        <v>0</v>
      </c>
      <c r="C15" s="228">
        <f>+'PCR Cycle 2'!L10</f>
        <v>0.4183185730547726</v>
      </c>
    </row>
    <row r="16" spans="1:4" ht="15.75" thickBot="1" x14ac:dyDescent="0.3">
      <c r="A16" s="20" t="s">
        <v>110</v>
      </c>
      <c r="B16" s="219">
        <v>0</v>
      </c>
      <c r="C16" s="228">
        <f>+'PCR Cycle 2'!L11</f>
        <v>8.9801268140783777E-2</v>
      </c>
    </row>
    <row r="17" spans="1:4" ht="16.5" thickTop="1" thickBot="1" x14ac:dyDescent="0.3">
      <c r="A17" s="20" t="s">
        <v>112</v>
      </c>
      <c r="B17" s="32">
        <f>SUM(B13:B16)</f>
        <v>0</v>
      </c>
      <c r="C17" s="229">
        <f>SUM(C13:C16)</f>
        <v>1</v>
      </c>
    </row>
    <row r="18" spans="1:4" ht="15.75" thickTop="1" x14ac:dyDescent="0.25"/>
    <row r="19" spans="1:4" x14ac:dyDescent="0.25">
      <c r="A19" s="53" t="s">
        <v>11</v>
      </c>
    </row>
    <row r="20" spans="1:4" s="39" customFormat="1" x14ac:dyDescent="0.25">
      <c r="A20" s="3" t="s">
        <v>220</v>
      </c>
      <c r="B20" s="46"/>
      <c r="C20" s="46"/>
      <c r="D20" s="46"/>
    </row>
    <row r="21" spans="1:4" s="39" customFormat="1" x14ac:dyDescent="0.25">
      <c r="A21" s="3" t="s">
        <v>221</v>
      </c>
      <c r="B21" s="46"/>
      <c r="C21" s="46"/>
      <c r="D21" s="46"/>
    </row>
    <row r="22" spans="1:4" s="39" customFormat="1" x14ac:dyDescent="0.25">
      <c r="A22" s="3"/>
      <c r="B22" s="46"/>
      <c r="C22" s="46"/>
      <c r="D22" s="46"/>
    </row>
    <row r="24" spans="1:4" x14ac:dyDescent="0.25">
      <c r="A24" s="3"/>
      <c r="D24" s="191"/>
    </row>
    <row r="25" spans="1:4" x14ac:dyDescent="0.25">
      <c r="D25" s="191"/>
    </row>
    <row r="26" spans="1:4" x14ac:dyDescent="0.25">
      <c r="B26" s="70"/>
      <c r="D26" s="191"/>
    </row>
    <row r="27" spans="1:4" x14ac:dyDescent="0.25">
      <c r="A27" s="216"/>
      <c r="B27" s="217"/>
      <c r="D27" s="191"/>
    </row>
    <row r="28" spans="1:4" x14ac:dyDescent="0.25">
      <c r="A28" s="216"/>
      <c r="B28" s="217"/>
      <c r="D28" s="191"/>
    </row>
    <row r="29" spans="1:4" x14ac:dyDescent="0.25">
      <c r="A29" s="216"/>
      <c r="B29" s="217"/>
      <c r="D29" s="191"/>
    </row>
    <row r="30" spans="1:4" x14ac:dyDescent="0.25">
      <c r="A30" s="216"/>
      <c r="B30" s="217"/>
      <c r="D30" s="191"/>
    </row>
    <row r="31" spans="1:4" x14ac:dyDescent="0.25">
      <c r="A31" s="216"/>
      <c r="B31" s="192"/>
      <c r="D31" s="191"/>
    </row>
    <row r="32" spans="1:4" x14ac:dyDescent="0.25">
      <c r="A32" s="216"/>
      <c r="B32" s="192"/>
      <c r="D32" s="191"/>
    </row>
    <row r="33" spans="1:4" ht="17.25" x14ac:dyDescent="0.4">
      <c r="A33" s="216"/>
      <c r="B33" s="192"/>
      <c r="D33" s="218"/>
    </row>
    <row r="34" spans="1:4" x14ac:dyDescent="0.25">
      <c r="A34" s="216"/>
      <c r="D34" s="191"/>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4"/>
  <sheetViews>
    <sheetView tabSelected="1" workbookViewId="0">
      <selection activeCell="L8" sqref="L8"/>
    </sheetView>
  </sheetViews>
  <sheetFormatPr defaultColWidth="9.140625" defaultRowHeight="15" x14ac:dyDescent="0.25"/>
  <cols>
    <col min="1" max="1" width="37.7109375" style="46" customWidth="1"/>
    <col min="2" max="2" width="12.28515625" style="46" bestFit="1" customWidth="1"/>
    <col min="3" max="3" width="12.42578125" style="46" bestFit="1" customWidth="1"/>
    <col min="4" max="4" width="15.42578125" style="46" customWidth="1"/>
    <col min="5" max="5" width="15.85546875" style="46" bestFit="1" customWidth="1"/>
    <col min="6" max="6" width="12.28515625" style="46" bestFit="1" customWidth="1"/>
    <col min="7" max="8" width="13.28515625" style="46" bestFit="1" customWidth="1"/>
    <col min="9" max="9" width="12.28515625" style="46" bestFit="1" customWidth="1"/>
    <col min="10" max="10" width="12.42578125" style="46" customWidth="1"/>
    <col min="11" max="11" width="12.85546875" style="46" customWidth="1"/>
    <col min="12" max="12" width="16" style="46" customWidth="1"/>
    <col min="13" max="13" width="15" style="46" bestFit="1" customWidth="1"/>
    <col min="14" max="14" width="16" style="46" bestFit="1" customWidth="1"/>
    <col min="15" max="15" width="17.85546875" style="46"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06/01/2022</v>
      </c>
      <c r="B1" s="3"/>
      <c r="C1" s="3"/>
    </row>
    <row r="2" spans="1:35" x14ac:dyDescent="0.25">
      <c r="D2" s="3" t="s">
        <v>96</v>
      </c>
    </row>
    <row r="3" spans="1:35" ht="30" x14ac:dyDescent="0.25">
      <c r="D3" s="48" t="s">
        <v>46</v>
      </c>
      <c r="E3" s="70" t="s">
        <v>17</v>
      </c>
      <c r="F3" s="48" t="s">
        <v>3</v>
      </c>
      <c r="G3" s="70" t="s">
        <v>55</v>
      </c>
      <c r="H3" s="48" t="s">
        <v>10</v>
      </c>
      <c r="I3" s="48" t="s">
        <v>18</v>
      </c>
      <c r="S3" s="48"/>
    </row>
    <row r="4" spans="1:35" x14ac:dyDescent="0.25">
      <c r="A4" s="20" t="s">
        <v>24</v>
      </c>
      <c r="B4" s="20"/>
      <c r="C4" s="20"/>
      <c r="D4" s="22">
        <f>SUM(C19:L19)</f>
        <v>0</v>
      </c>
      <c r="E4" s="22">
        <f>SUM(C23:K23)</f>
        <v>0</v>
      </c>
      <c r="F4" s="22">
        <f>E4-D4</f>
        <v>0</v>
      </c>
      <c r="G4" s="22">
        <f>+B33</f>
        <v>0</v>
      </c>
      <c r="H4" s="22">
        <f>SUM(C38:K38)</f>
        <v>0</v>
      </c>
      <c r="I4" s="25">
        <f>SUM(F4:H4)</f>
        <v>0</v>
      </c>
      <c r="J4" s="47">
        <f>+I4-L33</f>
        <v>0</v>
      </c>
      <c r="M4" s="47"/>
    </row>
    <row r="5" spans="1:35" ht="15.75" thickBot="1" x14ac:dyDescent="0.3">
      <c r="A5" s="20" t="s">
        <v>25</v>
      </c>
      <c r="B5" s="20"/>
      <c r="C5" s="20"/>
      <c r="D5" s="22">
        <f>SUM(C20:L20)</f>
        <v>0</v>
      </c>
      <c r="E5" s="22">
        <f>SUM(C24:K24)</f>
        <v>0</v>
      </c>
      <c r="F5" s="22">
        <f>E5-D5</f>
        <v>0</v>
      </c>
      <c r="G5" s="22">
        <f>+B34</f>
        <v>0</v>
      </c>
      <c r="H5" s="22">
        <f>SUM(C39:K39)</f>
        <v>0</v>
      </c>
      <c r="I5" s="25">
        <f>SUM(F5:H5)</f>
        <v>0</v>
      </c>
      <c r="J5" s="47">
        <f>+I5-L34</f>
        <v>0</v>
      </c>
      <c r="M5" s="47"/>
    </row>
    <row r="6" spans="1:35" ht="16.5" thickTop="1" thickBot="1" x14ac:dyDescent="0.3">
      <c r="D6" s="27">
        <f t="shared" ref="D6" si="0">SUM(D4:D5)</f>
        <v>0</v>
      </c>
      <c r="E6" s="27">
        <f>SUM(E4:E5)</f>
        <v>0</v>
      </c>
      <c r="F6" s="27">
        <f>SUM(F4:F5)</f>
        <v>0</v>
      </c>
      <c r="G6" s="27">
        <f>SUM(G4:G5)</f>
        <v>0</v>
      </c>
      <c r="H6" s="27">
        <f>SUM(H4:H5)</f>
        <v>0</v>
      </c>
      <c r="I6" s="27">
        <f>SUM(I4:I5)</f>
        <v>0</v>
      </c>
      <c r="T6" s="5"/>
    </row>
    <row r="7" spans="1:35" ht="45.75" thickTop="1" x14ac:dyDescent="0.25">
      <c r="I7" s="231"/>
      <c r="J7" s="230" t="s">
        <v>123</v>
      </c>
    </row>
    <row r="8" spans="1:35" x14ac:dyDescent="0.25">
      <c r="A8" s="20" t="s">
        <v>107</v>
      </c>
      <c r="I8" s="25">
        <f>ROUND($I$5*J8,2)</f>
        <v>0</v>
      </c>
      <c r="J8" s="228">
        <f>+'PCR Cycle 2'!L8</f>
        <v>0.13576441564001979</v>
      </c>
    </row>
    <row r="9" spans="1:35" x14ac:dyDescent="0.25">
      <c r="A9" s="20" t="s">
        <v>108</v>
      </c>
      <c r="I9" s="25">
        <f t="shared" ref="I9:I11" si="1">ROUND($I$5*J9,2)</f>
        <v>0</v>
      </c>
      <c r="J9" s="228">
        <f>+'PCR Cycle 2'!L9</f>
        <v>0.35611574316442379</v>
      </c>
    </row>
    <row r="10" spans="1:35" x14ac:dyDescent="0.25">
      <c r="A10" s="20" t="s">
        <v>109</v>
      </c>
      <c r="I10" s="25">
        <f t="shared" si="1"/>
        <v>0</v>
      </c>
      <c r="J10" s="228">
        <f>+'PCR Cycle 2'!L10</f>
        <v>0.4183185730547726</v>
      </c>
    </row>
    <row r="11" spans="1:35" ht="15.75" thickBot="1" x14ac:dyDescent="0.3">
      <c r="A11" s="20" t="s">
        <v>110</v>
      </c>
      <c r="I11" s="25">
        <f t="shared" si="1"/>
        <v>0</v>
      </c>
      <c r="J11" s="228">
        <f>+'PCR Cycle 2'!L11</f>
        <v>8.9801268140783777E-2</v>
      </c>
    </row>
    <row r="12" spans="1:35" ht="16.5" thickTop="1" thickBot="1" x14ac:dyDescent="0.3">
      <c r="A12" s="20" t="s">
        <v>112</v>
      </c>
      <c r="I12" s="27">
        <f>SUM(I8:I11)</f>
        <v>0</v>
      </c>
      <c r="J12" s="229">
        <f>SUM(J8:J11)</f>
        <v>1</v>
      </c>
      <c r="V12" s="4"/>
    </row>
    <row r="13" spans="1:35" ht="16.5" thickTop="1" thickBot="1" x14ac:dyDescent="0.3">
      <c r="V13" s="4"/>
      <c r="W13" s="5"/>
    </row>
    <row r="14" spans="1:35" ht="120.75" thickBot="1" x14ac:dyDescent="0.3">
      <c r="B14" s="118" t="str">
        <f>+'PCR Cycle 2'!B14</f>
        <v>Cumulative Over/Under Carryover From 12/01/2021 Filing</v>
      </c>
      <c r="C14" s="153" t="str">
        <f>+'PCR Cycle 2'!C14</f>
        <v>Reverse November 2021 - April 2022 Forecast From 12/01/2021 Filing</v>
      </c>
      <c r="D14" s="308" t="s">
        <v>33</v>
      </c>
      <c r="E14" s="308"/>
      <c r="F14" s="309"/>
      <c r="G14" s="314" t="s">
        <v>33</v>
      </c>
      <c r="H14" s="315"/>
      <c r="I14" s="316"/>
      <c r="J14" s="304" t="s">
        <v>8</v>
      </c>
      <c r="K14" s="305"/>
      <c r="L14" s="306"/>
    </row>
    <row r="15" spans="1:35" x14ac:dyDescent="0.25">
      <c r="A15" s="46" t="s">
        <v>91</v>
      </c>
      <c r="C15" s="105"/>
      <c r="D15" s="19">
        <f>+'PCR Cycle 2'!E15</f>
        <v>44530</v>
      </c>
      <c r="E15" s="19">
        <f t="shared" ref="E15:L15" si="2">EOMONTH(D15,1)</f>
        <v>44561</v>
      </c>
      <c r="F15" s="19">
        <f t="shared" si="2"/>
        <v>44592</v>
      </c>
      <c r="G15" s="14">
        <f t="shared" si="2"/>
        <v>44620</v>
      </c>
      <c r="H15" s="19">
        <f t="shared" si="2"/>
        <v>44651</v>
      </c>
      <c r="I15" s="15">
        <f t="shared" si="2"/>
        <v>44681</v>
      </c>
      <c r="J15" s="19">
        <f t="shared" si="2"/>
        <v>44712</v>
      </c>
      <c r="K15" s="19">
        <f t="shared" si="2"/>
        <v>44742</v>
      </c>
      <c r="L15" s="15">
        <f t="shared" si="2"/>
        <v>44773</v>
      </c>
      <c r="Z15" s="1"/>
      <c r="AA15" s="1"/>
      <c r="AB15" s="1"/>
      <c r="AC15" s="1"/>
      <c r="AD15" s="1"/>
      <c r="AE15" s="1"/>
      <c r="AF15" s="1"/>
      <c r="AG15" s="1"/>
      <c r="AH15" s="1"/>
      <c r="AI15" s="1"/>
    </row>
    <row r="16" spans="1:35" x14ac:dyDescent="0.25">
      <c r="A16" s="46" t="s">
        <v>5</v>
      </c>
      <c r="C16" s="97">
        <v>0</v>
      </c>
      <c r="D16" s="109">
        <f>SUM(D23:D24)</f>
        <v>0</v>
      </c>
      <c r="E16" s="109">
        <f t="shared" ref="E16:H16" si="3">SUM(E23:E24)</f>
        <v>0</v>
      </c>
      <c r="F16" s="110">
        <f t="shared" si="3"/>
        <v>0</v>
      </c>
      <c r="G16" s="16">
        <f t="shared" si="3"/>
        <v>0</v>
      </c>
      <c r="H16" s="55">
        <f t="shared" si="3"/>
        <v>0</v>
      </c>
      <c r="I16" s="166">
        <f>+I23+I24</f>
        <v>0</v>
      </c>
      <c r="J16" s="159">
        <f t="shared" ref="J16:K16" si="4">+J23+J24</f>
        <v>0</v>
      </c>
      <c r="K16" s="78">
        <f t="shared" si="4"/>
        <v>0</v>
      </c>
      <c r="L16" s="79"/>
    </row>
    <row r="17" spans="1:14" x14ac:dyDescent="0.25">
      <c r="C17" s="99"/>
      <c r="D17" s="17"/>
      <c r="E17" s="17"/>
      <c r="F17" s="17"/>
      <c r="G17" s="10"/>
      <c r="H17" s="17"/>
      <c r="I17" s="11"/>
      <c r="J17" s="31"/>
      <c r="K17" s="31"/>
      <c r="L17" s="29"/>
    </row>
    <row r="18" spans="1:14" x14ac:dyDescent="0.25">
      <c r="A18" s="46" t="s">
        <v>90</v>
      </c>
      <c r="C18" s="99"/>
      <c r="D18" s="18"/>
      <c r="E18" s="18"/>
      <c r="F18" s="18"/>
      <c r="G18" s="91"/>
      <c r="H18" s="18"/>
      <c r="I18" s="167"/>
      <c r="J18" s="31"/>
      <c r="K18" s="31"/>
      <c r="L18" s="29"/>
      <c r="M18" s="3" t="s">
        <v>50</v>
      </c>
      <c r="N18" s="39"/>
    </row>
    <row r="19" spans="1:14" x14ac:dyDescent="0.25">
      <c r="A19" s="46" t="s">
        <v>24</v>
      </c>
      <c r="C19" s="97">
        <v>0</v>
      </c>
      <c r="D19" s="136">
        <f>ROUND('[6]Nov 2021'!$F38,2)</f>
        <v>0</v>
      </c>
      <c r="E19" s="136">
        <f>ROUND('[6]Dec 2021'!$F38,2)</f>
        <v>0</v>
      </c>
      <c r="F19" s="188">
        <f>ROUND('[6]Jan 2022'!$F38,2)</f>
        <v>0</v>
      </c>
      <c r="G19" s="16">
        <f>ROUND('[6]Feb 2022'!$F38,2)</f>
        <v>0</v>
      </c>
      <c r="H19" s="121">
        <f>ROUND('[6]Mar 2022'!$F38,2)</f>
        <v>0</v>
      </c>
      <c r="I19" s="168">
        <f>ROUND('[6]Apr 2022'!$F38,2)</f>
        <v>0</v>
      </c>
      <c r="J19" s="123">
        <f>'PCR Cycle 2'!K27*$M19</f>
        <v>0</v>
      </c>
      <c r="K19" s="41">
        <f>'PCR Cycle 2'!L27*$M19</f>
        <v>0</v>
      </c>
      <c r="L19" s="61">
        <f>'PCR Cycle 2'!M27*$M19</f>
        <v>0</v>
      </c>
      <c r="M19" s="72">
        <v>0</v>
      </c>
      <c r="N19" s="4"/>
    </row>
    <row r="20" spans="1:14" x14ac:dyDescent="0.25">
      <c r="A20" s="46" t="s">
        <v>25</v>
      </c>
      <c r="C20" s="97">
        <v>0</v>
      </c>
      <c r="D20" s="136">
        <f>ROUND('[6]Nov 2021'!$F39,2)</f>
        <v>0</v>
      </c>
      <c r="E20" s="136">
        <f>ROUND('[6]Dec 2021'!$F39,2)</f>
        <v>0</v>
      </c>
      <c r="F20" s="188">
        <f>ROUND('[6]Jan 2022'!$F39,2)</f>
        <v>0</v>
      </c>
      <c r="G20" s="16">
        <f>ROUND('[6]Feb 2022'!$F39,2)</f>
        <v>0</v>
      </c>
      <c r="H20" s="121">
        <f>ROUND('[6]Mar 2022'!$F39,2)</f>
        <v>0</v>
      </c>
      <c r="I20" s="168">
        <f>ROUND('[6]Apr 2022'!$F39,2)</f>
        <v>0</v>
      </c>
      <c r="J20" s="123">
        <f>SUM('PCR Cycle 2'!K28:K31)*$M20</f>
        <v>0</v>
      </c>
      <c r="K20" s="41">
        <f>SUM('PCR Cycle 2'!L28:L31)*$M20</f>
        <v>0</v>
      </c>
      <c r="L20" s="61">
        <f>SUM('PCR Cycle 2'!M28:M31)*$M20</f>
        <v>0</v>
      </c>
      <c r="M20" s="72">
        <v>0</v>
      </c>
      <c r="N20" s="4"/>
    </row>
    <row r="21" spans="1:14" x14ac:dyDescent="0.25">
      <c r="C21" s="67"/>
      <c r="D21" s="68"/>
      <c r="E21" s="68"/>
      <c r="F21" s="68"/>
      <c r="G21" s="98"/>
      <c r="H21" s="68"/>
      <c r="I21" s="169"/>
      <c r="J21" s="56"/>
      <c r="K21" s="56"/>
      <c r="L21" s="13"/>
      <c r="N21" s="4"/>
    </row>
    <row r="22" spans="1:14" x14ac:dyDescent="0.25">
      <c r="A22" s="46" t="s">
        <v>92</v>
      </c>
      <c r="C22" s="36"/>
      <c r="D22" s="37"/>
      <c r="E22" s="37"/>
      <c r="F22" s="37"/>
      <c r="G22" s="36"/>
      <c r="H22" s="37"/>
      <c r="I22" s="172"/>
      <c r="J22" s="52"/>
      <c r="K22" s="52"/>
      <c r="L22" s="38"/>
    </row>
    <row r="23" spans="1:14" x14ac:dyDescent="0.25">
      <c r="A23" s="46" t="s">
        <v>24</v>
      </c>
      <c r="C23" s="97">
        <v>0</v>
      </c>
      <c r="D23" s="109">
        <v>0</v>
      </c>
      <c r="E23" s="109">
        <v>0</v>
      </c>
      <c r="F23" s="110">
        <v>0</v>
      </c>
      <c r="G23" s="16">
        <v>0</v>
      </c>
      <c r="H23" s="55">
        <v>0</v>
      </c>
      <c r="I23" s="166">
        <v>0</v>
      </c>
      <c r="J23" s="161">
        <v>0</v>
      </c>
      <c r="K23" s="143">
        <v>0</v>
      </c>
      <c r="L23" s="79"/>
    </row>
    <row r="24" spans="1:14" x14ac:dyDescent="0.25">
      <c r="A24" s="46" t="s">
        <v>25</v>
      </c>
      <c r="C24" s="97">
        <v>0</v>
      </c>
      <c r="D24" s="109">
        <v>0</v>
      </c>
      <c r="E24" s="109">
        <v>0</v>
      </c>
      <c r="F24" s="110">
        <v>0</v>
      </c>
      <c r="G24" s="16">
        <v>0</v>
      </c>
      <c r="H24" s="55">
        <v>0</v>
      </c>
      <c r="I24" s="166">
        <v>0</v>
      </c>
      <c r="J24" s="161">
        <v>0</v>
      </c>
      <c r="K24" s="143">
        <v>0</v>
      </c>
      <c r="L24" s="79"/>
      <c r="N24" s="47"/>
    </row>
    <row r="25" spans="1:14" x14ac:dyDescent="0.25">
      <c r="C25" s="99"/>
      <c r="D25" s="18"/>
      <c r="E25" s="18"/>
      <c r="F25" s="18"/>
      <c r="G25" s="91"/>
      <c r="H25" s="18"/>
      <c r="I25" s="167"/>
      <c r="J25" s="56"/>
      <c r="K25" s="56"/>
      <c r="L25" s="13"/>
    </row>
    <row r="26" spans="1:14" ht="15.75" thickBot="1" x14ac:dyDescent="0.3">
      <c r="A26" s="3" t="s">
        <v>14</v>
      </c>
      <c r="B26" s="3"/>
      <c r="C26" s="103">
        <v>0</v>
      </c>
      <c r="D26" s="136">
        <v>0</v>
      </c>
      <c r="E26" s="136">
        <v>0</v>
      </c>
      <c r="F26" s="137">
        <v>0</v>
      </c>
      <c r="G26" s="26">
        <v>0</v>
      </c>
      <c r="H26" s="122">
        <v>0</v>
      </c>
      <c r="I26" s="173">
        <v>0</v>
      </c>
      <c r="J26" s="162"/>
      <c r="K26" s="145"/>
      <c r="L26" s="82"/>
    </row>
    <row r="27" spans="1:14" x14ac:dyDescent="0.25">
      <c r="C27" s="64"/>
      <c r="D27" s="149"/>
      <c r="E27" s="149"/>
      <c r="F27" s="150"/>
      <c r="G27" s="64"/>
      <c r="H27" s="33"/>
      <c r="I27" s="174"/>
      <c r="J27" s="34"/>
      <c r="K27" s="34"/>
      <c r="L27" s="60"/>
    </row>
    <row r="28" spans="1:14" x14ac:dyDescent="0.25">
      <c r="A28" s="46" t="s">
        <v>52</v>
      </c>
      <c r="C28" s="65"/>
      <c r="D28" s="150"/>
      <c r="E28" s="150"/>
      <c r="F28" s="150"/>
      <c r="G28" s="65"/>
      <c r="H28" s="35"/>
      <c r="I28" s="175"/>
      <c r="J28" s="34"/>
      <c r="K28" s="34"/>
      <c r="L28" s="60"/>
    </row>
    <row r="29" spans="1:14" x14ac:dyDescent="0.25">
      <c r="A29" s="46" t="s">
        <v>24</v>
      </c>
      <c r="C29" s="100">
        <f t="shared" ref="C29:L29" si="5">C23-C19</f>
        <v>0</v>
      </c>
      <c r="D29" s="41">
        <f t="shared" si="5"/>
        <v>0</v>
      </c>
      <c r="E29" s="41">
        <f t="shared" si="5"/>
        <v>0</v>
      </c>
      <c r="F29" s="108">
        <f t="shared" si="5"/>
        <v>0</v>
      </c>
      <c r="G29" s="40">
        <f t="shared" si="5"/>
        <v>0</v>
      </c>
      <c r="H29" s="41">
        <f t="shared" si="5"/>
        <v>0</v>
      </c>
      <c r="I29" s="61">
        <f t="shared" si="5"/>
        <v>0</v>
      </c>
      <c r="J29" s="123">
        <f t="shared" si="5"/>
        <v>0</v>
      </c>
      <c r="K29" s="41">
        <f t="shared" si="5"/>
        <v>0</v>
      </c>
      <c r="L29" s="61">
        <f t="shared" si="5"/>
        <v>0</v>
      </c>
    </row>
    <row r="30" spans="1:14" x14ac:dyDescent="0.25">
      <c r="A30" s="46" t="s">
        <v>25</v>
      </c>
      <c r="C30" s="100">
        <f t="shared" ref="C30:L30" si="6">C24-C20</f>
        <v>0</v>
      </c>
      <c r="D30" s="41">
        <f t="shared" si="6"/>
        <v>0</v>
      </c>
      <c r="E30" s="41">
        <f t="shared" si="6"/>
        <v>0</v>
      </c>
      <c r="F30" s="108">
        <f t="shared" si="6"/>
        <v>0</v>
      </c>
      <c r="G30" s="40">
        <f t="shared" si="6"/>
        <v>0</v>
      </c>
      <c r="H30" s="41">
        <f t="shared" si="6"/>
        <v>0</v>
      </c>
      <c r="I30" s="61">
        <f t="shared" si="6"/>
        <v>0</v>
      </c>
      <c r="J30" s="123">
        <f t="shared" si="6"/>
        <v>0</v>
      </c>
      <c r="K30" s="41">
        <f t="shared" si="6"/>
        <v>0</v>
      </c>
      <c r="L30" s="61">
        <f t="shared" si="6"/>
        <v>0</v>
      </c>
    </row>
    <row r="31" spans="1:14" x14ac:dyDescent="0.25">
      <c r="C31" s="99"/>
      <c r="D31" s="17"/>
      <c r="E31" s="17"/>
      <c r="F31" s="17"/>
      <c r="G31" s="10"/>
      <c r="H31" s="17"/>
      <c r="I31" s="11"/>
      <c r="J31" s="17"/>
      <c r="K31" s="17"/>
      <c r="L31" s="11"/>
    </row>
    <row r="32" spans="1:14" ht="15.75" thickBot="1" x14ac:dyDescent="0.3">
      <c r="A32" s="46" t="s">
        <v>53</v>
      </c>
      <c r="C32" s="99"/>
      <c r="D32" s="17"/>
      <c r="E32" s="17"/>
      <c r="F32" s="17"/>
      <c r="G32" s="10"/>
      <c r="H32" s="17"/>
      <c r="I32" s="11"/>
      <c r="J32" s="17"/>
      <c r="K32" s="17"/>
      <c r="L32" s="11"/>
    </row>
    <row r="33" spans="1:12" x14ac:dyDescent="0.25">
      <c r="A33" s="46" t="s">
        <v>24</v>
      </c>
      <c r="B33" s="116">
        <v>0</v>
      </c>
      <c r="C33" s="100">
        <f>B33+C29+B38</f>
        <v>0</v>
      </c>
      <c r="D33" s="41">
        <f t="shared" ref="D33:L34" si="7">C33+D29+C38</f>
        <v>0</v>
      </c>
      <c r="E33" s="41">
        <f t="shared" si="7"/>
        <v>0</v>
      </c>
      <c r="F33" s="108">
        <f t="shared" si="7"/>
        <v>0</v>
      </c>
      <c r="G33" s="40">
        <f t="shared" si="7"/>
        <v>0</v>
      </c>
      <c r="H33" s="41">
        <f t="shared" si="7"/>
        <v>0</v>
      </c>
      <c r="I33" s="61">
        <f t="shared" si="7"/>
        <v>0</v>
      </c>
      <c r="J33" s="123">
        <f t="shared" si="7"/>
        <v>0</v>
      </c>
      <c r="K33" s="41">
        <f t="shared" si="7"/>
        <v>0</v>
      </c>
      <c r="L33" s="61">
        <f t="shared" si="7"/>
        <v>0</v>
      </c>
    </row>
    <row r="34" spans="1:12" ht="15.75" thickBot="1" x14ac:dyDescent="0.3">
      <c r="A34" s="46" t="s">
        <v>25</v>
      </c>
      <c r="B34" s="117">
        <v>0</v>
      </c>
      <c r="C34" s="100">
        <f>B34+C30+B39</f>
        <v>0</v>
      </c>
      <c r="D34" s="41">
        <f t="shared" si="7"/>
        <v>0</v>
      </c>
      <c r="E34" s="41">
        <f t="shared" si="7"/>
        <v>0</v>
      </c>
      <c r="F34" s="108">
        <f t="shared" si="7"/>
        <v>0</v>
      </c>
      <c r="G34" s="40">
        <f t="shared" si="7"/>
        <v>0</v>
      </c>
      <c r="H34" s="41">
        <f t="shared" si="7"/>
        <v>0</v>
      </c>
      <c r="I34" s="61">
        <f t="shared" si="7"/>
        <v>0</v>
      </c>
      <c r="J34" s="123">
        <f t="shared" si="7"/>
        <v>0</v>
      </c>
      <c r="K34" s="41">
        <f t="shared" si="7"/>
        <v>0</v>
      </c>
      <c r="L34" s="61">
        <f t="shared" si="7"/>
        <v>0</v>
      </c>
    </row>
    <row r="35" spans="1:12" x14ac:dyDescent="0.25">
      <c r="C35" s="99"/>
      <c r="D35" s="17"/>
      <c r="E35" s="17"/>
      <c r="F35" s="17"/>
      <c r="G35" s="10"/>
      <c r="H35" s="17"/>
      <c r="I35" s="11"/>
      <c r="J35" s="17"/>
      <c r="K35" s="17"/>
      <c r="L35" s="11"/>
    </row>
    <row r="36" spans="1:12" x14ac:dyDescent="0.25">
      <c r="A36" s="39" t="s">
        <v>88</v>
      </c>
      <c r="B36" s="39"/>
      <c r="C36" s="104"/>
      <c r="D36" s="83">
        <f>+'PCR Cycle 2'!E50</f>
        <v>9.0841999999999995E-4</v>
      </c>
      <c r="E36" s="83">
        <f>+'PCR Cycle 2'!F50</f>
        <v>9.1985999999999999E-4</v>
      </c>
      <c r="F36" s="83">
        <f>+'PCR Cycle 2'!G50</f>
        <v>9.2144000000000004E-4</v>
      </c>
      <c r="G36" s="84">
        <f>+'PCR Cycle 2'!H50</f>
        <v>9.6606999999999997E-4</v>
      </c>
      <c r="H36" s="83">
        <f>+'PCR Cycle 2'!I50</f>
        <v>1.1641399999999999E-3</v>
      </c>
      <c r="I36" s="92">
        <f>+'PCR Cycle 2'!J50</f>
        <v>1.33118E-3</v>
      </c>
      <c r="J36" s="83">
        <f>+'PCR Cycle 2'!K50</f>
        <v>1.33118E-3</v>
      </c>
      <c r="K36" s="83">
        <f>+'PCR Cycle 2'!L50</f>
        <v>1.33118E-3</v>
      </c>
      <c r="L36" s="85"/>
    </row>
    <row r="37" spans="1:12" x14ac:dyDescent="0.25">
      <c r="A37" s="39" t="s">
        <v>37</v>
      </c>
      <c r="B37" s="39"/>
      <c r="C37" s="106"/>
      <c r="D37" s="83"/>
      <c r="E37" s="83"/>
      <c r="F37" s="83"/>
      <c r="G37" s="84"/>
      <c r="H37" s="83"/>
      <c r="I37" s="85"/>
      <c r="J37" s="83"/>
      <c r="K37" s="83"/>
      <c r="L37" s="85"/>
    </row>
    <row r="38" spans="1:12" x14ac:dyDescent="0.25">
      <c r="A38" s="46" t="s">
        <v>24</v>
      </c>
      <c r="C38" s="100">
        <v>0</v>
      </c>
      <c r="D38" s="41">
        <f t="shared" ref="D38:L39" si="8">ROUND((C33+C38+D29/2)*D$36,2)</f>
        <v>0</v>
      </c>
      <c r="E38" s="41">
        <f t="shared" si="8"/>
        <v>0</v>
      </c>
      <c r="F38" s="108">
        <f t="shared" si="8"/>
        <v>0</v>
      </c>
      <c r="G38" s="40">
        <f t="shared" ref="G38:G39" si="9">ROUND((F33+F38+G29/2)*G$36,2)</f>
        <v>0</v>
      </c>
      <c r="H38" s="123">
        <f t="shared" ref="H38:H39" si="10">ROUND((G33+G38+H29/2)*H$36,2)</f>
        <v>0</v>
      </c>
      <c r="I38" s="49">
        <f t="shared" ref="I38:I39" si="11">ROUND((H33+H38+I29/2)*I$36,2)</f>
        <v>0</v>
      </c>
      <c r="J38" s="163">
        <f t="shared" ref="J38:J39" si="12">ROUND((I33+I38+J29/2)*J$36,2)</f>
        <v>0</v>
      </c>
      <c r="K38" s="108">
        <f t="shared" ref="K38:K39" si="13">ROUND((J33+J38+K29/2)*K$36,2)</f>
        <v>0</v>
      </c>
      <c r="L38" s="61">
        <f t="shared" si="8"/>
        <v>0</v>
      </c>
    </row>
    <row r="39" spans="1:12" ht="15.75" thickBot="1" x14ac:dyDescent="0.3">
      <c r="A39" s="46" t="s">
        <v>25</v>
      </c>
      <c r="C39" s="100">
        <v>0</v>
      </c>
      <c r="D39" s="41">
        <f t="shared" si="8"/>
        <v>0</v>
      </c>
      <c r="E39" s="41">
        <f t="shared" si="8"/>
        <v>0</v>
      </c>
      <c r="F39" s="108">
        <f t="shared" si="8"/>
        <v>0</v>
      </c>
      <c r="G39" s="40">
        <f t="shared" si="9"/>
        <v>0</v>
      </c>
      <c r="H39" s="123">
        <f t="shared" si="10"/>
        <v>0</v>
      </c>
      <c r="I39" s="49">
        <f t="shared" si="11"/>
        <v>0</v>
      </c>
      <c r="J39" s="163">
        <f t="shared" si="12"/>
        <v>0</v>
      </c>
      <c r="K39" s="108">
        <f t="shared" si="13"/>
        <v>0</v>
      </c>
      <c r="L39" s="61">
        <f t="shared" si="8"/>
        <v>0</v>
      </c>
    </row>
    <row r="40" spans="1:12" ht="16.5" thickTop="1" thickBot="1" x14ac:dyDescent="0.3">
      <c r="A40" s="54" t="s">
        <v>22</v>
      </c>
      <c r="B40" s="54"/>
      <c r="C40" s="107">
        <v>0</v>
      </c>
      <c r="D40" s="42">
        <f t="shared" ref="D40:I40" si="14">SUM(D38:D39)+SUM(D33:D34)-D43</f>
        <v>0</v>
      </c>
      <c r="E40" s="42">
        <f t="shared" si="14"/>
        <v>0</v>
      </c>
      <c r="F40" s="50">
        <f t="shared" ref="F40:H40" si="15">SUM(F38:F39)+SUM(F33:F34)-F43</f>
        <v>0</v>
      </c>
      <c r="G40" s="147">
        <f t="shared" si="15"/>
        <v>0</v>
      </c>
      <c r="H40" s="50">
        <f t="shared" si="15"/>
        <v>0</v>
      </c>
      <c r="I40" s="62">
        <f t="shared" si="14"/>
        <v>0</v>
      </c>
      <c r="J40" s="164">
        <f t="shared" ref="J40:L40" si="16">SUM(J38:J39)+SUM(J33:J34)-J43</f>
        <v>0</v>
      </c>
      <c r="K40" s="50">
        <f t="shared" si="16"/>
        <v>0</v>
      </c>
      <c r="L40" s="62">
        <f t="shared" si="16"/>
        <v>0</v>
      </c>
    </row>
    <row r="41" spans="1:12" ht="16.5" thickTop="1" thickBot="1" x14ac:dyDescent="0.3">
      <c r="A41" s="54" t="s">
        <v>23</v>
      </c>
      <c r="B41" s="54"/>
      <c r="C41" s="107">
        <v>0</v>
      </c>
      <c r="D41" s="42">
        <f t="shared" ref="D41:I41" si="17">SUM(D38:D39)-D26</f>
        <v>0</v>
      </c>
      <c r="E41" s="42">
        <f t="shared" si="17"/>
        <v>0</v>
      </c>
      <c r="F41" s="50">
        <f t="shared" ref="F41:H41" si="18">SUM(F38:F39)-F26</f>
        <v>0</v>
      </c>
      <c r="G41" s="147">
        <f t="shared" si="18"/>
        <v>0</v>
      </c>
      <c r="H41" s="50">
        <f t="shared" si="18"/>
        <v>0</v>
      </c>
      <c r="I41" s="62">
        <f t="shared" si="17"/>
        <v>0</v>
      </c>
      <c r="J41" s="165">
        <f t="shared" ref="J41:L41" si="19">SUM(J38:J39)-J26</f>
        <v>0</v>
      </c>
      <c r="K41" s="42">
        <f t="shared" si="19"/>
        <v>0</v>
      </c>
      <c r="L41" s="42">
        <f t="shared" si="19"/>
        <v>0</v>
      </c>
    </row>
    <row r="42" spans="1:12" ht="16.5" thickTop="1" thickBot="1" x14ac:dyDescent="0.3">
      <c r="C42" s="99"/>
      <c r="D42" s="17"/>
      <c r="E42" s="17"/>
      <c r="F42" s="17"/>
      <c r="G42" s="10"/>
      <c r="H42" s="17"/>
      <c r="I42" s="11"/>
      <c r="J42" s="17"/>
      <c r="K42" s="17"/>
      <c r="L42" s="11"/>
    </row>
    <row r="43" spans="1:12" ht="15.75" thickBot="1" x14ac:dyDescent="0.3">
      <c r="A43" s="46" t="s">
        <v>36</v>
      </c>
      <c r="B43" s="119">
        <v>0</v>
      </c>
      <c r="C43" s="100">
        <f t="shared" ref="C43:L43" si="20">(C16-SUM(C19:C20))+SUM(C38:C39)+B43</f>
        <v>0</v>
      </c>
      <c r="D43" s="41">
        <f t="shared" si="20"/>
        <v>0</v>
      </c>
      <c r="E43" s="41">
        <f t="shared" si="20"/>
        <v>0</v>
      </c>
      <c r="F43" s="108">
        <f t="shared" si="20"/>
        <v>0</v>
      </c>
      <c r="G43" s="40">
        <f t="shared" si="20"/>
        <v>0</v>
      </c>
      <c r="H43" s="41">
        <f t="shared" si="20"/>
        <v>0</v>
      </c>
      <c r="I43" s="61">
        <f t="shared" si="20"/>
        <v>0</v>
      </c>
      <c r="J43" s="163">
        <f t="shared" si="20"/>
        <v>0</v>
      </c>
      <c r="K43" s="108">
        <f t="shared" si="20"/>
        <v>0</v>
      </c>
      <c r="L43" s="61">
        <f t="shared" si="20"/>
        <v>0</v>
      </c>
    </row>
    <row r="44" spans="1:12" x14ac:dyDescent="0.25">
      <c r="A44" s="46" t="s">
        <v>12</v>
      </c>
      <c r="C44" s="120"/>
      <c r="D44" s="17"/>
      <c r="E44" s="17"/>
      <c r="F44" s="17"/>
      <c r="G44" s="10"/>
      <c r="H44" s="17"/>
      <c r="I44" s="11"/>
      <c r="J44" s="17"/>
      <c r="K44" s="17"/>
      <c r="L44" s="11"/>
    </row>
    <row r="45" spans="1:12" ht="15.75" thickBot="1" x14ac:dyDescent="0.3">
      <c r="A45" s="37"/>
      <c r="B45" s="37"/>
      <c r="C45" s="148"/>
      <c r="D45" s="44"/>
      <c r="E45" s="44"/>
      <c r="F45" s="44"/>
      <c r="G45" s="43"/>
      <c r="H45" s="44"/>
      <c r="I45" s="45"/>
      <c r="J45" s="44"/>
      <c r="K45" s="44"/>
      <c r="L45" s="45"/>
    </row>
    <row r="47" spans="1:12" x14ac:dyDescent="0.25">
      <c r="A47" s="69" t="s">
        <v>11</v>
      </c>
      <c r="B47" s="69"/>
      <c r="C47" s="69"/>
    </row>
    <row r="48" spans="1:12" x14ac:dyDescent="0.25">
      <c r="A48" s="317" t="s">
        <v>219</v>
      </c>
      <c r="B48" s="317"/>
      <c r="C48" s="317"/>
      <c r="D48" s="317"/>
      <c r="E48" s="317"/>
      <c r="F48" s="317"/>
      <c r="G48" s="317"/>
      <c r="H48" s="317"/>
      <c r="I48" s="317"/>
      <c r="J48" s="182"/>
      <c r="K48" s="182"/>
      <c r="L48" s="182"/>
    </row>
    <row r="49" spans="1:12" ht="32.25" customHeight="1" x14ac:dyDescent="0.25">
      <c r="A49" s="317" t="s">
        <v>201</v>
      </c>
      <c r="B49" s="317"/>
      <c r="C49" s="317"/>
      <c r="D49" s="317"/>
      <c r="E49" s="317"/>
      <c r="F49" s="317"/>
      <c r="G49" s="317"/>
      <c r="H49" s="317"/>
      <c r="I49" s="317"/>
      <c r="J49" s="182"/>
      <c r="K49" s="182"/>
    </row>
    <row r="50" spans="1:12" ht="18.75" customHeight="1" x14ac:dyDescent="0.25">
      <c r="A50" s="3" t="s">
        <v>202</v>
      </c>
      <c r="B50" s="3"/>
      <c r="C50" s="3"/>
      <c r="I50" s="4"/>
      <c r="J50" s="182"/>
      <c r="K50" s="182"/>
      <c r="L50" s="182"/>
    </row>
    <row r="51" spans="1:12" x14ac:dyDescent="0.25">
      <c r="A51" s="3" t="s">
        <v>158</v>
      </c>
      <c r="B51" s="3"/>
      <c r="C51" s="3"/>
      <c r="I51" s="4"/>
    </row>
    <row r="52" spans="1:12" x14ac:dyDescent="0.25">
      <c r="A52" s="3" t="s">
        <v>126</v>
      </c>
      <c r="B52" s="3"/>
      <c r="C52" s="3"/>
      <c r="I52" s="4"/>
    </row>
    <row r="53" spans="1:12" x14ac:dyDescent="0.25">
      <c r="A53" s="3" t="s">
        <v>159</v>
      </c>
      <c r="B53" s="63"/>
      <c r="C53" s="63"/>
      <c r="D53" s="39"/>
      <c r="E53" s="39"/>
      <c r="F53" s="39"/>
      <c r="G53" s="39"/>
      <c r="H53" s="39"/>
      <c r="I53" s="39"/>
    </row>
    <row r="54" spans="1:12" x14ac:dyDescent="0.25">
      <c r="A54" s="3"/>
      <c r="B54" s="3"/>
      <c r="C54" s="3"/>
    </row>
  </sheetData>
  <mergeCells count="5">
    <mergeCell ref="D14:F14"/>
    <mergeCell ref="G14:I14"/>
    <mergeCell ref="J14:L14"/>
    <mergeCell ref="A48:I48"/>
    <mergeCell ref="A49:I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9C7B-72FB-40E9-AA5D-7F12F870EB34}">
  <dimension ref="A1:R56"/>
  <sheetViews>
    <sheetView workbookViewId="0">
      <selection activeCell="G5" sqref="G5:J11"/>
    </sheetView>
  </sheetViews>
  <sheetFormatPr defaultColWidth="9.140625" defaultRowHeight="15" x14ac:dyDescent="0.25"/>
  <cols>
    <col min="1" max="1" width="24.7109375" style="46" customWidth="1"/>
    <col min="2" max="3" width="16" style="46" bestFit="1" customWidth="1"/>
    <col min="4" max="5" width="13.7109375" style="46" bestFit="1" customWidth="1"/>
    <col min="6" max="6" width="16" style="46" bestFit="1" customWidth="1"/>
    <col min="7" max="7" width="11.5703125" style="46" bestFit="1" customWidth="1"/>
    <col min="8" max="11" width="11.28515625" style="46" bestFit="1" customWidth="1"/>
    <col min="12" max="13" width="12.28515625" style="46" bestFit="1" customWidth="1"/>
    <col min="14" max="14" width="11.28515625" style="46" bestFit="1" customWidth="1"/>
    <col min="15" max="15" width="11.5703125" style="46" bestFit="1" customWidth="1"/>
    <col min="16" max="18" width="9.7109375" style="46" bestFit="1" customWidth="1"/>
    <col min="19" max="16384" width="9.140625" style="46"/>
  </cols>
  <sheetData>
    <row r="1" spans="1:7" x14ac:dyDescent="0.25">
      <c r="A1" s="3" t="str">
        <f>+'PPC Cycle 3'!A1</f>
        <v>Evergy Metro, Inc. - DSIM Rider Update Filed 06/01/2022</v>
      </c>
    </row>
    <row r="3" spans="1:7" ht="15.75" thickBot="1" x14ac:dyDescent="0.3"/>
    <row r="4" spans="1:7" ht="15.75" thickBot="1" x14ac:dyDescent="0.3">
      <c r="B4" s="255" t="s">
        <v>164</v>
      </c>
      <c r="C4" s="130" t="s">
        <v>165</v>
      </c>
      <c r="D4" s="130" t="s">
        <v>166</v>
      </c>
    </row>
    <row r="5" spans="1:7" ht="54.75" thickBot="1" x14ac:dyDescent="0.3">
      <c r="A5" s="87" t="s">
        <v>7</v>
      </c>
      <c r="B5" s="130" t="s">
        <v>28</v>
      </c>
      <c r="C5" s="130" t="s">
        <v>28</v>
      </c>
      <c r="D5" s="130" t="s">
        <v>28</v>
      </c>
      <c r="E5" s="130" t="s">
        <v>167</v>
      </c>
    </row>
    <row r="6" spans="1:7" ht="15.75" thickBot="1" x14ac:dyDescent="0.3">
      <c r="A6" s="90" t="s">
        <v>24</v>
      </c>
      <c r="B6" s="256">
        <f>+'tariff tables'!H4</f>
        <v>4.7800000000000004E-3</v>
      </c>
      <c r="C6" s="256">
        <v>6.79E-3</v>
      </c>
      <c r="D6" s="256">
        <f>+B6-C6</f>
        <v>-2.0099999999999996E-3</v>
      </c>
      <c r="E6" s="257">
        <f>+D6*1000</f>
        <v>-2.0099999999999998</v>
      </c>
      <c r="G6" s="265"/>
    </row>
    <row r="7" spans="1:7" ht="15.75" thickBot="1" x14ac:dyDescent="0.3">
      <c r="A7" s="90" t="s">
        <v>107</v>
      </c>
      <c r="B7" s="256">
        <f>+'tariff tables'!H5</f>
        <v>3.0999999999999999E-3</v>
      </c>
      <c r="C7" s="256">
        <v>2.7599999999999999E-3</v>
      </c>
      <c r="D7" s="256">
        <f t="shared" ref="D7:D10" si="0">+B7-C7</f>
        <v>3.4000000000000002E-4</v>
      </c>
      <c r="E7" s="257">
        <f t="shared" ref="E7:E9" si="1">+D7*1000</f>
        <v>0.34</v>
      </c>
      <c r="G7" s="265"/>
    </row>
    <row r="8" spans="1:7" ht="15.75" thickBot="1" x14ac:dyDescent="0.3">
      <c r="A8" s="90" t="s">
        <v>108</v>
      </c>
      <c r="B8" s="256">
        <f>+'tariff tables'!H6</f>
        <v>3.6800000000000001E-3</v>
      </c>
      <c r="C8" s="256">
        <v>5.47E-3</v>
      </c>
      <c r="D8" s="256">
        <f t="shared" ref="D8" si="2">+B8-C8</f>
        <v>-1.7899999999999999E-3</v>
      </c>
      <c r="E8" s="257">
        <f t="shared" si="1"/>
        <v>-1.79</v>
      </c>
      <c r="G8" s="265"/>
    </row>
    <row r="9" spans="1:7" ht="15.75" thickBot="1" x14ac:dyDescent="0.3">
      <c r="A9" s="90" t="s">
        <v>109</v>
      </c>
      <c r="B9" s="256">
        <f>+'tariff tables'!H7</f>
        <v>2.6800000000000001E-3</v>
      </c>
      <c r="C9" s="256">
        <v>4.0699999999999998E-3</v>
      </c>
      <c r="D9" s="256">
        <f t="shared" si="0"/>
        <v>-1.3899999999999997E-3</v>
      </c>
      <c r="E9" s="257">
        <f t="shared" si="1"/>
        <v>-1.3899999999999997</v>
      </c>
      <c r="G9" s="265"/>
    </row>
    <row r="10" spans="1:7" ht="15.75" thickBot="1" x14ac:dyDescent="0.3">
      <c r="A10" s="90" t="s">
        <v>110</v>
      </c>
      <c r="B10" s="256">
        <f>+'tariff tables'!H8</f>
        <v>1.1299999999999999E-3</v>
      </c>
      <c r="C10" s="256">
        <v>2.7399999999999998E-3</v>
      </c>
      <c r="D10" s="256">
        <f t="shared" si="0"/>
        <v>-1.6099999999999999E-3</v>
      </c>
      <c r="E10" s="257">
        <f>+D10*1000</f>
        <v>-1.6099999999999999</v>
      </c>
      <c r="G10" s="265"/>
    </row>
    <row r="14" spans="1:7" ht="15.75" thickBot="1" x14ac:dyDescent="0.3"/>
    <row r="15" spans="1:7" ht="15.75" thickBot="1" x14ac:dyDescent="0.3">
      <c r="A15" s="87" t="s">
        <v>7</v>
      </c>
      <c r="B15" s="130" t="s">
        <v>19</v>
      </c>
      <c r="C15" s="130" t="s">
        <v>20</v>
      </c>
      <c r="D15" s="130" t="s">
        <v>57</v>
      </c>
      <c r="E15" s="130" t="s">
        <v>21</v>
      </c>
      <c r="F15" s="130" t="s">
        <v>38</v>
      </c>
    </row>
    <row r="16" spans="1:7" ht="15.75" thickBot="1" x14ac:dyDescent="0.3">
      <c r="A16" s="90" t="s">
        <v>24</v>
      </c>
      <c r="B16" s="128">
        <f t="shared" ref="B16:E20" si="3">B25+B34</f>
        <v>430035.39000000118</v>
      </c>
      <c r="C16" s="129">
        <f t="shared" si="3"/>
        <v>-5109027.2100999989</v>
      </c>
      <c r="D16" s="129">
        <f t="shared" si="3"/>
        <v>-339583.41528999986</v>
      </c>
      <c r="E16" s="129">
        <f t="shared" si="3"/>
        <v>-118221.40999999999</v>
      </c>
      <c r="F16" s="132">
        <f>+'tariff tables'!G4-'[1]tariff tables'!G4</f>
        <v>24101111</v>
      </c>
    </row>
    <row r="17" spans="1:6" ht="15.75" thickBot="1" x14ac:dyDescent="0.3">
      <c r="A17" s="90" t="s">
        <v>107</v>
      </c>
      <c r="B17" s="128">
        <f t="shared" si="3"/>
        <v>635149.72</v>
      </c>
      <c r="C17" s="129">
        <f t="shared" si="3"/>
        <v>-296346.43353000015</v>
      </c>
      <c r="D17" s="129">
        <f t="shared" si="3"/>
        <v>-17020.916389999999</v>
      </c>
      <c r="E17" s="129">
        <f t="shared" ref="E17" si="4">E26+E35</f>
        <v>0</v>
      </c>
      <c r="F17" s="132">
        <f>+'tariff tables'!G5-'[1]tariff tables'!G5</f>
        <v>46151105</v>
      </c>
    </row>
    <row r="18" spans="1:6" ht="15.75" thickBot="1" x14ac:dyDescent="0.3">
      <c r="A18" s="90" t="s">
        <v>108</v>
      </c>
      <c r="B18" s="128">
        <f t="shared" si="3"/>
        <v>-704800.19999999972</v>
      </c>
      <c r="C18" s="129">
        <f t="shared" si="3"/>
        <v>-984703.84519999987</v>
      </c>
      <c r="D18" s="129">
        <f t="shared" si="3"/>
        <v>-362004.68419000006</v>
      </c>
      <c r="E18" s="129">
        <f t="shared" ref="E18" si="5">E27+E36</f>
        <v>0</v>
      </c>
      <c r="F18" s="132">
        <f>+'tariff tables'!G6-'[1]tariff tables'!G6</f>
        <v>1252831</v>
      </c>
    </row>
    <row r="19" spans="1:6" ht="15.75" thickBot="1" x14ac:dyDescent="0.3">
      <c r="A19" s="90" t="s">
        <v>109</v>
      </c>
      <c r="B19" s="128">
        <f t="shared" si="3"/>
        <v>-1065901.8699999992</v>
      </c>
      <c r="C19" s="129">
        <f t="shared" si="3"/>
        <v>-1014782.3559100002</v>
      </c>
      <c r="D19" s="129">
        <f t="shared" si="3"/>
        <v>-408599.18559999997</v>
      </c>
      <c r="E19" s="129">
        <f t="shared" ref="E19" si="6">E28+E37</f>
        <v>0</v>
      </c>
      <c r="F19" s="132">
        <f>+'tariff tables'!G7-'[1]tariff tables'!G7</f>
        <v>9210295</v>
      </c>
    </row>
    <row r="20" spans="1:6" ht="15.75" thickBot="1" x14ac:dyDescent="0.3">
      <c r="A20" s="90" t="s">
        <v>110</v>
      </c>
      <c r="B20" s="128">
        <f t="shared" si="3"/>
        <v>-688256.03999999969</v>
      </c>
      <c r="C20" s="129">
        <f t="shared" si="3"/>
        <v>-76692.022120000009</v>
      </c>
      <c r="D20" s="129">
        <f t="shared" si="3"/>
        <v>-112572.41364000003</v>
      </c>
      <c r="E20" s="129">
        <f t="shared" ref="E20" si="7">E29+E38</f>
        <v>0</v>
      </c>
      <c r="F20" s="132">
        <f>+'tariff tables'!G8-'[1]tariff tables'!G8</f>
        <v>-34172205</v>
      </c>
    </row>
    <row r="23" spans="1:6" ht="15.75" thickBot="1" x14ac:dyDescent="0.3"/>
    <row r="24" spans="1:6" ht="15.75" thickBot="1" x14ac:dyDescent="0.3">
      <c r="A24" s="87" t="s">
        <v>7</v>
      </c>
      <c r="B24" s="131" t="s">
        <v>6</v>
      </c>
      <c r="C24" s="131" t="s">
        <v>16</v>
      </c>
      <c r="D24" s="131" t="s">
        <v>58</v>
      </c>
      <c r="E24" s="131" t="s">
        <v>17</v>
      </c>
    </row>
    <row r="25" spans="1:6" ht="15.75" thickBot="1" x14ac:dyDescent="0.3">
      <c r="A25" s="90" t="s">
        <v>24</v>
      </c>
      <c r="B25" s="129">
        <f>+'tariff tables'!C13-'[1]tariff tables'!C13</f>
        <v>541831.13000000082</v>
      </c>
      <c r="C25" s="129">
        <f>+'tariff tables'!D13-'[1]tariff tables'!D13</f>
        <v>-3851265.9499999993</v>
      </c>
      <c r="D25" s="129">
        <f>+'tariff tables'!E13-'[1]tariff tables'!E13</f>
        <v>-344434.14999999997</v>
      </c>
      <c r="E25" s="129">
        <f>+'tariff tables'!F13-'[1]tariff tables'!F13</f>
        <v>-118221.40999999999</v>
      </c>
    </row>
    <row r="26" spans="1:6" ht="15.75" thickBot="1" x14ac:dyDescent="0.3">
      <c r="A26" s="90" t="s">
        <v>107</v>
      </c>
      <c r="B26" s="129">
        <f>+'tariff tables'!C14-'[1]tariff tables'!C14</f>
        <v>195036.14</v>
      </c>
      <c r="C26" s="129">
        <f>+'tariff tables'!D14-'[1]tariff tables'!D14</f>
        <v>-298307.03000000003</v>
      </c>
      <c r="D26" s="129">
        <f>+'tariff tables'!E14-'[1]tariff tables'!E14</f>
        <v>-18991.830000000002</v>
      </c>
      <c r="E26" s="128">
        <f>+'tariff tables'!F14-'[1]tariff tables'!F14</f>
        <v>0</v>
      </c>
    </row>
    <row r="27" spans="1:6" ht="15.75" thickBot="1" x14ac:dyDescent="0.3">
      <c r="A27" s="90" t="s">
        <v>108</v>
      </c>
      <c r="B27" s="129">
        <f>+'tariff tables'!C15-'[1]tariff tables'!C15</f>
        <v>-72055.479999999981</v>
      </c>
      <c r="C27" s="129">
        <f>+'tariff tables'!D15-'[1]tariff tables'!D15</f>
        <v>-906514.44</v>
      </c>
      <c r="D27" s="129">
        <f>+'tariff tables'!E15-'[1]tariff tables'!E15</f>
        <v>-388819.34000000008</v>
      </c>
      <c r="E27" s="128">
        <f>+'tariff tables'!F15-'[1]tariff tables'!F15</f>
        <v>0</v>
      </c>
    </row>
    <row r="28" spans="1:6" ht="15.75" thickBot="1" x14ac:dyDescent="0.3">
      <c r="A28" s="90" t="s">
        <v>109</v>
      </c>
      <c r="B28" s="129">
        <f>+'tariff tables'!C16-'[1]tariff tables'!C16</f>
        <v>-149854.48999999929</v>
      </c>
      <c r="C28" s="129">
        <f>+'tariff tables'!D16-'[1]tariff tables'!D16</f>
        <v>-900618.47</v>
      </c>
      <c r="D28" s="129">
        <f>+'tariff tables'!E16-'[1]tariff tables'!E16</f>
        <v>-435166.78999999992</v>
      </c>
      <c r="E28" s="128">
        <f>+'tariff tables'!F16-'[1]tariff tables'!F16</f>
        <v>0</v>
      </c>
    </row>
    <row r="29" spans="1:6" ht="15.75" thickBot="1" x14ac:dyDescent="0.3">
      <c r="A29" s="90" t="s">
        <v>110</v>
      </c>
      <c r="B29" s="129">
        <f>+'tariff tables'!C17-'[1]tariff tables'!C17</f>
        <v>-611371.7699999999</v>
      </c>
      <c r="C29" s="129">
        <f>+'tariff tables'!D17-'[1]tariff tables'!D17</f>
        <v>-76468.050000000017</v>
      </c>
      <c r="D29" s="129">
        <f>+'tariff tables'!E17-'[1]tariff tables'!E17</f>
        <v>-119390.55000000002</v>
      </c>
      <c r="E29" s="128">
        <f>+'tariff tables'!F17-'[1]tariff tables'!F17</f>
        <v>0</v>
      </c>
    </row>
    <row r="30" spans="1:6" x14ac:dyDescent="0.25">
      <c r="B30" s="127"/>
      <c r="C30" s="127"/>
      <c r="D30" s="127"/>
      <c r="E30" s="127"/>
    </row>
    <row r="31" spans="1:6" x14ac:dyDescent="0.25">
      <c r="B31" s="127"/>
      <c r="C31" s="127"/>
      <c r="D31" s="127"/>
      <c r="E31" s="127"/>
    </row>
    <row r="32" spans="1:6" ht="15.75" thickBot="1" x14ac:dyDescent="0.3">
      <c r="B32" s="127"/>
      <c r="C32" s="127"/>
      <c r="D32" s="127"/>
      <c r="E32" s="127"/>
    </row>
    <row r="33" spans="1:18" ht="15.75" thickBot="1" x14ac:dyDescent="0.3">
      <c r="A33" s="87" t="s">
        <v>7</v>
      </c>
      <c r="B33" s="131" t="s">
        <v>4</v>
      </c>
      <c r="C33" s="131" t="s">
        <v>9</v>
      </c>
      <c r="D33" s="131" t="s">
        <v>59</v>
      </c>
      <c r="E33" s="131" t="s">
        <v>18</v>
      </c>
    </row>
    <row r="34" spans="1:18" ht="15.75" thickBot="1" x14ac:dyDescent="0.3">
      <c r="A34" s="90" t="s">
        <v>24</v>
      </c>
      <c r="B34" s="129">
        <f>+'tariff tables'!C22-'[1]tariff tables'!C22</f>
        <v>-111795.73999999964</v>
      </c>
      <c r="C34" s="129">
        <f>+'tariff tables'!D22-'[1]tariff tables'!D22</f>
        <v>-1257761.2601000001</v>
      </c>
      <c r="D34" s="129">
        <f>+'tariff tables'!E22-'[1]tariff tables'!E22</f>
        <v>4850.7347100001061</v>
      </c>
      <c r="E34" s="128">
        <f>+'tariff tables'!F22-'[1]tariff tables'!F22</f>
        <v>0</v>
      </c>
    </row>
    <row r="35" spans="1:18" ht="15.75" thickBot="1" x14ac:dyDescent="0.3">
      <c r="A35" s="90" t="s">
        <v>107</v>
      </c>
      <c r="B35" s="129">
        <f>+'tariff tables'!C23-'[1]tariff tables'!C23</f>
        <v>440113.58</v>
      </c>
      <c r="C35" s="129">
        <f>+'tariff tables'!D23-'[1]tariff tables'!D23</f>
        <v>1960.5964699998585</v>
      </c>
      <c r="D35" s="129">
        <f>+'tariff tables'!E23-'[1]tariff tables'!E23</f>
        <v>1970.9136100000032</v>
      </c>
      <c r="E35" s="128">
        <f>+'tariff tables'!F23-'[1]tariff tables'!F23</f>
        <v>0</v>
      </c>
    </row>
    <row r="36" spans="1:18" ht="15.75" thickBot="1" x14ac:dyDescent="0.3">
      <c r="A36" s="90" t="s">
        <v>108</v>
      </c>
      <c r="B36" s="129">
        <f>+'tariff tables'!C24-'[1]tariff tables'!C24</f>
        <v>-632744.71999999974</v>
      </c>
      <c r="C36" s="129">
        <f>+'tariff tables'!D24-'[1]tariff tables'!D24</f>
        <v>-78189.405199999979</v>
      </c>
      <c r="D36" s="129">
        <f>+'tariff tables'!E24-'[1]tariff tables'!E24</f>
        <v>26814.655809999997</v>
      </c>
      <c r="E36" s="128">
        <f>+'tariff tables'!F24-'[1]tariff tables'!F24</f>
        <v>0</v>
      </c>
    </row>
    <row r="37" spans="1:18" ht="15.75" thickBot="1" x14ac:dyDescent="0.3">
      <c r="A37" s="90" t="s">
        <v>109</v>
      </c>
      <c r="B37" s="129">
        <f>+'tariff tables'!C25-'[1]tariff tables'!C25</f>
        <v>-916047.37999999989</v>
      </c>
      <c r="C37" s="129">
        <f>+'tariff tables'!D25-'[1]tariff tables'!D25</f>
        <v>-114163.88591000013</v>
      </c>
      <c r="D37" s="129">
        <f>+'tariff tables'!E25-'[1]tariff tables'!E25</f>
        <v>26567.604399999982</v>
      </c>
      <c r="E37" s="128">
        <f>+'tariff tables'!F25-'[1]tariff tables'!F25</f>
        <v>0</v>
      </c>
    </row>
    <row r="38" spans="1:18" ht="15.75" thickBot="1" x14ac:dyDescent="0.3">
      <c r="A38" s="90" t="s">
        <v>110</v>
      </c>
      <c r="B38" s="129">
        <f>+'tariff tables'!C26-'[1]tariff tables'!C26</f>
        <v>-76884.269999999786</v>
      </c>
      <c r="C38" s="129">
        <f>+'tariff tables'!D26-'[1]tariff tables'!D26</f>
        <v>-223.97211999999854</v>
      </c>
      <c r="D38" s="129">
        <f>+'tariff tables'!E26-'[1]tariff tables'!E26</f>
        <v>6818.1363599999895</v>
      </c>
      <c r="E38" s="128">
        <f>+'tariff tables'!F26-'[1]tariff tables'!F26</f>
        <v>0</v>
      </c>
    </row>
    <row r="47" spans="1:18" x14ac:dyDescent="0.25">
      <c r="B47" s="280"/>
      <c r="C47" s="280"/>
      <c r="D47" s="280"/>
      <c r="E47" s="280"/>
      <c r="F47" s="280"/>
      <c r="G47" s="280"/>
      <c r="H47" s="280"/>
      <c r="I47" s="280"/>
      <c r="J47" s="280"/>
      <c r="K47" s="280"/>
      <c r="L47" s="280"/>
      <c r="M47" s="280"/>
      <c r="N47" s="280"/>
      <c r="O47" s="280"/>
      <c r="P47" s="280"/>
      <c r="Q47" s="280"/>
      <c r="R47" s="280"/>
    </row>
    <row r="49" spans="2:15" x14ac:dyDescent="0.25">
      <c r="B49" s="191"/>
      <c r="C49" s="191"/>
      <c r="D49" s="191"/>
      <c r="E49" s="191"/>
      <c r="F49" s="191"/>
      <c r="G49" s="191"/>
      <c r="H49" s="191"/>
      <c r="I49" s="191"/>
      <c r="J49" s="191"/>
      <c r="K49" s="191"/>
      <c r="L49" s="191"/>
      <c r="M49" s="191"/>
      <c r="N49" s="191"/>
      <c r="O49" s="191"/>
    </row>
    <row r="50" spans="2:15" x14ac:dyDescent="0.25">
      <c r="B50" s="191"/>
      <c r="C50" s="191"/>
      <c r="D50" s="191"/>
      <c r="E50" s="191"/>
      <c r="F50" s="191"/>
      <c r="G50" s="191"/>
      <c r="H50" s="191"/>
      <c r="I50" s="191"/>
      <c r="J50" s="191"/>
      <c r="K50" s="191"/>
      <c r="L50" s="191"/>
      <c r="M50" s="191"/>
      <c r="N50" s="191"/>
      <c r="O50" s="191"/>
    </row>
    <row r="51" spans="2:15" x14ac:dyDescent="0.25">
      <c r="B51" s="191"/>
      <c r="C51" s="191"/>
      <c r="D51" s="191"/>
      <c r="E51" s="191"/>
      <c r="F51" s="191"/>
      <c r="G51" s="191"/>
      <c r="H51" s="191"/>
      <c r="I51" s="191"/>
      <c r="J51" s="191"/>
      <c r="K51" s="191"/>
      <c r="L51" s="191"/>
      <c r="M51" s="191"/>
      <c r="N51" s="191"/>
      <c r="O51" s="191"/>
    </row>
    <row r="52" spans="2:15" x14ac:dyDescent="0.25">
      <c r="B52" s="191"/>
      <c r="C52" s="191"/>
      <c r="D52" s="191"/>
      <c r="E52" s="191"/>
      <c r="F52" s="191"/>
      <c r="G52" s="191"/>
      <c r="H52" s="191"/>
      <c r="I52" s="191"/>
      <c r="J52" s="191"/>
      <c r="K52" s="191"/>
      <c r="L52" s="191"/>
      <c r="M52" s="191"/>
      <c r="N52" s="191"/>
      <c r="O52" s="191"/>
    </row>
    <row r="53" spans="2:15" x14ac:dyDescent="0.25">
      <c r="B53" s="191"/>
      <c r="C53" s="191"/>
      <c r="D53" s="191"/>
      <c r="E53" s="191"/>
      <c r="F53" s="191"/>
      <c r="G53" s="191"/>
      <c r="H53" s="191"/>
      <c r="I53" s="191"/>
      <c r="J53" s="191"/>
      <c r="K53" s="191"/>
      <c r="L53" s="191"/>
      <c r="M53" s="191"/>
      <c r="N53" s="191"/>
      <c r="O53" s="191"/>
    </row>
    <row r="54" spans="2:15" x14ac:dyDescent="0.25">
      <c r="B54" s="191"/>
      <c r="C54" s="191"/>
      <c r="D54" s="191"/>
      <c r="E54" s="191"/>
      <c r="F54" s="191"/>
    </row>
    <row r="55" spans="2:15" x14ac:dyDescent="0.25">
      <c r="B55" s="191"/>
      <c r="C55" s="191"/>
      <c r="D55" s="191"/>
      <c r="E55" s="191"/>
      <c r="F55" s="191"/>
    </row>
    <row r="56" spans="2:15" x14ac:dyDescent="0.25">
      <c r="B56" s="191"/>
      <c r="C56" s="191"/>
      <c r="D56" s="191"/>
      <c r="E56" s="191"/>
      <c r="F56" s="191"/>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workbookViewId="0">
      <selection activeCell="J8" sqref="J8"/>
    </sheetView>
  </sheetViews>
  <sheetFormatPr defaultRowHeight="15" x14ac:dyDescent="0.25"/>
  <cols>
    <col min="1" max="1" width="23.140625" bestFit="1" customWidth="1"/>
    <col min="2" max="2" width="11.28515625" bestFit="1" customWidth="1"/>
    <col min="3" max="3" width="10.140625" bestFit="1" customWidth="1"/>
    <col min="4" max="4" width="11.28515625" bestFit="1" customWidth="1"/>
    <col min="5" max="5" width="10.7109375" bestFit="1" customWidth="1"/>
    <col min="6" max="6" width="10.140625" bestFit="1" customWidth="1"/>
    <col min="7" max="7" width="8.28515625" bestFit="1" customWidth="1"/>
  </cols>
  <sheetData>
    <row r="3" spans="1:6" ht="15.75" thickBot="1" x14ac:dyDescent="0.3">
      <c r="A3" s="3" t="s">
        <v>127</v>
      </c>
    </row>
    <row r="4" spans="1:6" ht="27.75" thickBot="1" x14ac:dyDescent="0.3">
      <c r="A4" s="87" t="s">
        <v>134</v>
      </c>
      <c r="B4" s="130" t="s">
        <v>133</v>
      </c>
      <c r="C4" s="130" t="s">
        <v>132</v>
      </c>
      <c r="D4" s="130" t="s">
        <v>131</v>
      </c>
      <c r="E4" s="130" t="s">
        <v>130</v>
      </c>
      <c r="F4" s="89" t="s">
        <v>160</v>
      </c>
    </row>
    <row r="5" spans="1:6" ht="15.75" thickBot="1" x14ac:dyDescent="0.3">
      <c r="A5" s="90" t="s">
        <v>24</v>
      </c>
      <c r="B5" s="240">
        <f>+'tariff tables'!S13+'tariff tables'!S22</f>
        <v>0</v>
      </c>
      <c r="C5" s="241">
        <f>+'tariff tables'!T13+'tariff tables'!T22</f>
        <v>6.8999999999999997E-4</v>
      </c>
      <c r="D5" s="241">
        <f>+'tariff tables'!U13+'tariff tables'!U22</f>
        <v>-1.5999999999999999E-4</v>
      </c>
      <c r="E5" s="241">
        <f>+'tariff tables'!V13+'tariff tables'!V22</f>
        <v>-4.0000000000000003E-5</v>
      </c>
      <c r="F5" s="239">
        <f>SUM(B5:E5)</f>
        <v>4.8999999999999998E-4</v>
      </c>
    </row>
    <row r="6" spans="1:6" ht="15.75" thickBot="1" x14ac:dyDescent="0.3">
      <c r="A6" s="90" t="s">
        <v>107</v>
      </c>
      <c r="B6" s="240">
        <f>+'tariff tables'!S14+'tariff tables'!S23</f>
        <v>-2.0000000000000002E-5</v>
      </c>
      <c r="C6" s="241">
        <f>+'tariff tables'!T14+'tariff tables'!T23</f>
        <v>5.2000000000000006E-4</v>
      </c>
      <c r="D6" s="241">
        <f>+'tariff tables'!U14+'tariff tables'!U23</f>
        <v>-2.2000000000000001E-4</v>
      </c>
      <c r="E6" s="241">
        <f>+'tariff tables'!V14+'tariff tables'!V23</f>
        <v>0</v>
      </c>
      <c r="F6" s="239">
        <f t="shared" ref="F6:F9" si="0">SUM(B6:E6)</f>
        <v>2.7999999999999998E-4</v>
      </c>
    </row>
    <row r="7" spans="1:6" ht="15.75" thickBot="1" x14ac:dyDescent="0.3">
      <c r="A7" s="90" t="s">
        <v>108</v>
      </c>
      <c r="B7" s="240">
        <f>+'tariff tables'!S15+'tariff tables'!S24</f>
        <v>-2.0000000000000002E-5</v>
      </c>
      <c r="C7" s="241">
        <f>+'tariff tables'!T15+'tariff tables'!T24</f>
        <v>6.4000000000000005E-4</v>
      </c>
      <c r="D7" s="241">
        <f>+'tariff tables'!U15+'tariff tables'!U24</f>
        <v>3.0000000000000003E-4</v>
      </c>
      <c r="E7" s="241">
        <f>+'tariff tables'!V15+'tariff tables'!V24</f>
        <v>0</v>
      </c>
      <c r="F7" s="239">
        <f t="shared" si="0"/>
        <v>9.2000000000000003E-4</v>
      </c>
    </row>
    <row r="8" spans="1:6" ht="15.75" thickBot="1" x14ac:dyDescent="0.3">
      <c r="A8" s="90" t="s">
        <v>109</v>
      </c>
      <c r="B8" s="240">
        <f>+'tariff tables'!S16+'tariff tables'!S25</f>
        <v>-2.0000000000000002E-5</v>
      </c>
      <c r="C8" s="241">
        <f>+'tariff tables'!T16+'tariff tables'!T25</f>
        <v>3.9999999999999996E-4</v>
      </c>
      <c r="D8" s="241">
        <f>+'tariff tables'!U16+'tariff tables'!U25</f>
        <v>1.7000000000000001E-4</v>
      </c>
      <c r="E8" s="241">
        <f>+'tariff tables'!V16+'tariff tables'!V25</f>
        <v>0</v>
      </c>
      <c r="F8" s="239">
        <f t="shared" si="0"/>
        <v>5.4999999999999992E-4</v>
      </c>
    </row>
    <row r="9" spans="1:6" ht="15.75" thickBot="1" x14ac:dyDescent="0.3">
      <c r="A9" s="90" t="s">
        <v>110</v>
      </c>
      <c r="B9" s="240">
        <f>+'tariff tables'!S17+'tariff tables'!S26</f>
        <v>-1.0000000000000001E-5</v>
      </c>
      <c r="C9" s="241">
        <f>+'tariff tables'!T17+'tariff tables'!T26</f>
        <v>2.0000000000000001E-4</v>
      </c>
      <c r="D9" s="241">
        <f>+'tariff tables'!U17+'tariff tables'!U26</f>
        <v>3.5E-4</v>
      </c>
      <c r="E9" s="241">
        <f>+'tariff tables'!V17+'tariff tables'!V26</f>
        <v>0</v>
      </c>
      <c r="F9" s="239">
        <f t="shared" si="0"/>
        <v>5.4000000000000001E-4</v>
      </c>
    </row>
    <row r="12" spans="1:6" ht="15.75" thickBot="1" x14ac:dyDescent="0.3">
      <c r="A12" s="3" t="s">
        <v>128</v>
      </c>
      <c r="B12" s="46"/>
      <c r="C12" s="46"/>
      <c r="D12" s="46"/>
      <c r="E12" s="46"/>
      <c r="F12" s="46"/>
    </row>
    <row r="13" spans="1:6" ht="27.75" thickBot="1" x14ac:dyDescent="0.3">
      <c r="A13" s="87" t="s">
        <v>134</v>
      </c>
      <c r="B13" s="130" t="s">
        <v>133</v>
      </c>
      <c r="C13" s="130" t="s">
        <v>132</v>
      </c>
      <c r="D13" s="130" t="s">
        <v>131</v>
      </c>
      <c r="E13" s="130" t="s">
        <v>130</v>
      </c>
      <c r="F13" s="89" t="s">
        <v>160</v>
      </c>
    </row>
    <row r="14" spans="1:6" ht="15.75" thickBot="1" x14ac:dyDescent="0.3">
      <c r="A14" s="90" t="s">
        <v>24</v>
      </c>
      <c r="B14" s="240">
        <f>+'tariff tables'!X13+'tariff tables'!X22</f>
        <v>2.8800000000000002E-3</v>
      </c>
      <c r="C14" s="241">
        <f>+'tariff tables'!Y13+'tariff tables'!Y22</f>
        <v>1.2400000000000002E-3</v>
      </c>
      <c r="D14" s="241">
        <f>+'tariff tables'!Z13+'tariff tables'!Z22</f>
        <v>1.7000000000000001E-4</v>
      </c>
      <c r="E14" s="241">
        <f>+'tariff tables'!AA13+'tariff tables'!AA22</f>
        <v>0</v>
      </c>
      <c r="F14" s="239">
        <f>SUM(B14:E14)</f>
        <v>4.2900000000000004E-3</v>
      </c>
    </row>
    <row r="15" spans="1:6" ht="15.75" thickBot="1" x14ac:dyDescent="0.3">
      <c r="A15" s="90" t="s">
        <v>107</v>
      </c>
      <c r="B15" s="240">
        <f>+'tariff tables'!X14+'tariff tables'!X23</f>
        <v>2.2399999999999998E-3</v>
      </c>
      <c r="C15" s="241">
        <f>+'tariff tables'!Y14+'tariff tables'!Y23</f>
        <v>4.8000000000000001E-4</v>
      </c>
      <c r="D15" s="241">
        <f>+'tariff tables'!Z14+'tariff tables'!Z23</f>
        <v>1E-4</v>
      </c>
      <c r="E15" s="241">
        <f>+'tariff tables'!AA14+'tariff tables'!AA23</f>
        <v>0</v>
      </c>
      <c r="F15" s="239">
        <f t="shared" ref="F15:F18" si="1">SUM(B15:E15)</f>
        <v>2.8199999999999996E-3</v>
      </c>
    </row>
    <row r="16" spans="1:6" ht="15.75" thickBot="1" x14ac:dyDescent="0.3">
      <c r="A16" s="90" t="s">
        <v>108</v>
      </c>
      <c r="B16" s="240">
        <f>+'tariff tables'!X15+'tariff tables'!X24</f>
        <v>2.0499999999999997E-3</v>
      </c>
      <c r="C16" s="241">
        <f>+'tariff tables'!Y15+'tariff tables'!Y24</f>
        <v>5.1000000000000004E-4</v>
      </c>
      <c r="D16" s="241">
        <f>+'tariff tables'!Z15+'tariff tables'!Z24</f>
        <v>2.0000000000000001E-4</v>
      </c>
      <c r="E16" s="241">
        <f>+'tariff tables'!AA15+'tariff tables'!AA24</f>
        <v>0</v>
      </c>
      <c r="F16" s="239">
        <f t="shared" si="1"/>
        <v>2.7599999999999999E-3</v>
      </c>
    </row>
    <row r="17" spans="1:7" ht="15.75" thickBot="1" x14ac:dyDescent="0.3">
      <c r="A17" s="90" t="s">
        <v>109</v>
      </c>
      <c r="B17" s="240">
        <f>+'tariff tables'!X16+'tariff tables'!X25</f>
        <v>1.66E-3</v>
      </c>
      <c r="C17" s="241">
        <f>+'tariff tables'!Y16+'tariff tables'!Y25</f>
        <v>3.1E-4</v>
      </c>
      <c r="D17" s="241">
        <f>+'tariff tables'!Z16+'tariff tables'!Z25</f>
        <v>1.5999999999999999E-4</v>
      </c>
      <c r="E17" s="241">
        <f>+'tariff tables'!AA16+'tariff tables'!AA25</f>
        <v>0</v>
      </c>
      <c r="F17" s="239">
        <f t="shared" si="1"/>
        <v>2.1299999999999999E-3</v>
      </c>
    </row>
    <row r="18" spans="1:7" ht="15.75" thickBot="1" x14ac:dyDescent="0.3">
      <c r="A18" s="90" t="s">
        <v>110</v>
      </c>
      <c r="B18" s="240">
        <f>+'tariff tables'!X17+'tariff tables'!X26</f>
        <v>4.8999999999999998E-4</v>
      </c>
      <c r="C18" s="241">
        <f>+'tariff tables'!Y17+'tariff tables'!Y26</f>
        <v>1.9999999999999998E-5</v>
      </c>
      <c r="D18" s="241">
        <f>+'tariff tables'!Z17+'tariff tables'!Z26</f>
        <v>8.0000000000000007E-5</v>
      </c>
      <c r="E18" s="241">
        <f>+'tariff tables'!AA17+'tariff tables'!AA26</f>
        <v>0</v>
      </c>
      <c r="F18" s="239">
        <f t="shared" si="1"/>
        <v>5.9000000000000003E-4</v>
      </c>
    </row>
    <row r="21" spans="1:7" ht="15.75" thickBot="1" x14ac:dyDescent="0.3">
      <c r="A21" s="3" t="s">
        <v>129</v>
      </c>
      <c r="B21" s="46"/>
      <c r="C21" s="46"/>
      <c r="D21" s="46"/>
      <c r="E21" s="46"/>
      <c r="F21" s="46"/>
    </row>
    <row r="22" spans="1:7" ht="27.75" thickBot="1" x14ac:dyDescent="0.3">
      <c r="A22" s="87" t="s">
        <v>134</v>
      </c>
      <c r="B22" s="130" t="s">
        <v>133</v>
      </c>
      <c r="C22" s="130" t="s">
        <v>132</v>
      </c>
      <c r="D22" s="130" t="s">
        <v>131</v>
      </c>
      <c r="E22" s="130" t="s">
        <v>130</v>
      </c>
      <c r="F22" s="89" t="s">
        <v>160</v>
      </c>
    </row>
    <row r="23" spans="1:7" ht="15.75" thickBot="1" x14ac:dyDescent="0.3">
      <c r="A23" s="90" t="s">
        <v>24</v>
      </c>
      <c r="B23" s="240">
        <f>+B5+B14</f>
        <v>2.8800000000000002E-3</v>
      </c>
      <c r="C23" s="241">
        <f t="shared" ref="C23:E23" si="2">+C5+C14</f>
        <v>1.9300000000000003E-3</v>
      </c>
      <c r="D23" s="241">
        <f t="shared" si="2"/>
        <v>1.0000000000000026E-5</v>
      </c>
      <c r="E23" s="241">
        <f t="shared" si="2"/>
        <v>-4.0000000000000003E-5</v>
      </c>
      <c r="F23" s="239">
        <f>SUM(B23:E23)</f>
        <v>4.7799999999999995E-3</v>
      </c>
      <c r="G23" s="242">
        <f>+F23-'tariff tables'!H4</f>
        <v>0</v>
      </c>
    </row>
    <row r="24" spans="1:7" ht="15.75" thickBot="1" x14ac:dyDescent="0.3">
      <c r="A24" s="90" t="s">
        <v>107</v>
      </c>
      <c r="B24" s="240">
        <f t="shared" ref="B24:E24" si="3">+B6+B15</f>
        <v>2.2199999999999998E-3</v>
      </c>
      <c r="C24" s="241">
        <f t="shared" si="3"/>
        <v>1E-3</v>
      </c>
      <c r="D24" s="241">
        <f t="shared" si="3"/>
        <v>-1.2E-4</v>
      </c>
      <c r="E24" s="241">
        <f t="shared" si="3"/>
        <v>0</v>
      </c>
      <c r="F24" s="239">
        <f t="shared" ref="F24:F27" si="4">SUM(B24:E24)</f>
        <v>3.0999999999999999E-3</v>
      </c>
      <c r="G24" s="242">
        <f>+F24-'tariff tables'!H5</f>
        <v>0</v>
      </c>
    </row>
    <row r="25" spans="1:7" ht="15.75" thickBot="1" x14ac:dyDescent="0.3">
      <c r="A25" s="90" t="s">
        <v>108</v>
      </c>
      <c r="B25" s="240">
        <f t="shared" ref="B25:E25" si="5">+B7+B16</f>
        <v>2.0299999999999997E-3</v>
      </c>
      <c r="C25" s="241">
        <f t="shared" si="5"/>
        <v>1.15E-3</v>
      </c>
      <c r="D25" s="241">
        <f t="shared" si="5"/>
        <v>5.0000000000000001E-4</v>
      </c>
      <c r="E25" s="241">
        <f t="shared" si="5"/>
        <v>0</v>
      </c>
      <c r="F25" s="239">
        <f t="shared" si="4"/>
        <v>3.6799999999999997E-3</v>
      </c>
      <c r="G25" s="242">
        <f>+F25-'tariff tables'!H6</f>
        <v>0</v>
      </c>
    </row>
    <row r="26" spans="1:7" ht="15.75" thickBot="1" x14ac:dyDescent="0.3">
      <c r="A26" s="90" t="s">
        <v>109</v>
      </c>
      <c r="B26" s="240">
        <f t="shared" ref="B26:E26" si="6">+B8+B17</f>
        <v>1.64E-3</v>
      </c>
      <c r="C26" s="241">
        <f t="shared" si="6"/>
        <v>7.0999999999999991E-4</v>
      </c>
      <c r="D26" s="241">
        <f t="shared" si="6"/>
        <v>3.3E-4</v>
      </c>
      <c r="E26" s="241">
        <f t="shared" si="6"/>
        <v>0</v>
      </c>
      <c r="F26" s="239">
        <f t="shared" si="4"/>
        <v>2.6799999999999997E-3</v>
      </c>
      <c r="G26" s="242">
        <f>+F26-'tariff tables'!H7</f>
        <v>0</v>
      </c>
    </row>
    <row r="27" spans="1:7" ht="15.75" thickBot="1" x14ac:dyDescent="0.3">
      <c r="A27" s="90" t="s">
        <v>110</v>
      </c>
      <c r="B27" s="240">
        <f t="shared" ref="B27:E27" si="7">+B9+B18</f>
        <v>4.7999999999999996E-4</v>
      </c>
      <c r="C27" s="241">
        <f t="shared" si="7"/>
        <v>2.2000000000000001E-4</v>
      </c>
      <c r="D27" s="241">
        <f t="shared" si="7"/>
        <v>4.2999999999999999E-4</v>
      </c>
      <c r="E27" s="241">
        <f t="shared" si="7"/>
        <v>0</v>
      </c>
      <c r="F27" s="239">
        <f t="shared" si="4"/>
        <v>1.1299999999999999E-3</v>
      </c>
      <c r="G27" s="242">
        <f>+F27-'tariff tables'!H8</f>
        <v>0</v>
      </c>
    </row>
    <row r="29" spans="1:7" x14ac:dyDescent="0.25">
      <c r="B29" s="242">
        <f>+B23-'tariff tables'!J4</f>
        <v>0</v>
      </c>
      <c r="C29" s="242">
        <f>+C23-'tariff tables'!K4</f>
        <v>0</v>
      </c>
      <c r="D29" s="242">
        <f>+D23-'tariff tables'!L4</f>
        <v>2.541098841762901E-20</v>
      </c>
      <c r="E29" s="242">
        <f>+E23-'tariff tables'!M4</f>
        <v>0</v>
      </c>
      <c r="F29" s="242"/>
    </row>
    <row r="30" spans="1:7" x14ac:dyDescent="0.25">
      <c r="B30" s="242">
        <f>+B24-'tariff tables'!J5</f>
        <v>0</v>
      </c>
      <c r="C30" s="242">
        <f>+C24-'tariff tables'!K5</f>
        <v>0</v>
      </c>
      <c r="D30" s="242">
        <f>+D24-'tariff tables'!L5</f>
        <v>0</v>
      </c>
      <c r="E30" s="242">
        <f>+E24-'tariff tables'!M5</f>
        <v>0</v>
      </c>
      <c r="F30" s="242"/>
    </row>
    <row r="31" spans="1:7" x14ac:dyDescent="0.25">
      <c r="B31" s="242">
        <f>+B25-'tariff tables'!J6</f>
        <v>0</v>
      </c>
      <c r="C31" s="242">
        <f>+C25-'tariff tables'!K6</f>
        <v>0</v>
      </c>
      <c r="D31" s="242">
        <f>+D25-'tariff tables'!L6</f>
        <v>0</v>
      </c>
      <c r="E31" s="242">
        <f>+E25-'tariff tables'!M6</f>
        <v>0</v>
      </c>
      <c r="F31" s="242"/>
    </row>
    <row r="32" spans="1:7" x14ac:dyDescent="0.25">
      <c r="B32" s="242">
        <f>+B26-'tariff tables'!J7</f>
        <v>0</v>
      </c>
      <c r="C32" s="242">
        <f>+C26-'tariff tables'!K7</f>
        <v>0</v>
      </c>
      <c r="D32" s="242">
        <f>+D26-'tariff tables'!L7</f>
        <v>0</v>
      </c>
      <c r="E32" s="242">
        <f>+E26-'tariff tables'!M7</f>
        <v>0</v>
      </c>
      <c r="F32" s="242"/>
    </row>
    <row r="33" spans="2:6" x14ac:dyDescent="0.25">
      <c r="B33" s="242">
        <f>+B27-'tariff tables'!J8</f>
        <v>0</v>
      </c>
      <c r="C33" s="242">
        <f>+C27-'tariff tables'!K8</f>
        <v>0</v>
      </c>
      <c r="D33" s="242">
        <f>+D27-'tariff tables'!L8</f>
        <v>0</v>
      </c>
      <c r="E33" s="242">
        <f>+E27-'tariff tables'!M8</f>
        <v>0</v>
      </c>
      <c r="F33" s="242"/>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J11" sqref="J11"/>
    </sheetView>
  </sheetViews>
  <sheetFormatPr defaultColWidth="9.140625" defaultRowHeight="15" x14ac:dyDescent="0.25"/>
  <cols>
    <col min="1" max="1" width="20.85546875" style="46" customWidth="1"/>
    <col min="2" max="2" width="22" style="46" customWidth="1"/>
    <col min="3" max="3" width="17.28515625" style="46" customWidth="1"/>
    <col min="4" max="4" width="14.85546875" style="46" customWidth="1"/>
    <col min="5" max="5" width="16.140625" style="46" customWidth="1"/>
    <col min="6" max="6" width="10.7109375" style="46" bestFit="1" customWidth="1"/>
    <col min="7" max="16384" width="9.140625" style="46"/>
  </cols>
  <sheetData>
    <row r="1" spans="1:25" x14ac:dyDescent="0.25">
      <c r="A1" s="63" t="s">
        <v>185</v>
      </c>
    </row>
    <row r="2" spans="1:25" x14ac:dyDescent="0.25">
      <c r="A2" s="9" t="s">
        <v>186</v>
      </c>
    </row>
    <row r="3" spans="1:25" ht="35.25" customHeight="1" x14ac:dyDescent="0.25">
      <c r="B3" s="301" t="s">
        <v>113</v>
      </c>
      <c r="C3" s="301"/>
    </row>
    <row r="4" spans="1:25" ht="60" x14ac:dyDescent="0.25">
      <c r="B4" s="70" t="s">
        <v>44</v>
      </c>
      <c r="C4" s="236" t="s">
        <v>26</v>
      </c>
      <c r="D4" s="292" t="s">
        <v>199</v>
      </c>
      <c r="E4" s="292" t="s">
        <v>200</v>
      </c>
    </row>
    <row r="5" spans="1:25" x14ac:dyDescent="0.25">
      <c r="A5" s="20" t="s">
        <v>24</v>
      </c>
      <c r="B5" s="75">
        <f>SUM('[2]Billed kWh Sales'!$E36:$F36)</f>
        <v>2634229106</v>
      </c>
      <c r="C5" s="234">
        <f>SUM(D5:E5)</f>
        <v>8341311.3000000007</v>
      </c>
      <c r="D5" s="234">
        <f>ROUND(SUM('[3]Monthly Program Costs'!$AL290:$AW290),2)</f>
        <v>4879331.2300000004</v>
      </c>
      <c r="E5" s="234">
        <f>ROUND('[4]Settlement Proposal Budget'!$P$44*0.5,2)</f>
        <v>3461980.07</v>
      </c>
      <c r="F5" s="47"/>
    </row>
    <row r="6" spans="1:25" x14ac:dyDescent="0.25">
      <c r="A6" s="20" t="s">
        <v>107</v>
      </c>
      <c r="B6" s="75">
        <f>SUM('[2]Billed kWh Sales'!$E37:$F37)</f>
        <v>572465658</v>
      </c>
      <c r="C6" s="234">
        <f t="shared" ref="C6:C9" si="0">SUM(D6:E6)</f>
        <v>1227937.97</v>
      </c>
      <c r="D6" s="234">
        <f>ROUND(SUM('[3]Monthly Program Costs'!$AL291:$AW291),2)</f>
        <v>925434.65</v>
      </c>
      <c r="E6" s="234">
        <f>ROUND('[4]Settlement Proposal Budget'!$Q$44*0.5,2)</f>
        <v>302503.32</v>
      </c>
      <c r="F6" s="47"/>
    </row>
    <row r="7" spans="1:25" x14ac:dyDescent="0.25">
      <c r="A7" s="20" t="s">
        <v>108</v>
      </c>
      <c r="B7" s="75">
        <f>SUM('[2]Billed kWh Sales'!$E38:$F38)</f>
        <v>1148522955</v>
      </c>
      <c r="C7" s="234">
        <f t="shared" si="0"/>
        <v>2644127.02</v>
      </c>
      <c r="D7" s="234">
        <f>ROUND(SUM('[3]Monthly Program Costs'!$AL292:$AW292),2)</f>
        <v>1769550.28</v>
      </c>
      <c r="E7" s="234">
        <f>ROUND('[4]Settlement Proposal Budget'!$R$44*0.5,2)</f>
        <v>874576.74</v>
      </c>
      <c r="F7" s="47"/>
    </row>
    <row r="8" spans="1:25" x14ac:dyDescent="0.25">
      <c r="A8" s="20" t="s">
        <v>109</v>
      </c>
      <c r="B8" s="75">
        <f>SUM('[2]Billed kWh Sales'!$E39:$F39)</f>
        <v>1827312277</v>
      </c>
      <c r="C8" s="234">
        <f t="shared" si="0"/>
        <v>4254657.7300000004</v>
      </c>
      <c r="D8" s="234">
        <f>ROUND(SUM('[3]Monthly Program Costs'!$AL293:$AW293),2)</f>
        <v>2868026.06</v>
      </c>
      <c r="E8" s="234">
        <f>ROUND('[4]Settlement Proposal Budget'!$S$44*0.5,2)</f>
        <v>1386631.67</v>
      </c>
      <c r="F8" s="47"/>
    </row>
    <row r="9" spans="1:25" x14ac:dyDescent="0.25">
      <c r="A9" s="20" t="s">
        <v>110</v>
      </c>
      <c r="B9" s="75">
        <f>SUM('[2]Billed kWh Sales'!$E40:$F40)</f>
        <v>488345855</v>
      </c>
      <c r="C9" s="234">
        <f t="shared" si="0"/>
        <v>950736.68</v>
      </c>
      <c r="D9" s="234">
        <f>ROUND(SUM('[3]Monthly Program Costs'!$AL294:$AW294),2)</f>
        <v>773883.31</v>
      </c>
      <c r="E9" s="234">
        <f>ROUND('[4]Settlement Proposal Budget'!$T$44*0.5,2)</f>
        <v>176853.37</v>
      </c>
      <c r="F9" s="47"/>
      <c r="P9" s="1"/>
      <c r="Q9" s="1"/>
      <c r="R9" s="1"/>
      <c r="S9" s="1"/>
      <c r="T9" s="1"/>
      <c r="U9" s="1"/>
      <c r="V9" s="1"/>
      <c r="W9" s="1"/>
      <c r="X9" s="1"/>
      <c r="Y9" s="1"/>
    </row>
    <row r="10" spans="1:25" x14ac:dyDescent="0.25">
      <c r="A10" s="30" t="s">
        <v>112</v>
      </c>
      <c r="B10" s="253">
        <f>SUM(B5:B9)</f>
        <v>6670875851</v>
      </c>
      <c r="C10" s="235">
        <f>SUM(C5:C9)</f>
        <v>17418770.700000003</v>
      </c>
      <c r="D10" s="235">
        <f t="shared" ref="D10:E10" si="1">SUM(D5:D9)</f>
        <v>11216225.530000001</v>
      </c>
      <c r="E10" s="235">
        <f t="shared" si="1"/>
        <v>6202545.1699999999</v>
      </c>
      <c r="P10" s="1"/>
      <c r="Q10" s="1"/>
      <c r="R10" s="1"/>
      <c r="S10" s="1"/>
      <c r="T10" s="1"/>
      <c r="U10" s="1"/>
      <c r="V10" s="1"/>
      <c r="W10" s="1"/>
      <c r="X10" s="1"/>
      <c r="Y10" s="1"/>
    </row>
    <row r="12" spans="1:25" x14ac:dyDescent="0.25">
      <c r="A12" s="53" t="s">
        <v>11</v>
      </c>
    </row>
    <row r="13" spans="1:25" ht="30" customHeight="1" x14ac:dyDescent="0.25">
      <c r="A13" s="300" t="s">
        <v>187</v>
      </c>
      <c r="B13" s="300"/>
      <c r="C13" s="300"/>
      <c r="D13" s="300"/>
      <c r="E13" s="300"/>
      <c r="F13" s="294"/>
      <c r="G13" s="302"/>
      <c r="H13" s="302"/>
      <c r="I13" s="302"/>
    </row>
    <row r="14" spans="1:25" x14ac:dyDescent="0.25">
      <c r="A14" s="300" t="s">
        <v>210</v>
      </c>
      <c r="B14" s="300"/>
      <c r="C14" s="300"/>
      <c r="D14" s="300"/>
      <c r="E14" s="300"/>
    </row>
    <row r="15" spans="1:25" x14ac:dyDescent="0.25">
      <c r="A15" s="300" t="s">
        <v>212</v>
      </c>
      <c r="B15" s="300"/>
      <c r="C15" s="300"/>
      <c r="D15" s="300"/>
      <c r="E15" s="300"/>
    </row>
    <row r="16" spans="1:25" x14ac:dyDescent="0.25">
      <c r="A16" s="300" t="s">
        <v>213</v>
      </c>
      <c r="B16" s="300"/>
      <c r="C16" s="300"/>
      <c r="D16" s="300"/>
      <c r="E16" s="300"/>
    </row>
    <row r="24" spans="3:3" x14ac:dyDescent="0.25">
      <c r="C24" s="2"/>
    </row>
    <row r="46" spans="2:3" x14ac:dyDescent="0.25">
      <c r="B46" s="8"/>
      <c r="C46" s="8"/>
    </row>
    <row r="50" spans="2:3" x14ac:dyDescent="0.25">
      <c r="B50" s="8"/>
      <c r="C50" s="8"/>
    </row>
  </sheetData>
  <mergeCells count="6">
    <mergeCell ref="A16:E16"/>
    <mergeCell ref="B3:C3"/>
    <mergeCell ref="G13:I13"/>
    <mergeCell ref="A14:E14"/>
    <mergeCell ref="A13:E13"/>
    <mergeCell ref="A15:E15"/>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I1" workbookViewId="0">
      <selection activeCell="P1" sqref="P1:P1048576"/>
    </sheetView>
  </sheetViews>
  <sheetFormatPr defaultColWidth="9.140625" defaultRowHeight="15" outlineLevelCol="1" x14ac:dyDescent="0.25"/>
  <cols>
    <col min="1" max="1" width="54.5703125" style="46" customWidth="1"/>
    <col min="2" max="2" width="14.7109375" style="46" customWidth="1"/>
    <col min="3" max="3" width="15" style="46" customWidth="1"/>
    <col min="4" max="4" width="15" style="46" hidden="1" customWidth="1" outlineLevel="1"/>
    <col min="5" max="5" width="15.28515625" style="46" customWidth="1" collapsed="1"/>
    <col min="6" max="6" width="15.85546875" style="46" customWidth="1"/>
    <col min="7" max="7" width="17.5703125" style="46" customWidth="1"/>
    <col min="8" max="9" width="13.28515625" style="46" customWidth="1"/>
    <col min="10" max="10" width="15.7109375" style="46" customWidth="1"/>
    <col min="11" max="12" width="12.5703125" style="46" bestFit="1" customWidth="1"/>
    <col min="13" max="13" width="14.42578125" style="46" customWidth="1"/>
    <col min="14" max="14" width="15" style="46" bestFit="1" customWidth="1"/>
    <col min="15" max="15" width="16.28515625" style="46" bestFit="1" customWidth="1"/>
    <col min="16" max="16" width="16.140625" style="46" customWidth="1"/>
    <col min="17" max="17" width="17.28515625" style="46" bestFit="1" customWidth="1"/>
    <col min="18" max="18" width="17.42578125" style="46" customWidth="1"/>
    <col min="19" max="19" width="15.5703125" style="46" customWidth="1"/>
    <col min="20" max="20" width="13" style="46" customWidth="1"/>
    <col min="21" max="21" width="9.140625" style="46"/>
    <col min="22" max="22" width="14.28515625" style="46" bestFit="1" customWidth="1"/>
    <col min="23" max="16384" width="9.140625" style="46"/>
  </cols>
  <sheetData>
    <row r="1" spans="1:35" x14ac:dyDescent="0.25">
      <c r="A1" s="3" t="str">
        <f>+'PPC Cycle 3'!A1</f>
        <v>Evergy Metro, Inc. - DSIM Rider Update Filed 06/01/2022</v>
      </c>
      <c r="B1" s="3"/>
      <c r="C1" s="3"/>
      <c r="D1" s="3"/>
    </row>
    <row r="2" spans="1:35" x14ac:dyDescent="0.25">
      <c r="E2" s="3" t="s">
        <v>60</v>
      </c>
    </row>
    <row r="3" spans="1:35" ht="30" x14ac:dyDescent="0.25">
      <c r="E3" s="48" t="s">
        <v>46</v>
      </c>
      <c r="F3" s="48" t="s">
        <v>45</v>
      </c>
      <c r="G3" s="70" t="s">
        <v>2</v>
      </c>
      <c r="H3" s="48" t="s">
        <v>3</v>
      </c>
      <c r="I3" s="70" t="s">
        <v>55</v>
      </c>
      <c r="J3" s="48" t="s">
        <v>10</v>
      </c>
      <c r="K3" s="48" t="s">
        <v>4</v>
      </c>
    </row>
    <row r="4" spans="1:35" x14ac:dyDescent="0.25">
      <c r="A4" s="20" t="s">
        <v>24</v>
      </c>
      <c r="E4" s="22">
        <f>SUM(C34:M34)</f>
        <v>14394.67</v>
      </c>
      <c r="F4" s="138">
        <f>SUM(C27:M27)</f>
        <v>1227492658.6527002</v>
      </c>
      <c r="G4" s="22">
        <f>SUM(C23:L23)</f>
        <v>0</v>
      </c>
      <c r="H4" s="22">
        <f>G4-E4</f>
        <v>-14394.67</v>
      </c>
      <c r="I4" s="22">
        <f>+B47</f>
        <v>26366.934999999641</v>
      </c>
      <c r="J4" s="22">
        <f>SUM(C52:L52)</f>
        <v>151.23999999999998</v>
      </c>
      <c r="K4" s="25">
        <f>SUM(H4:J4)</f>
        <v>12123.504999999641</v>
      </c>
      <c r="L4" s="47">
        <f>+K4-M47</f>
        <v>0</v>
      </c>
    </row>
    <row r="5" spans="1:35" ht="15.75" thickBot="1" x14ac:dyDescent="0.3">
      <c r="A5" s="20" t="s">
        <v>25</v>
      </c>
      <c r="E5" s="22">
        <f>SUM(C35:M38)</f>
        <v>-66047.550000000017</v>
      </c>
      <c r="F5" s="138">
        <f>SUM(C28:M31)</f>
        <v>1873792757.3500001</v>
      </c>
      <c r="G5" s="22">
        <f>SUM(C24:L24)</f>
        <v>0</v>
      </c>
      <c r="H5" s="22">
        <f>G5-E5</f>
        <v>66047.550000000017</v>
      </c>
      <c r="I5" s="22">
        <f>+B48</f>
        <v>-141368.935</v>
      </c>
      <c r="J5" s="22">
        <f>SUM(C53:L53)</f>
        <v>-830.43999999999994</v>
      </c>
      <c r="K5" s="25">
        <f>SUM(H5:J5)</f>
        <v>-76151.824999999983</v>
      </c>
      <c r="L5" s="47">
        <f>+K5-M48</f>
        <v>0</v>
      </c>
    </row>
    <row r="6" spans="1:35" ht="16.5" thickTop="1" thickBot="1" x14ac:dyDescent="0.3">
      <c r="E6" s="27">
        <f t="shared" ref="E6" si="0">SUM(E4:E5)</f>
        <v>-51652.880000000019</v>
      </c>
      <c r="F6" s="27">
        <f t="shared" ref="F6:I6" si="1">SUM(F4:F5)</f>
        <v>3101285416.0027003</v>
      </c>
      <c r="G6" s="27">
        <f t="shared" si="1"/>
        <v>0</v>
      </c>
      <c r="H6" s="27">
        <f t="shared" si="1"/>
        <v>51652.880000000019</v>
      </c>
      <c r="I6" s="27">
        <f t="shared" si="1"/>
        <v>-115002.00000000035</v>
      </c>
      <c r="J6" s="27">
        <f>SUM(J4:J5)</f>
        <v>-679.19999999999993</v>
      </c>
      <c r="K6" s="27">
        <f>SUM(K4:K5)</f>
        <v>-64028.320000000342</v>
      </c>
    </row>
    <row r="7" spans="1:35" ht="45.75" thickTop="1" x14ac:dyDescent="0.25">
      <c r="E7" s="232"/>
      <c r="F7" s="233"/>
      <c r="G7" s="232"/>
      <c r="H7" s="232"/>
      <c r="I7" s="232"/>
      <c r="J7" s="231"/>
      <c r="K7" s="231"/>
      <c r="L7" s="230" t="s">
        <v>123</v>
      </c>
    </row>
    <row r="8" spans="1:35" x14ac:dyDescent="0.25">
      <c r="A8" s="20" t="s">
        <v>107</v>
      </c>
      <c r="E8" s="232"/>
      <c r="F8" s="233"/>
      <c r="G8" s="232"/>
      <c r="H8" s="232"/>
      <c r="I8" s="232"/>
      <c r="J8" s="231"/>
      <c r="K8" s="25">
        <f>ROUND($K$5*L8,2)</f>
        <v>-10338.709999999999</v>
      </c>
      <c r="L8" s="228">
        <f>+'[5]Monthly TD Calc'!$CY$44</f>
        <v>0.13576441564001979</v>
      </c>
    </row>
    <row r="9" spans="1:35" x14ac:dyDescent="0.25">
      <c r="A9" s="20" t="s">
        <v>108</v>
      </c>
      <c r="E9" s="232"/>
      <c r="F9" s="233"/>
      <c r="G9" s="232"/>
      <c r="H9" s="232"/>
      <c r="I9" s="232"/>
      <c r="J9" s="231"/>
      <c r="K9" s="25">
        <f t="shared" ref="K9:K11" si="2">ROUND($K$5*L9,2)</f>
        <v>-27118.86</v>
      </c>
      <c r="L9" s="228">
        <f>+'[5]Monthly TD Calc'!$CZ$44</f>
        <v>0.35611574316442379</v>
      </c>
    </row>
    <row r="10" spans="1:35" x14ac:dyDescent="0.25">
      <c r="A10" s="20" t="s">
        <v>109</v>
      </c>
      <c r="E10" s="232"/>
      <c r="F10" s="233"/>
      <c r="G10" s="232"/>
      <c r="H10" s="232"/>
      <c r="I10" s="232"/>
      <c r="J10" s="231"/>
      <c r="K10" s="25">
        <f t="shared" si="2"/>
        <v>-31855.72</v>
      </c>
      <c r="L10" s="228">
        <f>+'[5]Monthly TD Calc'!$DA$44</f>
        <v>0.4183185730547726</v>
      </c>
    </row>
    <row r="11" spans="1:35" ht="15.75" thickBot="1" x14ac:dyDescent="0.3">
      <c r="A11" s="20" t="s">
        <v>110</v>
      </c>
      <c r="E11" s="232"/>
      <c r="F11" s="233"/>
      <c r="G11" s="232"/>
      <c r="H11" s="232"/>
      <c r="I11" s="232"/>
      <c r="J11" s="231"/>
      <c r="K11" s="25">
        <f t="shared" si="2"/>
        <v>-6838.53</v>
      </c>
      <c r="L11" s="228">
        <f>+'[5]Monthly TD Calc'!$DB$44</f>
        <v>8.9801268140783777E-2</v>
      </c>
    </row>
    <row r="12" spans="1:35" ht="16.5" thickTop="1" thickBot="1" x14ac:dyDescent="0.3">
      <c r="A12" s="20" t="s">
        <v>112</v>
      </c>
      <c r="E12" s="232"/>
      <c r="F12" s="233"/>
      <c r="G12" s="232"/>
      <c r="H12" s="232"/>
      <c r="I12" s="232"/>
      <c r="J12" s="231"/>
      <c r="K12" s="27">
        <f>SUM(K8:K11)</f>
        <v>-76151.820000000007</v>
      </c>
      <c r="L12" s="229">
        <f>SUM(L8:L11)</f>
        <v>1</v>
      </c>
    </row>
    <row r="13" spans="1:35" ht="16.5" thickTop="1" thickBot="1" x14ac:dyDescent="0.3"/>
    <row r="14" spans="1:35" ht="90.75" thickBot="1" x14ac:dyDescent="0.3">
      <c r="B14" s="118" t="s">
        <v>188</v>
      </c>
      <c r="C14" s="278" t="s">
        <v>189</v>
      </c>
      <c r="D14" s="278"/>
      <c r="E14" s="308" t="s">
        <v>33</v>
      </c>
      <c r="F14" s="308"/>
      <c r="G14" s="309"/>
      <c r="H14" s="310" t="s">
        <v>33</v>
      </c>
      <c r="I14" s="311"/>
      <c r="J14" s="312"/>
      <c r="K14" s="304" t="s">
        <v>8</v>
      </c>
      <c r="L14" s="305"/>
      <c r="M14" s="306"/>
    </row>
    <row r="15" spans="1:35" x14ac:dyDescent="0.25">
      <c r="A15" s="46" t="s">
        <v>32</v>
      </c>
      <c r="C15" s="14"/>
      <c r="D15" s="19"/>
      <c r="E15" s="19">
        <v>44530</v>
      </c>
      <c r="F15" s="19">
        <f>EOMONTH(E15,1)</f>
        <v>44561</v>
      </c>
      <c r="G15" s="19">
        <f t="shared" ref="G15:M15" si="3">EOMONTH(F15,1)</f>
        <v>44592</v>
      </c>
      <c r="H15" s="14">
        <f t="shared" si="3"/>
        <v>44620</v>
      </c>
      <c r="I15" s="19">
        <f t="shared" si="3"/>
        <v>44651</v>
      </c>
      <c r="J15" s="15">
        <f t="shared" si="3"/>
        <v>44681</v>
      </c>
      <c r="K15" s="19">
        <f t="shared" si="3"/>
        <v>44712</v>
      </c>
      <c r="L15" s="19">
        <f t="shared" si="3"/>
        <v>44742</v>
      </c>
      <c r="M15" s="95">
        <f t="shared" si="3"/>
        <v>44773</v>
      </c>
      <c r="Z15" s="1"/>
      <c r="AA15" s="1"/>
      <c r="AB15" s="1"/>
      <c r="AC15" s="1"/>
      <c r="AD15" s="1"/>
      <c r="AE15" s="1"/>
      <c r="AF15" s="1"/>
      <c r="AG15" s="1"/>
      <c r="AH15" s="1"/>
      <c r="AI15" s="1"/>
    </row>
    <row r="16" spans="1:35" x14ac:dyDescent="0.25">
      <c r="A16" s="46" t="s">
        <v>24</v>
      </c>
      <c r="C16" s="97">
        <v>0</v>
      </c>
      <c r="D16" s="267"/>
      <c r="E16" s="109">
        <v>0</v>
      </c>
      <c r="F16" s="109">
        <v>0</v>
      </c>
      <c r="G16" s="110">
        <v>0</v>
      </c>
      <c r="H16" s="16">
        <v>0</v>
      </c>
      <c r="I16" s="55">
        <v>0</v>
      </c>
      <c r="J16" s="166">
        <v>0</v>
      </c>
      <c r="K16" s="176">
        <v>0</v>
      </c>
      <c r="L16" s="140">
        <v>0</v>
      </c>
      <c r="M16" s="76"/>
    </row>
    <row r="17" spans="1:14" x14ac:dyDescent="0.25">
      <c r="A17" s="46" t="s">
        <v>25</v>
      </c>
      <c r="C17" s="97">
        <v>0</v>
      </c>
      <c r="D17" s="267"/>
      <c r="E17" s="109">
        <v>0</v>
      </c>
      <c r="F17" s="109">
        <v>0</v>
      </c>
      <c r="G17" s="110">
        <v>0</v>
      </c>
      <c r="H17" s="16">
        <v>0</v>
      </c>
      <c r="I17" s="55">
        <v>0</v>
      </c>
      <c r="J17" s="166">
        <v>0</v>
      </c>
      <c r="K17" s="176">
        <v>0</v>
      </c>
      <c r="L17" s="140">
        <v>0</v>
      </c>
      <c r="M17" s="76"/>
      <c r="N17" s="63" t="s">
        <v>27</v>
      </c>
    </row>
    <row r="18" spans="1:14" x14ac:dyDescent="0.25">
      <c r="A18" s="46" t="s">
        <v>0</v>
      </c>
      <c r="C18" s="97">
        <v>0</v>
      </c>
      <c r="D18" s="267"/>
      <c r="E18" s="109">
        <v>0</v>
      </c>
      <c r="F18" s="109">
        <v>0</v>
      </c>
      <c r="G18" s="110">
        <v>0</v>
      </c>
      <c r="H18" s="16">
        <v>0</v>
      </c>
      <c r="I18" s="55">
        <v>0</v>
      </c>
      <c r="J18" s="166">
        <v>0</v>
      </c>
      <c r="K18" s="176">
        <v>0</v>
      </c>
      <c r="L18" s="140">
        <v>0</v>
      </c>
      <c r="M18" s="76"/>
      <c r="N18" s="73">
        <v>0.5</v>
      </c>
    </row>
    <row r="19" spans="1:14" x14ac:dyDescent="0.25">
      <c r="A19" s="46" t="s">
        <v>1</v>
      </c>
      <c r="C19" s="97">
        <v>0</v>
      </c>
      <c r="D19" s="267"/>
      <c r="E19" s="109">
        <v>0</v>
      </c>
      <c r="F19" s="109">
        <v>0</v>
      </c>
      <c r="G19" s="110">
        <v>0</v>
      </c>
      <c r="H19" s="16">
        <v>0</v>
      </c>
      <c r="I19" s="55">
        <v>0</v>
      </c>
      <c r="J19" s="166">
        <v>0</v>
      </c>
      <c r="K19" s="176">
        <v>0</v>
      </c>
      <c r="L19" s="140">
        <v>0</v>
      </c>
      <c r="M19" s="76"/>
      <c r="N19" s="63"/>
    </row>
    <row r="20" spans="1:14" x14ac:dyDescent="0.25">
      <c r="C20" s="98"/>
      <c r="D20" s="268"/>
      <c r="E20" s="31"/>
      <c r="F20" s="31"/>
      <c r="G20" s="31"/>
      <c r="H20" s="28"/>
      <c r="I20" s="31"/>
      <c r="J20" s="11"/>
      <c r="K20" s="31"/>
      <c r="L20" s="31"/>
      <c r="M20" s="29"/>
    </row>
    <row r="21" spans="1:14" x14ac:dyDescent="0.25">
      <c r="C21" s="98"/>
      <c r="D21" s="268"/>
      <c r="E21" s="31"/>
      <c r="F21" s="31"/>
      <c r="G21" s="31"/>
      <c r="H21" s="28"/>
      <c r="I21" s="31"/>
      <c r="J21" s="11"/>
      <c r="K21" s="31"/>
      <c r="L21" s="31"/>
      <c r="M21" s="29"/>
    </row>
    <row r="22" spans="1:14" x14ac:dyDescent="0.25">
      <c r="A22" s="46" t="s">
        <v>35</v>
      </c>
      <c r="C22" s="99"/>
      <c r="D22" s="151"/>
      <c r="E22" s="31"/>
      <c r="F22" s="31"/>
      <c r="G22" s="31"/>
      <c r="H22" s="28"/>
      <c r="I22" s="31"/>
      <c r="J22" s="167"/>
      <c r="K22" s="17"/>
      <c r="L22" s="17"/>
      <c r="M22" s="11"/>
    </row>
    <row r="23" spans="1:14" x14ac:dyDescent="0.25">
      <c r="A23" s="46" t="s">
        <v>24</v>
      </c>
      <c r="C23" s="40">
        <f>C16+($N$18*C$18)+($N$18*C$19)</f>
        <v>0</v>
      </c>
      <c r="D23" s="123"/>
      <c r="E23" s="41">
        <f t="shared" ref="E23:L23" si="4">E16+($N$18*E$18)+($N$18*E$19)</f>
        <v>0</v>
      </c>
      <c r="F23" s="41">
        <f t="shared" si="4"/>
        <v>0</v>
      </c>
      <c r="G23" s="108">
        <f t="shared" si="4"/>
        <v>0</v>
      </c>
      <c r="H23" s="40">
        <f t="shared" si="4"/>
        <v>0</v>
      </c>
      <c r="I23" s="41">
        <f t="shared" si="4"/>
        <v>0</v>
      </c>
      <c r="J23" s="61">
        <f t="shared" si="4"/>
        <v>0</v>
      </c>
      <c r="K23" s="123">
        <f t="shared" si="4"/>
        <v>0</v>
      </c>
      <c r="L23" s="41">
        <f t="shared" si="4"/>
        <v>0</v>
      </c>
      <c r="M23" s="61">
        <f t="shared" ref="M23" si="5">M16+($N$18*M$18)+($N$18*M$19)+M$20*(1-$N$20)</f>
        <v>0</v>
      </c>
    </row>
    <row r="24" spans="1:14" x14ac:dyDescent="0.25">
      <c r="A24" s="46" t="s">
        <v>25</v>
      </c>
      <c r="C24" s="40">
        <f>(C$17+$N$18*C$18)+C$19*$N$18</f>
        <v>0</v>
      </c>
      <c r="D24" s="123"/>
      <c r="E24" s="41">
        <f t="shared" ref="E24:L24" si="6">(E$17+$N$18*E$18)+E$19*$N$18</f>
        <v>0</v>
      </c>
      <c r="F24" s="41">
        <f t="shared" si="6"/>
        <v>0</v>
      </c>
      <c r="G24" s="108">
        <f t="shared" si="6"/>
        <v>0</v>
      </c>
      <c r="H24" s="40">
        <f t="shared" si="6"/>
        <v>0</v>
      </c>
      <c r="I24" s="41">
        <f t="shared" si="6"/>
        <v>0</v>
      </c>
      <c r="J24" s="61">
        <f t="shared" si="6"/>
        <v>0</v>
      </c>
      <c r="K24" s="123">
        <f t="shared" si="6"/>
        <v>0</v>
      </c>
      <c r="L24" s="41">
        <f t="shared" si="6"/>
        <v>0</v>
      </c>
      <c r="M24" s="61">
        <f t="shared" ref="M24" si="7">(M$17+$N$18*M$18+M$20*$N$20)+M$19*$N$18</f>
        <v>0</v>
      </c>
    </row>
    <row r="25" spans="1:14" x14ac:dyDescent="0.25">
      <c r="C25" s="99"/>
      <c r="D25" s="151"/>
      <c r="E25" s="31"/>
      <c r="F25" s="31"/>
      <c r="G25" s="31"/>
      <c r="H25" s="28"/>
      <c r="I25" s="31"/>
      <c r="J25" s="11"/>
      <c r="K25" s="17"/>
      <c r="L25" s="17"/>
      <c r="M25" s="11"/>
    </row>
    <row r="26" spans="1:14" x14ac:dyDescent="0.25">
      <c r="A26" s="39" t="s">
        <v>47</v>
      </c>
      <c r="B26" s="39"/>
      <c r="C26" s="101"/>
      <c r="D26" s="269"/>
      <c r="E26" s="31"/>
      <c r="F26" s="31"/>
      <c r="G26" s="31"/>
      <c r="H26" s="28"/>
      <c r="I26" s="31"/>
      <c r="J26" s="11"/>
      <c r="K26" s="17"/>
      <c r="L26" s="17"/>
      <c r="M26" s="11"/>
    </row>
    <row r="27" spans="1:14" x14ac:dyDescent="0.25">
      <c r="A27" s="46" t="s">
        <v>24</v>
      </c>
      <c r="C27" s="102">
        <v>-654980908</v>
      </c>
      <c r="D27" s="270"/>
      <c r="E27" s="111">
        <f>+'[6]Nov 2021'!$C123</f>
        <v>155290587.39690003</v>
      </c>
      <c r="F27" s="111">
        <f>+'[6]Dec 2021'!$C123</f>
        <v>186474791.71129999</v>
      </c>
      <c r="G27" s="111">
        <f>+'[6]Jan 2022'!$C123</f>
        <v>248191878.95329997</v>
      </c>
      <c r="H27" s="186">
        <f>+'[6]Feb 2022'!$C123</f>
        <v>239393096.39210007</v>
      </c>
      <c r="I27" s="189">
        <f>+'[6]Mar 2022'!$C123</f>
        <v>219055512.84030005</v>
      </c>
      <c r="J27" s="181">
        <f>+'[6]Apr 2022'!$C123</f>
        <v>173454440.35879999</v>
      </c>
      <c r="K27" s="177">
        <f>+'[2]Billed kWh Sales'!C24</f>
        <v>160481876</v>
      </c>
      <c r="L27" s="141">
        <f>+'[2]Billed kWh Sales'!D24</f>
        <v>230930879</v>
      </c>
      <c r="M27" s="77">
        <f>+'[2]Billed kWh Sales'!E24</f>
        <v>269200504</v>
      </c>
    </row>
    <row r="28" spans="1:14" x14ac:dyDescent="0.25">
      <c r="A28" s="46" t="s">
        <v>107</v>
      </c>
      <c r="C28" s="102">
        <v>-128552343</v>
      </c>
      <c r="D28" s="270"/>
      <c r="E28" s="111">
        <f>+'[6]Nov 2021'!$C124</f>
        <v>40050592.957300007</v>
      </c>
      <c r="F28" s="111">
        <f>+'[6]Dec 2021'!$C124</f>
        <v>44001605.461200006</v>
      </c>
      <c r="G28" s="111">
        <f>+'[6]Jan 2022'!$C124</f>
        <v>50685975.409699999</v>
      </c>
      <c r="H28" s="186">
        <f>+'[6]Feb 2022'!$C124</f>
        <v>50210251.284099996</v>
      </c>
      <c r="I28" s="189">
        <f>+'[6]Mar 2022'!$C124</f>
        <v>49654715.874099992</v>
      </c>
      <c r="J28" s="181">
        <f>+'[6]Apr 2022'!$C124</f>
        <v>42334133.756600007</v>
      </c>
      <c r="K28" s="177">
        <f>+'[2]Billed kWh Sales'!C25</f>
        <v>43898676</v>
      </c>
      <c r="L28" s="141">
        <f>+'[2]Billed kWh Sales'!D25</f>
        <v>47502172</v>
      </c>
      <c r="M28" s="77">
        <f>+'[2]Billed kWh Sales'!E25</f>
        <v>47643719</v>
      </c>
    </row>
    <row r="29" spans="1:14" x14ac:dyDescent="0.25">
      <c r="A29" s="46" t="s">
        <v>108</v>
      </c>
      <c r="C29" s="102">
        <v>-280220755</v>
      </c>
      <c r="D29" s="270"/>
      <c r="E29" s="111">
        <f>+'[6]Nov 2021'!$C125</f>
        <v>80849734.091200009</v>
      </c>
      <c r="F29" s="111">
        <f>+'[6]Dec 2021'!$C125</f>
        <v>84805843.812199995</v>
      </c>
      <c r="G29" s="111">
        <f>+'[6]Jan 2022'!$C125</f>
        <v>95006218.557700008</v>
      </c>
      <c r="H29" s="186">
        <f>+'[6]Feb 2022'!$C125</f>
        <v>91769625.66230002</v>
      </c>
      <c r="I29" s="189">
        <f>+'[6]Mar 2022'!$C125</f>
        <v>90084359.716999993</v>
      </c>
      <c r="J29" s="181">
        <f>+'[6]Apr 2022'!$C125</f>
        <v>80095667.133499995</v>
      </c>
      <c r="K29" s="177">
        <f>+'[2]Billed kWh Sales'!C26</f>
        <v>88072772</v>
      </c>
      <c r="L29" s="141">
        <f>+'[2]Billed kWh Sales'!D26</f>
        <v>95302371</v>
      </c>
      <c r="M29" s="77">
        <f>+'[2]Billed kWh Sales'!E26</f>
        <v>95586354</v>
      </c>
    </row>
    <row r="30" spans="1:14" x14ac:dyDescent="0.25">
      <c r="A30" s="46" t="s">
        <v>109</v>
      </c>
      <c r="C30" s="102">
        <v>-444071453</v>
      </c>
      <c r="D30" s="270"/>
      <c r="E30" s="111">
        <f>+'[6]Nov 2021'!$C126</f>
        <v>133836084.98889999</v>
      </c>
      <c r="F30" s="111">
        <f>+'[6]Dec 2021'!$C126</f>
        <v>141945619.13149998</v>
      </c>
      <c r="G30" s="111">
        <f>+'[6]Jan 2022'!$C126</f>
        <v>155316252.5379</v>
      </c>
      <c r="H30" s="186">
        <f>+'[6]Feb 2022'!$C126</f>
        <v>150958059.02599999</v>
      </c>
      <c r="I30" s="189">
        <f>+'[6]Mar 2022'!$C126</f>
        <v>150063214.39480001</v>
      </c>
      <c r="J30" s="181">
        <f>+'[6]Apr 2022'!$C126</f>
        <v>134556465.63409999</v>
      </c>
      <c r="K30" s="177">
        <f>+'[2]Billed kWh Sales'!C27</f>
        <v>140124721</v>
      </c>
      <c r="L30" s="141">
        <f>+'[2]Billed kWh Sales'!D27</f>
        <v>151627090</v>
      </c>
      <c r="M30" s="77">
        <f>+'[2]Billed kWh Sales'!E27</f>
        <v>152078909</v>
      </c>
    </row>
    <row r="31" spans="1:14" x14ac:dyDescent="0.25">
      <c r="A31" s="46" t="s">
        <v>110</v>
      </c>
      <c r="C31" s="102">
        <v>-127625048</v>
      </c>
      <c r="D31" s="270"/>
      <c r="E31" s="111">
        <f>+'[6]Nov 2021'!$C127</f>
        <v>35435985.744899988</v>
      </c>
      <c r="F31" s="111">
        <f>+'[6]Dec 2021'!$C127</f>
        <v>34968583.747999996</v>
      </c>
      <c r="G31" s="111">
        <f>+'[6]Jan 2022'!$C127</f>
        <v>36091908.232299998</v>
      </c>
      <c r="H31" s="186">
        <f>+'[6]Feb 2022'!$C127</f>
        <v>33116594.028800003</v>
      </c>
      <c r="I31" s="189">
        <f>+'[6]Mar 2022'!$C127</f>
        <v>34343695.215500005</v>
      </c>
      <c r="J31" s="181">
        <f>+'[6]Apr 2022'!$C127</f>
        <v>33631438.950400002</v>
      </c>
      <c r="K31" s="177">
        <f>+'[2]Billed kWh Sales'!C28</f>
        <v>37448075</v>
      </c>
      <c r="L31" s="141">
        <f>+'[2]Billed kWh Sales'!D28</f>
        <v>40522062</v>
      </c>
      <c r="M31" s="77">
        <f>+'[2]Billed kWh Sales'!E28</f>
        <v>40642810</v>
      </c>
    </row>
    <row r="32" spans="1:14" x14ac:dyDescent="0.25">
      <c r="C32" s="99"/>
      <c r="D32" s="151"/>
      <c r="E32" s="31"/>
      <c r="F32" s="31"/>
      <c r="G32" s="31"/>
      <c r="H32" s="28"/>
      <c r="I32" s="31"/>
      <c r="J32" s="11"/>
      <c r="K32" s="17"/>
      <c r="L32" s="17"/>
      <c r="M32" s="11"/>
    </row>
    <row r="33" spans="1:15" x14ac:dyDescent="0.25">
      <c r="A33" s="46" t="s">
        <v>34</v>
      </c>
      <c r="C33" s="99"/>
      <c r="D33" s="151"/>
      <c r="E33" s="18"/>
      <c r="F33" s="18"/>
      <c r="G33" s="18"/>
      <c r="H33" s="91"/>
      <c r="I33" s="18"/>
      <c r="J33" s="11"/>
      <c r="K33" s="57"/>
      <c r="L33" s="57"/>
      <c r="M33" s="58"/>
      <c r="N33" s="63" t="s">
        <v>50</v>
      </c>
      <c r="O33" s="39"/>
    </row>
    <row r="34" spans="1:15" x14ac:dyDescent="0.25">
      <c r="A34" s="46" t="s">
        <v>24</v>
      </c>
      <c r="C34" s="97">
        <v>-19649.43</v>
      </c>
      <c r="D34" s="267"/>
      <c r="E34" s="109">
        <f>ROUND('[6]Nov 2021'!$F43+'[6]Nov 2021'!$F52,2)</f>
        <v>4745.84</v>
      </c>
      <c r="F34" s="109">
        <f>ROUND('[6]Dec 2021'!$F43+'[6]Dec 2021'!$F52,2)</f>
        <v>5712.58</v>
      </c>
      <c r="G34" s="111">
        <f>ROUND('[6]Jan 2022'!$F43+'[6]Jan 2022'!$F52,2)</f>
        <v>7558.13</v>
      </c>
      <c r="H34" s="187">
        <f>ROUND('[6]Feb 2022'!$F43+'[6]Feb 2022'!$F52,2)</f>
        <v>5514.34</v>
      </c>
      <c r="I34" s="55">
        <f>ROUND('[6]Mar 2022'!$F43+'[6]Mar 2022'!$F52,2)</f>
        <v>2104.31</v>
      </c>
      <c r="J34" s="179">
        <f>ROUND('[6]Apr 2022'!$F43+'[6]Apr 2022'!$F52,2)</f>
        <v>1802.76</v>
      </c>
      <c r="K34" s="123">
        <f>ROUND(K27*$N34,2)</f>
        <v>1604.82</v>
      </c>
      <c r="L34" s="41">
        <f t="shared" ref="L34:M34" si="8">ROUND(L27*$N34,2)</f>
        <v>2309.31</v>
      </c>
      <c r="M34" s="61">
        <f t="shared" si="8"/>
        <v>2692.01</v>
      </c>
      <c r="N34" s="72">
        <v>1.0000000000000001E-5</v>
      </c>
    </row>
    <row r="35" spans="1:15" x14ac:dyDescent="0.25">
      <c r="A35" s="46" t="s">
        <v>107</v>
      </c>
      <c r="C35" s="97">
        <v>10284.189999999999</v>
      </c>
      <c r="D35" s="267"/>
      <c r="E35" s="109">
        <f>ROUND('[6]Nov 2021'!$F44+'[6]Nov 2021'!$F53,2)</f>
        <v>-3253.55</v>
      </c>
      <c r="F35" s="109">
        <f>ROUND('[6]Dec 2021'!$F44+'[6]Dec 2021'!$F53,2)</f>
        <v>-3519.95</v>
      </c>
      <c r="G35" s="111">
        <f>ROUND('[6]Jan 2022'!$F44+'[6]Jan 2022'!$F53,2)</f>
        <v>-4007.84</v>
      </c>
      <c r="H35" s="187">
        <f>ROUND('[6]Feb 2022'!$F44+'[6]Feb 2022'!$F53,2)</f>
        <v>-3144.72</v>
      </c>
      <c r="I35" s="55">
        <f>ROUND('[6]Mar 2022'!$F44+'[6]Mar 2022'!$F53,2)</f>
        <v>-1487.73</v>
      </c>
      <c r="J35" s="179">
        <f>ROUND('[6]Apr 2022'!$F44+'[6]Apr 2022'!$F53,2)</f>
        <v>-1251.57</v>
      </c>
      <c r="K35" s="123">
        <f t="shared" ref="K35:M35" si="9">ROUND(K28*$N35,2)</f>
        <v>-1316.96</v>
      </c>
      <c r="L35" s="41">
        <f t="shared" si="9"/>
        <v>-1425.07</v>
      </c>
      <c r="M35" s="61">
        <f t="shared" si="9"/>
        <v>-1429.31</v>
      </c>
      <c r="N35" s="72">
        <v>-3.0000000000000004E-5</v>
      </c>
    </row>
    <row r="36" spans="1:15" x14ac:dyDescent="0.25">
      <c r="A36" s="46" t="s">
        <v>108</v>
      </c>
      <c r="C36" s="97">
        <v>28022.07</v>
      </c>
      <c r="D36" s="267"/>
      <c r="E36" s="109">
        <f>ROUND('[6]Nov 2021'!$F45+'[6]Nov 2021'!$F54,2)</f>
        <v>-8085.21</v>
      </c>
      <c r="F36" s="109">
        <f>ROUND('[6]Dec 2021'!$F45+'[6]Dec 2021'!$F54,2)</f>
        <v>-8483.35</v>
      </c>
      <c r="G36" s="111">
        <f>ROUND('[6]Jan 2022'!$F45+'[6]Jan 2022'!$F54,2)</f>
        <v>-9523.5499999999993</v>
      </c>
      <c r="H36" s="187">
        <f>ROUND('[6]Feb 2022'!$F45+'[6]Feb 2022'!$F54,2)</f>
        <v>-7325.16</v>
      </c>
      <c r="I36" s="55">
        <f>ROUND('[6]Mar 2022'!$F45+'[6]Mar 2022'!$F54,2)</f>
        <v>-3604.06</v>
      </c>
      <c r="J36" s="179">
        <f>ROUND('[6]Apr 2022'!$F45+'[6]Apr 2022'!$F54,2)</f>
        <v>-3218.97</v>
      </c>
      <c r="K36" s="123">
        <f t="shared" ref="K36:M36" si="10">ROUND(K29*$N36,2)</f>
        <v>-3522.91</v>
      </c>
      <c r="L36" s="41">
        <f t="shared" si="10"/>
        <v>-3812.09</v>
      </c>
      <c r="M36" s="61">
        <f t="shared" si="10"/>
        <v>-3823.45</v>
      </c>
      <c r="N36" s="72">
        <v>-4.0000000000000003E-5</v>
      </c>
    </row>
    <row r="37" spans="1:15" x14ac:dyDescent="0.25">
      <c r="A37" s="46" t="s">
        <v>109</v>
      </c>
      <c r="C37" s="97">
        <v>31085</v>
      </c>
      <c r="D37" s="267"/>
      <c r="E37" s="109">
        <f>ROUND('[6]Nov 2021'!$F46+'[6]Nov 2021'!$F55,2)</f>
        <v>-9367.7900000000009</v>
      </c>
      <c r="F37" s="109">
        <f>ROUND('[6]Dec 2021'!$F46+'[6]Dec 2021'!$F55,2)</f>
        <v>-9876.4500000000007</v>
      </c>
      <c r="G37" s="111">
        <f>ROUND('[6]Jan 2022'!$F46+'[6]Jan 2022'!$F55,2)</f>
        <v>-10867.6</v>
      </c>
      <c r="H37" s="187">
        <f>ROUND('[6]Feb 2022'!$F46+'[6]Feb 2022'!$F55,2)</f>
        <v>-8281.2000000000007</v>
      </c>
      <c r="I37" s="55">
        <f>ROUND('[6]Mar 2022'!$F46+'[6]Mar 2022'!$F55,2)</f>
        <v>-4502.96</v>
      </c>
      <c r="J37" s="179">
        <f>ROUND('[6]Apr 2022'!$F46+'[6]Apr 2022'!$F55,2)</f>
        <v>-4031.51</v>
      </c>
      <c r="K37" s="123">
        <f t="shared" ref="K37:M37" si="11">ROUND(K30*$N37,2)</f>
        <v>-4203.74</v>
      </c>
      <c r="L37" s="41">
        <f t="shared" si="11"/>
        <v>-4548.8100000000004</v>
      </c>
      <c r="M37" s="61">
        <f t="shared" si="11"/>
        <v>-4562.37</v>
      </c>
      <c r="N37" s="72">
        <v>-3.0000000000000001E-5</v>
      </c>
    </row>
    <row r="38" spans="1:15" x14ac:dyDescent="0.25">
      <c r="A38" s="46" t="s">
        <v>110</v>
      </c>
      <c r="C38" s="97">
        <v>6381.2599999999993</v>
      </c>
      <c r="D38" s="267"/>
      <c r="E38" s="109">
        <f>ROUND('[6]Nov 2021'!$F47+'[6]Nov 2021'!$F56,2)</f>
        <v>-1589</v>
      </c>
      <c r="F38" s="109">
        <f>ROUND('[6]Dec 2021'!$F47+'[6]Dec 2021'!$F56,2)</f>
        <v>-1615.4</v>
      </c>
      <c r="G38" s="111">
        <f>ROUND('[6]Jan 2022'!$F47+'[6]Jan 2022'!$F56,2)</f>
        <v>-2088.37</v>
      </c>
      <c r="H38" s="187">
        <f>ROUND('[6]Feb 2022'!$F47+'[6]Feb 2022'!$F56,2)</f>
        <v>-862.01</v>
      </c>
      <c r="I38" s="55">
        <f>ROUND('[6]Mar 2022'!$F47+'[6]Mar 2022'!$F56,2)</f>
        <v>145.76</v>
      </c>
      <c r="J38" s="179">
        <f>ROUND('[6]Apr 2022'!$F47+'[6]Apr 2022'!$F56,2)</f>
        <v>-960.91</v>
      </c>
      <c r="K38" s="123">
        <f>ROUND(K31*$N38,2)</f>
        <v>-748.96</v>
      </c>
      <c r="L38" s="41">
        <f t="shared" ref="L38:M38" si="12">ROUND(L31*$N38,2)</f>
        <v>-810.44</v>
      </c>
      <c r="M38" s="61">
        <f t="shared" si="12"/>
        <v>-812.86</v>
      </c>
      <c r="N38" s="72">
        <v>-2.0000000000000002E-5</v>
      </c>
    </row>
    <row r="39" spans="1:15" x14ac:dyDescent="0.25">
      <c r="C39" s="67"/>
      <c r="D39" s="68"/>
      <c r="E39" s="18"/>
      <c r="F39" s="18"/>
      <c r="G39" s="18"/>
      <c r="H39" s="91"/>
      <c r="I39" s="18"/>
      <c r="J39" s="11"/>
      <c r="K39" s="56"/>
      <c r="L39" s="56"/>
      <c r="M39" s="13"/>
      <c r="N39" s="4"/>
    </row>
    <row r="40" spans="1:15" ht="15.75" thickBot="1" x14ac:dyDescent="0.3">
      <c r="A40" s="46" t="s">
        <v>14</v>
      </c>
      <c r="C40" s="103">
        <v>274.8</v>
      </c>
      <c r="D40" s="271"/>
      <c r="E40" s="112">
        <v>-147.22999999999999</v>
      </c>
      <c r="F40" s="112">
        <v>-132.97</v>
      </c>
      <c r="G40" s="113">
        <v>-116.41</v>
      </c>
      <c r="H40" s="26">
        <v>-106.21000000000001</v>
      </c>
      <c r="I40" s="122">
        <v>-115.62</v>
      </c>
      <c r="J40" s="180">
        <v>-122.38</v>
      </c>
      <c r="K40" s="178">
        <v>-112.00000000000001</v>
      </c>
      <c r="L40" s="142">
        <v>-101.19</v>
      </c>
      <c r="M40" s="81"/>
    </row>
    <row r="41" spans="1:15" x14ac:dyDescent="0.25">
      <c r="C41" s="99"/>
      <c r="D41" s="151"/>
      <c r="E41" s="31"/>
      <c r="F41" s="31"/>
      <c r="G41" s="31"/>
      <c r="H41" s="28"/>
      <c r="I41" s="31"/>
      <c r="J41" s="11"/>
      <c r="K41" s="17"/>
      <c r="L41" s="17"/>
      <c r="M41" s="11"/>
    </row>
    <row r="42" spans="1:15" x14ac:dyDescent="0.25">
      <c r="A42" s="46" t="s">
        <v>52</v>
      </c>
      <c r="C42" s="99"/>
      <c r="D42" s="151"/>
      <c r="E42" s="31"/>
      <c r="F42" s="31"/>
      <c r="G42" s="31"/>
      <c r="H42" s="28"/>
      <c r="I42" s="31"/>
      <c r="J42" s="11"/>
      <c r="K42" s="17"/>
      <c r="L42" s="17"/>
      <c r="M42" s="11"/>
    </row>
    <row r="43" spans="1:15" x14ac:dyDescent="0.25">
      <c r="A43" s="46" t="s">
        <v>24</v>
      </c>
      <c r="C43" s="40">
        <f t="shared" ref="C43:M43" si="13">C23-C34</f>
        <v>19649.43</v>
      </c>
      <c r="D43" s="123"/>
      <c r="E43" s="41">
        <f t="shared" si="13"/>
        <v>-4745.84</v>
      </c>
      <c r="F43" s="41">
        <f t="shared" si="13"/>
        <v>-5712.58</v>
      </c>
      <c r="G43" s="108">
        <f t="shared" si="13"/>
        <v>-7558.13</v>
      </c>
      <c r="H43" s="40">
        <f t="shared" si="13"/>
        <v>-5514.34</v>
      </c>
      <c r="I43" s="41">
        <f t="shared" si="13"/>
        <v>-2104.31</v>
      </c>
      <c r="J43" s="61">
        <f t="shared" si="13"/>
        <v>-1802.76</v>
      </c>
      <c r="K43" s="123">
        <f t="shared" si="13"/>
        <v>-1604.82</v>
      </c>
      <c r="L43" s="41">
        <f t="shared" si="13"/>
        <v>-2309.31</v>
      </c>
      <c r="M43" s="49">
        <f t="shared" si="13"/>
        <v>-2692.01</v>
      </c>
    </row>
    <row r="44" spans="1:15" x14ac:dyDescent="0.25">
      <c r="A44" s="46" t="s">
        <v>25</v>
      </c>
      <c r="C44" s="40">
        <f>C24-SUM(C35:C38)</f>
        <v>-75772.51999999999</v>
      </c>
      <c r="D44" s="123"/>
      <c r="E44" s="41">
        <f>E24-SUM(E35:E38)</f>
        <v>22295.550000000003</v>
      </c>
      <c r="F44" s="41">
        <f t="shared" ref="F44:M44" si="14">F24-SUM(F35:F38)</f>
        <v>23495.15</v>
      </c>
      <c r="G44" s="108">
        <f t="shared" si="14"/>
        <v>26487.359999999997</v>
      </c>
      <c r="H44" s="40">
        <f t="shared" si="14"/>
        <v>19613.09</v>
      </c>
      <c r="I44" s="41">
        <f t="shared" si="14"/>
        <v>9448.99</v>
      </c>
      <c r="J44" s="61">
        <f t="shared" si="14"/>
        <v>9462.9599999999991</v>
      </c>
      <c r="K44" s="123">
        <f t="shared" si="14"/>
        <v>9792.57</v>
      </c>
      <c r="L44" s="41">
        <f t="shared" si="14"/>
        <v>10596.410000000002</v>
      </c>
      <c r="M44" s="49">
        <f t="shared" si="14"/>
        <v>10627.990000000002</v>
      </c>
    </row>
    <row r="45" spans="1:15" x14ac:dyDescent="0.25">
      <c r="C45" s="99"/>
      <c r="D45" s="151"/>
      <c r="E45" s="31"/>
      <c r="F45" s="31"/>
      <c r="G45" s="31"/>
      <c r="H45" s="28"/>
      <c r="I45" s="31"/>
      <c r="J45" s="11"/>
      <c r="K45" s="17"/>
      <c r="L45" s="17"/>
      <c r="M45" s="11"/>
    </row>
    <row r="46" spans="1:15" ht="15.75" thickBot="1" x14ac:dyDescent="0.3">
      <c r="A46" s="46" t="s">
        <v>53</v>
      </c>
      <c r="C46" s="104"/>
      <c r="D46" s="272"/>
      <c r="E46" s="31"/>
      <c r="F46" s="31"/>
      <c r="G46" s="31"/>
      <c r="H46" s="28"/>
      <c r="I46" s="31"/>
      <c r="J46" s="11"/>
      <c r="K46" s="17"/>
      <c r="L46" s="17"/>
      <c r="M46" s="11"/>
    </row>
    <row r="47" spans="1:15" x14ac:dyDescent="0.25">
      <c r="A47" s="46" t="s">
        <v>24</v>
      </c>
      <c r="B47" s="116">
        <v>26366.934999999641</v>
      </c>
      <c r="C47" s="41">
        <f>B47+C43+B52</f>
        <v>46016.364999999641</v>
      </c>
      <c r="D47" s="41">
        <f>C47+D43+C52</f>
        <v>45942.934999999641</v>
      </c>
      <c r="E47" s="41">
        <f>C47+E43+C52+D52</f>
        <v>41197.094999999645</v>
      </c>
      <c r="F47" s="41">
        <f t="shared" ref="F47:M47" si="15">E47+F43+E52</f>
        <v>35524.094999999645</v>
      </c>
      <c r="G47" s="108">
        <f t="shared" si="15"/>
        <v>28001.264999999643</v>
      </c>
      <c r="H47" s="40">
        <f>G47+H43+G52</f>
        <v>22516.204999999642</v>
      </c>
      <c r="I47" s="41">
        <f t="shared" si="15"/>
        <v>20436.314999999639</v>
      </c>
      <c r="J47" s="61">
        <f t="shared" si="15"/>
        <v>18658.574999999641</v>
      </c>
      <c r="K47" s="123">
        <f t="shared" si="15"/>
        <v>17079.794999999642</v>
      </c>
      <c r="L47" s="41">
        <f t="shared" si="15"/>
        <v>14794.284999999642</v>
      </c>
      <c r="M47" s="49">
        <f t="shared" si="15"/>
        <v>12123.504999999641</v>
      </c>
    </row>
    <row r="48" spans="1:15" ht="15.75" thickBot="1" x14ac:dyDescent="0.3">
      <c r="A48" s="46" t="s">
        <v>25</v>
      </c>
      <c r="B48" s="117">
        <v>-141368.935</v>
      </c>
      <c r="C48" s="41">
        <f>B48+C44+B53</f>
        <v>-217141.45499999999</v>
      </c>
      <c r="D48" s="41">
        <f>C48+D44+C53</f>
        <v>-216793.22499999998</v>
      </c>
      <c r="E48" s="41">
        <f>C48+E44+C53+D53</f>
        <v>-194497.67499999996</v>
      </c>
      <c r="F48" s="41">
        <f t="shared" ref="F48:M48" si="16">E48+F44+E53</f>
        <v>-171189.33499999996</v>
      </c>
      <c r="G48" s="108">
        <f t="shared" si="16"/>
        <v>-144870.25499999998</v>
      </c>
      <c r="H48" s="40">
        <f t="shared" si="16"/>
        <v>-125402.85499999998</v>
      </c>
      <c r="I48" s="41">
        <f t="shared" si="16"/>
        <v>-116084.48499999997</v>
      </c>
      <c r="J48" s="61">
        <f t="shared" si="16"/>
        <v>-106762.16499999996</v>
      </c>
      <c r="K48" s="123">
        <f t="shared" si="16"/>
        <v>-97118.01499999997</v>
      </c>
      <c r="L48" s="41">
        <f t="shared" si="16"/>
        <v>-86657.40499999997</v>
      </c>
      <c r="M48" s="49">
        <f t="shared" si="16"/>
        <v>-76151.824999999968</v>
      </c>
    </row>
    <row r="49" spans="1:14" x14ac:dyDescent="0.25">
      <c r="C49" s="99"/>
      <c r="D49" s="151"/>
      <c r="E49" s="31"/>
      <c r="F49" s="31"/>
      <c r="G49" s="31"/>
      <c r="H49" s="28"/>
      <c r="I49" s="31"/>
      <c r="J49" s="11"/>
      <c r="K49" s="17"/>
      <c r="L49" s="17"/>
      <c r="M49" s="11"/>
    </row>
    <row r="50" spans="1:14" x14ac:dyDescent="0.25">
      <c r="A50" s="39" t="s">
        <v>49</v>
      </c>
      <c r="B50" s="39"/>
      <c r="C50" s="104"/>
      <c r="D50" s="272"/>
      <c r="E50" s="83">
        <f>+'[7]Nov 2021'!$E$42</f>
        <v>9.0841999999999995E-4</v>
      </c>
      <c r="F50" s="83">
        <f>+'[7]Dec 2021'!$E$43</f>
        <v>9.1985999999999999E-4</v>
      </c>
      <c r="G50" s="83">
        <f>+'[7]Jan 2022'!$E$43</f>
        <v>9.2144000000000004E-4</v>
      </c>
      <c r="H50" s="84">
        <f>+'[7]Feb 2022'!$E$43</f>
        <v>9.6606999999999997E-4</v>
      </c>
      <c r="I50" s="83">
        <f>+'[7]Mar 2022'!$E$43</f>
        <v>1.1641399999999999E-3</v>
      </c>
      <c r="J50" s="92">
        <f>+'[7]Apr 2022'!$E$42</f>
        <v>1.33118E-3</v>
      </c>
      <c r="K50" s="83">
        <f>+J50</f>
        <v>1.33118E-3</v>
      </c>
      <c r="L50" s="83">
        <f>+K50</f>
        <v>1.33118E-3</v>
      </c>
      <c r="M50" s="92"/>
    </row>
    <row r="51" spans="1:14" x14ac:dyDescent="0.25">
      <c r="A51" s="39" t="s">
        <v>37</v>
      </c>
      <c r="B51" s="39"/>
      <c r="C51" s="99"/>
      <c r="D51" s="151"/>
      <c r="E51" s="31"/>
      <c r="F51" s="31"/>
      <c r="G51" s="31"/>
      <c r="H51" s="28"/>
      <c r="I51" s="31"/>
      <c r="J51" s="11"/>
      <c r="K51" s="17"/>
      <c r="L51" s="17"/>
      <c r="M51" s="11"/>
      <c r="N51" s="71"/>
    </row>
    <row r="52" spans="1:14" x14ac:dyDescent="0.25">
      <c r="A52" s="46" t="s">
        <v>24</v>
      </c>
      <c r="C52" s="40">
        <v>-73.430000000000007</v>
      </c>
      <c r="D52" s="123"/>
      <c r="E52" s="41">
        <f>ROUND((C47+C52+D52+E43/2)*E$50,2)</f>
        <v>39.58</v>
      </c>
      <c r="F52" s="41">
        <f t="shared" ref="F52:F53" si="17">ROUND((E47+E52+F43/2)*F$50,2)</f>
        <v>35.299999999999997</v>
      </c>
      <c r="G52" s="108">
        <f t="shared" ref="G52:G53" si="18">ROUND((F47+F52+G43/2)*G$50,2)</f>
        <v>29.28</v>
      </c>
      <c r="H52" s="40">
        <f t="shared" ref="H52:H53" si="19">ROUND((G47+G52+H43/2)*H$50,2)</f>
        <v>24.42</v>
      </c>
      <c r="I52" s="123">
        <f t="shared" ref="I52:J53" si="20">ROUND((H47+H52+I43/2)*I$50,2)</f>
        <v>25.02</v>
      </c>
      <c r="J52" s="61">
        <f t="shared" si="20"/>
        <v>26.04</v>
      </c>
      <c r="K52" s="123">
        <f t="shared" ref="K52:K53" si="21">ROUND((J47+J52+K43/2)*K$50,2)</f>
        <v>23.8</v>
      </c>
      <c r="L52" s="123">
        <f t="shared" ref="L52:L53" si="22">ROUND((K47+K52+L43/2)*L$50,2)</f>
        <v>21.23</v>
      </c>
      <c r="M52" s="49"/>
    </row>
    <row r="53" spans="1:14" ht="15.75" thickBot="1" x14ac:dyDescent="0.3">
      <c r="A53" s="46" t="s">
        <v>25</v>
      </c>
      <c r="C53" s="114">
        <v>348.23</v>
      </c>
      <c r="D53" s="273"/>
      <c r="E53" s="41">
        <f>ROUND((C48+C53+D53+E44/2)*E$50,2)</f>
        <v>-186.81</v>
      </c>
      <c r="F53" s="41">
        <f t="shared" si="17"/>
        <v>-168.28</v>
      </c>
      <c r="G53" s="108">
        <f t="shared" si="18"/>
        <v>-145.69</v>
      </c>
      <c r="H53" s="40">
        <f t="shared" si="19"/>
        <v>-130.62</v>
      </c>
      <c r="I53" s="123">
        <f t="shared" si="20"/>
        <v>-140.63999999999999</v>
      </c>
      <c r="J53" s="61">
        <f t="shared" si="20"/>
        <v>-148.41999999999999</v>
      </c>
      <c r="K53" s="123">
        <f t="shared" si="21"/>
        <v>-135.80000000000001</v>
      </c>
      <c r="L53" s="123">
        <f t="shared" si="22"/>
        <v>-122.41</v>
      </c>
      <c r="M53" s="49"/>
    </row>
    <row r="54" spans="1:14" ht="16.5" thickTop="1" thickBot="1" x14ac:dyDescent="0.3">
      <c r="A54" s="54" t="s">
        <v>22</v>
      </c>
      <c r="B54" s="54"/>
      <c r="C54" s="115">
        <v>0</v>
      </c>
      <c r="D54" s="274"/>
      <c r="E54" s="32">
        <f t="shared" ref="E54:M54" si="23">SUM(E52:E53)+SUM(E47:E48)-E57</f>
        <v>0</v>
      </c>
      <c r="F54" s="32">
        <f t="shared" si="23"/>
        <v>0</v>
      </c>
      <c r="G54" s="50">
        <f t="shared" si="23"/>
        <v>0</v>
      </c>
      <c r="H54" s="124">
        <f t="shared" si="23"/>
        <v>0</v>
      </c>
      <c r="I54" s="32">
        <f t="shared" si="23"/>
        <v>0</v>
      </c>
      <c r="J54" s="62">
        <f t="shared" si="23"/>
        <v>0</v>
      </c>
      <c r="K54" s="165">
        <f t="shared" si="23"/>
        <v>0</v>
      </c>
      <c r="L54" s="32">
        <f t="shared" si="23"/>
        <v>0</v>
      </c>
      <c r="M54" s="96">
        <f t="shared" si="23"/>
        <v>0</v>
      </c>
    </row>
    <row r="55" spans="1:14" ht="16.5" thickTop="1" thickBot="1" x14ac:dyDescent="0.3">
      <c r="A55" s="54" t="s">
        <v>23</v>
      </c>
      <c r="B55" s="54"/>
      <c r="C55" s="107">
        <v>0</v>
      </c>
      <c r="D55" s="275"/>
      <c r="E55" s="32">
        <f t="shared" ref="E55:M55" si="24">SUM(E52:E53)-E40</f>
        <v>0</v>
      </c>
      <c r="F55" s="32">
        <f t="shared" si="24"/>
        <v>-1.0000000000019327E-2</v>
      </c>
      <c r="G55" s="50">
        <f t="shared" si="24"/>
        <v>0</v>
      </c>
      <c r="H55" s="51">
        <f t="shared" si="24"/>
        <v>1.0000000000005116E-2</v>
      </c>
      <c r="I55" s="32">
        <f t="shared" si="24"/>
        <v>0</v>
      </c>
      <c r="J55" s="62">
        <f t="shared" si="24"/>
        <v>0</v>
      </c>
      <c r="K55" s="165">
        <f t="shared" si="24"/>
        <v>0</v>
      </c>
      <c r="L55" s="32">
        <f t="shared" si="24"/>
        <v>1.0000000000005116E-2</v>
      </c>
      <c r="M55" s="96">
        <f t="shared" si="24"/>
        <v>0</v>
      </c>
    </row>
    <row r="56" spans="1:14" ht="16.5" thickTop="1" thickBot="1" x14ac:dyDescent="0.3">
      <c r="C56" s="99"/>
      <c r="D56" s="151"/>
      <c r="E56" s="17"/>
      <c r="F56" s="17"/>
      <c r="G56" s="17"/>
      <c r="H56" s="10"/>
      <c r="I56" s="17"/>
      <c r="J56" s="11"/>
      <c r="K56" s="17"/>
      <c r="L56" s="17"/>
      <c r="M56" s="11"/>
    </row>
    <row r="57" spans="1:14" ht="15.75" thickBot="1" x14ac:dyDescent="0.3">
      <c r="A57" s="46" t="s">
        <v>36</v>
      </c>
      <c r="B57" s="119">
        <f>+B47+B48</f>
        <v>-115002.00000000035</v>
      </c>
      <c r="C57" s="40">
        <f t="shared" ref="C57:M57" si="25">(SUM(C16:C20)-SUM(C34:C38))+SUM(C52:C53)+B57</f>
        <v>-170850.29000000036</v>
      </c>
      <c r="D57" s="40">
        <f t="shared" si="25"/>
        <v>-170850.29000000036</v>
      </c>
      <c r="E57" s="41">
        <f>(SUM(E16:E20)-SUM(E34:E38))+SUM(D52:E53)+C57</f>
        <v>-153447.81000000035</v>
      </c>
      <c r="F57" s="41">
        <f t="shared" si="25"/>
        <v>-135798.22000000035</v>
      </c>
      <c r="G57" s="108">
        <f t="shared" si="25"/>
        <v>-116985.40000000034</v>
      </c>
      <c r="H57" s="40">
        <f t="shared" si="25"/>
        <v>-102992.85000000034</v>
      </c>
      <c r="I57" s="41">
        <f t="shared" si="25"/>
        <v>-95763.790000000343</v>
      </c>
      <c r="J57" s="61">
        <f t="shared" si="25"/>
        <v>-88225.97000000035</v>
      </c>
      <c r="K57" s="123">
        <f t="shared" si="25"/>
        <v>-80150.22000000035</v>
      </c>
      <c r="L57" s="41">
        <f t="shared" si="25"/>
        <v>-71964.300000000352</v>
      </c>
      <c r="M57" s="61">
        <f t="shared" si="25"/>
        <v>-64028.320000000356</v>
      </c>
    </row>
    <row r="58" spans="1:14" x14ac:dyDescent="0.25">
      <c r="A58" s="46" t="s">
        <v>12</v>
      </c>
      <c r="C58" s="120"/>
      <c r="D58" s="17"/>
      <c r="E58" s="56"/>
      <c r="F58" s="56"/>
      <c r="G58" s="56"/>
      <c r="H58" s="12"/>
      <c r="I58" s="56"/>
      <c r="J58" s="11"/>
      <c r="K58" s="17"/>
      <c r="L58" s="17"/>
      <c r="M58" s="11"/>
    </row>
    <row r="59" spans="1:14" ht="15.75" thickBot="1" x14ac:dyDescent="0.3">
      <c r="B59" s="17"/>
      <c r="C59" s="43"/>
      <c r="D59" s="44"/>
      <c r="E59" s="44"/>
      <c r="F59" s="44"/>
      <c r="G59" s="44"/>
      <c r="H59" s="43"/>
      <c r="I59" s="44"/>
      <c r="J59" s="45"/>
      <c r="K59" s="44"/>
      <c r="L59" s="44"/>
      <c r="M59" s="45"/>
    </row>
    <row r="61" spans="1:14" x14ac:dyDescent="0.25">
      <c r="A61" s="69" t="s">
        <v>11</v>
      </c>
      <c r="B61" s="69"/>
      <c r="C61" s="69"/>
      <c r="D61" s="69"/>
    </row>
    <row r="62" spans="1:14" ht="42.75" customHeight="1" x14ac:dyDescent="0.25">
      <c r="A62" s="307" t="s">
        <v>179</v>
      </c>
      <c r="B62" s="307"/>
      <c r="C62" s="307"/>
      <c r="D62" s="307"/>
      <c r="E62" s="307"/>
      <c r="F62" s="307"/>
      <c r="G62" s="307"/>
      <c r="H62" s="307"/>
      <c r="I62" s="307"/>
      <c r="J62" s="307"/>
      <c r="K62" s="146"/>
      <c r="L62" s="146"/>
      <c r="M62" s="146"/>
    </row>
    <row r="63" spans="1:14" ht="33.75" customHeight="1" x14ac:dyDescent="0.25">
      <c r="A63" s="307" t="s">
        <v>204</v>
      </c>
      <c r="B63" s="307"/>
      <c r="C63" s="307"/>
      <c r="D63" s="307"/>
      <c r="E63" s="307"/>
      <c r="F63" s="307"/>
      <c r="G63" s="307"/>
      <c r="H63" s="307"/>
      <c r="I63" s="307"/>
      <c r="J63" s="307"/>
      <c r="K63" s="146"/>
      <c r="L63" s="146"/>
      <c r="M63" s="146"/>
    </row>
    <row r="64" spans="1:14" ht="33.75" customHeight="1" x14ac:dyDescent="0.25">
      <c r="A64" s="307" t="s">
        <v>205</v>
      </c>
      <c r="B64" s="307"/>
      <c r="C64" s="307"/>
      <c r="D64" s="307"/>
      <c r="E64" s="307"/>
      <c r="F64" s="307"/>
      <c r="G64" s="307"/>
      <c r="H64" s="307"/>
      <c r="I64" s="307"/>
      <c r="J64" s="307"/>
      <c r="K64" s="146"/>
      <c r="L64" s="146"/>
      <c r="M64" s="146"/>
    </row>
    <row r="65" spans="1:14" x14ac:dyDescent="0.25">
      <c r="A65" s="3" t="s">
        <v>31</v>
      </c>
      <c r="B65" s="3"/>
      <c r="C65" s="3"/>
      <c r="D65" s="3"/>
      <c r="J65" s="4"/>
    </row>
    <row r="66" spans="1:14" x14ac:dyDescent="0.25">
      <c r="A66" s="63" t="s">
        <v>203</v>
      </c>
      <c r="B66" s="3"/>
      <c r="C66" s="3"/>
      <c r="D66" s="3"/>
      <c r="J66" s="4"/>
    </row>
    <row r="67" spans="1:14" x14ac:dyDescent="0.25">
      <c r="A67" s="3" t="s">
        <v>51</v>
      </c>
      <c r="B67" s="3"/>
      <c r="C67" s="3"/>
      <c r="D67" s="3"/>
      <c r="J67" s="4"/>
    </row>
    <row r="68" spans="1:14" x14ac:dyDescent="0.25">
      <c r="A68" s="3" t="s">
        <v>192</v>
      </c>
    </row>
    <row r="70" spans="1:14" ht="30" customHeight="1" x14ac:dyDescent="0.25">
      <c r="A70" s="303"/>
      <c r="B70" s="303"/>
      <c r="C70" s="303"/>
      <c r="D70" s="303"/>
      <c r="E70" s="303"/>
      <c r="F70" s="303"/>
      <c r="G70" s="303"/>
    </row>
    <row r="77" spans="1:14" x14ac:dyDescent="0.25">
      <c r="N77" s="8"/>
    </row>
  </sheetData>
  <mergeCells count="7">
    <mergeCell ref="A70:G70"/>
    <mergeCell ref="K14:M14"/>
    <mergeCell ref="A64:J64"/>
    <mergeCell ref="E14:G14"/>
    <mergeCell ref="A62:J62"/>
    <mergeCell ref="A63:J63"/>
    <mergeCell ref="H14:J14"/>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D81"/>
  <sheetViews>
    <sheetView topLeftCell="I1" workbookViewId="0">
      <selection activeCell="P1" sqref="P1:U1048576"/>
    </sheetView>
  </sheetViews>
  <sheetFormatPr defaultColWidth="9.140625" defaultRowHeight="15" outlineLevelCol="1" x14ac:dyDescent="0.25"/>
  <cols>
    <col min="1" max="1" width="54.5703125" style="46" customWidth="1"/>
    <col min="2" max="2" width="14.7109375" style="46" customWidth="1"/>
    <col min="3" max="3" width="15" style="46" customWidth="1"/>
    <col min="4" max="4" width="15" style="46" hidden="1" customWidth="1" outlineLevel="1"/>
    <col min="5" max="5" width="15.28515625" style="46" customWidth="1" collapsed="1"/>
    <col min="6" max="6" width="15.85546875" style="46" customWidth="1"/>
    <col min="7" max="7" width="17.5703125" style="46" customWidth="1"/>
    <col min="8" max="9" width="13.28515625" style="46" customWidth="1"/>
    <col min="10" max="10" width="15.7109375" style="46" customWidth="1"/>
    <col min="11" max="12" width="12.5703125" style="46" bestFit="1" customWidth="1"/>
    <col min="13" max="13" width="14.42578125" style="46" customWidth="1"/>
    <col min="14" max="14" width="15" style="46" bestFit="1" customWidth="1"/>
    <col min="15" max="15" width="16.28515625" style="46" bestFit="1" customWidth="1"/>
    <col min="16" max="16" width="9.140625" style="46"/>
    <col min="17" max="17" width="14.28515625" style="46" bestFit="1" customWidth="1"/>
    <col min="18" max="16384" width="9.140625" style="46"/>
  </cols>
  <sheetData>
    <row r="1" spans="1:30" x14ac:dyDescent="0.25">
      <c r="A1" s="3" t="str">
        <f>+'PPC Cycle 3'!A1</f>
        <v>Evergy Metro, Inc. - DSIM Rider Update Filed 06/01/2022</v>
      </c>
      <c r="B1" s="3"/>
      <c r="C1" s="3"/>
      <c r="D1" s="3"/>
    </row>
    <row r="2" spans="1:30" x14ac:dyDescent="0.25">
      <c r="E2" s="3" t="s">
        <v>139</v>
      </c>
    </row>
    <row r="3" spans="1:30" ht="30" x14ac:dyDescent="0.25">
      <c r="E3" s="48" t="s">
        <v>46</v>
      </c>
      <c r="F3" s="48" t="s">
        <v>45</v>
      </c>
      <c r="G3" s="70" t="s">
        <v>2</v>
      </c>
      <c r="H3" s="48" t="s">
        <v>3</v>
      </c>
      <c r="I3" s="70" t="s">
        <v>55</v>
      </c>
      <c r="J3" s="48" t="s">
        <v>10</v>
      </c>
      <c r="K3" s="48" t="s">
        <v>4</v>
      </c>
    </row>
    <row r="4" spans="1:30" x14ac:dyDescent="0.25">
      <c r="A4" s="20" t="s">
        <v>24</v>
      </c>
      <c r="E4" s="22">
        <f>SUM(C29:M29)</f>
        <v>3400845.1500000004</v>
      </c>
      <c r="F4" s="138">
        <f>SUM(C22:M22)</f>
        <v>1227492658.6527002</v>
      </c>
      <c r="G4" s="22">
        <f>SUM(C15:L15)</f>
        <v>3307050.33</v>
      </c>
      <c r="H4" s="22">
        <f>G4-E4</f>
        <v>-93794.820000000298</v>
      </c>
      <c r="I4" s="22">
        <f>+B45</f>
        <v>-669312.29</v>
      </c>
      <c r="J4" s="22">
        <f>SUM(C53:L53)</f>
        <v>-3757.4900000000002</v>
      </c>
      <c r="K4" s="25">
        <f>SUM(H4:J4)</f>
        <v>-766864.60000000033</v>
      </c>
      <c r="L4" s="47">
        <f>+K4-M45</f>
        <v>0</v>
      </c>
    </row>
    <row r="5" spans="1:30" x14ac:dyDescent="0.25">
      <c r="A5" s="20" t="s">
        <v>107</v>
      </c>
      <c r="E5" s="22">
        <f>SUM(C30:M30)</f>
        <v>354272.53</v>
      </c>
      <c r="F5" s="138">
        <f>SUM(C23:M23)</f>
        <v>287429498.74300003</v>
      </c>
      <c r="G5" s="22">
        <f>SUM(C16:L16)</f>
        <v>785919.65</v>
      </c>
      <c r="H5" s="22">
        <f>G5-E5</f>
        <v>431647.12</v>
      </c>
      <c r="I5" s="22">
        <f>+B46</f>
        <v>-378952.72000000009</v>
      </c>
      <c r="J5" s="22">
        <f>SUM(C54:L54)</f>
        <v>-387.69999999999993</v>
      </c>
      <c r="K5" s="25">
        <f>SUM(H5:J5)</f>
        <v>52306.69999999991</v>
      </c>
      <c r="L5" s="47">
        <f t="shared" ref="L5:L7" si="0">+K5-M46</f>
        <v>0</v>
      </c>
    </row>
    <row r="6" spans="1:30" x14ac:dyDescent="0.25">
      <c r="A6" s="20" t="s">
        <v>108</v>
      </c>
      <c r="E6" s="22">
        <f>SUM(C31:M31)</f>
        <v>1403989.6</v>
      </c>
      <c r="F6" s="138">
        <f>SUM(C24:M24)</f>
        <v>521352190.97390002</v>
      </c>
      <c r="G6" s="22">
        <f>SUM(C17:L17)</f>
        <v>747027.94000000006</v>
      </c>
      <c r="H6" s="22">
        <f>G6-E6</f>
        <v>-656961.66</v>
      </c>
      <c r="I6" s="22">
        <f>+B47</f>
        <v>370160.21000000008</v>
      </c>
      <c r="J6" s="22">
        <f>SUM(C55:L55)</f>
        <v>992.09999999999991</v>
      </c>
      <c r="K6" s="25">
        <f>SUM(H6:J6)</f>
        <v>-285809.34999999998</v>
      </c>
      <c r="L6" s="47">
        <f t="shared" si="0"/>
        <v>0</v>
      </c>
    </row>
    <row r="7" spans="1:30" x14ac:dyDescent="0.25">
      <c r="A7" s="20" t="s">
        <v>109</v>
      </c>
      <c r="E7" s="22">
        <f>SUM(C32:M32)</f>
        <v>1970398.29</v>
      </c>
      <c r="F7" s="138">
        <f>SUM(C25:M25)</f>
        <v>866434962.71319997</v>
      </c>
      <c r="G7" s="22">
        <f>SUM(C18:L18)</f>
        <v>1032244.24</v>
      </c>
      <c r="H7" s="22">
        <f>G7-E7</f>
        <v>-938154.05</v>
      </c>
      <c r="I7" s="22">
        <f>+B48</f>
        <v>-274352.54999999987</v>
      </c>
      <c r="J7" s="22">
        <f>SUM(C56:L56)</f>
        <v>-5174.8600000000006</v>
      </c>
      <c r="K7" s="25">
        <f>SUM(H7:J7)</f>
        <v>-1217681.46</v>
      </c>
      <c r="L7" s="47">
        <f t="shared" si="0"/>
        <v>0</v>
      </c>
    </row>
    <row r="8" spans="1:30" ht="15.75" thickBot="1" x14ac:dyDescent="0.3">
      <c r="A8" s="20" t="s">
        <v>110</v>
      </c>
      <c r="E8" s="22">
        <f>SUM(C33:M33)</f>
        <v>353465.44999999995</v>
      </c>
      <c r="F8" s="138">
        <f>SUM(C26:M26)</f>
        <v>198576104.9199</v>
      </c>
      <c r="G8" s="22">
        <f>SUM(C19:L19)</f>
        <v>275335.44999999995</v>
      </c>
      <c r="H8" s="22">
        <f>G8-E8</f>
        <v>-78130</v>
      </c>
      <c r="I8" s="22">
        <f>+B49</f>
        <v>-629790.71999999962</v>
      </c>
      <c r="J8" s="22">
        <f>SUM(C57:L57)</f>
        <v>-4610.8499999999995</v>
      </c>
      <c r="K8" s="25">
        <f>SUM(H8:J8)</f>
        <v>-712531.5699999996</v>
      </c>
      <c r="L8" s="47">
        <f>+K8-M49</f>
        <v>0</v>
      </c>
    </row>
    <row r="9" spans="1:30" ht="16.5" thickTop="1" thickBot="1" x14ac:dyDescent="0.3">
      <c r="E9" s="27">
        <f t="shared" ref="E9:I9" si="1">SUM(E4:E8)</f>
        <v>7482971.0200000014</v>
      </c>
      <c r="F9" s="27">
        <f t="shared" si="1"/>
        <v>3101285416.0027003</v>
      </c>
      <c r="G9" s="27">
        <f t="shared" si="1"/>
        <v>6147577.6100000003</v>
      </c>
      <c r="H9" s="27">
        <f t="shared" si="1"/>
        <v>-1335393.4100000004</v>
      </c>
      <c r="I9" s="27">
        <f t="shared" si="1"/>
        <v>-1582248.0699999994</v>
      </c>
      <c r="J9" s="27">
        <f>SUM(J4:J8)</f>
        <v>-12938.8</v>
      </c>
      <c r="K9" s="27">
        <f>SUM(K4:K8)</f>
        <v>-2930580.2800000003</v>
      </c>
    </row>
    <row r="10" spans="1:30" ht="16.5" thickTop="1" thickBot="1" x14ac:dyDescent="0.3"/>
    <row r="11" spans="1:30" ht="84.6" customHeight="1" thickBot="1" x14ac:dyDescent="0.3">
      <c r="B11" s="118" t="str">
        <f>+'PCR Cycle 2'!B14</f>
        <v>Cumulative Over/Under Carryover From 12/01/2021 Filing</v>
      </c>
      <c r="C11" s="278" t="str">
        <f>+'PCR Cycle 2'!C14</f>
        <v>Reverse November 2021 - April 2022 Forecast From 12/01/2021 Filing</v>
      </c>
      <c r="D11" s="278" t="s">
        <v>170</v>
      </c>
      <c r="E11" s="308" t="s">
        <v>33</v>
      </c>
      <c r="F11" s="308"/>
      <c r="G11" s="309"/>
      <c r="H11" s="310" t="s">
        <v>33</v>
      </c>
      <c r="I11" s="311"/>
      <c r="J11" s="312"/>
      <c r="K11" s="304" t="s">
        <v>8</v>
      </c>
      <c r="L11" s="305"/>
      <c r="M11" s="306"/>
    </row>
    <row r="12" spans="1:30" x14ac:dyDescent="0.25">
      <c r="C12" s="14"/>
      <c r="D12" s="19"/>
      <c r="E12" s="19">
        <f>+'PCR Cycle 2'!E15</f>
        <v>44530</v>
      </c>
      <c r="F12" s="19">
        <f>+'PCR Cycle 2'!F15</f>
        <v>44561</v>
      </c>
      <c r="G12" s="19">
        <f>+'PCR Cycle 2'!G15</f>
        <v>44592</v>
      </c>
      <c r="H12" s="14">
        <f>+'PCR Cycle 2'!H15</f>
        <v>44620</v>
      </c>
      <c r="I12" s="19">
        <f>+'PCR Cycle 2'!I15</f>
        <v>44651</v>
      </c>
      <c r="J12" s="15">
        <f>+'PCR Cycle 2'!J15</f>
        <v>44681</v>
      </c>
      <c r="K12" s="19">
        <f>+'PCR Cycle 2'!K15</f>
        <v>44712</v>
      </c>
      <c r="L12" s="19">
        <f>+'PCR Cycle 2'!L15</f>
        <v>44742</v>
      </c>
      <c r="M12" s="95">
        <f>+'PCR Cycle 2'!M15</f>
        <v>44773</v>
      </c>
      <c r="U12" s="1"/>
      <c r="V12" s="1"/>
      <c r="W12" s="1"/>
      <c r="X12" s="1"/>
      <c r="Y12" s="1"/>
      <c r="Z12" s="1"/>
      <c r="AA12" s="1"/>
      <c r="AB12" s="1"/>
      <c r="AC12" s="1"/>
      <c r="AD12" s="1"/>
    </row>
    <row r="13" spans="1:30" x14ac:dyDescent="0.25">
      <c r="C13" s="98"/>
      <c r="D13" s="268"/>
      <c r="E13" s="31"/>
      <c r="F13" s="31"/>
      <c r="G13" s="31"/>
      <c r="H13" s="28"/>
      <c r="I13" s="31"/>
      <c r="J13" s="11"/>
      <c r="K13" s="31"/>
      <c r="L13" s="31"/>
      <c r="M13" s="29"/>
    </row>
    <row r="14" spans="1:30" x14ac:dyDescent="0.25">
      <c r="A14" s="46" t="s">
        <v>140</v>
      </c>
      <c r="C14" s="99"/>
      <c r="D14" s="151"/>
      <c r="E14" s="31"/>
      <c r="F14" s="31"/>
      <c r="G14" s="31"/>
      <c r="H14" s="28"/>
      <c r="I14" s="31"/>
      <c r="J14" s="167"/>
      <c r="K14" s="17"/>
      <c r="L14" s="17"/>
      <c r="M14" s="11"/>
    </row>
    <row r="15" spans="1:30" x14ac:dyDescent="0.25">
      <c r="A15" s="46" t="s">
        <v>24</v>
      </c>
      <c r="C15" s="97">
        <v>-1475606.58</v>
      </c>
      <c r="D15" s="267"/>
      <c r="E15" s="109">
        <f>ROUND([8]Pivot!$N$30,2)</f>
        <v>546039.05000000005</v>
      </c>
      <c r="F15" s="109">
        <f>ROUND([9]Pivot!$N$30,2)</f>
        <v>584122.11</v>
      </c>
      <c r="G15" s="110">
        <f>ROUND([10]Pivot!$N$30,2)</f>
        <v>442945.3</v>
      </c>
      <c r="H15" s="16">
        <f>ROUND([11]Pivot!$N$30,2)</f>
        <v>366646.63</v>
      </c>
      <c r="I15" s="55">
        <f>ROUND([12]Pivot!$N$30,2)</f>
        <v>407681.68</v>
      </c>
      <c r="J15" s="166">
        <f>ROUND([13]Pivot!$N$30,2)</f>
        <v>786805</v>
      </c>
      <c r="K15" s="176">
        <f>ROUND('[3]Monthly Program Costs'!AJ290,2)</f>
        <v>842936.34</v>
      </c>
      <c r="L15" s="140">
        <f>ROUND('[3]Monthly Program Costs'!AK290,2)</f>
        <v>805480.8</v>
      </c>
      <c r="M15" s="76"/>
    </row>
    <row r="16" spans="1:30" x14ac:dyDescent="0.25">
      <c r="A16" s="46" t="s">
        <v>107</v>
      </c>
      <c r="C16" s="97">
        <v>-149850.63</v>
      </c>
      <c r="D16" s="267"/>
      <c r="E16" s="109">
        <f>ROUND([8]Pivot!$O$30,2)</f>
        <v>160249.20000000001</v>
      </c>
      <c r="F16" s="109">
        <f>ROUND([9]Pivot!$O$30,2)</f>
        <v>48584.08</v>
      </c>
      <c r="G16" s="110">
        <f>ROUND([10]Pivot!$O$30,2)</f>
        <v>106056.71</v>
      </c>
      <c r="H16" s="16">
        <f>ROUND([11]Pivot!$O$30,2)</f>
        <v>129118.16</v>
      </c>
      <c r="I16" s="55">
        <f>ROUND([12]Pivot!$O$30,2)</f>
        <v>121745.29</v>
      </c>
      <c r="J16" s="166">
        <f>ROUND([13]Pivot!$O$30,2)</f>
        <v>130043.35</v>
      </c>
      <c r="K16" s="176">
        <f>ROUND('[3]Monthly Program Costs'!AJ291,2)</f>
        <v>118393</v>
      </c>
      <c r="L16" s="140">
        <f>ROUND('[3]Monthly Program Costs'!AK291,2)</f>
        <v>121580.49</v>
      </c>
      <c r="M16" s="76"/>
    </row>
    <row r="17" spans="1:15" x14ac:dyDescent="0.25">
      <c r="A17" s="46" t="s">
        <v>108</v>
      </c>
      <c r="C17" s="97">
        <v>-373066.7</v>
      </c>
      <c r="D17" s="267"/>
      <c r="E17" s="109">
        <f>ROUND([8]Pivot!$P$30,2)</f>
        <v>59666.99</v>
      </c>
      <c r="F17" s="109">
        <f>ROUND([9]Pivot!$P$30,2)</f>
        <v>225279.65</v>
      </c>
      <c r="G17" s="110">
        <f>ROUND([10]Pivot!$P$30,2)</f>
        <v>35607.86</v>
      </c>
      <c r="H17" s="16">
        <f>ROUND([11]Pivot!$P$30,2)</f>
        <v>108200.08</v>
      </c>
      <c r="I17" s="55">
        <f>ROUND([12]Pivot!$P$30,2)</f>
        <v>193772.67</v>
      </c>
      <c r="J17" s="166">
        <f>ROUND([13]Pivot!$P$30,2)</f>
        <v>35006.050000000003</v>
      </c>
      <c r="K17" s="176">
        <f>ROUND('[3]Monthly Program Costs'!AJ292,2)</f>
        <v>228083.17</v>
      </c>
      <c r="L17" s="140">
        <f>ROUND('[3]Monthly Program Costs'!AK292,2)</f>
        <v>234478.17</v>
      </c>
      <c r="M17" s="76"/>
    </row>
    <row r="18" spans="1:15" x14ac:dyDescent="0.25">
      <c r="A18" s="46" t="s">
        <v>109</v>
      </c>
      <c r="C18" s="97">
        <v>-605469.87</v>
      </c>
      <c r="D18" s="267"/>
      <c r="E18" s="109">
        <f>ROUND([8]Pivot!$Q$30,2)</f>
        <v>97175.71</v>
      </c>
      <c r="F18" s="109">
        <f>ROUND([9]Pivot!$Q$30,2)</f>
        <v>389856.66</v>
      </c>
      <c r="G18" s="110">
        <f>ROUND([10]Pivot!$Q$30,2)</f>
        <v>56767.59</v>
      </c>
      <c r="H18" s="16">
        <f>ROUND([11]Pivot!$Q$30,2)</f>
        <v>41854.97</v>
      </c>
      <c r="I18" s="55">
        <f>ROUND([12]Pivot!$Q$30,2)</f>
        <v>147821.99</v>
      </c>
      <c r="J18" s="166">
        <f>ROUND([13]Pivot!$Q$30,2)</f>
        <v>157808.49</v>
      </c>
      <c r="K18" s="176">
        <f>ROUND('[3]Monthly Program Costs'!AJ293,2)</f>
        <v>368127.09</v>
      </c>
      <c r="L18" s="140">
        <f>ROUND('[3]Monthly Program Costs'!AK293,2)</f>
        <v>378301.61</v>
      </c>
      <c r="M18" s="76"/>
    </row>
    <row r="19" spans="1:15" x14ac:dyDescent="0.25">
      <c r="A19" s="46" t="s">
        <v>110</v>
      </c>
      <c r="C19" s="97">
        <v>-214712.77000000002</v>
      </c>
      <c r="D19" s="267"/>
      <c r="E19" s="109">
        <f>ROUND([8]Pivot!$R$30,2)</f>
        <v>11116.59</v>
      </c>
      <c r="F19" s="109">
        <f>ROUND([9]Pivot!$R$30,2)</f>
        <v>191392.11</v>
      </c>
      <c r="G19" s="110">
        <f>ROUND([10]Pivot!$R$30,2)</f>
        <v>20178.419999999998</v>
      </c>
      <c r="H19" s="16">
        <f>ROUND([11]Pivot!$R$30,2)</f>
        <v>14877.65</v>
      </c>
      <c r="I19" s="55">
        <f>ROUND([12]Pivot!$R$30,2)</f>
        <v>34898.28</v>
      </c>
      <c r="J19" s="166">
        <f>ROUND([13]Pivot!$R$30,2)</f>
        <v>16627.64</v>
      </c>
      <c r="K19" s="176">
        <f>ROUND('[3]Monthly Program Costs'!AJ294,2)</f>
        <v>99119.2</v>
      </c>
      <c r="L19" s="140">
        <f>ROUND('[3]Monthly Program Costs'!AK294,2)</f>
        <v>101838.33</v>
      </c>
      <c r="M19" s="76"/>
    </row>
    <row r="20" spans="1:15" x14ac:dyDescent="0.25">
      <c r="C20" s="99"/>
      <c r="D20" s="151"/>
      <c r="E20" s="31"/>
      <c r="F20" s="31"/>
      <c r="G20" s="31"/>
      <c r="H20" s="28"/>
      <c r="I20" s="31"/>
      <c r="J20" s="31"/>
      <c r="K20" s="28"/>
      <c r="L20" s="17"/>
      <c r="M20" s="11"/>
    </row>
    <row r="21" spans="1:15" x14ac:dyDescent="0.25">
      <c r="A21" s="39" t="s">
        <v>47</v>
      </c>
      <c r="B21" s="39"/>
      <c r="C21" s="101"/>
      <c r="D21" s="269"/>
      <c r="E21" s="31"/>
      <c r="F21" s="31"/>
      <c r="G21" s="31"/>
      <c r="H21" s="28"/>
      <c r="I21" s="31"/>
      <c r="J21" s="11"/>
      <c r="K21" s="17"/>
      <c r="L21" s="17"/>
      <c r="M21" s="11"/>
    </row>
    <row r="22" spans="1:15" x14ac:dyDescent="0.25">
      <c r="A22" s="46" t="s">
        <v>24</v>
      </c>
      <c r="C22" s="102">
        <v>-654980908</v>
      </c>
      <c r="D22" s="270"/>
      <c r="E22" s="111">
        <f>+'PCR Cycle 2'!E27</f>
        <v>155290587.39690003</v>
      </c>
      <c r="F22" s="111">
        <f>+'PCR Cycle 2'!F27</f>
        <v>186474791.71129999</v>
      </c>
      <c r="G22" s="111">
        <f>+'PCR Cycle 2'!G27</f>
        <v>248191878.95329997</v>
      </c>
      <c r="H22" s="186">
        <f>+'PCR Cycle 2'!H27</f>
        <v>239393096.39210007</v>
      </c>
      <c r="I22" s="189">
        <f>+'PCR Cycle 2'!I27</f>
        <v>219055512.84030005</v>
      </c>
      <c r="J22" s="181">
        <f>+'PCR Cycle 2'!J27</f>
        <v>173454440.35879999</v>
      </c>
      <c r="K22" s="177">
        <f>+'PCR Cycle 2'!K27</f>
        <v>160481876</v>
      </c>
      <c r="L22" s="141">
        <f>+'PCR Cycle 2'!L27</f>
        <v>230930879</v>
      </c>
      <c r="M22" s="77">
        <f>+'PCR Cycle 2'!M27</f>
        <v>269200504</v>
      </c>
    </row>
    <row r="23" spans="1:15" x14ac:dyDescent="0.25">
      <c r="A23" s="46" t="s">
        <v>107</v>
      </c>
      <c r="C23" s="102">
        <v>-128552343</v>
      </c>
      <c r="D23" s="270"/>
      <c r="E23" s="111">
        <f>+'PCR Cycle 2'!E28</f>
        <v>40050592.957300007</v>
      </c>
      <c r="F23" s="111">
        <f>+'PCR Cycle 2'!F28</f>
        <v>44001605.461200006</v>
      </c>
      <c r="G23" s="111">
        <f>+'PCR Cycle 2'!G28</f>
        <v>50685975.409699999</v>
      </c>
      <c r="H23" s="186">
        <f>+'PCR Cycle 2'!H28</f>
        <v>50210251.284099996</v>
      </c>
      <c r="I23" s="189">
        <f>+'PCR Cycle 2'!I28</f>
        <v>49654715.874099992</v>
      </c>
      <c r="J23" s="181">
        <f>+'PCR Cycle 2'!J28</f>
        <v>42334133.756600007</v>
      </c>
      <c r="K23" s="177">
        <f>+'PCR Cycle 2'!K28</f>
        <v>43898676</v>
      </c>
      <c r="L23" s="141">
        <f>+'PCR Cycle 2'!L28</f>
        <v>47502172</v>
      </c>
      <c r="M23" s="77">
        <f>+'PCR Cycle 2'!M28</f>
        <v>47643719</v>
      </c>
    </row>
    <row r="24" spans="1:15" x14ac:dyDescent="0.25">
      <c r="A24" s="46" t="s">
        <v>108</v>
      </c>
      <c r="C24" s="102">
        <v>-280220755</v>
      </c>
      <c r="D24" s="270"/>
      <c r="E24" s="111">
        <f>+'PCR Cycle 2'!E29</f>
        <v>80849734.091200009</v>
      </c>
      <c r="F24" s="111">
        <f>+'PCR Cycle 2'!F29</f>
        <v>84805843.812199995</v>
      </c>
      <c r="G24" s="111">
        <f>+'PCR Cycle 2'!G29</f>
        <v>95006218.557700008</v>
      </c>
      <c r="H24" s="186">
        <f>+'PCR Cycle 2'!H29</f>
        <v>91769625.66230002</v>
      </c>
      <c r="I24" s="189">
        <f>+'PCR Cycle 2'!I29</f>
        <v>90084359.716999993</v>
      </c>
      <c r="J24" s="181">
        <f>+'PCR Cycle 2'!J29</f>
        <v>80095667.133499995</v>
      </c>
      <c r="K24" s="177">
        <f>+'PCR Cycle 2'!K29</f>
        <v>88072772</v>
      </c>
      <c r="L24" s="141">
        <f>+'PCR Cycle 2'!L29</f>
        <v>95302371</v>
      </c>
      <c r="M24" s="77">
        <f>+'PCR Cycle 2'!M29</f>
        <v>95586354</v>
      </c>
    </row>
    <row r="25" spans="1:15" x14ac:dyDescent="0.25">
      <c r="A25" s="46" t="s">
        <v>109</v>
      </c>
      <c r="C25" s="102">
        <v>-444071453</v>
      </c>
      <c r="D25" s="270"/>
      <c r="E25" s="111">
        <f>+'PCR Cycle 2'!E30</f>
        <v>133836084.98889999</v>
      </c>
      <c r="F25" s="111">
        <f>+'PCR Cycle 2'!F30</f>
        <v>141945619.13149998</v>
      </c>
      <c r="G25" s="111">
        <f>+'PCR Cycle 2'!G30</f>
        <v>155316252.5379</v>
      </c>
      <c r="H25" s="186">
        <f>+'PCR Cycle 2'!H30</f>
        <v>150958059.02599999</v>
      </c>
      <c r="I25" s="189">
        <f>+'PCR Cycle 2'!I30</f>
        <v>150063214.39480001</v>
      </c>
      <c r="J25" s="181">
        <f>+'PCR Cycle 2'!J30</f>
        <v>134556465.63409999</v>
      </c>
      <c r="K25" s="177">
        <f>+'PCR Cycle 2'!K30</f>
        <v>140124721</v>
      </c>
      <c r="L25" s="141">
        <f>+'PCR Cycle 2'!L30</f>
        <v>151627090</v>
      </c>
      <c r="M25" s="77">
        <f>+'PCR Cycle 2'!M30</f>
        <v>152078909</v>
      </c>
    </row>
    <row r="26" spans="1:15" x14ac:dyDescent="0.25">
      <c r="A26" s="46" t="s">
        <v>110</v>
      </c>
      <c r="C26" s="102">
        <v>-127625048</v>
      </c>
      <c r="D26" s="270"/>
      <c r="E26" s="111">
        <f>+'PCR Cycle 2'!E31</f>
        <v>35435985.744899988</v>
      </c>
      <c r="F26" s="111">
        <f>+'PCR Cycle 2'!F31</f>
        <v>34968583.747999996</v>
      </c>
      <c r="G26" s="111">
        <f>+'PCR Cycle 2'!G31</f>
        <v>36091908.232299998</v>
      </c>
      <c r="H26" s="186">
        <f>+'PCR Cycle 2'!H31</f>
        <v>33116594.028800003</v>
      </c>
      <c r="I26" s="189">
        <f>+'PCR Cycle 2'!I31</f>
        <v>34343695.215500005</v>
      </c>
      <c r="J26" s="181">
        <f>+'PCR Cycle 2'!J31</f>
        <v>33631438.950400002</v>
      </c>
      <c r="K26" s="177">
        <f>+'PCR Cycle 2'!K31</f>
        <v>37448075</v>
      </c>
      <c r="L26" s="141">
        <f>+'PCR Cycle 2'!L31</f>
        <v>40522062</v>
      </c>
      <c r="M26" s="77">
        <f>+'PCR Cycle 2'!M31</f>
        <v>40642810</v>
      </c>
    </row>
    <row r="27" spans="1:15" x14ac:dyDescent="0.25">
      <c r="C27" s="99"/>
      <c r="D27" s="151"/>
      <c r="E27" s="31"/>
      <c r="F27" s="31"/>
      <c r="G27" s="31"/>
      <c r="H27" s="28"/>
      <c r="I27" s="31"/>
      <c r="J27" s="11"/>
      <c r="K27" s="17"/>
      <c r="L27" s="17"/>
      <c r="M27" s="11"/>
    </row>
    <row r="28" spans="1:15" x14ac:dyDescent="0.25">
      <c r="A28" s="46" t="s">
        <v>34</v>
      </c>
      <c r="C28" s="99"/>
      <c r="D28" s="151"/>
      <c r="E28" s="18"/>
      <c r="F28" s="18"/>
      <c r="G28" s="18"/>
      <c r="H28" s="91"/>
      <c r="I28" s="18"/>
      <c r="J28" s="11"/>
      <c r="K28" s="57"/>
      <c r="L28" s="57"/>
      <c r="M28" s="58"/>
      <c r="N28" s="63" t="s">
        <v>50</v>
      </c>
      <c r="O28" s="39"/>
    </row>
    <row r="29" spans="1:15" x14ac:dyDescent="0.25">
      <c r="A29" s="46" t="s">
        <v>24</v>
      </c>
      <c r="C29" s="97">
        <v>-2154887.1799999997</v>
      </c>
      <c r="D29" s="267"/>
      <c r="E29" s="109">
        <f>ROUND('[6]Nov 2021'!$F79+'[6]Nov 2021'!$F87,2)</f>
        <v>510827.64</v>
      </c>
      <c r="F29" s="109">
        <f>ROUND('[6]Dec 2021'!$F79+'[6]Dec 2021'!$F87,2)</f>
        <v>613449.38</v>
      </c>
      <c r="G29" s="109">
        <f>ROUND('[6]Jan 2022'!$F79+'[6]Jan 2022'!$F87,2)</f>
        <v>816501.62</v>
      </c>
      <c r="H29" s="187">
        <f>ROUND('[6]Feb 2022'!$F79+'[6]Feb 2022'!$F87,2)</f>
        <v>739840.97</v>
      </c>
      <c r="I29" s="55">
        <f>ROUND('[6]Mar 2022'!$F79+'[6]Mar 2022'!$F87,2)</f>
        <v>598088.53</v>
      </c>
      <c r="J29" s="179">
        <f>ROUND('[6]Apr 2022'!$F79+'[6]Apr 2022'!$F87,2)</f>
        <v>473549.99</v>
      </c>
      <c r="K29" s="123">
        <f>ROUND(K22*$N29,2)</f>
        <v>438115.52</v>
      </c>
      <c r="L29" s="41">
        <f t="shared" ref="L29:M29" si="2">ROUND(L22*$N29,2)</f>
        <v>630441.30000000005</v>
      </c>
      <c r="M29" s="61">
        <f t="shared" si="2"/>
        <v>734917.38</v>
      </c>
      <c r="N29" s="72">
        <v>2.7300000000000002E-3</v>
      </c>
    </row>
    <row r="30" spans="1:15" x14ac:dyDescent="0.25">
      <c r="A30" s="46" t="s">
        <v>107</v>
      </c>
      <c r="C30" s="97">
        <v>-154262.81</v>
      </c>
      <c r="D30" s="267"/>
      <c r="E30" s="109">
        <f>ROUND('[6]Nov 2021'!$F80+'[6]Nov 2021'!$F88,2)</f>
        <v>47888.160000000003</v>
      </c>
      <c r="F30" s="109">
        <f>ROUND('[6]Dec 2021'!$F80+'[6]Dec 2021'!$F88,2)</f>
        <v>52799.37</v>
      </c>
      <c r="G30" s="109">
        <f>ROUND('[6]Jan 2022'!$F80+'[6]Jan 2022'!$F88,2)</f>
        <v>60499.34</v>
      </c>
      <c r="H30" s="187">
        <f>ROUND('[6]Feb 2022'!$F80+'[6]Feb 2022'!$F88,2)</f>
        <v>60854.73</v>
      </c>
      <c r="I30" s="55">
        <f>ROUND('[6]Mar 2022'!$F80+'[6]Mar 2022'!$F88,2)</f>
        <v>61571.09</v>
      </c>
      <c r="J30" s="179">
        <f>ROUND('[6]Apr 2022'!$F80+'[6]Apr 2022'!$F88,2)</f>
        <v>52507.39</v>
      </c>
      <c r="K30" s="123">
        <f t="shared" ref="K30:M30" si="3">ROUND(K23*$N30,2)</f>
        <v>54434.36</v>
      </c>
      <c r="L30" s="41">
        <f t="shared" si="3"/>
        <v>58902.69</v>
      </c>
      <c r="M30" s="61">
        <f t="shared" si="3"/>
        <v>59078.21</v>
      </c>
      <c r="N30" s="72">
        <v>1.2399999999999998E-3</v>
      </c>
    </row>
    <row r="31" spans="1:15" x14ac:dyDescent="0.25">
      <c r="A31" s="46" t="s">
        <v>108</v>
      </c>
      <c r="C31" s="97">
        <v>-765002.65999999992</v>
      </c>
      <c r="D31" s="267"/>
      <c r="E31" s="109">
        <f>ROUND('[6]Nov 2021'!$F81+'[6]Nov 2021'!$F89,2)</f>
        <v>220719.77</v>
      </c>
      <c r="F31" s="109">
        <f>ROUND('[6]Dec 2021'!$F81+'[6]Dec 2021'!$F89,2)</f>
        <v>231513.89</v>
      </c>
      <c r="G31" s="109">
        <f>ROUND('[6]Jan 2022'!$F81+'[6]Jan 2022'!$F89,2)</f>
        <v>259257.72</v>
      </c>
      <c r="H31" s="187">
        <f>ROUND('[6]Feb 2022'!$F81+'[6]Feb 2022'!$F89,2)</f>
        <v>249297.44</v>
      </c>
      <c r="I31" s="55">
        <f>ROUND('[6]Mar 2022'!$F81+'[6]Mar 2022'!$F89,2)</f>
        <v>242326.81</v>
      </c>
      <c r="J31" s="179">
        <f>ROUND('[6]Apr 2022'!$F81+'[6]Apr 2022'!$F89,2)</f>
        <v>215470.2</v>
      </c>
      <c r="K31" s="123">
        <f t="shared" ref="K31:M31" si="4">ROUND(K24*$N31,2)</f>
        <v>236915.76</v>
      </c>
      <c r="L31" s="41">
        <f t="shared" si="4"/>
        <v>256363.38</v>
      </c>
      <c r="M31" s="61">
        <f t="shared" si="4"/>
        <v>257127.29</v>
      </c>
      <c r="N31" s="72">
        <v>2.6900000000000001E-3</v>
      </c>
    </row>
    <row r="32" spans="1:15" x14ac:dyDescent="0.25">
      <c r="A32" s="46" t="s">
        <v>109</v>
      </c>
      <c r="C32" s="97">
        <v>-1030245.77</v>
      </c>
      <c r="D32" s="267"/>
      <c r="E32" s="109">
        <f>ROUND('[6]Nov 2021'!$F82+'[6]Nov 2021'!$F90,2)</f>
        <v>310502.88</v>
      </c>
      <c r="F32" s="109">
        <f>ROUND('[6]Dec 2021'!$F82+'[6]Dec 2021'!$F90,2)</f>
        <v>328857.78999999998</v>
      </c>
      <c r="G32" s="109">
        <f>ROUND('[6]Jan 2022'!$F82+'[6]Jan 2022'!$F90,2)</f>
        <v>360333.71</v>
      </c>
      <c r="H32" s="187">
        <f>ROUND('[6]Feb 2022'!$F82+'[6]Feb 2022'!$F90,2)</f>
        <v>347367.27</v>
      </c>
      <c r="I32" s="55">
        <f>ROUND('[6]Mar 2022'!$F82+'[6]Mar 2022'!$F90,2)</f>
        <v>340643.5</v>
      </c>
      <c r="J32" s="179">
        <f>ROUND('[6]Apr 2022'!$F82+'[6]Apr 2022'!$F90,2)</f>
        <v>305443.18</v>
      </c>
      <c r="K32" s="123">
        <f t="shared" ref="K32:M32" si="5">ROUND(K25*$N32,2)</f>
        <v>318083.12</v>
      </c>
      <c r="L32" s="41">
        <f t="shared" si="5"/>
        <v>344193.49</v>
      </c>
      <c r="M32" s="61">
        <f t="shared" si="5"/>
        <v>345219.12</v>
      </c>
      <c r="N32" s="72">
        <v>2.2699999999999999E-3</v>
      </c>
    </row>
    <row r="33" spans="1:14" x14ac:dyDescent="0.25">
      <c r="A33" s="46" t="s">
        <v>110</v>
      </c>
      <c r="C33" s="97">
        <v>-227172.59000000003</v>
      </c>
      <c r="D33" s="267"/>
      <c r="E33" s="109">
        <f>ROUND('[6]Nov 2021'!$F83+'[6]Nov 2021'!$F91,2)</f>
        <v>63076.05</v>
      </c>
      <c r="F33" s="109">
        <f>ROUND('[6]Dec 2021'!$F83+'[6]Dec 2021'!$F91,2)</f>
        <v>62244.08</v>
      </c>
      <c r="G33" s="109">
        <f>ROUND('[6]Jan 2022'!$F83+'[6]Jan 2022'!$F91,2)</f>
        <v>64243.59</v>
      </c>
      <c r="H33" s="187">
        <f>ROUND('[6]Feb 2022'!$F83+'[6]Feb 2022'!$F91,2)</f>
        <v>58947.54</v>
      </c>
      <c r="I33" s="55">
        <f>ROUND('[6]Mar 2022'!$F83+'[6]Mar 2022'!$F91,2)</f>
        <v>61131.78</v>
      </c>
      <c r="J33" s="179">
        <f>ROUND('[6]Apr 2022'!$F83+'[6]Apr 2022'!$F91,2)</f>
        <v>59863.96</v>
      </c>
      <c r="K33" s="123">
        <f>ROUND(K26*$N33,2)</f>
        <v>66657.570000000007</v>
      </c>
      <c r="L33" s="41">
        <f>ROUND(L26*$N33,2)</f>
        <v>72129.27</v>
      </c>
      <c r="M33" s="61">
        <f>ROUND(M26*$N33,2)</f>
        <v>72344.2</v>
      </c>
      <c r="N33" s="72">
        <v>1.7800000000000001E-3</v>
      </c>
    </row>
    <row r="34" spans="1:14" x14ac:dyDescent="0.25">
      <c r="C34" s="67"/>
      <c r="D34" s="68"/>
      <c r="E34" s="18"/>
      <c r="F34" s="18"/>
      <c r="G34" s="18"/>
      <c r="H34" s="91"/>
      <c r="I34" s="18"/>
      <c r="J34" s="11"/>
      <c r="K34" s="56"/>
      <c r="L34" s="56"/>
      <c r="M34" s="13"/>
      <c r="N34" s="4"/>
    </row>
    <row r="35" spans="1:14" ht="15.75" thickBot="1" x14ac:dyDescent="0.3">
      <c r="A35" s="46" t="s">
        <v>14</v>
      </c>
      <c r="C35" s="103">
        <v>-171.93999999999994</v>
      </c>
      <c r="D35" s="271"/>
      <c r="E35" s="112">
        <v>-189.82</v>
      </c>
      <c r="F35" s="112">
        <v>-251.42999999999995</v>
      </c>
      <c r="G35" s="113">
        <v>-597.11</v>
      </c>
      <c r="H35" s="26">
        <v>-1445.32</v>
      </c>
      <c r="I35" s="122">
        <v>-2438.0100000000002</v>
      </c>
      <c r="J35" s="180">
        <v>-3042.92</v>
      </c>
      <c r="K35" s="178">
        <v>-2672.56</v>
      </c>
      <c r="L35" s="142">
        <v>-2128.09</v>
      </c>
      <c r="M35" s="81"/>
    </row>
    <row r="36" spans="1:14" x14ac:dyDescent="0.25">
      <c r="C36" s="99"/>
      <c r="D36" s="151"/>
      <c r="E36" s="31"/>
      <c r="F36" s="31"/>
      <c r="G36" s="31"/>
      <c r="H36" s="28"/>
      <c r="I36" s="31"/>
      <c r="J36" s="11"/>
      <c r="K36" s="17"/>
      <c r="L36" s="17"/>
      <c r="M36" s="11"/>
    </row>
    <row r="37" spans="1:14" x14ac:dyDescent="0.25">
      <c r="A37" s="46" t="s">
        <v>52</v>
      </c>
      <c r="C37" s="99"/>
      <c r="D37" s="151"/>
      <c r="E37" s="31"/>
      <c r="F37" s="31"/>
      <c r="G37" s="31"/>
      <c r="H37" s="28"/>
      <c r="I37" s="31"/>
      <c r="J37" s="11"/>
      <c r="K37" s="17"/>
      <c r="L37" s="17"/>
      <c r="M37" s="11"/>
    </row>
    <row r="38" spans="1:14" x14ac:dyDescent="0.25">
      <c r="A38" s="46" t="s">
        <v>24</v>
      </c>
      <c r="C38" s="40">
        <f t="shared" ref="C38:M38" si="6">C15-C29</f>
        <v>679280.59999999963</v>
      </c>
      <c r="D38" s="123">
        <f t="shared" ref="D38" si="7">D15-D29</f>
        <v>0</v>
      </c>
      <c r="E38" s="41">
        <f t="shared" si="6"/>
        <v>35211.410000000033</v>
      </c>
      <c r="F38" s="41">
        <f t="shared" si="6"/>
        <v>-29327.270000000019</v>
      </c>
      <c r="G38" s="108">
        <f t="shared" si="6"/>
        <v>-373556.32</v>
      </c>
      <c r="H38" s="40">
        <f t="shared" si="6"/>
        <v>-373194.33999999997</v>
      </c>
      <c r="I38" s="41">
        <f t="shared" si="6"/>
        <v>-190406.85000000003</v>
      </c>
      <c r="J38" s="61">
        <f t="shared" si="6"/>
        <v>313255.01</v>
      </c>
      <c r="K38" s="123">
        <f t="shared" si="6"/>
        <v>404820.81999999995</v>
      </c>
      <c r="L38" s="41">
        <f t="shared" si="6"/>
        <v>175039.5</v>
      </c>
      <c r="M38" s="49">
        <f t="shared" si="6"/>
        <v>-734917.38</v>
      </c>
    </row>
    <row r="39" spans="1:14" x14ac:dyDescent="0.25">
      <c r="A39" s="46" t="s">
        <v>107</v>
      </c>
      <c r="C39" s="40">
        <f t="shared" ref="C39:M39" si="8">C16-C30</f>
        <v>4412.179999999993</v>
      </c>
      <c r="D39" s="123">
        <f t="shared" ref="D39" si="9">D16-D30</f>
        <v>0</v>
      </c>
      <c r="E39" s="41">
        <f t="shared" si="8"/>
        <v>112361.04000000001</v>
      </c>
      <c r="F39" s="41">
        <f t="shared" si="8"/>
        <v>-4215.2900000000009</v>
      </c>
      <c r="G39" s="108">
        <f t="shared" si="8"/>
        <v>45557.37000000001</v>
      </c>
      <c r="H39" s="40">
        <f t="shared" si="8"/>
        <v>68263.429999999993</v>
      </c>
      <c r="I39" s="41">
        <f t="shared" si="8"/>
        <v>60174.2</v>
      </c>
      <c r="J39" s="61">
        <f t="shared" si="8"/>
        <v>77535.960000000006</v>
      </c>
      <c r="K39" s="123">
        <f t="shared" si="8"/>
        <v>63958.64</v>
      </c>
      <c r="L39" s="41">
        <f t="shared" si="8"/>
        <v>62677.8</v>
      </c>
      <c r="M39" s="49">
        <f t="shared" si="8"/>
        <v>-59078.21</v>
      </c>
    </row>
    <row r="40" spans="1:14" x14ac:dyDescent="0.25">
      <c r="A40" s="46" t="s">
        <v>108</v>
      </c>
      <c r="C40" s="40">
        <f t="shared" ref="C40:M40" si="10">C17-C31</f>
        <v>391935.9599999999</v>
      </c>
      <c r="D40" s="123">
        <f t="shared" ref="D40" si="11">D17-D31</f>
        <v>0</v>
      </c>
      <c r="E40" s="41">
        <f t="shared" si="10"/>
        <v>-161052.78</v>
      </c>
      <c r="F40" s="41">
        <f t="shared" si="10"/>
        <v>-6234.2400000000198</v>
      </c>
      <c r="G40" s="108">
        <f t="shared" si="10"/>
        <v>-223649.86</v>
      </c>
      <c r="H40" s="40">
        <f t="shared" si="10"/>
        <v>-141097.35999999999</v>
      </c>
      <c r="I40" s="41">
        <f t="shared" si="10"/>
        <v>-48554.139999999985</v>
      </c>
      <c r="J40" s="61">
        <f t="shared" si="10"/>
        <v>-180464.15000000002</v>
      </c>
      <c r="K40" s="123">
        <f t="shared" si="10"/>
        <v>-8832.5899999999965</v>
      </c>
      <c r="L40" s="41">
        <f t="shared" si="10"/>
        <v>-21885.209999999992</v>
      </c>
      <c r="M40" s="49">
        <f t="shared" si="10"/>
        <v>-257127.29</v>
      </c>
    </row>
    <row r="41" spans="1:14" x14ac:dyDescent="0.25">
      <c r="A41" s="46" t="s">
        <v>109</v>
      </c>
      <c r="C41" s="40">
        <f t="shared" ref="C41:M41" si="12">C18-C32</f>
        <v>424775.9</v>
      </c>
      <c r="D41" s="123">
        <f t="shared" ref="D41" si="13">D18-D32</f>
        <v>0</v>
      </c>
      <c r="E41" s="41">
        <f t="shared" si="12"/>
        <v>-213327.16999999998</v>
      </c>
      <c r="F41" s="41">
        <f t="shared" si="12"/>
        <v>60998.869999999995</v>
      </c>
      <c r="G41" s="108">
        <f t="shared" si="12"/>
        <v>-303566.12</v>
      </c>
      <c r="H41" s="40">
        <f t="shared" si="12"/>
        <v>-305512.30000000005</v>
      </c>
      <c r="I41" s="41">
        <f t="shared" si="12"/>
        <v>-192821.51</v>
      </c>
      <c r="J41" s="61">
        <f t="shared" si="12"/>
        <v>-147634.69</v>
      </c>
      <c r="K41" s="123">
        <f t="shared" si="12"/>
        <v>50043.97000000003</v>
      </c>
      <c r="L41" s="41">
        <f t="shared" si="12"/>
        <v>34108.119999999995</v>
      </c>
      <c r="M41" s="49">
        <f t="shared" si="12"/>
        <v>-345219.12</v>
      </c>
    </row>
    <row r="42" spans="1:14" x14ac:dyDescent="0.25">
      <c r="A42" s="46" t="s">
        <v>110</v>
      </c>
      <c r="C42" s="40">
        <f t="shared" ref="C42:M42" si="14">C19-C33</f>
        <v>12459.820000000007</v>
      </c>
      <c r="D42" s="123">
        <f t="shared" ref="D42" si="15">D19-D33</f>
        <v>0</v>
      </c>
      <c r="E42" s="41">
        <f t="shared" si="14"/>
        <v>-51959.460000000006</v>
      </c>
      <c r="F42" s="41">
        <f t="shared" si="14"/>
        <v>129148.02999999998</v>
      </c>
      <c r="G42" s="108">
        <f t="shared" si="14"/>
        <v>-44065.17</v>
      </c>
      <c r="H42" s="40">
        <f t="shared" si="14"/>
        <v>-44069.89</v>
      </c>
      <c r="I42" s="41">
        <f t="shared" si="14"/>
        <v>-26233.5</v>
      </c>
      <c r="J42" s="61">
        <f t="shared" si="14"/>
        <v>-43236.32</v>
      </c>
      <c r="K42" s="123">
        <f t="shared" si="14"/>
        <v>32461.62999999999</v>
      </c>
      <c r="L42" s="41">
        <f t="shared" si="14"/>
        <v>29709.059999999998</v>
      </c>
      <c r="M42" s="49">
        <f t="shared" si="14"/>
        <v>-72344.2</v>
      </c>
    </row>
    <row r="43" spans="1:14" x14ac:dyDescent="0.25">
      <c r="C43" s="99"/>
      <c r="D43" s="151"/>
      <c r="E43" s="31"/>
      <c r="F43" s="31"/>
      <c r="G43" s="31"/>
      <c r="H43" s="28"/>
      <c r="I43" s="31"/>
      <c r="J43" s="11"/>
      <c r="K43" s="17"/>
      <c r="L43" s="17"/>
      <c r="M43" s="11"/>
    </row>
    <row r="44" spans="1:14" ht="15.75" thickBot="1" x14ac:dyDescent="0.3">
      <c r="A44" s="46" t="s">
        <v>53</v>
      </c>
      <c r="C44" s="104"/>
      <c r="D44" s="272"/>
      <c r="E44" s="31"/>
      <c r="F44" s="31"/>
      <c r="G44" s="31"/>
      <c r="H44" s="28"/>
      <c r="I44" s="31"/>
      <c r="J44" s="11"/>
      <c r="K44" s="17"/>
      <c r="L44" s="17"/>
      <c r="M44" s="11"/>
    </row>
    <row r="45" spans="1:14" x14ac:dyDescent="0.25">
      <c r="A45" s="46" t="s">
        <v>24</v>
      </c>
      <c r="B45" s="116">
        <v>-669312.29</v>
      </c>
      <c r="C45" s="41">
        <f t="shared" ref="C45:M45" si="16">B45+C38+B53</f>
        <v>9968.3099999995902</v>
      </c>
      <c r="D45" s="41">
        <f t="shared" ref="D45:D49" si="17">C45+D38+C53</f>
        <v>9529.1299999995899</v>
      </c>
      <c r="E45" s="41">
        <f t="shared" ref="E45:E49" si="18">D45+E38+D53</f>
        <v>44740.539999999623</v>
      </c>
      <c r="F45" s="41">
        <f t="shared" si="16"/>
        <v>15437.919999999604</v>
      </c>
      <c r="G45" s="108">
        <f t="shared" si="16"/>
        <v>-358090.71000000043</v>
      </c>
      <c r="H45" s="40">
        <f t="shared" si="16"/>
        <v>-731442.90000000037</v>
      </c>
      <c r="I45" s="41">
        <f t="shared" si="16"/>
        <v>-922376.11000000045</v>
      </c>
      <c r="J45" s="61">
        <f t="shared" si="16"/>
        <v>-610084.04000000039</v>
      </c>
      <c r="K45" s="123">
        <f t="shared" si="16"/>
        <v>-206283.85000000044</v>
      </c>
      <c r="L45" s="41">
        <f t="shared" si="16"/>
        <v>-31788.400000000442</v>
      </c>
      <c r="M45" s="49">
        <f t="shared" si="16"/>
        <v>-766864.60000000044</v>
      </c>
    </row>
    <row r="46" spans="1:14" x14ac:dyDescent="0.25">
      <c r="A46" s="46" t="s">
        <v>107</v>
      </c>
      <c r="B46" s="249">
        <v>-378952.72000000009</v>
      </c>
      <c r="C46" s="41">
        <f t="shared" ref="C46:M46" si="19">B46+C39+B54</f>
        <v>-374540.5400000001</v>
      </c>
      <c r="D46" s="41">
        <f t="shared" si="17"/>
        <v>-373905.5400000001</v>
      </c>
      <c r="E46" s="41">
        <f t="shared" si="18"/>
        <v>-261544.50000000009</v>
      </c>
      <c r="F46" s="41">
        <f t="shared" si="19"/>
        <v>-266048.4200000001</v>
      </c>
      <c r="G46" s="108">
        <f t="shared" si="19"/>
        <v>-220733.84000000011</v>
      </c>
      <c r="H46" s="40">
        <f t="shared" si="19"/>
        <v>-152694.79000000012</v>
      </c>
      <c r="I46" s="41">
        <f t="shared" si="19"/>
        <v>-92701.080000000133</v>
      </c>
      <c r="J46" s="61">
        <f t="shared" si="19"/>
        <v>-15308.060000000127</v>
      </c>
      <c r="K46" s="123">
        <f t="shared" si="19"/>
        <v>48578.599999999868</v>
      </c>
      <c r="L46" s="41">
        <f t="shared" si="19"/>
        <v>111278.49999999988</v>
      </c>
      <c r="M46" s="49">
        <f t="shared" si="19"/>
        <v>52306.699999999888</v>
      </c>
    </row>
    <row r="47" spans="1:14" x14ac:dyDescent="0.25">
      <c r="A47" s="46" t="s">
        <v>108</v>
      </c>
      <c r="B47" s="249">
        <v>370160.21000000008</v>
      </c>
      <c r="C47" s="41">
        <f t="shared" ref="C47:M47" si="20">B47+C40+B55</f>
        <v>762096.16999999993</v>
      </c>
      <c r="D47" s="41">
        <f t="shared" si="17"/>
        <v>760848.7699999999</v>
      </c>
      <c r="E47" s="41">
        <f t="shared" si="18"/>
        <v>599795.98999999987</v>
      </c>
      <c r="F47" s="41">
        <f t="shared" si="20"/>
        <v>594179.7699999999</v>
      </c>
      <c r="G47" s="108">
        <f t="shared" si="20"/>
        <v>371079.33999999991</v>
      </c>
      <c r="H47" s="40">
        <f t="shared" si="20"/>
        <v>230426.94999999992</v>
      </c>
      <c r="I47" s="41">
        <f t="shared" si="20"/>
        <v>182163.56999999995</v>
      </c>
      <c r="J47" s="61">
        <f t="shared" si="20"/>
        <v>1939.7499999999254</v>
      </c>
      <c r="K47" s="123">
        <f t="shared" si="20"/>
        <v>-6770.1400000000713</v>
      </c>
      <c r="L47" s="41">
        <f t="shared" si="20"/>
        <v>-28658.480000000065</v>
      </c>
      <c r="M47" s="49">
        <f t="shared" si="20"/>
        <v>-285809.35000000009</v>
      </c>
    </row>
    <row r="48" spans="1:14" x14ac:dyDescent="0.25">
      <c r="A48" s="46" t="s">
        <v>109</v>
      </c>
      <c r="B48" s="249">
        <v>-274352.54999999987</v>
      </c>
      <c r="C48" s="41">
        <f t="shared" ref="C48:M48" si="21">B48+C41+B56</f>
        <v>150423.35000000015</v>
      </c>
      <c r="D48" s="41">
        <f t="shared" si="17"/>
        <v>150237.82000000015</v>
      </c>
      <c r="E48" s="41">
        <f t="shared" si="18"/>
        <v>-63089.349999999831</v>
      </c>
      <c r="F48" s="41">
        <f t="shared" si="21"/>
        <v>-2050.8999999998359</v>
      </c>
      <c r="G48" s="108">
        <f t="shared" si="21"/>
        <v>-305646.95999999985</v>
      </c>
      <c r="H48" s="40">
        <f t="shared" si="21"/>
        <v>-611301.03999999992</v>
      </c>
      <c r="I48" s="41">
        <f t="shared" si="21"/>
        <v>-804565.53999999992</v>
      </c>
      <c r="J48" s="61">
        <f t="shared" si="21"/>
        <v>-953024.62</v>
      </c>
      <c r="K48" s="123">
        <f t="shared" si="21"/>
        <v>-904151.02999999991</v>
      </c>
      <c r="L48" s="41">
        <f t="shared" si="21"/>
        <v>-871279.80999999994</v>
      </c>
      <c r="M48" s="49">
        <f t="shared" si="21"/>
        <v>-1217681.46</v>
      </c>
    </row>
    <row r="49" spans="1:14" ht="15.75" thickBot="1" x14ac:dyDescent="0.3">
      <c r="A49" s="46" t="s">
        <v>110</v>
      </c>
      <c r="B49" s="117">
        <v>-629790.71999999962</v>
      </c>
      <c r="C49" s="41">
        <f>B49+C42+B57</f>
        <v>-617330.89999999967</v>
      </c>
      <c r="D49" s="41">
        <f t="shared" si="17"/>
        <v>-616265.72999999963</v>
      </c>
      <c r="E49" s="41">
        <f t="shared" si="18"/>
        <v>-668225.18999999959</v>
      </c>
      <c r="F49" s="41">
        <f t="shared" ref="F49:M49" si="22">E49+F42+E57</f>
        <v>-539660.58999999962</v>
      </c>
      <c r="G49" s="108">
        <f t="shared" si="22"/>
        <v>-584281.56999999972</v>
      </c>
      <c r="H49" s="40">
        <f t="shared" si="22"/>
        <v>-628869.53999999969</v>
      </c>
      <c r="I49" s="41">
        <f t="shared" si="22"/>
        <v>-655689.27999999968</v>
      </c>
      <c r="J49" s="61">
        <f t="shared" si="22"/>
        <v>-699673.63999999966</v>
      </c>
      <c r="K49" s="123">
        <f t="shared" si="22"/>
        <v>-668114.61999999965</v>
      </c>
      <c r="L49" s="41">
        <f t="shared" si="22"/>
        <v>-639316.54999999958</v>
      </c>
      <c r="M49" s="49">
        <f t="shared" si="22"/>
        <v>-712531.56999999948</v>
      </c>
    </row>
    <row r="50" spans="1:14" x14ac:dyDescent="0.25">
      <c r="C50" s="99"/>
      <c r="D50" s="151"/>
      <c r="E50" s="31"/>
      <c r="F50" s="31"/>
      <c r="G50" s="31"/>
      <c r="H50" s="28"/>
      <c r="I50" s="31"/>
      <c r="J50" s="11"/>
      <c r="K50" s="17"/>
      <c r="L50" s="17"/>
      <c r="M50" s="11"/>
    </row>
    <row r="51" spans="1:14" x14ac:dyDescent="0.25">
      <c r="A51" s="39" t="s">
        <v>49</v>
      </c>
      <c r="B51" s="39"/>
      <c r="C51" s="104"/>
      <c r="D51" s="272"/>
      <c r="E51" s="83">
        <f>+'PCR Cycle 2'!E50</f>
        <v>9.0841999999999995E-4</v>
      </c>
      <c r="F51" s="83">
        <f>+'PCR Cycle 2'!F50</f>
        <v>9.1985999999999999E-4</v>
      </c>
      <c r="G51" s="83">
        <f>+'PCR Cycle 2'!G50</f>
        <v>9.2144000000000004E-4</v>
      </c>
      <c r="H51" s="84">
        <f>+'PCR Cycle 2'!H50</f>
        <v>9.6606999999999997E-4</v>
      </c>
      <c r="I51" s="83">
        <f>+'PCR Cycle 2'!I50</f>
        <v>1.1641399999999999E-3</v>
      </c>
      <c r="J51" s="92">
        <f>+'PCR Cycle 2'!J50</f>
        <v>1.33118E-3</v>
      </c>
      <c r="K51" s="83">
        <f>+'PCR Cycle 2'!K50</f>
        <v>1.33118E-3</v>
      </c>
      <c r="L51" s="83">
        <f>+'PCR Cycle 2'!L50</f>
        <v>1.33118E-3</v>
      </c>
      <c r="M51" s="92"/>
    </row>
    <row r="52" spans="1:14" x14ac:dyDescent="0.25">
      <c r="A52" s="39" t="s">
        <v>37</v>
      </c>
      <c r="B52" s="39"/>
      <c r="C52" s="99"/>
      <c r="D52" s="151"/>
      <c r="E52" s="31"/>
      <c r="F52" s="31"/>
      <c r="G52" s="31"/>
      <c r="H52" s="28"/>
      <c r="I52" s="31"/>
      <c r="J52" s="11"/>
      <c r="K52" s="17"/>
      <c r="L52" s="17"/>
      <c r="M52" s="11"/>
      <c r="N52" s="71"/>
    </row>
    <row r="53" spans="1:14" x14ac:dyDescent="0.25">
      <c r="A53" s="46" t="s">
        <v>24</v>
      </c>
      <c r="C53" s="40">
        <v>-439.18</v>
      </c>
      <c r="D53" s="123"/>
      <c r="E53" s="41">
        <f>ROUND((C45+C53+D53+E38/2)*E$51,2)</f>
        <v>24.65</v>
      </c>
      <c r="F53" s="41">
        <f t="shared" ref="F53:L57" si="23">ROUND((E45+E53+F38/2)*F$51,2)</f>
        <v>27.69</v>
      </c>
      <c r="G53" s="108">
        <f t="shared" si="23"/>
        <v>-157.85</v>
      </c>
      <c r="H53" s="40">
        <f t="shared" si="23"/>
        <v>-526.36</v>
      </c>
      <c r="I53" s="123">
        <f t="shared" si="23"/>
        <v>-962.94</v>
      </c>
      <c r="J53" s="61">
        <f t="shared" si="23"/>
        <v>-1020.63</v>
      </c>
      <c r="K53" s="123">
        <f t="shared" si="23"/>
        <v>-544.04999999999995</v>
      </c>
      <c r="L53" s="123">
        <f t="shared" si="23"/>
        <v>-158.82</v>
      </c>
      <c r="M53" s="49"/>
    </row>
    <row r="54" spans="1:14" x14ac:dyDescent="0.25">
      <c r="A54" s="46" t="s">
        <v>107</v>
      </c>
      <c r="C54" s="250">
        <v>635</v>
      </c>
      <c r="D54" s="273"/>
      <c r="E54" s="41">
        <f t="shared" ref="E54:E57" si="24">ROUND((C46+C54+D54+E39/2)*E$51,2)</f>
        <v>-288.63</v>
      </c>
      <c r="F54" s="41">
        <f t="shared" si="23"/>
        <v>-242.79</v>
      </c>
      <c r="G54" s="108">
        <f t="shared" si="23"/>
        <v>-224.38</v>
      </c>
      <c r="H54" s="40">
        <f t="shared" si="23"/>
        <v>-180.49</v>
      </c>
      <c r="I54" s="123">
        <f t="shared" si="23"/>
        <v>-142.94</v>
      </c>
      <c r="J54" s="61">
        <f t="shared" si="23"/>
        <v>-71.98</v>
      </c>
      <c r="K54" s="123">
        <f t="shared" si="23"/>
        <v>22.1</v>
      </c>
      <c r="L54" s="123">
        <f t="shared" si="23"/>
        <v>106.41</v>
      </c>
      <c r="M54" s="49"/>
    </row>
    <row r="55" spans="1:14" x14ac:dyDescent="0.25">
      <c r="A55" s="46" t="s">
        <v>108</v>
      </c>
      <c r="C55" s="250">
        <v>-1247.4000000000001</v>
      </c>
      <c r="D55" s="273"/>
      <c r="E55" s="41">
        <f t="shared" si="24"/>
        <v>618.02</v>
      </c>
      <c r="F55" s="41">
        <f t="shared" si="23"/>
        <v>549.42999999999995</v>
      </c>
      <c r="G55" s="108">
        <f t="shared" si="23"/>
        <v>444.97</v>
      </c>
      <c r="H55" s="40">
        <f t="shared" si="23"/>
        <v>290.76</v>
      </c>
      <c r="I55" s="123">
        <f t="shared" si="23"/>
        <v>240.33</v>
      </c>
      <c r="J55" s="61">
        <f t="shared" si="23"/>
        <v>122.7</v>
      </c>
      <c r="K55" s="123">
        <f t="shared" si="23"/>
        <v>-3.13</v>
      </c>
      <c r="L55" s="123">
        <f t="shared" si="23"/>
        <v>-23.58</v>
      </c>
      <c r="M55" s="49"/>
    </row>
    <row r="56" spans="1:14" x14ac:dyDescent="0.25">
      <c r="A56" s="46" t="s">
        <v>109</v>
      </c>
      <c r="C56" s="250">
        <v>-185.53</v>
      </c>
      <c r="D56" s="273"/>
      <c r="E56" s="41">
        <f t="shared" si="24"/>
        <v>39.58</v>
      </c>
      <c r="F56" s="41">
        <f t="shared" si="23"/>
        <v>-29.94</v>
      </c>
      <c r="G56" s="108">
        <f t="shared" si="23"/>
        <v>-141.78</v>
      </c>
      <c r="H56" s="40">
        <f t="shared" si="23"/>
        <v>-442.99</v>
      </c>
      <c r="I56" s="123">
        <f t="shared" si="23"/>
        <v>-824.39</v>
      </c>
      <c r="J56" s="61">
        <f t="shared" si="23"/>
        <v>-1170.3800000000001</v>
      </c>
      <c r="K56" s="123">
        <f t="shared" si="23"/>
        <v>-1236.9000000000001</v>
      </c>
      <c r="L56" s="123">
        <f t="shared" si="23"/>
        <v>-1182.53</v>
      </c>
      <c r="M56" s="49"/>
    </row>
    <row r="57" spans="1:14" ht="15.75" thickBot="1" x14ac:dyDescent="0.3">
      <c r="A57" s="46" t="s">
        <v>110</v>
      </c>
      <c r="C57" s="114">
        <v>1065.17</v>
      </c>
      <c r="D57" s="273"/>
      <c r="E57" s="41">
        <f t="shared" si="24"/>
        <v>-583.42999999999995</v>
      </c>
      <c r="F57" s="41">
        <f t="shared" si="23"/>
        <v>-555.80999999999995</v>
      </c>
      <c r="G57" s="108">
        <f t="shared" si="23"/>
        <v>-518.08000000000004</v>
      </c>
      <c r="H57" s="40">
        <f t="shared" si="23"/>
        <v>-586.24</v>
      </c>
      <c r="I57" s="123">
        <f t="shared" si="23"/>
        <v>-748.04</v>
      </c>
      <c r="J57" s="61">
        <f t="shared" si="23"/>
        <v>-902.61</v>
      </c>
      <c r="K57" s="123">
        <f t="shared" si="23"/>
        <v>-910.99</v>
      </c>
      <c r="L57" s="123">
        <f t="shared" si="23"/>
        <v>-870.82</v>
      </c>
      <c r="M57" s="49"/>
    </row>
    <row r="58" spans="1:14" ht="16.5" thickTop="1" thickBot="1" x14ac:dyDescent="0.3">
      <c r="A58" s="54" t="s">
        <v>22</v>
      </c>
      <c r="B58" s="54"/>
      <c r="C58" s="115">
        <v>0</v>
      </c>
      <c r="D58" s="274"/>
      <c r="E58" s="32">
        <f t="shared" ref="E58:M58" si="25">SUM(E53:E57)+SUM(E45:E49)-E61</f>
        <v>0</v>
      </c>
      <c r="F58" s="32">
        <f t="shared" si="25"/>
        <v>-2.3283064365386963E-10</v>
      </c>
      <c r="G58" s="50">
        <f t="shared" si="25"/>
        <v>0</v>
      </c>
      <c r="H58" s="124">
        <f t="shared" si="25"/>
        <v>0</v>
      </c>
      <c r="I58" s="32">
        <f t="shared" si="25"/>
        <v>0</v>
      </c>
      <c r="J58" s="62">
        <f t="shared" si="25"/>
        <v>0</v>
      </c>
      <c r="K58" s="165">
        <f t="shared" si="25"/>
        <v>0</v>
      </c>
      <c r="L58" s="32">
        <f t="shared" si="25"/>
        <v>0</v>
      </c>
      <c r="M58" s="96">
        <f t="shared" si="25"/>
        <v>0</v>
      </c>
    </row>
    <row r="59" spans="1:14" ht="16.5" thickTop="1" thickBot="1" x14ac:dyDescent="0.3">
      <c r="A59" s="54" t="s">
        <v>23</v>
      </c>
      <c r="B59" s="54"/>
      <c r="C59" s="107">
        <v>0</v>
      </c>
      <c r="D59" s="275"/>
      <c r="E59" s="32">
        <f t="shared" ref="E59:J59" si="26">SUM(E53:E57)-E35</f>
        <v>9.9999999999909051E-3</v>
      </c>
      <c r="F59" s="32">
        <f t="shared" si="26"/>
        <v>9.9999999999340616E-3</v>
      </c>
      <c r="G59" s="50">
        <f t="shared" ref="G59:I59" si="27">SUM(G53:G57)-G35</f>
        <v>-9.9999999999909051E-3</v>
      </c>
      <c r="H59" s="51">
        <f t="shared" si="27"/>
        <v>0</v>
      </c>
      <c r="I59" s="32">
        <f t="shared" si="27"/>
        <v>3.0000000000200089E-2</v>
      </c>
      <c r="J59" s="62">
        <f t="shared" si="26"/>
        <v>1.999999999998181E-2</v>
      </c>
      <c r="K59" s="165">
        <f t="shared" ref="K59:M59" si="28">SUM(K53:K57)-K35</f>
        <v>-0.41000000000030923</v>
      </c>
      <c r="L59" s="32">
        <f t="shared" si="28"/>
        <v>-1.25</v>
      </c>
      <c r="M59" s="96">
        <f t="shared" si="28"/>
        <v>0</v>
      </c>
    </row>
    <row r="60" spans="1:14" ht="16.5" thickTop="1" thickBot="1" x14ac:dyDescent="0.3">
      <c r="C60" s="99"/>
      <c r="D60" s="151"/>
      <c r="E60" s="17"/>
      <c r="F60" s="17"/>
      <c r="G60" s="17"/>
      <c r="H60" s="10"/>
      <c r="I60" s="17"/>
      <c r="J60" s="11"/>
      <c r="K60" s="17"/>
      <c r="L60" s="17"/>
      <c r="M60" s="11"/>
    </row>
    <row r="61" spans="1:14" ht="15.75" thickBot="1" x14ac:dyDescent="0.3">
      <c r="A61" s="46" t="s">
        <v>36</v>
      </c>
      <c r="B61" s="119">
        <f>SUM(B45:B49)</f>
        <v>-1582248.0699999994</v>
      </c>
      <c r="C61" s="40">
        <f>(SUM(C15:C19)-SUM(C29:C33))+SUM(C53:C57)+B61</f>
        <v>-69555.549999999348</v>
      </c>
      <c r="D61" s="41">
        <f>(SUM(D15:D19)-SUM(D29:D33))+SUM(D53:D57)+C61</f>
        <v>-69555.549999999348</v>
      </c>
      <c r="E61" s="41">
        <f>(SUM(E15:E19)-SUM(E29:E33))+SUM(D53:E57)+C61</f>
        <v>-348512.31999999966</v>
      </c>
      <c r="F61" s="41">
        <f t="shared" ref="F61:M61" si="29">(SUM(F15:F19)-SUM(F29:F33))+SUM(F53:F57)+E61</f>
        <v>-198393.63999999981</v>
      </c>
      <c r="G61" s="108">
        <f t="shared" si="29"/>
        <v>-1098270.8599999999</v>
      </c>
      <c r="H61" s="40">
        <f t="shared" si="29"/>
        <v>-1895326.6399999997</v>
      </c>
      <c r="I61" s="41">
        <f t="shared" si="29"/>
        <v>-2295606.4199999995</v>
      </c>
      <c r="J61" s="61">
        <f t="shared" si="29"/>
        <v>-2279193.5099999993</v>
      </c>
      <c r="K61" s="123">
        <f t="shared" si="29"/>
        <v>-1739414.0099999993</v>
      </c>
      <c r="L61" s="41">
        <f t="shared" si="29"/>
        <v>-1461894.0799999994</v>
      </c>
      <c r="M61" s="61">
        <f t="shared" si="29"/>
        <v>-2930580.2799999993</v>
      </c>
    </row>
    <row r="62" spans="1:14" x14ac:dyDescent="0.25">
      <c r="A62" s="46" t="s">
        <v>12</v>
      </c>
      <c r="C62" s="120"/>
      <c r="D62" s="17"/>
      <c r="E62" s="56"/>
      <c r="F62" s="56"/>
      <c r="G62" s="56"/>
      <c r="H62" s="12"/>
      <c r="I62" s="56"/>
      <c r="J62" s="11"/>
      <c r="K62" s="17"/>
      <c r="L62" s="17"/>
      <c r="M62" s="11"/>
    </row>
    <row r="63" spans="1:14" ht="15.75" thickBot="1" x14ac:dyDescent="0.3">
      <c r="B63" s="17"/>
      <c r="C63" s="43"/>
      <c r="D63" s="44"/>
      <c r="E63" s="44"/>
      <c r="F63" s="44"/>
      <c r="G63" s="44"/>
      <c r="H63" s="43"/>
      <c r="I63" s="44"/>
      <c r="J63" s="45"/>
      <c r="K63" s="44"/>
      <c r="L63" s="44"/>
      <c r="M63" s="45"/>
    </row>
    <row r="64" spans="1:14" x14ac:dyDescent="0.25">
      <c r="D64" s="47"/>
    </row>
    <row r="65" spans="1:13" x14ac:dyDescent="0.25">
      <c r="A65" s="69" t="s">
        <v>11</v>
      </c>
      <c r="B65" s="69"/>
      <c r="C65" s="69"/>
      <c r="D65" s="69"/>
    </row>
    <row r="66" spans="1:13" ht="66" customHeight="1" x14ac:dyDescent="0.25">
      <c r="A66" s="307" t="s">
        <v>206</v>
      </c>
      <c r="B66" s="307"/>
      <c r="C66" s="307"/>
      <c r="D66" s="307"/>
      <c r="E66" s="307"/>
      <c r="F66" s="307"/>
      <c r="G66" s="307"/>
      <c r="H66" s="307"/>
      <c r="I66" s="307"/>
      <c r="J66" s="307"/>
      <c r="K66" s="238"/>
      <c r="L66" s="238"/>
      <c r="M66" s="238"/>
    </row>
    <row r="67" spans="1:13" ht="33.75" customHeight="1" x14ac:dyDescent="0.25">
      <c r="A67" s="307" t="s">
        <v>204</v>
      </c>
      <c r="B67" s="307"/>
      <c r="C67" s="307"/>
      <c r="D67" s="307"/>
      <c r="E67" s="307"/>
      <c r="F67" s="307"/>
      <c r="G67" s="307"/>
      <c r="H67" s="307"/>
      <c r="I67" s="307"/>
      <c r="J67" s="307"/>
      <c r="K67" s="238"/>
      <c r="L67" s="238"/>
      <c r="M67" s="238"/>
    </row>
    <row r="68" spans="1:13" ht="33.75" customHeight="1" x14ac:dyDescent="0.25">
      <c r="A68" s="307" t="s">
        <v>205</v>
      </c>
      <c r="B68" s="307"/>
      <c r="C68" s="307"/>
      <c r="D68" s="307"/>
      <c r="E68" s="307"/>
      <c r="F68" s="307"/>
      <c r="G68" s="307"/>
      <c r="H68" s="307"/>
      <c r="I68" s="307"/>
      <c r="J68" s="307"/>
      <c r="K68" s="238"/>
      <c r="L68" s="238"/>
      <c r="M68" s="238"/>
    </row>
    <row r="69" spans="1:13" x14ac:dyDescent="0.25">
      <c r="A69" s="3" t="s">
        <v>31</v>
      </c>
      <c r="B69" s="3"/>
      <c r="C69" s="3"/>
      <c r="D69" s="3"/>
      <c r="J69" s="4"/>
    </row>
    <row r="70" spans="1:13" x14ac:dyDescent="0.25">
      <c r="A70" s="63" t="s">
        <v>203</v>
      </c>
      <c r="B70" s="3"/>
      <c r="C70" s="3"/>
      <c r="D70" s="3"/>
      <c r="J70" s="4"/>
    </row>
    <row r="71" spans="1:13" x14ac:dyDescent="0.25">
      <c r="A71" s="3" t="s">
        <v>51</v>
      </c>
      <c r="B71" s="3"/>
      <c r="C71" s="3"/>
      <c r="D71" s="3"/>
      <c r="J71" s="4"/>
    </row>
    <row r="72" spans="1:13" x14ac:dyDescent="0.25">
      <c r="A72" s="3"/>
    </row>
    <row r="73" spans="1:13" ht="33.75" customHeight="1" x14ac:dyDescent="0.25">
      <c r="A73" s="303"/>
      <c r="B73" s="303"/>
      <c r="C73" s="303"/>
      <c r="D73" s="303"/>
      <c r="E73" s="303"/>
      <c r="F73" s="303"/>
      <c r="G73" s="303"/>
    </row>
    <row r="75" spans="1:13" ht="31.5" customHeight="1" x14ac:dyDescent="0.25">
      <c r="A75" s="303"/>
      <c r="B75" s="303"/>
      <c r="C75" s="303"/>
      <c r="D75" s="303"/>
      <c r="E75" s="303"/>
      <c r="F75" s="303"/>
      <c r="G75" s="303"/>
    </row>
    <row r="81" spans="14:14" x14ac:dyDescent="0.25">
      <c r="N81" s="8"/>
    </row>
  </sheetData>
  <mergeCells count="8">
    <mergeCell ref="K11:M11"/>
    <mergeCell ref="A66:J66"/>
    <mergeCell ref="A67:J67"/>
    <mergeCell ref="A75:G75"/>
    <mergeCell ref="A73:G73"/>
    <mergeCell ref="A68:J68"/>
    <mergeCell ref="E11:G11"/>
    <mergeCell ref="H11:J11"/>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C6" sqref="C6"/>
    </sheetView>
  </sheetViews>
  <sheetFormatPr defaultRowHeight="15" x14ac:dyDescent="0.25"/>
  <cols>
    <col min="1" max="1" width="24.7109375" customWidth="1"/>
    <col min="2" max="2" width="16.140625" customWidth="1"/>
    <col min="3" max="3" width="15.140625" customWidth="1"/>
  </cols>
  <sheetData>
    <row r="1" spans="1:23" s="46" customFormat="1" x14ac:dyDescent="0.25">
      <c r="A1" s="3" t="str">
        <f>+'PPC Cycle 3'!A1</f>
        <v>Evergy Metro, Inc. - DSIM Rider Update Filed 06/01/2022</v>
      </c>
    </row>
    <row r="2" spans="1:23" x14ac:dyDescent="0.25">
      <c r="A2" s="9" t="str">
        <f>+'PPC Cycle 3'!A2</f>
        <v>Projections for Cycle 3 July 2022 - June 2023 DSIM</v>
      </c>
    </row>
    <row r="3" spans="1:23" s="46" customFormat="1" x14ac:dyDescent="0.25">
      <c r="A3" s="9"/>
    </row>
    <row r="4" spans="1:23" ht="40.5" customHeight="1" x14ac:dyDescent="0.25">
      <c r="B4" s="301" t="s">
        <v>64</v>
      </c>
      <c r="C4" s="301"/>
    </row>
    <row r="5" spans="1:23" ht="45" x14ac:dyDescent="0.25">
      <c r="B5" s="152" t="s">
        <v>65</v>
      </c>
      <c r="C5" s="6" t="s">
        <v>29</v>
      </c>
    </row>
    <row r="6" spans="1:23" x14ac:dyDescent="0.25">
      <c r="A6" s="20" t="s">
        <v>24</v>
      </c>
      <c r="B6" s="23">
        <f>SUM('[5]Monthly TD Calc'!BZ285:CE285)</f>
        <v>16516787.198599555</v>
      </c>
      <c r="C6" s="86">
        <f>ROUND(SUM('[5]Monthly TD Calc'!BZ326:CE326),2)</f>
        <v>1371657.05</v>
      </c>
    </row>
    <row r="7" spans="1:23" x14ac:dyDescent="0.25">
      <c r="A7" s="30" t="s">
        <v>25</v>
      </c>
      <c r="B7" s="23">
        <f>+B14</f>
        <v>30559498.224796295</v>
      </c>
      <c r="C7" s="86">
        <f>+C14</f>
        <v>1331184.3600000001</v>
      </c>
    </row>
    <row r="8" spans="1:23" x14ac:dyDescent="0.25">
      <c r="A8" s="20" t="s">
        <v>5</v>
      </c>
      <c r="B8" s="24">
        <f>SUM(B6:B7)</f>
        <v>47076285.42339585</v>
      </c>
      <c r="C8" s="22">
        <f>SUM(C6:C7)</f>
        <v>2702841.41</v>
      </c>
    </row>
    <row r="9" spans="1:23" s="46" customFormat="1" x14ac:dyDescent="0.25">
      <c r="A9" s="20"/>
    </row>
    <row r="10" spans="1:23" s="46" customFormat="1" x14ac:dyDescent="0.25">
      <c r="A10" s="20" t="s">
        <v>107</v>
      </c>
      <c r="B10" s="23">
        <f>SUM('[5]Monthly TD Calc'!BZ286:CE286)</f>
        <v>2730575.624688359</v>
      </c>
      <c r="C10" s="86">
        <f>ROUND(SUM('[5]Monthly TD Calc'!BZ327:CE327),2)</f>
        <v>229320</v>
      </c>
    </row>
    <row r="11" spans="1:23" s="46" customFormat="1" x14ac:dyDescent="0.25">
      <c r="A11" s="20" t="s">
        <v>108</v>
      </c>
      <c r="B11" s="23">
        <f>SUM('[5]Monthly TD Calc'!BZ287:CE287)</f>
        <v>10091322.69160288</v>
      </c>
      <c r="C11" s="86">
        <f>ROUND(SUM('[5]Monthly TD Calc'!BZ328:CE328),2)</f>
        <v>548535.25</v>
      </c>
    </row>
    <row r="12" spans="1:23" s="46" customFormat="1" x14ac:dyDescent="0.25">
      <c r="A12" s="20" t="s">
        <v>109</v>
      </c>
      <c r="B12" s="23">
        <f>SUM('[5]Monthly TD Calc'!BZ288:CE288)</f>
        <v>14667759.160339631</v>
      </c>
      <c r="C12" s="86">
        <f>ROUND(SUM('[5]Monthly TD Calc'!BZ329:CE329),2)</f>
        <v>503457.01</v>
      </c>
    </row>
    <row r="13" spans="1:23" s="46" customFormat="1" x14ac:dyDescent="0.25">
      <c r="A13" s="20" t="s">
        <v>110</v>
      </c>
      <c r="B13" s="23">
        <f>SUM('[5]Monthly TD Calc'!BZ289:CE289)</f>
        <v>3069840.7481654235</v>
      </c>
      <c r="C13" s="86">
        <f>ROUND(SUM('[5]Monthly TD Calc'!BZ330:CE330),2)</f>
        <v>49872.1</v>
      </c>
    </row>
    <row r="14" spans="1:23" x14ac:dyDescent="0.25">
      <c r="A14" s="30" t="s">
        <v>112</v>
      </c>
      <c r="B14" s="24">
        <f>SUM(B10:B13)</f>
        <v>30559498.224796295</v>
      </c>
      <c r="C14" s="22">
        <f>SUM(C10:C13)</f>
        <v>1331184.3600000001</v>
      </c>
    </row>
    <row r="15" spans="1:23" x14ac:dyDescent="0.25">
      <c r="A15" s="46"/>
      <c r="B15" s="46"/>
      <c r="C15" s="46"/>
    </row>
    <row r="16" spans="1:23" x14ac:dyDescent="0.25">
      <c r="A16" s="69" t="s">
        <v>30</v>
      </c>
      <c r="B16" s="20"/>
      <c r="C16" s="21"/>
      <c r="N16" s="1"/>
      <c r="O16" s="1"/>
      <c r="P16" s="1"/>
      <c r="Q16" s="1"/>
      <c r="R16" s="1"/>
      <c r="S16" s="1"/>
      <c r="T16" s="1"/>
      <c r="U16" s="1"/>
      <c r="V16" s="1"/>
      <c r="W16" s="1"/>
    </row>
    <row r="17" spans="1:13" s="39" customFormat="1" x14ac:dyDescent="0.25">
      <c r="A17" s="302" t="s">
        <v>190</v>
      </c>
      <c r="B17" s="302"/>
      <c r="C17" s="302"/>
      <c r="D17" s="302"/>
      <c r="E17" s="302"/>
      <c r="F17" s="302"/>
      <c r="G17" s="302"/>
      <c r="H17" s="302"/>
      <c r="I17" s="302"/>
      <c r="J17" s="302"/>
      <c r="K17" s="302"/>
      <c r="L17" s="302"/>
      <c r="M17" s="302"/>
    </row>
    <row r="18" spans="1:13" s="39" customFormat="1" x14ac:dyDescent="0.25">
      <c r="A18" s="302" t="s">
        <v>191</v>
      </c>
      <c r="B18" s="302"/>
      <c r="C18" s="302"/>
      <c r="D18" s="302"/>
      <c r="E18" s="302"/>
      <c r="F18" s="302"/>
      <c r="G18" s="302"/>
      <c r="H18" s="302"/>
      <c r="I18" s="302"/>
      <c r="J18" s="302"/>
      <c r="K18" s="302"/>
      <c r="L18" s="302"/>
      <c r="M18" s="302"/>
    </row>
    <row r="38" spans="2:3" x14ac:dyDescent="0.25">
      <c r="B38" s="8"/>
      <c r="C38" s="8"/>
    </row>
    <row r="42" spans="2:3" x14ac:dyDescent="0.25">
      <c r="B42" s="8"/>
      <c r="C42" s="8"/>
    </row>
  </sheetData>
  <mergeCells count="3">
    <mergeCell ref="B4:C4"/>
    <mergeCell ref="A17:M17"/>
    <mergeCell ref="A18:M18"/>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G14" sqref="G14"/>
    </sheetView>
  </sheetViews>
  <sheetFormatPr defaultColWidth="9.140625" defaultRowHeight="15" x14ac:dyDescent="0.25"/>
  <cols>
    <col min="1" max="1" width="24.7109375" style="46" customWidth="1"/>
    <col min="2" max="2" width="16.140625" style="46" customWidth="1"/>
    <col min="3" max="3" width="15.140625" style="46" customWidth="1"/>
    <col min="4" max="4" width="12.5703125" style="46" bestFit="1" customWidth="1"/>
    <col min="5" max="5" width="11.5703125" style="46" bestFit="1" customWidth="1"/>
    <col min="6" max="16384" width="9.140625" style="46"/>
  </cols>
  <sheetData>
    <row r="1" spans="1:23" x14ac:dyDescent="0.25">
      <c r="A1" s="3" t="str">
        <f>+'PPC Cycle 3'!A1</f>
        <v>Evergy Metro, Inc. - DSIM Rider Update Filed 06/01/2022</v>
      </c>
    </row>
    <row r="2" spans="1:23" x14ac:dyDescent="0.25">
      <c r="A2" s="9" t="str">
        <f>+'PPC Cycle 3'!A2</f>
        <v>Projections for Cycle 3 July 2022 - June 2023 DSIM</v>
      </c>
    </row>
    <row r="3" spans="1:23" x14ac:dyDescent="0.25">
      <c r="A3" s="9"/>
    </row>
    <row r="4" spans="1:23" ht="40.5" customHeight="1" x14ac:dyDescent="0.25">
      <c r="B4" s="301" t="s">
        <v>114</v>
      </c>
      <c r="C4" s="301"/>
    </row>
    <row r="5" spans="1:23" ht="75" x14ac:dyDescent="0.25">
      <c r="B5" s="152" t="s">
        <v>65</v>
      </c>
      <c r="C5" s="48" t="s">
        <v>29</v>
      </c>
      <c r="D5" s="292" t="s">
        <v>199</v>
      </c>
      <c r="E5" s="292" t="s">
        <v>200</v>
      </c>
    </row>
    <row r="6" spans="1:23" x14ac:dyDescent="0.25">
      <c r="A6" s="20" t="s">
        <v>24</v>
      </c>
      <c r="B6" s="23">
        <f>SUM('[3]Monthly TD Calc'!$AI461:$AT461)+SUM('[14]Monthly TD Calc'!$AO460:$AT460)</f>
        <v>52821568.114246421</v>
      </c>
      <c r="C6" s="86">
        <f>SUM(D6:E6)</f>
        <v>3790330.86</v>
      </c>
      <c r="D6" s="234">
        <f>ROUND(SUM('[3]Monthly TD Calc'!$AI563:$AT563),2)</f>
        <v>3548484.15</v>
      </c>
      <c r="E6" s="234">
        <f>SUM('[14]Monthly TD Calc'!$AO562:$AT562)</f>
        <v>241846.71000000002</v>
      </c>
    </row>
    <row r="7" spans="1:23" x14ac:dyDescent="0.25">
      <c r="A7" s="20" t="s">
        <v>107</v>
      </c>
      <c r="B7" s="23">
        <f>SUM('[3]Monthly TD Calc'!$AI462:$AT462)+SUM('[14]Monthly TD Calc'!$AO461:$AT461)</f>
        <v>5742258.8696676074</v>
      </c>
      <c r="C7" s="86">
        <f t="shared" ref="C7:C10" si="0">SUM(D7:E7)</f>
        <v>459103.05000000005</v>
      </c>
      <c r="D7" s="234">
        <f>ROUND(SUM('[3]Monthly TD Calc'!$AI564:$AT564),2)</f>
        <v>438495.71</v>
      </c>
      <c r="E7" s="234">
        <f>SUM('[14]Monthly TD Calc'!$AO563:$AT563)</f>
        <v>20607.34</v>
      </c>
    </row>
    <row r="8" spans="1:23" x14ac:dyDescent="0.25">
      <c r="A8" s="20" t="s">
        <v>108</v>
      </c>
      <c r="B8" s="23">
        <f>SUM('[3]Monthly TD Calc'!$AI463:$AT463)+SUM('[14]Monthly TD Calc'!$AO462:$AT462)</f>
        <v>15018158.479332132</v>
      </c>
      <c r="C8" s="86">
        <f t="shared" si="0"/>
        <v>773025.46</v>
      </c>
      <c r="D8" s="234">
        <f>ROUND(SUM('[3]Monthly TD Calc'!$AI565:$AT565),2)</f>
        <v>724041.4</v>
      </c>
      <c r="E8" s="234">
        <f>SUM('[14]Monthly TD Calc'!$AO564:$AT564)</f>
        <v>48984.06</v>
      </c>
    </row>
    <row r="9" spans="1:23" x14ac:dyDescent="0.25">
      <c r="A9" s="20" t="s">
        <v>109</v>
      </c>
      <c r="B9" s="23">
        <f>SUM('[3]Monthly TD Calc'!$AI464:$AT464)+SUM('[14]Monthly TD Calc'!$AO463:$AT463)</f>
        <v>24350642.944174465</v>
      </c>
      <c r="C9" s="86">
        <f t="shared" si="0"/>
        <v>766411.02</v>
      </c>
      <c r="D9" s="234">
        <f>ROUND(SUM('[3]Monthly TD Calc'!$AI566:$AT566),2)</f>
        <v>715504.39</v>
      </c>
      <c r="E9" s="234">
        <f>SUM('[14]Monthly TD Calc'!$AO565:$AT565)</f>
        <v>50906.630000000005</v>
      </c>
    </row>
    <row r="10" spans="1:23" x14ac:dyDescent="0.25">
      <c r="A10" s="20" t="s">
        <v>110</v>
      </c>
      <c r="B10" s="23">
        <f>SUM('[3]Monthly TD Calc'!$AI465:$AT465)+SUM('[14]Monthly TD Calc'!$AO464:$AT464)</f>
        <v>3970634.7601028141</v>
      </c>
      <c r="C10" s="86">
        <f t="shared" si="0"/>
        <v>53624.55</v>
      </c>
      <c r="D10" s="234">
        <f>ROUND(SUM('[3]Monthly TD Calc'!$AI567:$AT567),2)</f>
        <v>51398.51</v>
      </c>
      <c r="E10" s="234">
        <f>SUM('[14]Monthly TD Calc'!$AO566:$AT566)</f>
        <v>2226.04</v>
      </c>
    </row>
    <row r="11" spans="1:23" x14ac:dyDescent="0.25">
      <c r="A11" s="30" t="s">
        <v>5</v>
      </c>
      <c r="B11" s="24">
        <f>SUM(B6:B10)</f>
        <v>101903263.16752343</v>
      </c>
      <c r="C11" s="298">
        <f>SUM(C6:C10)</f>
        <v>5842494.9400000004</v>
      </c>
      <c r="D11" s="298">
        <f t="shared" ref="D11:E11" si="1">SUM(D6:D10)</f>
        <v>5477924.1599999992</v>
      </c>
      <c r="E11" s="298">
        <f t="shared" si="1"/>
        <v>364570.78</v>
      </c>
    </row>
    <row r="13" spans="1:23" x14ac:dyDescent="0.25">
      <c r="A13" s="69" t="s">
        <v>30</v>
      </c>
      <c r="B13" s="20"/>
      <c r="C13" s="21"/>
      <c r="N13" s="1"/>
      <c r="O13" s="1"/>
      <c r="P13" s="1"/>
      <c r="Q13" s="1"/>
      <c r="R13" s="1"/>
      <c r="S13" s="1"/>
      <c r="T13" s="1"/>
      <c r="U13" s="1"/>
      <c r="V13" s="1"/>
      <c r="W13" s="1"/>
    </row>
    <row r="14" spans="1:23" s="39" customFormat="1" ht="27.75" customHeight="1" x14ac:dyDescent="0.25">
      <c r="A14" s="300" t="s">
        <v>207</v>
      </c>
      <c r="B14" s="300"/>
      <c r="C14" s="300"/>
      <c r="D14" s="300"/>
      <c r="E14" s="300"/>
      <c r="F14" s="295"/>
      <c r="G14" s="295"/>
      <c r="H14" s="295"/>
      <c r="I14" s="295"/>
      <c r="J14" s="295"/>
      <c r="K14" s="295"/>
      <c r="L14" s="295"/>
      <c r="M14" s="295"/>
    </row>
    <row r="15" spans="1:23" s="39" customFormat="1" x14ac:dyDescent="0.25">
      <c r="A15" s="302" t="s">
        <v>211</v>
      </c>
      <c r="B15" s="302"/>
      <c r="C15" s="302"/>
      <c r="D15" s="302"/>
      <c r="E15" s="302"/>
      <c r="F15" s="302"/>
      <c r="G15" s="302"/>
      <c r="H15" s="302"/>
      <c r="I15" s="302"/>
      <c r="J15" s="302"/>
      <c r="K15" s="302"/>
      <c r="L15" s="302"/>
      <c r="M15" s="302"/>
    </row>
    <row r="16" spans="1:23" ht="32.25" customHeight="1" x14ac:dyDescent="0.25">
      <c r="A16" s="313" t="s">
        <v>208</v>
      </c>
      <c r="B16" s="313"/>
      <c r="C16" s="313"/>
      <c r="D16" s="313"/>
      <c r="E16" s="313"/>
      <c r="F16" s="295"/>
      <c r="G16" s="295"/>
      <c r="H16" s="295"/>
      <c r="I16" s="295"/>
      <c r="J16" s="295"/>
      <c r="K16" s="295"/>
      <c r="L16" s="295"/>
      <c r="M16" s="295"/>
    </row>
    <row r="17" spans="1:13" ht="30.75" customHeight="1" x14ac:dyDescent="0.25">
      <c r="A17" s="300" t="s">
        <v>209</v>
      </c>
      <c r="B17" s="300"/>
      <c r="C17" s="300"/>
      <c r="D17" s="300"/>
      <c r="E17" s="300"/>
      <c r="F17" s="295"/>
      <c r="G17" s="295"/>
      <c r="H17" s="295"/>
      <c r="I17" s="295"/>
      <c r="J17" s="295"/>
      <c r="K17" s="295"/>
      <c r="L17" s="295"/>
      <c r="M17" s="295"/>
    </row>
    <row r="35" spans="2:3" x14ac:dyDescent="0.25">
      <c r="B35" s="8"/>
      <c r="C35" s="8"/>
    </row>
    <row r="39" spans="2:3" x14ac:dyDescent="0.25">
      <c r="B39" s="8"/>
      <c r="C39" s="8"/>
    </row>
  </sheetData>
  <mergeCells count="5">
    <mergeCell ref="B4:C4"/>
    <mergeCell ref="A15:M15"/>
    <mergeCell ref="A14:E14"/>
    <mergeCell ref="A16:E16"/>
    <mergeCell ref="A17:E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pane xSplit="1" ySplit="2" topLeftCell="M30" activePane="bottomRight" state="frozen"/>
      <selection activeCell="J26" sqref="J26"/>
      <selection pane="topRight" activeCell="J26" sqref="J26"/>
      <selection pane="bottomLeft" activeCell="J26" sqref="J26"/>
      <selection pane="bottomRight" activeCell="P1" sqref="P1:P1048576"/>
    </sheetView>
  </sheetViews>
  <sheetFormatPr defaultColWidth="9.140625" defaultRowHeight="15" outlineLevelCol="1" x14ac:dyDescent="0.25"/>
  <cols>
    <col min="1" max="1" width="61.7109375" style="46" customWidth="1"/>
    <col min="2" max="2" width="12.140625" style="46" customWidth="1"/>
    <col min="3" max="3" width="12.42578125" style="46" customWidth="1"/>
    <col min="4" max="4" width="12.42578125" style="46" hidden="1" customWidth="1" outlineLevel="1"/>
    <col min="5" max="5" width="15.42578125" style="46" customWidth="1" collapsed="1"/>
    <col min="6" max="6" width="15.85546875" style="46" customWidth="1"/>
    <col min="7" max="7" width="12.28515625" style="46" customWidth="1"/>
    <col min="8" max="9" width="13.28515625" style="46" customWidth="1"/>
    <col min="10" max="10" width="12.28515625" style="46" bestFit="1" customWidth="1"/>
    <col min="11" max="11" width="11.5703125" style="46" bestFit="1" customWidth="1"/>
    <col min="12" max="12" width="12.85546875" style="46" customWidth="1"/>
    <col min="13" max="13" width="10.7109375" style="46" bestFit="1" customWidth="1"/>
    <col min="14" max="14" width="15" style="46" bestFit="1" customWidth="1"/>
    <col min="15" max="15" width="16" style="46" bestFit="1" customWidth="1"/>
    <col min="16" max="16" width="15.28515625" style="46" bestFit="1" customWidth="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06/01/2022</v>
      </c>
      <c r="B1" s="3"/>
      <c r="C1" s="3"/>
      <c r="D1" s="3"/>
    </row>
    <row r="2" spans="1:35" x14ac:dyDescent="0.25">
      <c r="E2" s="3" t="s">
        <v>61</v>
      </c>
    </row>
    <row r="3" spans="1:35" ht="30" x14ac:dyDescent="0.25">
      <c r="E3" s="48" t="s">
        <v>46</v>
      </c>
      <c r="F3" s="70" t="s">
        <v>71</v>
      </c>
      <c r="G3" s="70" t="s">
        <v>54</v>
      </c>
      <c r="H3" s="48" t="s">
        <v>3</v>
      </c>
      <c r="I3" s="70" t="s">
        <v>55</v>
      </c>
      <c r="J3" s="48" t="s">
        <v>10</v>
      </c>
      <c r="K3" s="48" t="s">
        <v>9</v>
      </c>
      <c r="S3" s="48"/>
    </row>
    <row r="4" spans="1:35" x14ac:dyDescent="0.25">
      <c r="A4" s="20" t="s">
        <v>24</v>
      </c>
      <c r="B4" s="20"/>
      <c r="C4" s="20"/>
      <c r="D4" s="20"/>
      <c r="E4" s="22">
        <f>SUM(C19:M19)</f>
        <v>1514368.7304000002</v>
      </c>
      <c r="F4" s="138">
        <f>N26</f>
        <v>20053573.19971209</v>
      </c>
      <c r="G4" s="22">
        <f>SUM(C33:L33)</f>
        <v>1319201.22</v>
      </c>
      <c r="H4" s="22">
        <f>G4-E4</f>
        <v>-195167.51040000026</v>
      </c>
      <c r="I4" s="22">
        <f>+B46</f>
        <v>650067.21888000017</v>
      </c>
      <c r="J4" s="22">
        <f>SUM(C51:L51)</f>
        <v>5821.21</v>
      </c>
      <c r="K4" s="25">
        <f>SUM(H4:J4)</f>
        <v>460720.91847999993</v>
      </c>
      <c r="L4" s="47">
        <f>+K4-M46</f>
        <v>0</v>
      </c>
    </row>
    <row r="5" spans="1:35" ht="15.75" thickBot="1" x14ac:dyDescent="0.3">
      <c r="A5" s="20" t="s">
        <v>25</v>
      </c>
      <c r="B5" s="20"/>
      <c r="C5" s="20"/>
      <c r="D5" s="20"/>
      <c r="E5" s="22">
        <f>SUM(C20:M23)</f>
        <v>1518704.7948299998</v>
      </c>
      <c r="F5" s="138">
        <f>SUM(N27:N30)</f>
        <v>36099980.848023959</v>
      </c>
      <c r="G5" s="22">
        <f>SUM(C34:L37)</f>
        <v>1356480.1899999997</v>
      </c>
      <c r="H5" s="22">
        <f>G5-E5</f>
        <v>-162224.60483000008</v>
      </c>
      <c r="I5" s="22">
        <f>+B47</f>
        <v>675244.96654999978</v>
      </c>
      <c r="J5" s="22">
        <f>SUM(C52:L52)</f>
        <v>5850.84</v>
      </c>
      <c r="K5" s="25">
        <f>SUM(H5:J5)</f>
        <v>518871.20171999972</v>
      </c>
      <c r="L5" s="47">
        <f>+K5-M47</f>
        <v>0</v>
      </c>
    </row>
    <row r="6" spans="1:35" ht="16.5" thickTop="1" thickBot="1" x14ac:dyDescent="0.3">
      <c r="E6" s="27">
        <f t="shared" ref="E6" si="0">SUM(E4:E5)</f>
        <v>3033073.5252299998</v>
      </c>
      <c r="F6" s="139">
        <f t="shared" ref="F6:I6" si="1">SUM(F4:F5)</f>
        <v>56153554.047736049</v>
      </c>
      <c r="G6" s="27">
        <f t="shared" si="1"/>
        <v>2675681.4099999997</v>
      </c>
      <c r="H6" s="27">
        <f t="shared" si="1"/>
        <v>-357392.11523000035</v>
      </c>
      <c r="I6" s="27">
        <f t="shared" si="1"/>
        <v>1325312.1854300001</v>
      </c>
      <c r="J6" s="27">
        <f>SUM(J4:J5)</f>
        <v>11672.05</v>
      </c>
      <c r="K6" s="27">
        <f>SUM(K4:K5)</f>
        <v>979592.12019999966</v>
      </c>
      <c r="T6" s="5"/>
    </row>
    <row r="7" spans="1:35" ht="45.75" thickTop="1" x14ac:dyDescent="0.25">
      <c r="K7" s="231"/>
      <c r="L7" s="230" t="s">
        <v>125</v>
      </c>
    </row>
    <row r="8" spans="1:35" x14ac:dyDescent="0.25">
      <c r="A8" s="20" t="s">
        <v>107</v>
      </c>
      <c r="K8" s="25">
        <f>ROUND($K$5*L8,2)</f>
        <v>70444.25</v>
      </c>
      <c r="L8" s="228">
        <f>+'PCR Cycle 2'!L8</f>
        <v>0.13576441564001979</v>
      </c>
    </row>
    <row r="9" spans="1:35" x14ac:dyDescent="0.25">
      <c r="A9" s="20" t="s">
        <v>108</v>
      </c>
      <c r="K9" s="25">
        <f t="shared" ref="K9:K11" si="2">ROUND($K$5*L9,2)</f>
        <v>184778.2</v>
      </c>
      <c r="L9" s="228">
        <f>+'PCR Cycle 2'!L9</f>
        <v>0.35611574316442379</v>
      </c>
    </row>
    <row r="10" spans="1:35" x14ac:dyDescent="0.25">
      <c r="A10" s="20" t="s">
        <v>109</v>
      </c>
      <c r="K10" s="25">
        <f t="shared" si="2"/>
        <v>217053.46</v>
      </c>
      <c r="L10" s="228">
        <f>+'PCR Cycle 2'!L10</f>
        <v>0.4183185730547726</v>
      </c>
    </row>
    <row r="11" spans="1:35" ht="15.75" thickBot="1" x14ac:dyDescent="0.3">
      <c r="A11" s="20" t="s">
        <v>110</v>
      </c>
      <c r="J11" s="4"/>
      <c r="K11" s="25">
        <f t="shared" si="2"/>
        <v>46595.29</v>
      </c>
      <c r="L11" s="228">
        <f>+'PCR Cycle 2'!L11</f>
        <v>8.9801268140783777E-2</v>
      </c>
      <c r="V11" s="4"/>
    </row>
    <row r="12" spans="1:35" ht="16.5" thickTop="1" thickBot="1" x14ac:dyDescent="0.3">
      <c r="A12" s="20" t="s">
        <v>112</v>
      </c>
      <c r="K12" s="27">
        <f>SUM(K8:K11)</f>
        <v>518871.2</v>
      </c>
      <c r="L12" s="229">
        <f>SUM(L8:L11)</f>
        <v>1</v>
      </c>
      <c r="V12" s="4"/>
      <c r="W12" s="5"/>
    </row>
    <row r="13" spans="1:35" ht="16.5" thickTop="1" thickBot="1" x14ac:dyDescent="0.3">
      <c r="V13" s="4"/>
      <c r="W13" s="5"/>
    </row>
    <row r="14" spans="1:35" ht="120.75" thickBot="1" x14ac:dyDescent="0.3">
      <c r="B14" s="118" t="str">
        <f>+'PCR Cycle 2'!B14</f>
        <v>Cumulative Over/Under Carryover From 12/01/2021 Filing</v>
      </c>
      <c r="C14" s="153" t="str">
        <f>+'PCR Cycle 2'!C14</f>
        <v>Reverse November 2021 - April 2022 Forecast From 12/01/2021 Filing</v>
      </c>
      <c r="D14" s="153">
        <f>+'PCR Cycle 2'!D14</f>
        <v>0</v>
      </c>
      <c r="E14" s="308" t="s">
        <v>33</v>
      </c>
      <c r="F14" s="308"/>
      <c r="G14" s="309"/>
      <c r="H14" s="314" t="s">
        <v>33</v>
      </c>
      <c r="I14" s="315"/>
      <c r="J14" s="316"/>
      <c r="K14" s="304" t="s">
        <v>8</v>
      </c>
      <c r="L14" s="305"/>
      <c r="M14" s="306"/>
    </row>
    <row r="15" spans="1:35" x14ac:dyDescent="0.25">
      <c r="A15" s="46" t="s">
        <v>63</v>
      </c>
      <c r="C15" s="105"/>
      <c r="D15" s="215"/>
      <c r="E15" s="19">
        <f>+'PCR Cycle 2'!E15</f>
        <v>44530</v>
      </c>
      <c r="F15" s="19">
        <f t="shared" ref="F15:M15" si="3">EOMONTH(E15,1)</f>
        <v>44561</v>
      </c>
      <c r="G15" s="19">
        <f t="shared" si="3"/>
        <v>44592</v>
      </c>
      <c r="H15" s="14">
        <f t="shared" si="3"/>
        <v>44620</v>
      </c>
      <c r="I15" s="19">
        <f t="shared" si="3"/>
        <v>44651</v>
      </c>
      <c r="J15" s="15">
        <f t="shared" si="3"/>
        <v>44681</v>
      </c>
      <c r="K15" s="19">
        <f t="shared" si="3"/>
        <v>44712</v>
      </c>
      <c r="L15" s="19">
        <f t="shared" si="3"/>
        <v>44742</v>
      </c>
      <c r="M15" s="15">
        <f t="shared" si="3"/>
        <v>44773</v>
      </c>
      <c r="Z15" s="1"/>
      <c r="AA15" s="1"/>
      <c r="AB15" s="1"/>
      <c r="AC15" s="1"/>
      <c r="AD15" s="1"/>
      <c r="AE15" s="1"/>
      <c r="AF15" s="1"/>
      <c r="AG15" s="1"/>
      <c r="AH15" s="1"/>
      <c r="AI15" s="1"/>
    </row>
    <row r="16" spans="1:35" x14ac:dyDescent="0.25">
      <c r="A16" s="46" t="s">
        <v>5</v>
      </c>
      <c r="C16" s="195">
        <v>-828135.32000000007</v>
      </c>
      <c r="D16" s="198">
        <f t="shared" ref="D16" si="4">+D33+D37</f>
        <v>0</v>
      </c>
      <c r="E16" s="109">
        <f>SUM(E33:E37)</f>
        <v>412698.88000000006</v>
      </c>
      <c r="F16" s="109">
        <f t="shared" ref="F16:L16" si="5">SUM(F33:F37)</f>
        <v>415436.44</v>
      </c>
      <c r="G16" s="110">
        <f t="shared" si="5"/>
        <v>399725.57999999996</v>
      </c>
      <c r="H16" s="16">
        <f t="shared" si="5"/>
        <v>377966.21</v>
      </c>
      <c r="I16" s="55">
        <f t="shared" si="5"/>
        <v>410955.63000000006</v>
      </c>
      <c r="J16" s="166">
        <f t="shared" si="5"/>
        <v>409450.89</v>
      </c>
      <c r="K16" s="159">
        <f t="shared" si="5"/>
        <v>456538.20000000007</v>
      </c>
      <c r="L16" s="78">
        <f t="shared" si="5"/>
        <v>621044.9</v>
      </c>
      <c r="M16" s="79"/>
    </row>
    <row r="17" spans="1:15" x14ac:dyDescent="0.25">
      <c r="C17" s="99"/>
      <c r="D17" s="199"/>
      <c r="E17" s="17"/>
      <c r="F17" s="17"/>
      <c r="G17" s="17"/>
      <c r="H17" s="10"/>
      <c r="I17" s="17"/>
      <c r="J17" s="11"/>
      <c r="K17" s="31"/>
      <c r="L17" s="31"/>
      <c r="M17" s="29"/>
    </row>
    <row r="18" spans="1:15" x14ac:dyDescent="0.25">
      <c r="A18" s="46" t="s">
        <v>62</v>
      </c>
      <c r="C18" s="99"/>
      <c r="D18" s="199"/>
      <c r="E18" s="18"/>
      <c r="F18" s="18"/>
      <c r="G18" s="18"/>
      <c r="H18" s="91"/>
      <c r="I18" s="18"/>
      <c r="J18" s="167"/>
      <c r="K18" s="31"/>
      <c r="L18" s="31"/>
      <c r="M18" s="29"/>
      <c r="N18" s="3" t="s">
        <v>68</v>
      </c>
      <c r="O18" s="39"/>
    </row>
    <row r="19" spans="1:15" x14ac:dyDescent="0.25">
      <c r="A19" s="46" t="s">
        <v>24</v>
      </c>
      <c r="C19" s="195">
        <v>-419187.78111999994</v>
      </c>
      <c r="D19" s="198">
        <v>0</v>
      </c>
      <c r="E19" s="136">
        <f>ROUND('[6]Nov 2021'!$F61,2)</f>
        <v>99522.27</v>
      </c>
      <c r="F19" s="136">
        <f>ROUND('[6]Dec 2021'!$F61,2)</f>
        <v>119444.19</v>
      </c>
      <c r="G19" s="136">
        <f>ROUND('[6]Jan 2022'!$F61,2)</f>
        <v>158939.89000000001</v>
      </c>
      <c r="H19" s="16">
        <f>ROUND('[6]Feb 2022'!$F61,2)</f>
        <v>207805.73</v>
      </c>
      <c r="I19" s="121">
        <f>ROUND('[6]Mar 2022'!$F61,2)</f>
        <v>280229.81</v>
      </c>
      <c r="J19" s="171">
        <f>ROUND('[6]Apr 2022'!$F61,2)</f>
        <v>222029.65</v>
      </c>
      <c r="K19" s="123">
        <f>'PCR Cycle 2'!K27*'TDR Cycle 2'!$N19</f>
        <v>205416.80128000001</v>
      </c>
      <c r="L19" s="41">
        <f>'PCR Cycle 2'!L27*'TDR Cycle 2'!$N19</f>
        <v>295591.52512000001</v>
      </c>
      <c r="M19" s="61">
        <f>'PCR Cycle 2'!M27*'TDR Cycle 2'!$N19</f>
        <v>344576.64512</v>
      </c>
      <c r="N19" s="72">
        <v>1.2800000000000001E-3</v>
      </c>
      <c r="O19" s="4"/>
    </row>
    <row r="20" spans="1:15" x14ac:dyDescent="0.25">
      <c r="A20" s="46" t="s">
        <v>107</v>
      </c>
      <c r="C20" s="195">
        <v>-62990.648069999996</v>
      </c>
      <c r="D20" s="198"/>
      <c r="E20" s="136">
        <f>ROUND('[6]Nov 2021'!$F62,2)</f>
        <v>19478.11</v>
      </c>
      <c r="F20" s="136">
        <f>ROUND('[6]Dec 2021'!$F62,2)</f>
        <v>21558.48</v>
      </c>
      <c r="G20" s="136">
        <f>ROUND('[6]Jan 2022'!$F62,2)</f>
        <v>24572.47</v>
      </c>
      <c r="H20" s="16">
        <f>ROUND('[6]Feb 2022'!$F62,2)</f>
        <v>34275.93</v>
      </c>
      <c r="I20" s="121">
        <f>ROUND('[6]Mar 2022'!$F62,2)</f>
        <v>52130.67</v>
      </c>
      <c r="J20" s="171">
        <f>ROUND('[6]Apr 2022'!$F62,2)</f>
        <v>44628.639999999999</v>
      </c>
      <c r="K20" s="123">
        <f>'PCR Cycle 2'!K28*'TDR Cycle 2'!$N20</f>
        <v>46093.609799999998</v>
      </c>
      <c r="L20" s="41">
        <f>'PCR Cycle 2'!L28*'TDR Cycle 2'!$N20</f>
        <v>49877.280599999998</v>
      </c>
      <c r="M20" s="61">
        <f>'PCR Cycle 2'!M28*'TDR Cycle 2'!$N20</f>
        <v>50025.904949999996</v>
      </c>
      <c r="N20" s="72">
        <v>1.0499999999999999E-3</v>
      </c>
      <c r="O20" s="4"/>
    </row>
    <row r="21" spans="1:15" x14ac:dyDescent="0.25">
      <c r="A21" s="46" t="s">
        <v>108</v>
      </c>
      <c r="C21" s="195">
        <v>-148517.00014999998</v>
      </c>
      <c r="D21" s="198"/>
      <c r="E21" s="136">
        <f>ROUND('[6]Nov 2021'!$F63,2)</f>
        <v>42853.03</v>
      </c>
      <c r="F21" s="136">
        <f>ROUND('[6]Dec 2021'!$F63,2)</f>
        <v>44970.66</v>
      </c>
      <c r="G21" s="136">
        <f>ROUND('[6]Jan 2022'!$F63,2)</f>
        <v>50501.58</v>
      </c>
      <c r="H21" s="16">
        <f>ROUND('[6]Feb 2022'!$F63,2)</f>
        <v>68369.16</v>
      </c>
      <c r="I21" s="121">
        <f>ROUND('[6]Mar 2022'!$F63,2)</f>
        <v>105404.97</v>
      </c>
      <c r="J21" s="171">
        <f>ROUND('[6]Apr 2022'!$F63,2)</f>
        <v>93485.26</v>
      </c>
      <c r="K21" s="123">
        <f>'PCR Cycle 2'!K29*'TDR Cycle 2'!$N21</f>
        <v>103045.14324</v>
      </c>
      <c r="L21" s="41">
        <f>'PCR Cycle 2'!L29*'TDR Cycle 2'!$N21</f>
        <v>111503.77407</v>
      </c>
      <c r="M21" s="61">
        <f>'PCR Cycle 2'!M29*'TDR Cycle 2'!$N21</f>
        <v>111836.03418</v>
      </c>
      <c r="N21" s="72">
        <v>1.17E-3</v>
      </c>
      <c r="O21" s="4"/>
    </row>
    <row r="22" spans="1:15" x14ac:dyDescent="0.25">
      <c r="A22" s="46" t="s">
        <v>109</v>
      </c>
      <c r="C22" s="195">
        <v>-137662.15043000001</v>
      </c>
      <c r="D22" s="198"/>
      <c r="E22" s="136">
        <f>ROUND('[6]Nov 2021'!$F64,2)</f>
        <v>41485.949999999997</v>
      </c>
      <c r="F22" s="136">
        <f>ROUND('[6]Dec 2021'!$F64,2)</f>
        <v>44262.78</v>
      </c>
      <c r="G22" s="136">
        <f>ROUND('[6]Jan 2022'!$F64,2)</f>
        <v>48128.639999999999</v>
      </c>
      <c r="H22" s="16">
        <f>ROUND('[6]Feb 2022'!$F64,2)</f>
        <v>70204.350000000006</v>
      </c>
      <c r="I22" s="121">
        <f>ROUND('[6]Mar 2022'!$F64,2)</f>
        <v>108050.1</v>
      </c>
      <c r="J22" s="171">
        <f>ROUND('[6]Apr 2022'!$F64,2)</f>
        <v>96858.94</v>
      </c>
      <c r="K22" s="123">
        <f>'PCR Cycle 2'!K30*'TDR Cycle 2'!$N22</f>
        <v>100889.79912</v>
      </c>
      <c r="L22" s="41">
        <f>'PCR Cycle 2'!L30*'TDR Cycle 2'!$N22</f>
        <v>109171.5048</v>
      </c>
      <c r="M22" s="61">
        <f>'PCR Cycle 2'!M30*'TDR Cycle 2'!$N22</f>
        <v>109496.81447999999</v>
      </c>
      <c r="N22" s="72">
        <v>7.1999999999999994E-4</v>
      </c>
      <c r="O22" s="4"/>
    </row>
    <row r="23" spans="1:15" x14ac:dyDescent="0.25">
      <c r="A23" s="46" t="s">
        <v>110</v>
      </c>
      <c r="C23" s="195">
        <v>-12762.504800000001</v>
      </c>
      <c r="D23" s="198">
        <v>0</v>
      </c>
      <c r="E23" s="136">
        <f>ROUND('[6]Nov 2021'!$F65,2)</f>
        <v>3552.38</v>
      </c>
      <c r="F23" s="136">
        <f>ROUND('[6]Dec 2021'!$F65,2)</f>
        <v>3509.69</v>
      </c>
      <c r="G23" s="136">
        <f>ROUND('[6]Jan 2022'!$F65,2)</f>
        <v>3625.64</v>
      </c>
      <c r="H23" s="16">
        <f>ROUND('[6]Feb 2022'!$F65,2)</f>
        <v>6982.75</v>
      </c>
      <c r="I23" s="121">
        <f>ROUND('[6]Mar 2022'!$F65,2)</f>
        <v>11070.82</v>
      </c>
      <c r="J23" s="171">
        <f>ROUND('[6]Apr 2022'!$F65,2)</f>
        <v>10780.09</v>
      </c>
      <c r="K23" s="123">
        <f>'PCR Cycle 2'!K31*'TDR Cycle 2'!$N23</f>
        <v>11983.384000000002</v>
      </c>
      <c r="L23" s="41">
        <f>'PCR Cycle 2'!L31*'TDR Cycle 2'!$N23</f>
        <v>12967.059840000002</v>
      </c>
      <c r="M23" s="61">
        <f>'PCR Cycle 2'!M31*'TDR Cycle 2'!$N23</f>
        <v>13005.699200000001</v>
      </c>
      <c r="N23" s="72">
        <v>3.2000000000000003E-4</v>
      </c>
      <c r="O23" s="4"/>
    </row>
    <row r="24" spans="1:15" x14ac:dyDescent="0.25">
      <c r="C24" s="67"/>
      <c r="D24" s="200"/>
      <c r="E24" s="68"/>
      <c r="F24" s="68"/>
      <c r="G24" s="68"/>
      <c r="H24" s="67"/>
      <c r="I24" s="68"/>
      <c r="J24" s="169"/>
      <c r="K24" s="56"/>
      <c r="L24" s="56"/>
      <c r="M24" s="13"/>
      <c r="O24" s="4"/>
    </row>
    <row r="25" spans="1:15" x14ac:dyDescent="0.25">
      <c r="A25" s="39" t="s">
        <v>66</v>
      </c>
      <c r="B25" s="39"/>
      <c r="C25" s="67"/>
      <c r="D25" s="200"/>
      <c r="E25" s="56"/>
      <c r="F25" s="56"/>
      <c r="G25" s="56"/>
      <c r="H25" s="12"/>
      <c r="I25" s="56"/>
      <c r="J25" s="170"/>
      <c r="K25" s="56"/>
      <c r="L25" s="56"/>
      <c r="M25" s="13"/>
      <c r="N25" s="7"/>
    </row>
    <row r="26" spans="1:15" x14ac:dyDescent="0.25">
      <c r="A26" s="46" t="s">
        <v>24</v>
      </c>
      <c r="C26" s="196">
        <v>-6728872.1777037196</v>
      </c>
      <c r="D26" s="201"/>
      <c r="E26" s="111">
        <f>+'[5]Monthly TD Calc'!BR285</f>
        <v>3066562.9817966414</v>
      </c>
      <c r="F26" s="111">
        <f>+'[5]Monthly TD Calc'!BS285</f>
        <v>3662309.1959070778</v>
      </c>
      <c r="G26" s="125">
        <f>+'[5]Monthly TD Calc'!BT285</f>
        <v>3670317.7984049888</v>
      </c>
      <c r="H26" s="74">
        <f>+'[5]Monthly TD Calc'!BU285</f>
        <v>3305717.5520906802</v>
      </c>
      <c r="I26" s="75">
        <f>+'[5]Monthly TD Calc'!BV285</f>
        <v>3281805.3874220303</v>
      </c>
      <c r="J26" s="171">
        <f>+'[5]Monthly TD Calc'!BW285</f>
        <v>3159237.1988244001</v>
      </c>
      <c r="K26" s="160">
        <f>+'[5]Monthly TD Calc'!BX285</f>
        <v>3370413.5458254805</v>
      </c>
      <c r="L26" s="144">
        <f>+'[5]Monthly TD Calc'!BY285</f>
        <v>3266081.7171445102</v>
      </c>
      <c r="M26" s="80"/>
      <c r="N26" s="59">
        <f>SUM(C26:L26)</f>
        <v>20053573.19971209</v>
      </c>
    </row>
    <row r="27" spans="1:15" x14ac:dyDescent="0.25">
      <c r="A27" s="46" t="s">
        <v>107</v>
      </c>
      <c r="C27" s="196">
        <v>-1037034.1631686632</v>
      </c>
      <c r="D27" s="201"/>
      <c r="E27" s="111">
        <f>+'[5]Monthly TD Calc'!BR286</f>
        <v>519241.44169683417</v>
      </c>
      <c r="F27" s="111">
        <f>+'[5]Monthly TD Calc'!BS286</f>
        <v>517792.72147182899</v>
      </c>
      <c r="G27" s="125">
        <f>+'[5]Monthly TD Calc'!BT286</f>
        <v>546257.46031236276</v>
      </c>
      <c r="H27" s="74">
        <f>+'[5]Monthly TD Calc'!BU286</f>
        <v>496691.12885422038</v>
      </c>
      <c r="I27" s="75">
        <f>+'[5]Monthly TD Calc'!BV286</f>
        <v>556097.3657622321</v>
      </c>
      <c r="J27" s="171">
        <f>+'[5]Monthly TD Calc'!BW286</f>
        <v>524405.96288920077</v>
      </c>
      <c r="K27" s="160">
        <f>+'[5]Monthly TD Calc'!BX286</f>
        <v>556499.47614329192</v>
      </c>
      <c r="L27" s="144">
        <f>+'[5]Monthly TD Calc'!BY286</f>
        <v>546992.58507852885</v>
      </c>
      <c r="M27" s="80"/>
      <c r="N27" s="59">
        <f t="shared" ref="N27:N30" si="6">SUM(C27:L27)</f>
        <v>3226943.9790398376</v>
      </c>
    </row>
    <row r="28" spans="1:15" x14ac:dyDescent="0.25">
      <c r="A28" s="46" t="s">
        <v>108</v>
      </c>
      <c r="C28" s="196">
        <v>-3798901.6204753239</v>
      </c>
      <c r="D28" s="201"/>
      <c r="E28" s="111">
        <f>+'[5]Monthly TD Calc'!BR287</f>
        <v>1902188.3875856276</v>
      </c>
      <c r="F28" s="111">
        <f>+'[5]Monthly TD Calc'!BS287</f>
        <v>1896713.2328896965</v>
      </c>
      <c r="G28" s="125">
        <f>+'[5]Monthly TD Calc'!BT287</f>
        <v>1998762.7110877649</v>
      </c>
      <c r="H28" s="74">
        <f>+'[5]Monthly TD Calc'!BU287</f>
        <v>1812660.5122951441</v>
      </c>
      <c r="I28" s="75">
        <f>+'[5]Monthly TD Calc'!BV287</f>
        <v>2044973.9453570289</v>
      </c>
      <c r="J28" s="171">
        <f>+'[5]Monthly TD Calc'!BW287</f>
        <v>1934325.6695846934</v>
      </c>
      <c r="K28" s="160">
        <f>+'[5]Monthly TD Calc'!BX287</f>
        <v>2051435.6097464242</v>
      </c>
      <c r="L28" s="144">
        <f>+'[5]Monthly TD Calc'!BY287</f>
        <v>2034680.2422364058</v>
      </c>
      <c r="M28" s="80"/>
      <c r="N28" s="59">
        <f t="shared" si="6"/>
        <v>11876838.690307461</v>
      </c>
    </row>
    <row r="29" spans="1:15" x14ac:dyDescent="0.25">
      <c r="A29" s="46" t="s">
        <v>109</v>
      </c>
      <c r="C29" s="196">
        <v>-5569593.9682931043</v>
      </c>
      <c r="D29" s="201"/>
      <c r="E29" s="111">
        <f>+'[5]Monthly TD Calc'!BR288</f>
        <v>2788695.0613562055</v>
      </c>
      <c r="F29" s="111">
        <f>+'[5]Monthly TD Calc'!BS288</f>
        <v>2780898.9069368993</v>
      </c>
      <c r="G29" s="125">
        <f>+'[5]Monthly TD Calc'!BT288</f>
        <v>2932655.5697997292</v>
      </c>
      <c r="H29" s="74">
        <f>+'[5]Monthly TD Calc'!BU288</f>
        <v>2664302.9772219518</v>
      </c>
      <c r="I29" s="75">
        <f>+'[5]Monthly TD Calc'!BV288</f>
        <v>2990023.4024577467</v>
      </c>
      <c r="J29" s="171">
        <f>+'[5]Monthly TD Calc'!BW288</f>
        <v>2822497.4988393728</v>
      </c>
      <c r="K29" s="160">
        <f>+'[5]Monthly TD Calc'!BX288</f>
        <v>2991661.3414560268</v>
      </c>
      <c r="L29" s="144">
        <f>+'[5]Monthly TD Calc'!BY288</f>
        <v>2941625.7665488054</v>
      </c>
      <c r="M29" s="80"/>
      <c r="N29" s="59">
        <f t="shared" si="6"/>
        <v>17342766.556323633</v>
      </c>
    </row>
    <row r="30" spans="1:15" x14ac:dyDescent="0.25">
      <c r="A30" s="46" t="s">
        <v>110</v>
      </c>
      <c r="C30" s="196">
        <v>-1181314.9143166714</v>
      </c>
      <c r="D30" s="201"/>
      <c r="E30" s="111">
        <f>+'[5]Monthly TD Calc'!BR289</f>
        <v>591300.97023510153</v>
      </c>
      <c r="F30" s="111">
        <f>+'[5]Monthly TD Calc'!BS289</f>
        <v>590013.94408156979</v>
      </c>
      <c r="G30" s="125">
        <f>+'[5]Monthly TD Calc'!BT289</f>
        <v>622361.83728781843</v>
      </c>
      <c r="H30" s="74">
        <f>+'[5]Monthly TD Calc'!BU289</f>
        <v>566446.16349277867</v>
      </c>
      <c r="I30" s="75">
        <f>+'[5]Monthly TD Calc'!BV289</f>
        <v>630750.72616422456</v>
      </c>
      <c r="J30" s="171">
        <f>+'[5]Monthly TD Calc'!BW289</f>
        <v>594515.60397069028</v>
      </c>
      <c r="K30" s="160">
        <f>+'[5]Monthly TD Calc'!BX289</f>
        <v>629016.14873591927</v>
      </c>
      <c r="L30" s="144">
        <f>+'[5]Monthly TD Calc'!BY289</f>
        <v>610341.14270159625</v>
      </c>
      <c r="M30" s="80"/>
      <c r="N30" s="59">
        <f t="shared" si="6"/>
        <v>3653431.6223530266</v>
      </c>
    </row>
    <row r="31" spans="1:15" x14ac:dyDescent="0.25">
      <c r="C31" s="67"/>
      <c r="D31" s="200"/>
      <c r="E31" s="68"/>
      <c r="F31" s="68"/>
      <c r="G31" s="68"/>
      <c r="H31" s="67"/>
      <c r="I31" s="68"/>
      <c r="J31" s="169"/>
      <c r="K31" s="56"/>
      <c r="L31" s="56"/>
      <c r="M31" s="13"/>
    </row>
    <row r="32" spans="1:15" x14ac:dyDescent="0.25">
      <c r="A32" s="46" t="s">
        <v>69</v>
      </c>
      <c r="C32" s="36"/>
      <c r="D32" s="202"/>
      <c r="E32" s="37"/>
      <c r="F32" s="37"/>
      <c r="G32" s="37"/>
      <c r="H32" s="36"/>
      <c r="I32" s="37"/>
      <c r="J32" s="172"/>
      <c r="K32" s="52"/>
      <c r="L32" s="52"/>
      <c r="M32" s="38"/>
    </row>
    <row r="33" spans="1:15" x14ac:dyDescent="0.25">
      <c r="A33" s="46" t="s">
        <v>24</v>
      </c>
      <c r="C33" s="195">
        <v>-414132.97</v>
      </c>
      <c r="D33" s="198"/>
      <c r="E33" s="109">
        <f>ROUND('[5]Monthly TD Calc'!BR326,2)</f>
        <v>195698.16</v>
      </c>
      <c r="F33" s="109">
        <f>ROUND('[5]Monthly TD Calc'!BS326,2)</f>
        <v>218434.81</v>
      </c>
      <c r="G33" s="110">
        <f>ROUND('[5]Monthly TD Calc'!BT326,2)</f>
        <v>202171.15</v>
      </c>
      <c r="H33" s="16">
        <f>ROUND('[5]Monthly TD Calc'!BU326,2)</f>
        <v>192644.15</v>
      </c>
      <c r="I33" s="55">
        <f>ROUND('[5]Monthly TD Calc'!BV326,2)</f>
        <v>199173.98</v>
      </c>
      <c r="J33" s="171">
        <f>ROUND('[5]Monthly TD Calc'!BW326,2)</f>
        <v>197578.38</v>
      </c>
      <c r="K33" s="161">
        <f>ROUND('[5]Monthly TD Calc'!BX326,2)</f>
        <v>216990.47</v>
      </c>
      <c r="L33" s="143">
        <f>ROUND('[5]Monthly TD Calc'!BY326,2)</f>
        <v>310643.09000000003</v>
      </c>
      <c r="M33" s="79"/>
    </row>
    <row r="34" spans="1:15" x14ac:dyDescent="0.25">
      <c r="A34" s="46" t="s">
        <v>107</v>
      </c>
      <c r="C34" s="195">
        <v>-73582.179999999993</v>
      </c>
      <c r="D34" s="198"/>
      <c r="E34" s="109">
        <f>ROUND('[5]Monthly TD Calc'!BR327,2)</f>
        <v>38159.29</v>
      </c>
      <c r="F34" s="109">
        <f>ROUND('[5]Monthly TD Calc'!BS327,2)</f>
        <v>35422.89</v>
      </c>
      <c r="G34" s="110">
        <f>ROUND('[5]Monthly TD Calc'!BT327,2)</f>
        <v>35524.21</v>
      </c>
      <c r="H34" s="16">
        <f>ROUND('[5]Monthly TD Calc'!BU327,2)</f>
        <v>33100.22</v>
      </c>
      <c r="I34" s="55">
        <f>ROUND('[5]Monthly TD Calc'!BV327,2)</f>
        <v>37824.6</v>
      </c>
      <c r="J34" s="171">
        <f>ROUND('[5]Monthly TD Calc'!BW327,2)</f>
        <v>37436.51</v>
      </c>
      <c r="K34" s="161">
        <f>ROUND('[5]Monthly TD Calc'!BX327,2)</f>
        <v>41945.8</v>
      </c>
      <c r="L34" s="143">
        <f>ROUND('[5]Monthly TD Calc'!BY327,2)</f>
        <v>52319</v>
      </c>
      <c r="M34" s="79"/>
    </row>
    <row r="35" spans="1:15" x14ac:dyDescent="0.25">
      <c r="A35" s="46" t="s">
        <v>108</v>
      </c>
      <c r="C35" s="195">
        <v>-168543.25</v>
      </c>
      <c r="D35" s="198"/>
      <c r="E35" s="109">
        <f>ROUND('[5]Monthly TD Calc'!BR328,2)</f>
        <v>88423.72</v>
      </c>
      <c r="F35" s="109">
        <f>ROUND('[5]Monthly TD Calc'!BS328,2)</f>
        <v>80119.53</v>
      </c>
      <c r="G35" s="110">
        <f>ROUND('[5]Monthly TD Calc'!BT328,2)</f>
        <v>79538.84</v>
      </c>
      <c r="H35" s="16">
        <f>ROUND('[5]Monthly TD Calc'!BU328,2)</f>
        <v>73707.55</v>
      </c>
      <c r="I35" s="55">
        <f>ROUND('[5]Monthly TD Calc'!BV328,2)</f>
        <v>84193.01</v>
      </c>
      <c r="J35" s="171">
        <f>ROUND('[5]Monthly TD Calc'!BW328,2)</f>
        <v>85475.64</v>
      </c>
      <c r="K35" s="161">
        <f>ROUND('[5]Monthly TD Calc'!BX328,2)</f>
        <v>98233.21</v>
      </c>
      <c r="L35" s="143">
        <f>ROUND('[5]Monthly TD Calc'!BY328,2)</f>
        <v>127653.97</v>
      </c>
      <c r="M35" s="79"/>
    </row>
    <row r="36" spans="1:15" x14ac:dyDescent="0.25">
      <c r="A36" s="46" t="s">
        <v>109</v>
      </c>
      <c r="C36" s="195">
        <v>-154319.69</v>
      </c>
      <c r="D36" s="198"/>
      <c r="E36" s="109">
        <f>ROUND('[5]Monthly TD Calc'!BR329,2)</f>
        <v>81177.56</v>
      </c>
      <c r="F36" s="109">
        <f>ROUND('[5]Monthly TD Calc'!BS329,2)</f>
        <v>73142.13</v>
      </c>
      <c r="G36" s="110">
        <f>ROUND('[5]Monthly TD Calc'!BT329,2)</f>
        <v>74099.460000000006</v>
      </c>
      <c r="H36" s="16">
        <f>ROUND('[5]Monthly TD Calc'!BU329,2)</f>
        <v>70145.59</v>
      </c>
      <c r="I36" s="55">
        <f>ROUND('[5]Monthly TD Calc'!BV329,2)</f>
        <v>80833.100000000006</v>
      </c>
      <c r="J36" s="171">
        <f>ROUND('[5]Monthly TD Calc'!BW329,2)</f>
        <v>80990.09</v>
      </c>
      <c r="K36" s="161">
        <f>ROUND('[5]Monthly TD Calc'!BX329,2)</f>
        <v>89527.57</v>
      </c>
      <c r="L36" s="143">
        <f>ROUND('[5]Monthly TD Calc'!BY329,2)</f>
        <v>119153.73</v>
      </c>
      <c r="M36" s="79"/>
    </row>
    <row r="37" spans="1:15" x14ac:dyDescent="0.25">
      <c r="A37" s="46" t="s">
        <v>110</v>
      </c>
      <c r="C37" s="195">
        <v>-17557.23</v>
      </c>
      <c r="D37" s="198"/>
      <c r="E37" s="109">
        <f>ROUND('[5]Monthly TD Calc'!BR330,2)</f>
        <v>9240.15</v>
      </c>
      <c r="F37" s="109">
        <f>ROUND('[5]Monthly TD Calc'!BS330,2)</f>
        <v>8317.08</v>
      </c>
      <c r="G37" s="110">
        <f>ROUND('[5]Monthly TD Calc'!BT330,2)</f>
        <v>8391.92</v>
      </c>
      <c r="H37" s="16">
        <f>ROUND('[5]Monthly TD Calc'!BU330,2)</f>
        <v>8368.7000000000007</v>
      </c>
      <c r="I37" s="55">
        <f>ROUND('[5]Monthly TD Calc'!BV330,2)</f>
        <v>8930.94</v>
      </c>
      <c r="J37" s="171">
        <f>ROUND('[5]Monthly TD Calc'!BW330,2)</f>
        <v>7970.27</v>
      </c>
      <c r="K37" s="161">
        <f>ROUND('[5]Monthly TD Calc'!BX330,2)</f>
        <v>9841.15</v>
      </c>
      <c r="L37" s="143">
        <f>ROUND('[5]Monthly TD Calc'!BY330,2)</f>
        <v>11275.11</v>
      </c>
      <c r="M37" s="79"/>
      <c r="O37" s="47"/>
    </row>
    <row r="38" spans="1:15" x14ac:dyDescent="0.25">
      <c r="C38" s="99"/>
      <c r="D38" s="199"/>
      <c r="E38" s="18"/>
      <c r="F38" s="18"/>
      <c r="G38" s="18"/>
      <c r="H38" s="91"/>
      <c r="I38" s="18"/>
      <c r="J38" s="167"/>
      <c r="K38" s="56"/>
      <c r="L38" s="56"/>
      <c r="M38" s="13"/>
    </row>
    <row r="39" spans="1:15" ht="15.75" thickBot="1" x14ac:dyDescent="0.3">
      <c r="A39" s="3" t="s">
        <v>15</v>
      </c>
      <c r="B39" s="3"/>
      <c r="C39" s="197">
        <v>-2639.03</v>
      </c>
      <c r="D39" s="203"/>
      <c r="E39" s="136">
        <v>1252.31</v>
      </c>
      <c r="F39" s="136">
        <v>1447.46</v>
      </c>
      <c r="G39" s="137">
        <v>1587.49</v>
      </c>
      <c r="H39" s="26">
        <v>1716.29</v>
      </c>
      <c r="I39" s="122">
        <v>1979.5900000000001</v>
      </c>
      <c r="J39" s="173">
        <v>2130.33</v>
      </c>
      <c r="K39" s="162">
        <v>2087.1999999999998</v>
      </c>
      <c r="L39" s="145">
        <v>2110.87</v>
      </c>
      <c r="M39" s="82"/>
    </row>
    <row r="40" spans="1:15" x14ac:dyDescent="0.25">
      <c r="C40" s="64"/>
      <c r="D40" s="206"/>
      <c r="E40" s="66"/>
      <c r="F40" s="66"/>
      <c r="G40" s="33"/>
      <c r="H40" s="64"/>
      <c r="I40" s="33"/>
      <c r="J40" s="174"/>
      <c r="K40" s="34"/>
      <c r="L40" s="34"/>
      <c r="M40" s="60"/>
    </row>
    <row r="41" spans="1:15" x14ac:dyDescent="0.25">
      <c r="A41" s="46" t="s">
        <v>52</v>
      </c>
      <c r="C41" s="65"/>
      <c r="D41" s="207"/>
      <c r="E41" s="35"/>
      <c r="F41" s="35"/>
      <c r="G41" s="35"/>
      <c r="H41" s="65"/>
      <c r="I41" s="35"/>
      <c r="J41" s="175"/>
      <c r="K41" s="34"/>
      <c r="L41" s="34"/>
      <c r="M41" s="60"/>
    </row>
    <row r="42" spans="1:15" x14ac:dyDescent="0.25">
      <c r="A42" s="46" t="s">
        <v>24</v>
      </c>
      <c r="C42" s="204">
        <f>C33-C19</f>
        <v>5054.8111199999694</v>
      </c>
      <c r="D42" s="208">
        <f t="shared" ref="D42" si="7">D33-D19</f>
        <v>0</v>
      </c>
      <c r="E42" s="41">
        <f t="shared" ref="E42:M42" si="8">E33-E19</f>
        <v>96175.89</v>
      </c>
      <c r="F42" s="41">
        <f t="shared" si="8"/>
        <v>98990.62</v>
      </c>
      <c r="G42" s="108">
        <f t="shared" si="8"/>
        <v>43231.25999999998</v>
      </c>
      <c r="H42" s="40">
        <f t="shared" si="8"/>
        <v>-15161.580000000016</v>
      </c>
      <c r="I42" s="41">
        <f t="shared" si="8"/>
        <v>-81055.829999999987</v>
      </c>
      <c r="J42" s="61">
        <f t="shared" si="8"/>
        <v>-24451.26999999999</v>
      </c>
      <c r="K42" s="123">
        <f t="shared" si="8"/>
        <v>11573.668719999987</v>
      </c>
      <c r="L42" s="41">
        <f t="shared" si="8"/>
        <v>15051.56488000002</v>
      </c>
      <c r="M42" s="61">
        <f t="shared" si="8"/>
        <v>-344576.64512</v>
      </c>
    </row>
    <row r="43" spans="1:15" x14ac:dyDescent="0.25">
      <c r="A43" s="46" t="s">
        <v>25</v>
      </c>
      <c r="C43" s="204">
        <f t="shared" ref="C43:D43" si="9">SUM(C34:C37)-SUM(C20:C23)</f>
        <v>-52070.04654999997</v>
      </c>
      <c r="D43" s="208">
        <f t="shared" si="9"/>
        <v>0</v>
      </c>
      <c r="E43" s="41">
        <f>SUM(E34:E37)-SUM(E20:E23)</f>
        <v>109631.25</v>
      </c>
      <c r="F43" s="41">
        <f t="shared" ref="F43:M43" si="10">SUM(F34:F37)-SUM(F20:F23)</f>
        <v>82700.019999999975</v>
      </c>
      <c r="G43" s="108">
        <f t="shared" si="10"/>
        <v>70726.10000000002</v>
      </c>
      <c r="H43" s="40">
        <f t="shared" si="10"/>
        <v>5489.8699999999953</v>
      </c>
      <c r="I43" s="41">
        <f t="shared" si="10"/>
        <v>-64874.91</v>
      </c>
      <c r="J43" s="61">
        <f t="shared" si="10"/>
        <v>-33880.420000000013</v>
      </c>
      <c r="K43" s="123">
        <f t="shared" si="10"/>
        <v>-22464.206160000002</v>
      </c>
      <c r="L43" s="41">
        <f t="shared" si="10"/>
        <v>26882.190690000018</v>
      </c>
      <c r="M43" s="61">
        <f t="shared" si="10"/>
        <v>-284364.45280999999</v>
      </c>
    </row>
    <row r="44" spans="1:15" x14ac:dyDescent="0.25">
      <c r="C44" s="99"/>
      <c r="D44" s="199"/>
      <c r="E44" s="17"/>
      <c r="F44" s="17"/>
      <c r="G44" s="17"/>
      <c r="H44" s="10"/>
      <c r="I44" s="17"/>
      <c r="J44" s="11"/>
      <c r="K44" s="17"/>
      <c r="L44" s="17"/>
      <c r="M44" s="11"/>
    </row>
    <row r="45" spans="1:15" ht="15.75" thickBot="1" x14ac:dyDescent="0.3">
      <c r="A45" s="46" t="s">
        <v>53</v>
      </c>
      <c r="C45" s="99"/>
      <c r="D45" s="199"/>
      <c r="E45" s="17"/>
      <c r="F45" s="17"/>
      <c r="G45" s="17"/>
      <c r="H45" s="10"/>
      <c r="I45" s="17"/>
      <c r="J45" s="11"/>
      <c r="K45" s="17"/>
      <c r="L45" s="17"/>
      <c r="M45" s="11"/>
    </row>
    <row r="46" spans="1:15" x14ac:dyDescent="0.25">
      <c r="A46" s="46" t="s">
        <v>24</v>
      </c>
      <c r="B46" s="116">
        <v>650067.21888000017</v>
      </c>
      <c r="C46" s="204">
        <f t="shared" ref="C46:E47" si="11">+B46+C42+B51</f>
        <v>655122.03000000014</v>
      </c>
      <c r="D46" s="208">
        <f t="shared" si="11"/>
        <v>653781.57000000018</v>
      </c>
      <c r="E46" s="41">
        <f t="shared" si="11"/>
        <v>749957.4600000002</v>
      </c>
      <c r="F46" s="41">
        <f t="shared" ref="F46:M46" si="12">+E46+F42+E51</f>
        <v>849585.67000000016</v>
      </c>
      <c r="G46" s="108">
        <f t="shared" si="12"/>
        <v>893552.90000000014</v>
      </c>
      <c r="H46" s="40">
        <f t="shared" si="12"/>
        <v>879194.76</v>
      </c>
      <c r="I46" s="41">
        <f t="shared" si="12"/>
        <v>798995.62</v>
      </c>
      <c r="J46" s="61">
        <f t="shared" si="12"/>
        <v>775521.66999999993</v>
      </c>
      <c r="K46" s="123">
        <f t="shared" si="12"/>
        <v>788143.96871999989</v>
      </c>
      <c r="L46" s="41">
        <f t="shared" si="12"/>
        <v>804236.99359999993</v>
      </c>
      <c r="M46" s="61">
        <f t="shared" si="12"/>
        <v>460720.91847999993</v>
      </c>
    </row>
    <row r="47" spans="1:15" ht="15.75" thickBot="1" x14ac:dyDescent="0.3">
      <c r="A47" s="46" t="s">
        <v>25</v>
      </c>
      <c r="B47" s="117">
        <v>675244.96654999978</v>
      </c>
      <c r="C47" s="204">
        <f t="shared" si="11"/>
        <v>623174.91999999981</v>
      </c>
      <c r="D47" s="208">
        <f t="shared" si="11"/>
        <v>621876.34999999986</v>
      </c>
      <c r="E47" s="41">
        <f t="shared" si="11"/>
        <v>731507.59999999986</v>
      </c>
      <c r="F47" s="41">
        <f t="shared" ref="F47:M47" si="13">+E47+F43+E52</f>
        <v>814822.33999999985</v>
      </c>
      <c r="G47" s="108">
        <f t="shared" si="13"/>
        <v>886259.92999999982</v>
      </c>
      <c r="H47" s="40">
        <f t="shared" si="13"/>
        <v>892533.84999999986</v>
      </c>
      <c r="I47" s="41">
        <f t="shared" si="13"/>
        <v>828518.5399999998</v>
      </c>
      <c r="J47" s="61">
        <f t="shared" si="13"/>
        <v>795640.38999999978</v>
      </c>
      <c r="K47" s="123">
        <f t="shared" si="13"/>
        <v>774257.87383999978</v>
      </c>
      <c r="L47" s="41">
        <f t="shared" si="13"/>
        <v>802185.69452999986</v>
      </c>
      <c r="M47" s="61">
        <f t="shared" si="13"/>
        <v>518871.2017199999</v>
      </c>
    </row>
    <row r="48" spans="1:15" x14ac:dyDescent="0.25">
      <c r="C48" s="99"/>
      <c r="D48" s="199"/>
      <c r="E48" s="17"/>
      <c r="F48" s="17"/>
      <c r="G48" s="17"/>
      <c r="H48" s="10"/>
      <c r="I48" s="17"/>
      <c r="J48" s="11"/>
      <c r="K48" s="17"/>
      <c r="L48" s="17"/>
      <c r="M48" s="11"/>
    </row>
    <row r="49" spans="1:13" x14ac:dyDescent="0.25">
      <c r="A49" s="39" t="s">
        <v>124</v>
      </c>
      <c r="B49" s="39"/>
      <c r="C49" s="104"/>
      <c r="D49" s="209"/>
      <c r="E49" s="83">
        <f>+'PCR Cycle 2'!E50</f>
        <v>9.0841999999999995E-4</v>
      </c>
      <c r="F49" s="83">
        <f>+'PCR Cycle 2'!F50</f>
        <v>9.1985999999999999E-4</v>
      </c>
      <c r="G49" s="83">
        <f>+'PCR Cycle 2'!G50</f>
        <v>9.2144000000000004E-4</v>
      </c>
      <c r="H49" s="84">
        <f>+'PCR Cycle 2'!H50</f>
        <v>9.6606999999999997E-4</v>
      </c>
      <c r="I49" s="83">
        <f>+'PCR Cycle 2'!I50</f>
        <v>1.1641399999999999E-3</v>
      </c>
      <c r="J49" s="92">
        <f>+'PCR Cycle 2'!J50</f>
        <v>1.33118E-3</v>
      </c>
      <c r="K49" s="83">
        <f>+'PCR Cycle 2'!K50</f>
        <v>1.33118E-3</v>
      </c>
      <c r="L49" s="83">
        <f>+'PCR Cycle 2'!L50</f>
        <v>1.33118E-3</v>
      </c>
      <c r="M49" s="85"/>
    </row>
    <row r="50" spans="1:13" x14ac:dyDescent="0.25">
      <c r="A50" s="39" t="s">
        <v>37</v>
      </c>
      <c r="B50" s="39"/>
      <c r="C50" s="106"/>
      <c r="D50" s="210"/>
      <c r="E50" s="83"/>
      <c r="F50" s="83"/>
      <c r="G50" s="83"/>
      <c r="H50" s="84"/>
      <c r="I50" s="83"/>
      <c r="J50" s="85"/>
      <c r="K50" s="83"/>
      <c r="L50" s="83"/>
      <c r="M50" s="85"/>
    </row>
    <row r="51" spans="1:13" x14ac:dyDescent="0.25">
      <c r="A51" s="46" t="s">
        <v>24</v>
      </c>
      <c r="C51" s="204">
        <v>-1340.46</v>
      </c>
      <c r="D51" s="208"/>
      <c r="E51" s="252">
        <f>ROUND((D46+D51+E42/2)*E$49,2)</f>
        <v>637.59</v>
      </c>
      <c r="F51" s="252">
        <f t="shared" ref="F51:F52" si="14">ROUND((E46+E51+F42/2)*F$49,2)</f>
        <v>735.97</v>
      </c>
      <c r="G51" s="251">
        <f t="shared" ref="G51:G52" si="15">ROUND((F46+F51+G42/2)*G$49,2)</f>
        <v>803.44</v>
      </c>
      <c r="H51" s="40">
        <f t="shared" ref="H51:H52" si="16">ROUND((G46+G51+H42/2)*H$49,2)</f>
        <v>856.69</v>
      </c>
      <c r="I51" s="123">
        <f t="shared" ref="I51:J52" si="17">ROUND((H46+H51+I42/2)*I$49,2)</f>
        <v>977.32</v>
      </c>
      <c r="J51" s="61">
        <f t="shared" si="17"/>
        <v>1048.6300000000001</v>
      </c>
      <c r="K51" s="163">
        <f t="shared" ref="K51:K52" si="18">ROUND((J46+J51+K42/2)*K$49,2)</f>
        <v>1041.46</v>
      </c>
      <c r="L51" s="108">
        <f t="shared" ref="L51:L52" si="19">ROUND((K46+K51+L42/2)*L$49,2)</f>
        <v>1060.57</v>
      </c>
      <c r="M51" s="61">
        <f t="shared" ref="M51:M52" si="20">ROUND((L46+L51+M42/2)*M$49,2)</f>
        <v>0</v>
      </c>
    </row>
    <row r="52" spans="1:13" ht="15.75" thickBot="1" x14ac:dyDescent="0.3">
      <c r="A52" s="46" t="s">
        <v>25</v>
      </c>
      <c r="C52" s="204">
        <v>-1298.5700000000002</v>
      </c>
      <c r="D52" s="208"/>
      <c r="E52" s="252">
        <f>ROUND((D47+D52+E43/2)*E$49,2)</f>
        <v>614.72</v>
      </c>
      <c r="F52" s="252">
        <f t="shared" si="14"/>
        <v>711.49</v>
      </c>
      <c r="G52" s="251">
        <f t="shared" si="15"/>
        <v>784.05</v>
      </c>
      <c r="H52" s="40">
        <f t="shared" si="16"/>
        <v>859.6</v>
      </c>
      <c r="I52" s="123">
        <f t="shared" si="17"/>
        <v>1002.27</v>
      </c>
      <c r="J52" s="61">
        <f t="shared" si="17"/>
        <v>1081.69</v>
      </c>
      <c r="K52" s="163">
        <f t="shared" si="18"/>
        <v>1045.6300000000001</v>
      </c>
      <c r="L52" s="108">
        <f t="shared" si="19"/>
        <v>1049.96</v>
      </c>
      <c r="M52" s="61">
        <f t="shared" si="20"/>
        <v>0</v>
      </c>
    </row>
    <row r="53" spans="1:13" ht="16.5" thickTop="1" thickBot="1" x14ac:dyDescent="0.3">
      <c r="A53" s="54" t="s">
        <v>22</v>
      </c>
      <c r="B53" s="54"/>
      <c r="C53" s="205">
        <v>0</v>
      </c>
      <c r="D53" s="211"/>
      <c r="E53" s="42">
        <f>SUM(E51:E52)+SUM(E46:E47)-E56</f>
        <v>0</v>
      </c>
      <c r="F53" s="42">
        <f t="shared" ref="F53:M53" si="21">SUM(F51:F52)+SUM(F46:F47)-F56</f>
        <v>0</v>
      </c>
      <c r="G53" s="50">
        <f t="shared" si="21"/>
        <v>0</v>
      </c>
      <c r="H53" s="51">
        <f t="shared" si="21"/>
        <v>0</v>
      </c>
      <c r="I53" s="42">
        <f t="shared" si="21"/>
        <v>0</v>
      </c>
      <c r="J53" s="62">
        <f t="shared" si="21"/>
        <v>0</v>
      </c>
      <c r="K53" s="164">
        <f t="shared" si="21"/>
        <v>0</v>
      </c>
      <c r="L53" s="50">
        <f t="shared" si="21"/>
        <v>0</v>
      </c>
      <c r="M53" s="62">
        <f t="shared" si="21"/>
        <v>0</v>
      </c>
    </row>
    <row r="54" spans="1:13" ht="16.5" thickTop="1" thickBot="1" x14ac:dyDescent="0.3">
      <c r="A54" s="54" t="s">
        <v>23</v>
      </c>
      <c r="B54" s="54"/>
      <c r="C54" s="205">
        <v>0</v>
      </c>
      <c r="D54" s="211"/>
      <c r="E54" s="42">
        <f>SUM(E51:E52)-E39</f>
        <v>0</v>
      </c>
      <c r="F54" s="42">
        <f t="shared" ref="F54:J54" si="22">SUM(F51:F52)-F39</f>
        <v>0</v>
      </c>
      <c r="G54" s="50">
        <f t="shared" ref="G54:I54" si="23">SUM(G51:G52)-G39</f>
        <v>0</v>
      </c>
      <c r="H54" s="51">
        <f t="shared" si="23"/>
        <v>0</v>
      </c>
      <c r="I54" s="42">
        <f t="shared" si="23"/>
        <v>0</v>
      </c>
      <c r="J54" s="62">
        <f t="shared" si="22"/>
        <v>-9.9999999997635314E-3</v>
      </c>
      <c r="K54" s="165">
        <f t="shared" ref="K54:M54" si="24">SUM(K51:K52)-K39</f>
        <v>-0.10999999999967258</v>
      </c>
      <c r="L54" s="42">
        <f t="shared" si="24"/>
        <v>-0.34000000000014552</v>
      </c>
      <c r="M54" s="42">
        <f t="shared" si="24"/>
        <v>0</v>
      </c>
    </row>
    <row r="55" spans="1:13" ht="16.5" thickTop="1" thickBot="1" x14ac:dyDescent="0.3">
      <c r="C55" s="99"/>
      <c r="D55" s="199"/>
      <c r="E55" s="17"/>
      <c r="F55" s="17"/>
      <c r="G55" s="17"/>
      <c r="H55" s="10"/>
      <c r="I55" s="17"/>
      <c r="J55" s="11"/>
      <c r="K55" s="17"/>
      <c r="L55" s="17"/>
      <c r="M55" s="11"/>
    </row>
    <row r="56" spans="1:13" ht="15.75" thickBot="1" x14ac:dyDescent="0.3">
      <c r="A56" s="46" t="s">
        <v>36</v>
      </c>
      <c r="B56" s="119">
        <f>+B46+B47</f>
        <v>1325312.1854300001</v>
      </c>
      <c r="C56" s="204">
        <f>(C16-SUM(C19:C23))+SUM(C51:C52)+B56</f>
        <v>1275657.92</v>
      </c>
      <c r="D56" s="208">
        <f>(D16-SUM(D19:D23))+SUM(D51:D52)+C56</f>
        <v>1275657.92</v>
      </c>
      <c r="E56" s="41">
        <f>(E16-SUM(E19:E23))+SUM(E51:E52)+D56</f>
        <v>1482717.37</v>
      </c>
      <c r="F56" s="252">
        <f t="shared" ref="F56:M56" si="25">(F16-SUM(F19:F23))+SUM(F51:F52)+E56</f>
        <v>1665855.4700000002</v>
      </c>
      <c r="G56" s="108">
        <f t="shared" si="25"/>
        <v>1781400.32</v>
      </c>
      <c r="H56" s="40">
        <f t="shared" si="25"/>
        <v>1773444.9000000001</v>
      </c>
      <c r="I56" s="41">
        <f t="shared" si="25"/>
        <v>1629493.7500000002</v>
      </c>
      <c r="J56" s="61">
        <f t="shared" si="25"/>
        <v>1573292.3800000001</v>
      </c>
      <c r="K56" s="163">
        <f t="shared" si="25"/>
        <v>1564488.9325600001</v>
      </c>
      <c r="L56" s="108">
        <f t="shared" si="25"/>
        <v>1608533.2181300002</v>
      </c>
      <c r="M56" s="61">
        <f t="shared" si="25"/>
        <v>979592.12020000012</v>
      </c>
    </row>
    <row r="57" spans="1:13" x14ac:dyDescent="0.25">
      <c r="A57" s="46" t="s">
        <v>12</v>
      </c>
      <c r="C57" s="120"/>
      <c r="D57" s="212"/>
      <c r="E57" s="17"/>
      <c r="F57" s="17"/>
      <c r="G57" s="17"/>
      <c r="H57" s="10"/>
      <c r="I57" s="17"/>
      <c r="J57" s="11"/>
      <c r="K57" s="17"/>
      <c r="L57" s="17"/>
      <c r="M57" s="11"/>
    </row>
    <row r="58" spans="1:13" ht="15.75" thickBot="1" x14ac:dyDescent="0.3">
      <c r="A58" s="37"/>
      <c r="B58" s="37"/>
      <c r="C58" s="148"/>
      <c r="D58" s="213"/>
      <c r="E58" s="44"/>
      <c r="F58" s="44"/>
      <c r="G58" s="44"/>
      <c r="H58" s="43"/>
      <c r="I58" s="44"/>
      <c r="J58" s="45"/>
      <c r="K58" s="44"/>
      <c r="L58" s="44"/>
      <c r="M58" s="45"/>
    </row>
    <row r="60" spans="1:13" x14ac:dyDescent="0.25">
      <c r="A60" s="69" t="s">
        <v>11</v>
      </c>
      <c r="B60" s="69"/>
      <c r="C60" s="69"/>
      <c r="D60" s="69"/>
    </row>
    <row r="61" spans="1:13" ht="34.5" customHeight="1" x14ac:dyDescent="0.25">
      <c r="A61" s="307" t="s">
        <v>194</v>
      </c>
      <c r="B61" s="307"/>
      <c r="C61" s="307"/>
      <c r="D61" s="307"/>
      <c r="E61" s="307"/>
      <c r="F61" s="307"/>
      <c r="G61" s="307"/>
      <c r="H61" s="307"/>
      <c r="I61" s="307"/>
      <c r="J61" s="307"/>
      <c r="K61" s="193"/>
      <c r="L61" s="146"/>
      <c r="M61" s="146"/>
    </row>
    <row r="62" spans="1:13" ht="42.75" customHeight="1" x14ac:dyDescent="0.25">
      <c r="A62" s="307" t="s">
        <v>214</v>
      </c>
      <c r="B62" s="307"/>
      <c r="C62" s="307"/>
      <c r="D62" s="307"/>
      <c r="E62" s="307"/>
      <c r="F62" s="307"/>
      <c r="G62" s="307"/>
      <c r="H62" s="307"/>
      <c r="I62" s="307"/>
      <c r="J62" s="307"/>
      <c r="K62" s="307"/>
      <c r="L62" s="146"/>
      <c r="M62" s="146"/>
    </row>
    <row r="63" spans="1:13" ht="33.75" customHeight="1" x14ac:dyDescent="0.25">
      <c r="A63" s="307" t="s">
        <v>195</v>
      </c>
      <c r="B63" s="307"/>
      <c r="C63" s="307"/>
      <c r="D63" s="307"/>
      <c r="E63" s="307"/>
      <c r="F63" s="307"/>
      <c r="G63" s="307"/>
      <c r="H63" s="307"/>
      <c r="I63" s="307"/>
      <c r="J63" s="307"/>
      <c r="K63" s="193"/>
      <c r="L63" s="146"/>
      <c r="M63" s="146"/>
    </row>
    <row r="64" spans="1:13" x14ac:dyDescent="0.25">
      <c r="A64" s="3" t="s">
        <v>67</v>
      </c>
      <c r="B64" s="3"/>
      <c r="C64" s="3"/>
      <c r="D64" s="3"/>
    </row>
    <row r="65" spans="1:7" x14ac:dyDescent="0.25">
      <c r="A65" s="63" t="s">
        <v>203</v>
      </c>
      <c r="B65" s="3"/>
      <c r="C65" s="3"/>
      <c r="D65" s="3"/>
    </row>
    <row r="66" spans="1:7" x14ac:dyDescent="0.25">
      <c r="A66" s="3" t="s">
        <v>70</v>
      </c>
      <c r="B66" s="3"/>
      <c r="C66" s="3"/>
      <c r="D66" s="3"/>
    </row>
    <row r="67" spans="1:7" x14ac:dyDescent="0.25">
      <c r="A67" s="3" t="s">
        <v>193</v>
      </c>
      <c r="B67" s="3"/>
      <c r="C67" s="3"/>
      <c r="D67" s="3"/>
    </row>
    <row r="69" spans="1:7" ht="31.5" customHeight="1" x14ac:dyDescent="0.25">
      <c r="A69" s="303"/>
      <c r="B69" s="303"/>
      <c r="C69" s="303"/>
      <c r="D69" s="303"/>
      <c r="E69" s="303"/>
      <c r="F69" s="303"/>
      <c r="G69" s="303"/>
    </row>
  </sheetData>
  <mergeCells count="7">
    <mergeCell ref="A69:G69"/>
    <mergeCell ref="A63:J63"/>
    <mergeCell ref="E14:G14"/>
    <mergeCell ref="A61:J61"/>
    <mergeCell ref="A62:K62"/>
    <mergeCell ref="H14:J14"/>
    <mergeCell ref="K14:M14"/>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B3B3C2A568948A3B61DE5471DEA1E" ma:contentTypeVersion="0" ma:contentTypeDescription="Create a new document." ma:contentTypeScope="" ma:versionID="e21325dc62556425e3e549579d3cac03">
  <xsd:schema xmlns:xsd="http://www.w3.org/2001/XMLSchema" xmlns:p="http://schemas.microsoft.com/office/2006/metadata/properties" xmlns:ns2="37C40F9E-044B-4F26-A90E-5C1316E52537" targetNamespace="http://schemas.microsoft.com/office/2006/metadata/properties" ma:root="true" ma:fieldsID="4b5ea1123175a8313d90db415902c5cf" ns2:_="">
    <xsd:import namespace="37C40F9E-044B-4F26-A90E-5C1316E52537"/>
    <xsd:element name="properties">
      <xsd:complexType>
        <xsd:sequence>
          <xsd:element name="documentManagement">
            <xsd:complexType>
              <xsd:all>
                <xsd:element ref="ns2:Comments0" minOccurs="0"/>
              </xsd:all>
            </xsd:complexType>
          </xsd:element>
        </xsd:sequence>
      </xsd:complexType>
    </xsd:element>
  </xsd:schema>
  <xsd:schema xmlns:xsd="http://www.w3.org/2001/XMLSchema" xmlns:dms="http://schemas.microsoft.com/office/2006/documentManagement/types" targetNamespace="37C40F9E-044B-4F26-A90E-5C1316E52537" elementFormDefault="qualified">
    <xsd:import namespace="http://schemas.microsoft.com/office/2006/documentManagement/types"/>
    <xsd:element name="Comments0" ma:index="8" nillable="true" ma:displayName="Comments" ma:description="Comments" ma:internalName="Comments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omments0 xmlns="37C40F9E-044B-4F26-A90E-5C1316E525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C2647-B5FC-4364-86FA-9C4ECAED7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40F9E-044B-4F26-A90E-5C1316E5253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E680F6-EEBC-41A4-AEB5-0B773B5EACA2}">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37C40F9E-044B-4F26-A90E-5C1316E52537"/>
    <ds:schemaRef ds:uri="http://purl.org/dc/elements/1.1/"/>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tariff tables</vt:lpstr>
      <vt:lpstr>tariff tables v. current tariff</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Mark Foltz</cp:lastModifiedBy>
  <cp:lastPrinted>2019-05-23T21:26:27Z</cp:lastPrinted>
  <dcterms:created xsi:type="dcterms:W3CDTF">2013-08-12T19:20:10Z</dcterms:created>
  <dcterms:modified xsi:type="dcterms:W3CDTF">2022-05-26T18:27:41Z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0x0101009C8B3B3C2A568948A3B61DE5471DEA1E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2022-05-26T18:27:41Z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0f043e4e-e12b-4d5d-8140-dc22c41c525b</vt:lpwstr>
  </property>
  <property fmtid="{D5CDD505-2E9C-101B-9397-08002B2CF9AE}" pid="11" name="MSIP_Label_d275ac46-98b9-4d64-949f-e82ee8dc823c_ContentBits">
    <vt:lpwstr>3</vt:lpwstr>
  </property>
</Properties>
</file>